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xl/drawings/drawing3.xml" ContentType="application/vnd.openxmlformats-officedocument.drawing+xml"/>
  <Override PartName="/xl/ctrlProps/ctrlProp5.xml" ContentType="application/vnd.ms-excel.controlproperties+xml"/>
  <Override PartName="/xl/ctrlProps/ctrlProp6.xml" ContentType="application/vnd.ms-excel.controlproperties+xml"/>
  <Override PartName="/xl/drawings/drawing4.xml" ContentType="application/vnd.openxmlformats-officedocument.drawing+xml"/>
  <Override PartName="/xl/ctrlProps/ctrlProp7.xml" ContentType="application/vnd.ms-excel.controlproperties+xml"/>
  <Override PartName="/xl/drawings/drawing5.xml" ContentType="application/vnd.openxmlformats-officedocument.drawing+xml"/>
  <Override PartName="/xl/ctrlProps/ctrlProp8.xml" ContentType="application/vnd.ms-excel.controlproperties+xml"/>
  <Override PartName="/xl/drawings/drawing6.xml" ContentType="application/vnd.openxmlformats-officedocument.drawing+xml"/>
  <Override PartName="/xl/ctrlProps/ctrlProp9.xml" ContentType="application/vnd.ms-excel.controlproperties+xml"/>
  <Override PartName="/xl/drawings/drawing7.xml" ContentType="application/vnd.openxmlformats-officedocument.drawing+xml"/>
  <Override PartName="/xl/ctrlProps/ctrlProp10.xml" ContentType="application/vnd.ms-excel.controlproperties+xml"/>
  <Override PartName="/xl/drawings/drawing8.xml" ContentType="application/vnd.openxmlformats-officedocument.drawing+xml"/>
  <Override PartName="/xl/ctrlProps/ctrlProp11.xml" ContentType="application/vnd.ms-excel.controlproperties+xml"/>
  <Override PartName="/xl/drawings/drawing9.xml" ContentType="application/vnd.openxmlformats-officedocument.drawing+xml"/>
  <Override PartName="/xl/ctrlProps/ctrlProp12.xml" ContentType="application/vnd.ms-excel.controlproperties+xml"/>
  <Override PartName="/xl/drawings/drawing10.xml" ContentType="application/vnd.openxmlformats-officedocument.drawing+xml"/>
  <Override PartName="/xl/ctrlProps/ctrlProp13.xml" ContentType="application/vnd.ms-excel.controlproperties+xml"/>
  <Override PartName="/xl/drawings/drawing11.xml" ContentType="application/vnd.openxmlformats-officedocument.drawing+xml"/>
  <Override PartName="/xl/ctrlProps/ctrlProp14.xml" ContentType="application/vnd.ms-excel.controlproperties+xml"/>
  <Override PartName="/xl/drawings/drawing12.xml" ContentType="application/vnd.openxmlformats-officedocument.drawing+xml"/>
  <Override PartName="/xl/ctrlProps/ctrlProp15.xml" ContentType="application/vnd.ms-excel.controlproperties+xml"/>
  <Override PartName="/xl/drawings/drawing13.xml" ContentType="application/vnd.openxmlformats-officedocument.drawing+xml"/>
  <Override PartName="/xl/ctrlProps/ctrlProp16.xml" ContentType="application/vnd.ms-excel.controlproperties+xml"/>
  <Override PartName="/xl/drawings/drawing14.xml" ContentType="application/vnd.openxmlformats-officedocument.drawing+xml"/>
  <Override PartName="/xl/ctrlProps/ctrlProp17.xml" ContentType="application/vnd.ms-excel.controlproperties+xml"/>
  <Override PartName="/xl/drawings/drawing15.xml" ContentType="application/vnd.openxmlformats-officedocument.drawing+xml"/>
  <Override PartName="/xl/ctrlProps/ctrlProp18.xml" ContentType="application/vnd.ms-excel.controlproperties+xml"/>
  <Override PartName="/xl/drawings/drawing16.xml" ContentType="application/vnd.openxmlformats-officedocument.drawing+xml"/>
  <Override PartName="/xl/ctrlProps/ctrlProp19.xml" ContentType="application/vnd.ms-excel.controlproperties+xml"/>
  <Override PartName="/xl/drawings/drawing17.xml" ContentType="application/vnd.openxmlformats-officedocument.drawing+xml"/>
  <Override PartName="/xl/ctrlProps/ctrlProp20.xml" ContentType="application/vnd.ms-excel.controlproperties+xml"/>
  <Override PartName="/xl/drawings/drawing18.xml" ContentType="application/vnd.openxmlformats-officedocument.drawing+xml"/>
  <Override PartName="/xl/ctrlProps/ctrlProp21.xml" ContentType="application/vnd.ms-excel.controlproperties+xml"/>
  <Override PartName="/xl/drawings/drawing19.xml" ContentType="application/vnd.openxmlformats-officedocument.drawing+xml"/>
  <Override PartName="/xl/ctrlProps/ctrlProp22.xml" ContentType="application/vnd.ms-excel.controlproperties+xml"/>
  <Override PartName="/xl/drawings/drawing20.xml" ContentType="application/vnd.openxmlformats-officedocument.drawing+xml"/>
  <Override PartName="/xl/ctrlProps/ctrlProp23.xml" ContentType="application/vnd.ms-excel.controlproperties+xml"/>
  <Override PartName="/xl/drawings/drawing21.xml" ContentType="application/vnd.openxmlformats-officedocument.drawing+xml"/>
  <Override PartName="/xl/ctrlProps/ctrlProp24.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240" yWindow="105" windowWidth="12870" windowHeight="10395" firstSheet="18" activeTab="20"/>
  </bookViews>
  <sheets>
    <sheet name="Новошарапский" sheetId="25" r:id="rId1"/>
    <sheet name="Березовский" sheetId="26" r:id="rId2"/>
    <sheet name="Вагайцевский" sheetId="27" r:id="rId3"/>
    <sheet name="Верх-Алеусский" sheetId="28" r:id="rId4"/>
    <sheet name="Верх-Ирменский" sheetId="29" r:id="rId5"/>
    <sheet name="Верх-Чикский" sheetId="30" r:id="rId6"/>
    <sheet name="Кирзинский" sheetId="31" r:id="rId7"/>
    <sheet name="Козихинский" sheetId="32" r:id="rId8"/>
    <sheet name="Красноярский" sheetId="33" r:id="rId9"/>
    <sheet name="Нижнекаменский" sheetId="34" r:id="rId10"/>
    <sheet name="Новопичуговский" sheetId="35" r:id="rId11"/>
    <sheet name="Чингисский" sheetId="36" r:id="rId12"/>
    <sheet name="Шаидуровский" sheetId="37" r:id="rId13"/>
    <sheet name="Петровский" sheetId="38" r:id="rId14"/>
    <sheet name="Пролетарский" sheetId="39" r:id="rId15"/>
    <sheet name="Рогалевский" sheetId="40" r:id="rId16"/>
    <sheet name="Спиринский" sheetId="41" r:id="rId17"/>
    <sheet name="Усть-Луковский" sheetId="42" r:id="rId18"/>
    <sheet name="Устюжанинский" sheetId="43" r:id="rId19"/>
    <sheet name="Филипповский" sheetId="44" r:id="rId20"/>
    <sheet name="р.п. Ордынское" sheetId="45" r:id="rId21"/>
  </sheets>
  <externalReferences>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s>
  <definedNames>
    <definedName name="srok">[1]Предположения!$E$161</definedName>
    <definedName name="tar">[1]Предположения!$E$165</definedName>
    <definedName name="_xlnm.Print_Area" localSheetId="1">Березовский!$B$1:$C$135</definedName>
    <definedName name="_xlnm.Print_Area" localSheetId="2">Вагайцевский!$B$1:$C$135</definedName>
    <definedName name="_xlnm.Print_Area" localSheetId="3">'Верх-Алеусский'!$B$1:$C$135</definedName>
    <definedName name="_xlnm.Print_Area" localSheetId="4">'Верх-Ирменский'!$B$1:$C$135</definedName>
    <definedName name="_xlnm.Print_Area" localSheetId="5">'Верх-Чикский'!$B$1:$C$135</definedName>
    <definedName name="_xlnm.Print_Area" localSheetId="6">Кирзинский!$B$1:$C$135</definedName>
    <definedName name="_xlnm.Print_Area" localSheetId="7">Козихинский!$B$1:$C$135</definedName>
    <definedName name="_xlnm.Print_Area" localSheetId="8">Красноярский!$B$1:$C$135</definedName>
    <definedName name="_xlnm.Print_Area" localSheetId="9">Нижнекаменский!$B$1:$C$135</definedName>
    <definedName name="_xlnm.Print_Area" localSheetId="10">Новопичуговский!$B$1:$C$135</definedName>
    <definedName name="_xlnm.Print_Area" localSheetId="0">Новошарапский!$B$1:$C$135</definedName>
    <definedName name="_xlnm.Print_Area" localSheetId="13">Петровский!$B$1:$C$135</definedName>
    <definedName name="_xlnm.Print_Area" localSheetId="14">Пролетарский!$B$1:$C$135</definedName>
    <definedName name="_xlnm.Print_Area" localSheetId="20">'р.п. Ордынское'!$B$1:$C$135</definedName>
    <definedName name="_xlnm.Print_Area" localSheetId="15">Рогалевский!$B$1:$C$135</definedName>
    <definedName name="_xlnm.Print_Area" localSheetId="16">Спиринский!$B$1:$C$135</definedName>
    <definedName name="_xlnm.Print_Area" localSheetId="17">'Усть-Луковский'!$B$1:$C$135</definedName>
    <definedName name="_xlnm.Print_Area" localSheetId="18">Устюжанинский!$B$1:$C$135</definedName>
    <definedName name="_xlnm.Print_Area" localSheetId="19">Филипповский!$B$1:$C$135</definedName>
    <definedName name="_xlnm.Print_Area" localSheetId="11">Чингисский!$B$1:$C$135</definedName>
    <definedName name="_xlnm.Print_Area" localSheetId="12">Шаидуровский!$B$1:$C$135</definedName>
  </definedNames>
  <calcPr calcId="145621"/>
</workbook>
</file>

<file path=xl/calcChain.xml><?xml version="1.0" encoding="utf-8"?>
<calcChain xmlns="http://schemas.openxmlformats.org/spreadsheetml/2006/main">
  <c r="C225" i="45" l="1"/>
  <c r="C224" i="45"/>
  <c r="C223" i="45"/>
  <c r="C222" i="45"/>
  <c r="C221" i="45"/>
  <c r="C220" i="45"/>
  <c r="C219" i="45"/>
  <c r="C218" i="45"/>
  <c r="C217" i="45"/>
  <c r="C216" i="45"/>
  <c r="C215" i="45"/>
  <c r="C214" i="45"/>
  <c r="C213" i="45"/>
  <c r="C212" i="45"/>
  <c r="C211" i="45"/>
  <c r="C210" i="45"/>
  <c r="C209" i="45"/>
  <c r="C208" i="45"/>
  <c r="C207" i="45"/>
  <c r="C206" i="45"/>
  <c r="C205" i="45"/>
  <c r="C204" i="45"/>
  <c r="C203" i="45"/>
  <c r="C202" i="45"/>
  <c r="C201" i="45"/>
  <c r="C200" i="45"/>
  <c r="C199" i="45"/>
  <c r="C198" i="45"/>
  <c r="C197" i="45"/>
  <c r="C196" i="45"/>
  <c r="C195" i="45"/>
  <c r="C194" i="45"/>
  <c r="C193" i="45"/>
  <c r="C192" i="45"/>
  <c r="C191" i="45"/>
  <c r="C190" i="45"/>
  <c r="C189" i="45"/>
  <c r="C188" i="45"/>
  <c r="C187" i="45"/>
  <c r="C186" i="45"/>
  <c r="C185" i="45"/>
  <c r="C184" i="45"/>
  <c r="C183" i="45"/>
  <c r="C182" i="45"/>
  <c r="C181" i="45"/>
  <c r="C180" i="45"/>
  <c r="C179" i="45"/>
  <c r="C178" i="45"/>
  <c r="C177" i="45"/>
  <c r="C176" i="45"/>
  <c r="C175" i="45"/>
  <c r="C174" i="45"/>
  <c r="C173" i="45"/>
  <c r="C172" i="45"/>
  <c r="C171" i="45"/>
  <c r="C170" i="45"/>
  <c r="C169" i="45"/>
  <c r="C168" i="45"/>
  <c r="C167" i="45"/>
  <c r="C166" i="45"/>
  <c r="C165" i="45"/>
  <c r="C164" i="45"/>
  <c r="C163" i="45"/>
  <c r="C162" i="45"/>
  <c r="C161" i="45"/>
  <c r="C160" i="45"/>
  <c r="C159" i="45"/>
  <c r="C158" i="45"/>
  <c r="C157" i="45"/>
  <c r="C156" i="45"/>
  <c r="C155" i="45"/>
  <c r="C154" i="45"/>
  <c r="C153" i="45"/>
  <c r="C152" i="45"/>
  <c r="C151" i="45"/>
  <c r="C150" i="45"/>
  <c r="C149" i="45"/>
  <c r="C148" i="45"/>
  <c r="C147" i="45"/>
  <c r="C146" i="45"/>
  <c r="B146" i="45"/>
  <c r="B147" i="45" s="1"/>
  <c r="B148" i="45" s="1"/>
  <c r="B149" i="45" s="1"/>
  <c r="B150" i="45" s="1"/>
  <c r="B151" i="45" s="1"/>
  <c r="B152" i="45" s="1"/>
  <c r="B153" i="45" s="1"/>
  <c r="B154" i="45" s="1"/>
  <c r="B155" i="45" s="1"/>
  <c r="B156" i="45" s="1"/>
  <c r="B157" i="45" s="1"/>
  <c r="B158" i="45" s="1"/>
  <c r="B159" i="45" s="1"/>
  <c r="B160" i="45" s="1"/>
  <c r="B161" i="45" s="1"/>
  <c r="B162" i="45" s="1"/>
  <c r="C145" i="45"/>
  <c r="C142" i="45"/>
  <c r="C140" i="45"/>
  <c r="C139" i="45"/>
  <c r="C138" i="45"/>
  <c r="C137" i="45"/>
  <c r="C135" i="45"/>
  <c r="C134" i="45"/>
  <c r="C133" i="45"/>
  <c r="C132" i="45"/>
  <c r="C131" i="45"/>
  <c r="C130" i="45"/>
  <c r="C127" i="45"/>
  <c r="C124" i="45"/>
  <c r="C123" i="45"/>
  <c r="C122" i="45"/>
  <c r="C121" i="45"/>
  <c r="C120" i="45"/>
  <c r="C119" i="45"/>
  <c r="C118" i="45"/>
  <c r="C117" i="45"/>
  <c r="C116" i="45"/>
  <c r="C115" i="45"/>
  <c r="C114" i="45"/>
  <c r="C113" i="45"/>
  <c r="C112" i="45"/>
  <c r="C111" i="45"/>
  <c r="C110" i="45"/>
  <c r="C109" i="45"/>
  <c r="C108" i="45"/>
  <c r="C107" i="45"/>
  <c r="C106" i="45"/>
  <c r="C105" i="45"/>
  <c r="C104" i="45"/>
  <c r="C103" i="45"/>
  <c r="C102" i="45"/>
  <c r="C99" i="45"/>
  <c r="C98" i="45"/>
  <c r="C97" i="45"/>
  <c r="C96" i="45"/>
  <c r="C95" i="45"/>
  <c r="C94" i="45"/>
  <c r="C93" i="45"/>
  <c r="C92" i="45"/>
  <c r="C91" i="45"/>
  <c r="C88" i="45"/>
  <c r="C87" i="45"/>
  <c r="C86" i="45"/>
  <c r="C85" i="45"/>
  <c r="C84" i="45"/>
  <c r="C83" i="45"/>
  <c r="C82" i="45"/>
  <c r="C81" i="45"/>
  <c r="C80" i="45"/>
  <c r="C79" i="45"/>
  <c r="C78" i="45"/>
  <c r="C77" i="45"/>
  <c r="C76" i="45"/>
  <c r="C75" i="45"/>
  <c r="C74" i="45"/>
  <c r="C73" i="45"/>
  <c r="C72" i="45"/>
  <c r="C71" i="45"/>
  <c r="C70" i="45"/>
  <c r="C69" i="45"/>
  <c r="C68" i="45"/>
  <c r="C67" i="45"/>
  <c r="C66" i="45"/>
  <c r="C65" i="45"/>
  <c r="C64" i="45"/>
  <c r="C63" i="45"/>
  <c r="C62" i="45"/>
  <c r="C61" i="45"/>
  <c r="C60" i="45"/>
  <c r="C59" i="45"/>
  <c r="C58" i="45"/>
  <c r="C57" i="45"/>
  <c r="C56" i="45"/>
  <c r="C55" i="45"/>
  <c r="C54" i="45"/>
  <c r="C53" i="45"/>
  <c r="C52" i="45"/>
  <c r="C51" i="45"/>
  <c r="C50" i="45"/>
  <c r="C49" i="45"/>
  <c r="C48" i="45"/>
  <c r="C47" i="45"/>
  <c r="C46" i="45"/>
  <c r="C43" i="45"/>
  <c r="C42" i="45"/>
  <c r="C41" i="45"/>
  <c r="C40" i="45"/>
  <c r="C39" i="45"/>
  <c r="C38" i="45"/>
  <c r="C37" i="45"/>
  <c r="C36" i="45"/>
  <c r="C35" i="45"/>
  <c r="C34" i="45"/>
  <c r="B34" i="45"/>
  <c r="C33" i="45"/>
  <c r="B33" i="45"/>
  <c r="C32" i="45"/>
  <c r="B32" i="45"/>
  <c r="C31" i="45"/>
  <c r="B31" i="45"/>
  <c r="C30" i="45"/>
  <c r="C29" i="45"/>
  <c r="C28" i="45"/>
  <c r="C23" i="45"/>
  <c r="C22" i="45"/>
  <c r="C21" i="45"/>
  <c r="C20" i="45"/>
  <c r="C19" i="45"/>
  <c r="C17" i="45" s="1"/>
  <c r="C18" i="45"/>
  <c r="C13" i="45"/>
  <c r="B13" i="45"/>
  <c r="C12" i="45"/>
  <c r="B12" i="45"/>
  <c r="C11" i="45"/>
  <c r="B11" i="45"/>
  <c r="C10" i="45"/>
  <c r="B10" i="45"/>
  <c r="C9" i="45"/>
  <c r="B9" i="45"/>
  <c r="C8" i="45"/>
  <c r="B8" i="45"/>
  <c r="C7" i="45"/>
  <c r="B7" i="45"/>
  <c r="C6" i="45"/>
  <c r="B6" i="45"/>
  <c r="C5" i="45"/>
  <c r="B5" i="45"/>
  <c r="C4" i="45"/>
  <c r="B4" i="45"/>
  <c r="C2" i="45"/>
  <c r="B225" i="45" l="1"/>
  <c r="B163" i="45"/>
  <c r="B164" i="45" s="1"/>
  <c r="B165" i="45" s="1"/>
  <c r="B166" i="45" s="1"/>
  <c r="B167" i="45" s="1"/>
  <c r="B168" i="45" s="1"/>
  <c r="B169" i="45" s="1"/>
  <c r="B170" i="45" s="1"/>
  <c r="B171" i="45" s="1"/>
  <c r="B172" i="45" s="1"/>
  <c r="B173" i="45" s="1"/>
  <c r="B174" i="45" s="1"/>
  <c r="B175" i="45" s="1"/>
  <c r="B176" i="45" s="1"/>
  <c r="B177" i="45" s="1"/>
  <c r="B178" i="45" s="1"/>
  <c r="B179" i="45" s="1"/>
  <c r="B180" i="45" s="1"/>
  <c r="B181" i="45" s="1"/>
  <c r="B182" i="45" s="1"/>
  <c r="B183" i="45" s="1"/>
  <c r="B184" i="45" s="1"/>
  <c r="B185" i="45" s="1"/>
  <c r="B186" i="45" s="1"/>
  <c r="B187" i="45" s="1"/>
  <c r="B188" i="45" s="1"/>
  <c r="B189" i="45" s="1"/>
  <c r="B190" i="45" s="1"/>
  <c r="B191" i="45" s="1"/>
  <c r="B192" i="45" s="1"/>
  <c r="B193" i="45" s="1"/>
  <c r="B194" i="45" s="1"/>
  <c r="B195" i="45" s="1"/>
  <c r="B196" i="45" s="1"/>
  <c r="B197" i="45" s="1"/>
  <c r="B198" i="45" s="1"/>
  <c r="B199" i="45" s="1"/>
  <c r="B200" i="45" s="1"/>
  <c r="B201" i="45" s="1"/>
  <c r="B202" i="45" s="1"/>
  <c r="B203" i="45" s="1"/>
  <c r="B204" i="45" s="1"/>
  <c r="B205" i="45" s="1"/>
  <c r="B206" i="45" s="1"/>
  <c r="B207" i="45" s="1"/>
  <c r="B208" i="45" s="1"/>
  <c r="B209" i="45" s="1"/>
  <c r="B210" i="45" s="1"/>
  <c r="B211" i="45" s="1"/>
  <c r="B212" i="45" s="1"/>
  <c r="B213" i="45" s="1"/>
  <c r="B214" i="45" s="1"/>
  <c r="B215" i="45" s="1"/>
  <c r="B216" i="45" s="1"/>
  <c r="B217" i="45" s="1"/>
  <c r="B218" i="45" s="1"/>
  <c r="B219" i="45" s="1"/>
  <c r="B220" i="45" s="1"/>
  <c r="B221" i="45" s="1"/>
  <c r="B222" i="45" s="1"/>
  <c r="B223" i="45" s="1"/>
  <c r="B224" i="45" s="1"/>
  <c r="C223" i="44" l="1"/>
  <c r="C222" i="44"/>
  <c r="C221" i="44"/>
  <c r="C220" i="44"/>
  <c r="C219" i="44"/>
  <c r="C218" i="44"/>
  <c r="C217" i="44"/>
  <c r="C216" i="44"/>
  <c r="C215" i="44"/>
  <c r="C214" i="44"/>
  <c r="C213" i="44"/>
  <c r="C212" i="44"/>
  <c r="C211" i="44"/>
  <c r="C210" i="44"/>
  <c r="C209" i="44"/>
  <c r="C208" i="44"/>
  <c r="C207" i="44"/>
  <c r="C206" i="44"/>
  <c r="C205" i="44"/>
  <c r="C204" i="44"/>
  <c r="C203" i="44"/>
  <c r="C202" i="44"/>
  <c r="C201" i="44"/>
  <c r="C200" i="44"/>
  <c r="C199" i="44"/>
  <c r="C198" i="44"/>
  <c r="C197" i="44"/>
  <c r="C196" i="44"/>
  <c r="C195" i="44"/>
  <c r="C194" i="44"/>
  <c r="C193" i="44"/>
  <c r="C192" i="44"/>
  <c r="C191" i="44"/>
  <c r="C190" i="44"/>
  <c r="C189" i="44"/>
  <c r="C188" i="44"/>
  <c r="C187" i="44"/>
  <c r="C186" i="44"/>
  <c r="C185" i="44"/>
  <c r="C184" i="44"/>
  <c r="C183" i="44"/>
  <c r="C182" i="44"/>
  <c r="C181" i="44"/>
  <c r="C180" i="44"/>
  <c r="C179" i="44"/>
  <c r="C178" i="44"/>
  <c r="C177" i="44"/>
  <c r="C176" i="44"/>
  <c r="C175" i="44"/>
  <c r="C174" i="44"/>
  <c r="C173" i="44"/>
  <c r="C172" i="44"/>
  <c r="C171" i="44"/>
  <c r="C170" i="44"/>
  <c r="C169" i="44"/>
  <c r="C168" i="44"/>
  <c r="C167" i="44"/>
  <c r="C166" i="44"/>
  <c r="C165" i="44"/>
  <c r="C164" i="44"/>
  <c r="C163" i="44"/>
  <c r="C162" i="44"/>
  <c r="C161" i="44"/>
  <c r="C160" i="44"/>
  <c r="C159" i="44"/>
  <c r="C158" i="44"/>
  <c r="C157" i="44"/>
  <c r="C156" i="44"/>
  <c r="C155" i="44"/>
  <c r="C154" i="44"/>
  <c r="C153" i="44"/>
  <c r="C152" i="44"/>
  <c r="C151" i="44"/>
  <c r="C150" i="44"/>
  <c r="C149" i="44"/>
  <c r="C148" i="44"/>
  <c r="C147" i="44"/>
  <c r="C146" i="44"/>
  <c r="C145" i="44"/>
  <c r="C144" i="44"/>
  <c r="B144" i="44"/>
  <c r="B145" i="44" s="1"/>
  <c r="B146" i="44" s="1"/>
  <c r="B147" i="44" s="1"/>
  <c r="B148" i="44" s="1"/>
  <c r="B149" i="44" s="1"/>
  <c r="B150" i="44" s="1"/>
  <c r="B151" i="44" s="1"/>
  <c r="B152" i="44" s="1"/>
  <c r="B153" i="44" s="1"/>
  <c r="B154" i="44" s="1"/>
  <c r="B155" i="44" s="1"/>
  <c r="B156" i="44" s="1"/>
  <c r="B157" i="44" s="1"/>
  <c r="B158" i="44" s="1"/>
  <c r="B159" i="44" s="1"/>
  <c r="B160" i="44" s="1"/>
  <c r="B161" i="44" s="1"/>
  <c r="B162" i="44" s="1"/>
  <c r="B163" i="44" s="1"/>
  <c r="B164" i="44" s="1"/>
  <c r="B165" i="44" s="1"/>
  <c r="B166" i="44" s="1"/>
  <c r="B167" i="44" s="1"/>
  <c r="B168" i="44" s="1"/>
  <c r="B169" i="44" s="1"/>
  <c r="B170" i="44" s="1"/>
  <c r="B171" i="44" s="1"/>
  <c r="B172" i="44" s="1"/>
  <c r="B173" i="44" s="1"/>
  <c r="B174" i="44" s="1"/>
  <c r="B175" i="44" s="1"/>
  <c r="B176" i="44" s="1"/>
  <c r="B177" i="44" s="1"/>
  <c r="B178" i="44" s="1"/>
  <c r="B179" i="44" s="1"/>
  <c r="B180" i="44" s="1"/>
  <c r="B181" i="44" s="1"/>
  <c r="B182" i="44" s="1"/>
  <c r="B183" i="44" s="1"/>
  <c r="B184" i="44" s="1"/>
  <c r="B185" i="44" s="1"/>
  <c r="B186" i="44" s="1"/>
  <c r="B187" i="44" s="1"/>
  <c r="B188" i="44" s="1"/>
  <c r="B189" i="44" s="1"/>
  <c r="B190" i="44" s="1"/>
  <c r="B191" i="44" s="1"/>
  <c r="B192" i="44" s="1"/>
  <c r="B193" i="44" s="1"/>
  <c r="B194" i="44" s="1"/>
  <c r="B195" i="44" s="1"/>
  <c r="B196" i="44" s="1"/>
  <c r="B197" i="44" s="1"/>
  <c r="B198" i="44" s="1"/>
  <c r="B199" i="44" s="1"/>
  <c r="B200" i="44" s="1"/>
  <c r="B201" i="44" s="1"/>
  <c r="B202" i="44" s="1"/>
  <c r="B203" i="44" s="1"/>
  <c r="B204" i="44" s="1"/>
  <c r="B205" i="44" s="1"/>
  <c r="B206" i="44" s="1"/>
  <c r="B207" i="44" s="1"/>
  <c r="B208" i="44" s="1"/>
  <c r="B209" i="44" s="1"/>
  <c r="B210" i="44" s="1"/>
  <c r="B211" i="44" s="1"/>
  <c r="B212" i="44" s="1"/>
  <c r="B213" i="44" s="1"/>
  <c r="B214" i="44" s="1"/>
  <c r="B215" i="44" s="1"/>
  <c r="B216" i="44" s="1"/>
  <c r="B217" i="44" s="1"/>
  <c r="B218" i="44" s="1"/>
  <c r="B219" i="44" s="1"/>
  <c r="B220" i="44" s="1"/>
  <c r="B221" i="44" s="1"/>
  <c r="B222" i="44" s="1"/>
  <c r="B223" i="44" s="1"/>
  <c r="C143" i="44"/>
  <c r="C140" i="44"/>
  <c r="C138" i="44"/>
  <c r="C137" i="44"/>
  <c r="C136" i="44"/>
  <c r="C135" i="44"/>
  <c r="C125" i="44"/>
  <c r="C122" i="44"/>
  <c r="C121" i="44"/>
  <c r="C120" i="44"/>
  <c r="C119" i="44"/>
  <c r="C118" i="44"/>
  <c r="C117" i="44"/>
  <c r="C116" i="44"/>
  <c r="C115" i="44"/>
  <c r="C114" i="44"/>
  <c r="C113" i="44"/>
  <c r="C112" i="44"/>
  <c r="C111" i="44"/>
  <c r="C110" i="44"/>
  <c r="C109" i="44"/>
  <c r="C108" i="44"/>
  <c r="C107" i="44"/>
  <c r="C106" i="44"/>
  <c r="C105" i="44"/>
  <c r="C104" i="44"/>
  <c r="C103" i="44"/>
  <c r="C102" i="44"/>
  <c r="C101" i="44"/>
  <c r="C100" i="44"/>
  <c r="C99" i="44"/>
  <c r="C98" i="44"/>
  <c r="C97" i="44"/>
  <c r="C96" i="44"/>
  <c r="C93" i="44"/>
  <c r="C92" i="44"/>
  <c r="C91" i="44"/>
  <c r="C90" i="44"/>
  <c r="C89" i="44"/>
  <c r="C88" i="44"/>
  <c r="C87" i="44"/>
  <c r="C86" i="44"/>
  <c r="C85" i="44"/>
  <c r="C82" i="44"/>
  <c r="C81" i="44"/>
  <c r="C80" i="44"/>
  <c r="C79" i="44"/>
  <c r="C78" i="44"/>
  <c r="C77" i="44"/>
  <c r="C76" i="44"/>
  <c r="C75" i="44"/>
  <c r="C74" i="44"/>
  <c r="C73" i="44"/>
  <c r="C72" i="44"/>
  <c r="C71" i="44"/>
  <c r="C70" i="44"/>
  <c r="C69" i="44"/>
  <c r="C68" i="44"/>
  <c r="C67" i="44"/>
  <c r="C66" i="44"/>
  <c r="C65" i="44"/>
  <c r="C64" i="44"/>
  <c r="C63" i="44"/>
  <c r="C62" i="44"/>
  <c r="C61" i="44"/>
  <c r="C60" i="44"/>
  <c r="C59" i="44"/>
  <c r="C58" i="44"/>
  <c r="C57" i="44"/>
  <c r="C56" i="44"/>
  <c r="C55" i="44"/>
  <c r="C54" i="44"/>
  <c r="C53" i="44"/>
  <c r="C52" i="44"/>
  <c r="C51" i="44"/>
  <c r="C50" i="44"/>
  <c r="C49" i="44"/>
  <c r="C48" i="44"/>
  <c r="C47" i="44"/>
  <c r="C46" i="44"/>
  <c r="C45" i="44"/>
  <c r="C44" i="44"/>
  <c r="C43" i="44"/>
  <c r="C42" i="44"/>
  <c r="C41" i="44"/>
  <c r="C38" i="44"/>
  <c r="C37" i="44"/>
  <c r="C36" i="44"/>
  <c r="C35" i="44"/>
  <c r="C34" i="44"/>
  <c r="C33" i="44"/>
  <c r="C32" i="44"/>
  <c r="C31" i="44"/>
  <c r="C30" i="44"/>
  <c r="C29" i="44"/>
  <c r="C28" i="44"/>
  <c r="C23" i="44"/>
  <c r="C22" i="44"/>
  <c r="C21" i="44"/>
  <c r="C20" i="44"/>
  <c r="C19" i="44"/>
  <c r="C18" i="44"/>
  <c r="C13" i="44"/>
  <c r="B13" i="44"/>
  <c r="C12" i="44"/>
  <c r="B12" i="44"/>
  <c r="C11" i="44"/>
  <c r="B11" i="44"/>
  <c r="C10" i="44"/>
  <c r="B10" i="44"/>
  <c r="C9" i="44"/>
  <c r="B9" i="44"/>
  <c r="C8" i="44"/>
  <c r="B8" i="44"/>
  <c r="C7" i="44"/>
  <c r="B7" i="44"/>
  <c r="C6" i="44"/>
  <c r="B6" i="44"/>
  <c r="C5" i="44"/>
  <c r="B5" i="44"/>
  <c r="C4" i="44"/>
  <c r="B4" i="44"/>
  <c r="C2" i="44"/>
  <c r="C17" i="44" l="1"/>
  <c r="C223" i="43"/>
  <c r="C222" i="43"/>
  <c r="C221" i="43"/>
  <c r="C220" i="43"/>
  <c r="C219" i="43"/>
  <c r="C218" i="43"/>
  <c r="C217" i="43"/>
  <c r="C216" i="43"/>
  <c r="C215" i="43"/>
  <c r="C214" i="43"/>
  <c r="C213" i="43"/>
  <c r="C212" i="43"/>
  <c r="C211" i="43"/>
  <c r="C210" i="43"/>
  <c r="C209" i="43"/>
  <c r="C208" i="43"/>
  <c r="C207" i="43"/>
  <c r="C206" i="43"/>
  <c r="C205" i="43"/>
  <c r="C204" i="43"/>
  <c r="C203" i="43"/>
  <c r="C202" i="43"/>
  <c r="C201" i="43"/>
  <c r="C200" i="43"/>
  <c r="C199" i="43"/>
  <c r="C198" i="43"/>
  <c r="C197" i="43"/>
  <c r="C196" i="43"/>
  <c r="C195" i="43"/>
  <c r="C194" i="43"/>
  <c r="C193" i="43"/>
  <c r="C192" i="43"/>
  <c r="C191" i="43"/>
  <c r="C190" i="43"/>
  <c r="C189" i="43"/>
  <c r="C188" i="43"/>
  <c r="C187" i="43"/>
  <c r="C186" i="43"/>
  <c r="C185" i="43"/>
  <c r="C184" i="43"/>
  <c r="C183" i="43"/>
  <c r="C182" i="43"/>
  <c r="C181" i="43"/>
  <c r="C180" i="43"/>
  <c r="C179" i="43"/>
  <c r="C178" i="43"/>
  <c r="C177" i="43"/>
  <c r="C176" i="43"/>
  <c r="C175" i="43"/>
  <c r="C174" i="43"/>
  <c r="C173" i="43"/>
  <c r="C172" i="43"/>
  <c r="C171" i="43"/>
  <c r="C170" i="43"/>
  <c r="C169" i="43"/>
  <c r="C168" i="43"/>
  <c r="C167" i="43"/>
  <c r="C166" i="43"/>
  <c r="C165" i="43"/>
  <c r="C164" i="43"/>
  <c r="C163" i="43"/>
  <c r="C162" i="43"/>
  <c r="C161" i="43"/>
  <c r="C160" i="43"/>
  <c r="C159" i="43"/>
  <c r="C158" i="43"/>
  <c r="C157" i="43"/>
  <c r="C156" i="43"/>
  <c r="C155" i="43"/>
  <c r="C154" i="43"/>
  <c r="C153" i="43"/>
  <c r="C152" i="43"/>
  <c r="C151" i="43"/>
  <c r="C150" i="43"/>
  <c r="C149" i="43"/>
  <c r="C148" i="43"/>
  <c r="C147" i="43"/>
  <c r="C146" i="43"/>
  <c r="C145" i="43"/>
  <c r="C144" i="43"/>
  <c r="B144" i="43"/>
  <c r="B145" i="43" s="1"/>
  <c r="B146" i="43" s="1"/>
  <c r="B147" i="43" s="1"/>
  <c r="B148" i="43" s="1"/>
  <c r="B149" i="43" s="1"/>
  <c r="B150" i="43" s="1"/>
  <c r="B151" i="43" s="1"/>
  <c r="B152" i="43" s="1"/>
  <c r="B153" i="43" s="1"/>
  <c r="B154" i="43" s="1"/>
  <c r="B155" i="43" s="1"/>
  <c r="B156" i="43" s="1"/>
  <c r="B157" i="43" s="1"/>
  <c r="B158" i="43" s="1"/>
  <c r="B159" i="43" s="1"/>
  <c r="B160" i="43" s="1"/>
  <c r="B161" i="43" s="1"/>
  <c r="B162" i="43" s="1"/>
  <c r="B163" i="43" s="1"/>
  <c r="B164" i="43" s="1"/>
  <c r="B165" i="43" s="1"/>
  <c r="B166" i="43" s="1"/>
  <c r="B167" i="43" s="1"/>
  <c r="B168" i="43" s="1"/>
  <c r="B169" i="43" s="1"/>
  <c r="B170" i="43" s="1"/>
  <c r="B171" i="43" s="1"/>
  <c r="B172" i="43" s="1"/>
  <c r="B173" i="43" s="1"/>
  <c r="B174" i="43" s="1"/>
  <c r="B175" i="43" s="1"/>
  <c r="B176" i="43" s="1"/>
  <c r="B177" i="43" s="1"/>
  <c r="B178" i="43" s="1"/>
  <c r="B179" i="43" s="1"/>
  <c r="B180" i="43" s="1"/>
  <c r="B181" i="43" s="1"/>
  <c r="B182" i="43" s="1"/>
  <c r="B183" i="43" s="1"/>
  <c r="B184" i="43" s="1"/>
  <c r="B185" i="43" s="1"/>
  <c r="B186" i="43" s="1"/>
  <c r="B187" i="43" s="1"/>
  <c r="B188" i="43" s="1"/>
  <c r="B189" i="43" s="1"/>
  <c r="B190" i="43" s="1"/>
  <c r="B191" i="43" s="1"/>
  <c r="B192" i="43" s="1"/>
  <c r="B193" i="43" s="1"/>
  <c r="B194" i="43" s="1"/>
  <c r="B195" i="43" s="1"/>
  <c r="B196" i="43" s="1"/>
  <c r="B197" i="43" s="1"/>
  <c r="B198" i="43" s="1"/>
  <c r="B199" i="43" s="1"/>
  <c r="B200" i="43" s="1"/>
  <c r="B201" i="43" s="1"/>
  <c r="B202" i="43" s="1"/>
  <c r="B203" i="43" s="1"/>
  <c r="B204" i="43" s="1"/>
  <c r="B205" i="43" s="1"/>
  <c r="B206" i="43" s="1"/>
  <c r="B207" i="43" s="1"/>
  <c r="B208" i="43" s="1"/>
  <c r="B209" i="43" s="1"/>
  <c r="B210" i="43" s="1"/>
  <c r="B211" i="43" s="1"/>
  <c r="B212" i="43" s="1"/>
  <c r="B213" i="43" s="1"/>
  <c r="B214" i="43" s="1"/>
  <c r="B215" i="43" s="1"/>
  <c r="B216" i="43" s="1"/>
  <c r="B217" i="43" s="1"/>
  <c r="B218" i="43" s="1"/>
  <c r="B219" i="43" s="1"/>
  <c r="B220" i="43" s="1"/>
  <c r="B221" i="43" s="1"/>
  <c r="B222" i="43" s="1"/>
  <c r="B223" i="43" s="1"/>
  <c r="C143" i="43"/>
  <c r="C140" i="43"/>
  <c r="C138" i="43"/>
  <c r="C137" i="43"/>
  <c r="C136" i="43"/>
  <c r="C135" i="43"/>
  <c r="C125" i="43"/>
  <c r="C122" i="43"/>
  <c r="C121" i="43"/>
  <c r="C120" i="43"/>
  <c r="C119" i="43"/>
  <c r="C118" i="43"/>
  <c r="C117" i="43"/>
  <c r="C116" i="43"/>
  <c r="C115" i="43"/>
  <c r="C114" i="43"/>
  <c r="C113" i="43"/>
  <c r="C112" i="43"/>
  <c r="C111" i="43"/>
  <c r="C110" i="43"/>
  <c r="C109" i="43"/>
  <c r="C108" i="43"/>
  <c r="C107" i="43"/>
  <c r="C106" i="43"/>
  <c r="C105" i="43"/>
  <c r="C104" i="43"/>
  <c r="C103" i="43"/>
  <c r="C102" i="43"/>
  <c r="C101" i="43"/>
  <c r="C100" i="43"/>
  <c r="C99" i="43"/>
  <c r="C98" i="43"/>
  <c r="C97" i="43"/>
  <c r="C96" i="43"/>
  <c r="C93" i="43"/>
  <c r="C92" i="43"/>
  <c r="C91" i="43"/>
  <c r="C90" i="43"/>
  <c r="C89" i="43"/>
  <c r="C88" i="43"/>
  <c r="C87" i="43"/>
  <c r="C86" i="43"/>
  <c r="C85" i="43"/>
  <c r="C82" i="43"/>
  <c r="C81" i="43"/>
  <c r="C80" i="43"/>
  <c r="C79" i="43"/>
  <c r="C78" i="43"/>
  <c r="C77" i="43"/>
  <c r="C76" i="43"/>
  <c r="C75" i="43"/>
  <c r="C74" i="43"/>
  <c r="C73" i="43"/>
  <c r="C72" i="43"/>
  <c r="C71" i="43"/>
  <c r="C70" i="43"/>
  <c r="C69" i="43"/>
  <c r="C68" i="43"/>
  <c r="C67" i="43"/>
  <c r="C66" i="43"/>
  <c r="C65" i="43"/>
  <c r="C64" i="43"/>
  <c r="C63" i="43"/>
  <c r="C62" i="43"/>
  <c r="C61" i="43"/>
  <c r="C60" i="43"/>
  <c r="C59" i="43"/>
  <c r="C58" i="43"/>
  <c r="C57" i="43"/>
  <c r="C56" i="43"/>
  <c r="C55" i="43"/>
  <c r="C54" i="43"/>
  <c r="C53" i="43"/>
  <c r="C52" i="43"/>
  <c r="C51" i="43"/>
  <c r="C50" i="43"/>
  <c r="C49" i="43"/>
  <c r="C48" i="43"/>
  <c r="C47" i="43"/>
  <c r="C46" i="43"/>
  <c r="C45" i="43"/>
  <c r="C44" i="43"/>
  <c r="C43" i="43"/>
  <c r="C42" i="43"/>
  <c r="C41" i="43"/>
  <c r="C38" i="43"/>
  <c r="C37" i="43"/>
  <c r="C36" i="43"/>
  <c r="C35" i="43"/>
  <c r="C34" i="43"/>
  <c r="C33" i="43"/>
  <c r="C32" i="43"/>
  <c r="C31" i="43"/>
  <c r="C30" i="43"/>
  <c r="C29" i="43"/>
  <c r="C28" i="43"/>
  <c r="C23" i="43"/>
  <c r="C22" i="43"/>
  <c r="C21" i="43"/>
  <c r="C20" i="43"/>
  <c r="C19" i="43"/>
  <c r="C18" i="43"/>
  <c r="C13" i="43"/>
  <c r="B13" i="43"/>
  <c r="C12" i="43"/>
  <c r="B12" i="43"/>
  <c r="C11" i="43"/>
  <c r="B11" i="43"/>
  <c r="C10" i="43"/>
  <c r="B10" i="43"/>
  <c r="C9" i="43"/>
  <c r="B9" i="43"/>
  <c r="C8" i="43"/>
  <c r="B8" i="43"/>
  <c r="C7" i="43"/>
  <c r="B7" i="43"/>
  <c r="C6" i="43"/>
  <c r="B6" i="43"/>
  <c r="C5" i="43"/>
  <c r="B5" i="43"/>
  <c r="C4" i="43"/>
  <c r="B4" i="43"/>
  <c r="C2" i="43"/>
  <c r="C17" i="43" l="1"/>
  <c r="C223" i="42"/>
  <c r="C222" i="42"/>
  <c r="C221" i="42"/>
  <c r="C220" i="42"/>
  <c r="C219" i="42"/>
  <c r="C218" i="42"/>
  <c r="C217" i="42"/>
  <c r="C216" i="42"/>
  <c r="C215" i="42"/>
  <c r="C214" i="42"/>
  <c r="C213" i="42"/>
  <c r="C212" i="42"/>
  <c r="C211" i="42"/>
  <c r="C210" i="42"/>
  <c r="C209" i="42"/>
  <c r="C208" i="42"/>
  <c r="C207" i="42"/>
  <c r="C206" i="42"/>
  <c r="C205" i="42"/>
  <c r="C204" i="42"/>
  <c r="C203" i="42"/>
  <c r="C202" i="42"/>
  <c r="C201" i="42"/>
  <c r="C200" i="42"/>
  <c r="C199" i="42"/>
  <c r="C198" i="42"/>
  <c r="C197" i="42"/>
  <c r="C196" i="42"/>
  <c r="C195" i="42"/>
  <c r="C194" i="42"/>
  <c r="C193" i="42"/>
  <c r="C192" i="42"/>
  <c r="C191" i="42"/>
  <c r="C190" i="42"/>
  <c r="C189" i="42"/>
  <c r="C188" i="42"/>
  <c r="C187" i="42"/>
  <c r="C186" i="42"/>
  <c r="C185" i="42"/>
  <c r="C184" i="42"/>
  <c r="C183" i="42"/>
  <c r="C182" i="42"/>
  <c r="C181" i="42"/>
  <c r="C180" i="42"/>
  <c r="C179" i="42"/>
  <c r="C178" i="42"/>
  <c r="C177" i="42"/>
  <c r="C176" i="42"/>
  <c r="C175" i="42"/>
  <c r="C174" i="42"/>
  <c r="C173" i="42"/>
  <c r="C172" i="42"/>
  <c r="C171" i="42"/>
  <c r="C170" i="42"/>
  <c r="C169" i="42"/>
  <c r="C168" i="42"/>
  <c r="C167" i="42"/>
  <c r="C166" i="42"/>
  <c r="C165" i="42"/>
  <c r="C164" i="42"/>
  <c r="C163" i="42"/>
  <c r="C162" i="42"/>
  <c r="C161" i="42"/>
  <c r="C160" i="42"/>
  <c r="C159" i="42"/>
  <c r="C158" i="42"/>
  <c r="C157" i="42"/>
  <c r="C156" i="42"/>
  <c r="C155" i="42"/>
  <c r="C154" i="42"/>
  <c r="C153" i="42"/>
  <c r="C152" i="42"/>
  <c r="C151" i="42"/>
  <c r="C150" i="42"/>
  <c r="C149" i="42"/>
  <c r="C148" i="42"/>
  <c r="C147" i="42"/>
  <c r="C146" i="42"/>
  <c r="C145" i="42"/>
  <c r="C144" i="42"/>
  <c r="B144" i="42"/>
  <c r="B145" i="42" s="1"/>
  <c r="B146" i="42" s="1"/>
  <c r="B147" i="42" s="1"/>
  <c r="B148" i="42" s="1"/>
  <c r="B149" i="42" s="1"/>
  <c r="B150" i="42" s="1"/>
  <c r="B151" i="42" s="1"/>
  <c r="B152" i="42" s="1"/>
  <c r="B153" i="42" s="1"/>
  <c r="B154" i="42" s="1"/>
  <c r="B155" i="42" s="1"/>
  <c r="B156" i="42" s="1"/>
  <c r="B157" i="42" s="1"/>
  <c r="B158" i="42" s="1"/>
  <c r="B159" i="42" s="1"/>
  <c r="B160" i="42" s="1"/>
  <c r="B161" i="42" s="1"/>
  <c r="B162" i="42" s="1"/>
  <c r="B163" i="42" s="1"/>
  <c r="B164" i="42" s="1"/>
  <c r="B165" i="42" s="1"/>
  <c r="B166" i="42" s="1"/>
  <c r="B167" i="42" s="1"/>
  <c r="B168" i="42" s="1"/>
  <c r="B169" i="42" s="1"/>
  <c r="B170" i="42" s="1"/>
  <c r="B171" i="42" s="1"/>
  <c r="B172" i="42" s="1"/>
  <c r="B173" i="42" s="1"/>
  <c r="B174" i="42" s="1"/>
  <c r="B175" i="42" s="1"/>
  <c r="B176" i="42" s="1"/>
  <c r="B177" i="42" s="1"/>
  <c r="B178" i="42" s="1"/>
  <c r="B179" i="42" s="1"/>
  <c r="B180" i="42" s="1"/>
  <c r="B181" i="42" s="1"/>
  <c r="B182" i="42" s="1"/>
  <c r="B183" i="42" s="1"/>
  <c r="B184" i="42" s="1"/>
  <c r="B185" i="42" s="1"/>
  <c r="B186" i="42" s="1"/>
  <c r="B187" i="42" s="1"/>
  <c r="B188" i="42" s="1"/>
  <c r="B189" i="42" s="1"/>
  <c r="B190" i="42" s="1"/>
  <c r="B191" i="42" s="1"/>
  <c r="B192" i="42" s="1"/>
  <c r="B193" i="42" s="1"/>
  <c r="B194" i="42" s="1"/>
  <c r="B195" i="42" s="1"/>
  <c r="B196" i="42" s="1"/>
  <c r="B197" i="42" s="1"/>
  <c r="B198" i="42" s="1"/>
  <c r="B199" i="42" s="1"/>
  <c r="B200" i="42" s="1"/>
  <c r="B201" i="42" s="1"/>
  <c r="B202" i="42" s="1"/>
  <c r="B203" i="42" s="1"/>
  <c r="B204" i="42" s="1"/>
  <c r="B205" i="42" s="1"/>
  <c r="B206" i="42" s="1"/>
  <c r="B207" i="42" s="1"/>
  <c r="B208" i="42" s="1"/>
  <c r="B209" i="42" s="1"/>
  <c r="B210" i="42" s="1"/>
  <c r="B211" i="42" s="1"/>
  <c r="B212" i="42" s="1"/>
  <c r="B213" i="42" s="1"/>
  <c r="B214" i="42" s="1"/>
  <c r="B215" i="42" s="1"/>
  <c r="B216" i="42" s="1"/>
  <c r="B217" i="42" s="1"/>
  <c r="B218" i="42" s="1"/>
  <c r="B219" i="42" s="1"/>
  <c r="B220" i="42" s="1"/>
  <c r="B221" i="42" s="1"/>
  <c r="B222" i="42" s="1"/>
  <c r="B223" i="42" s="1"/>
  <c r="C143" i="42"/>
  <c r="C140" i="42"/>
  <c r="C138" i="42"/>
  <c r="C137" i="42"/>
  <c r="C136" i="42"/>
  <c r="C135" i="42"/>
  <c r="C125" i="42"/>
  <c r="C122" i="42"/>
  <c r="C121" i="42"/>
  <c r="C120" i="42"/>
  <c r="C119" i="42"/>
  <c r="C118" i="42"/>
  <c r="C117" i="42"/>
  <c r="C116" i="42"/>
  <c r="C115" i="42"/>
  <c r="C114" i="42"/>
  <c r="C113" i="42"/>
  <c r="C112" i="42"/>
  <c r="C111" i="42"/>
  <c r="C110" i="42"/>
  <c r="C109" i="42"/>
  <c r="C108" i="42"/>
  <c r="C107" i="42"/>
  <c r="C106" i="42"/>
  <c r="C105" i="42"/>
  <c r="C104" i="42"/>
  <c r="C103" i="42"/>
  <c r="C102" i="42"/>
  <c r="C101" i="42"/>
  <c r="C100" i="42"/>
  <c r="C99" i="42"/>
  <c r="C98" i="42"/>
  <c r="C97" i="42"/>
  <c r="C96" i="42"/>
  <c r="C93" i="42"/>
  <c r="C92" i="42"/>
  <c r="C91" i="42"/>
  <c r="C90" i="42"/>
  <c r="C89" i="42"/>
  <c r="C88" i="42"/>
  <c r="C87" i="42"/>
  <c r="C86" i="42"/>
  <c r="C85" i="42"/>
  <c r="C82" i="42"/>
  <c r="C81" i="42"/>
  <c r="C80" i="42"/>
  <c r="C79" i="42"/>
  <c r="C78" i="42"/>
  <c r="C77" i="42"/>
  <c r="C76" i="42"/>
  <c r="C75" i="42"/>
  <c r="C74" i="42"/>
  <c r="C73" i="42"/>
  <c r="C72" i="42"/>
  <c r="C71" i="42"/>
  <c r="C70" i="42"/>
  <c r="C69" i="42"/>
  <c r="C68" i="42"/>
  <c r="C67" i="42"/>
  <c r="C66" i="42"/>
  <c r="C65" i="42"/>
  <c r="C64" i="42"/>
  <c r="C63" i="42"/>
  <c r="C62" i="42"/>
  <c r="C61" i="42"/>
  <c r="C60" i="42"/>
  <c r="C59" i="42"/>
  <c r="C58" i="42"/>
  <c r="C57" i="42"/>
  <c r="C56" i="42"/>
  <c r="C55" i="42"/>
  <c r="C54" i="42"/>
  <c r="C53" i="42"/>
  <c r="C52" i="42"/>
  <c r="C51" i="42"/>
  <c r="C50" i="42"/>
  <c r="C49" i="42"/>
  <c r="C48" i="42"/>
  <c r="C47" i="42"/>
  <c r="C46" i="42"/>
  <c r="C45" i="42"/>
  <c r="C44" i="42"/>
  <c r="C43" i="42"/>
  <c r="C42" i="42"/>
  <c r="C41" i="42"/>
  <c r="C38" i="42"/>
  <c r="C37" i="42"/>
  <c r="C36" i="42"/>
  <c r="C35" i="42"/>
  <c r="C34" i="42"/>
  <c r="C33" i="42"/>
  <c r="C32" i="42"/>
  <c r="C31" i="42"/>
  <c r="C30" i="42"/>
  <c r="C29" i="42"/>
  <c r="C28" i="42"/>
  <c r="C23" i="42"/>
  <c r="C22" i="42"/>
  <c r="C21" i="42"/>
  <c r="C20" i="42"/>
  <c r="C19" i="42"/>
  <c r="C18" i="42"/>
  <c r="C13" i="42"/>
  <c r="B13" i="42"/>
  <c r="C12" i="42"/>
  <c r="B12" i="42"/>
  <c r="C11" i="42"/>
  <c r="B11" i="42"/>
  <c r="C10" i="42"/>
  <c r="B10" i="42"/>
  <c r="C9" i="42"/>
  <c r="B9" i="42"/>
  <c r="C8" i="42"/>
  <c r="B8" i="42"/>
  <c r="C7" i="42"/>
  <c r="B7" i="42"/>
  <c r="C6" i="42"/>
  <c r="B6" i="42"/>
  <c r="C5" i="42"/>
  <c r="B5" i="42"/>
  <c r="C4" i="42"/>
  <c r="B4" i="42"/>
  <c r="C2" i="42"/>
  <c r="C17" i="42" l="1"/>
  <c r="C223" i="41"/>
  <c r="C222" i="41"/>
  <c r="C221" i="41"/>
  <c r="C220" i="41"/>
  <c r="C219" i="41"/>
  <c r="C218" i="41"/>
  <c r="C217" i="41"/>
  <c r="C216" i="41"/>
  <c r="C215" i="41"/>
  <c r="C214" i="41"/>
  <c r="C213" i="41"/>
  <c r="C212" i="41"/>
  <c r="C211" i="41"/>
  <c r="C210" i="41"/>
  <c r="C209" i="41"/>
  <c r="C208" i="41"/>
  <c r="C207" i="41"/>
  <c r="C206" i="41"/>
  <c r="C205" i="41"/>
  <c r="C204" i="41"/>
  <c r="C203" i="41"/>
  <c r="C202" i="41"/>
  <c r="C201" i="41"/>
  <c r="C200" i="41"/>
  <c r="C199" i="41"/>
  <c r="C198" i="41"/>
  <c r="C197" i="41"/>
  <c r="C196" i="41"/>
  <c r="C195" i="41"/>
  <c r="C194" i="41"/>
  <c r="C193" i="41"/>
  <c r="C192" i="41"/>
  <c r="C191" i="41"/>
  <c r="C190" i="41"/>
  <c r="C189" i="41"/>
  <c r="C188" i="41"/>
  <c r="C187" i="41"/>
  <c r="C186" i="41"/>
  <c r="C185" i="41"/>
  <c r="C184" i="41"/>
  <c r="C183" i="41"/>
  <c r="C182" i="41"/>
  <c r="C181" i="41"/>
  <c r="C180" i="41"/>
  <c r="C179" i="41"/>
  <c r="C178" i="41"/>
  <c r="C177" i="41"/>
  <c r="C176" i="41"/>
  <c r="C175" i="41"/>
  <c r="C174" i="41"/>
  <c r="C173" i="41"/>
  <c r="C172" i="41"/>
  <c r="C171" i="41"/>
  <c r="C170" i="41"/>
  <c r="C169" i="41"/>
  <c r="C168" i="41"/>
  <c r="C167" i="41"/>
  <c r="C166" i="41"/>
  <c r="C165" i="41"/>
  <c r="C164" i="41"/>
  <c r="C163" i="41"/>
  <c r="C162" i="41"/>
  <c r="C161" i="41"/>
  <c r="C160" i="41"/>
  <c r="C159" i="41"/>
  <c r="C158" i="41"/>
  <c r="C157" i="41"/>
  <c r="C156" i="41"/>
  <c r="C155" i="41"/>
  <c r="C154" i="41"/>
  <c r="C153" i="41"/>
  <c r="C152" i="41"/>
  <c r="C151" i="41"/>
  <c r="C150" i="41"/>
  <c r="C149" i="41"/>
  <c r="C148" i="41"/>
  <c r="C147" i="41"/>
  <c r="C146" i="41"/>
  <c r="C145" i="41"/>
  <c r="C144" i="41"/>
  <c r="B144" i="41"/>
  <c r="B145" i="41" s="1"/>
  <c r="B146" i="41" s="1"/>
  <c r="B147" i="41" s="1"/>
  <c r="B148" i="41" s="1"/>
  <c r="B149" i="41" s="1"/>
  <c r="B150" i="41" s="1"/>
  <c r="B151" i="41" s="1"/>
  <c r="B152" i="41" s="1"/>
  <c r="B153" i="41" s="1"/>
  <c r="B154" i="41" s="1"/>
  <c r="B155" i="41" s="1"/>
  <c r="B156" i="41" s="1"/>
  <c r="B157" i="41" s="1"/>
  <c r="B158" i="41" s="1"/>
  <c r="B159" i="41" s="1"/>
  <c r="B160" i="41" s="1"/>
  <c r="B161" i="41" s="1"/>
  <c r="B162" i="41" s="1"/>
  <c r="B163" i="41" s="1"/>
  <c r="B164" i="41" s="1"/>
  <c r="B165" i="41" s="1"/>
  <c r="B166" i="41" s="1"/>
  <c r="B167" i="41" s="1"/>
  <c r="B168" i="41" s="1"/>
  <c r="B169" i="41" s="1"/>
  <c r="B170" i="41" s="1"/>
  <c r="B171" i="41" s="1"/>
  <c r="B172" i="41" s="1"/>
  <c r="B173" i="41" s="1"/>
  <c r="B174" i="41" s="1"/>
  <c r="B175" i="41" s="1"/>
  <c r="B176" i="41" s="1"/>
  <c r="B177" i="41" s="1"/>
  <c r="B178" i="41" s="1"/>
  <c r="B179" i="41" s="1"/>
  <c r="B180" i="41" s="1"/>
  <c r="B181" i="41" s="1"/>
  <c r="B182" i="41" s="1"/>
  <c r="B183" i="41" s="1"/>
  <c r="B184" i="41" s="1"/>
  <c r="B185" i="41" s="1"/>
  <c r="B186" i="41" s="1"/>
  <c r="B187" i="41" s="1"/>
  <c r="B188" i="41" s="1"/>
  <c r="B189" i="41" s="1"/>
  <c r="B190" i="41" s="1"/>
  <c r="B191" i="41" s="1"/>
  <c r="B192" i="41" s="1"/>
  <c r="B193" i="41" s="1"/>
  <c r="B194" i="41" s="1"/>
  <c r="B195" i="41" s="1"/>
  <c r="B196" i="41" s="1"/>
  <c r="B197" i="41" s="1"/>
  <c r="B198" i="41" s="1"/>
  <c r="B199" i="41" s="1"/>
  <c r="B200" i="41" s="1"/>
  <c r="B201" i="41" s="1"/>
  <c r="B202" i="41" s="1"/>
  <c r="B203" i="41" s="1"/>
  <c r="B204" i="41" s="1"/>
  <c r="B205" i="41" s="1"/>
  <c r="B206" i="41" s="1"/>
  <c r="B207" i="41" s="1"/>
  <c r="B208" i="41" s="1"/>
  <c r="B209" i="41" s="1"/>
  <c r="B210" i="41" s="1"/>
  <c r="B211" i="41" s="1"/>
  <c r="B212" i="41" s="1"/>
  <c r="B213" i="41" s="1"/>
  <c r="B214" i="41" s="1"/>
  <c r="B215" i="41" s="1"/>
  <c r="B216" i="41" s="1"/>
  <c r="B217" i="41" s="1"/>
  <c r="B218" i="41" s="1"/>
  <c r="B219" i="41" s="1"/>
  <c r="B220" i="41" s="1"/>
  <c r="B221" i="41" s="1"/>
  <c r="B222" i="41" s="1"/>
  <c r="B223" i="41" s="1"/>
  <c r="C143" i="41"/>
  <c r="C140" i="41"/>
  <c r="C138" i="41"/>
  <c r="C137" i="41"/>
  <c r="C136" i="41"/>
  <c r="C135" i="41"/>
  <c r="C125" i="41"/>
  <c r="C122" i="41"/>
  <c r="C121" i="41"/>
  <c r="C120" i="41"/>
  <c r="C119" i="41"/>
  <c r="C118" i="41"/>
  <c r="C117" i="41"/>
  <c r="C116" i="41"/>
  <c r="C115" i="41"/>
  <c r="C114" i="41"/>
  <c r="C113" i="41"/>
  <c r="C112" i="41"/>
  <c r="C111" i="41"/>
  <c r="C110" i="41"/>
  <c r="C109" i="41"/>
  <c r="C108" i="41"/>
  <c r="C107" i="41"/>
  <c r="C106" i="41"/>
  <c r="C105" i="41"/>
  <c r="C104" i="41"/>
  <c r="C103" i="41"/>
  <c r="C102" i="41"/>
  <c r="C101" i="41"/>
  <c r="C100" i="41"/>
  <c r="C99" i="41"/>
  <c r="C98" i="41"/>
  <c r="C97" i="41"/>
  <c r="C96" i="41"/>
  <c r="C93" i="41"/>
  <c r="C92" i="41"/>
  <c r="C91" i="41"/>
  <c r="C90" i="41"/>
  <c r="C89" i="41"/>
  <c r="C88" i="41"/>
  <c r="C87" i="41"/>
  <c r="C86" i="41"/>
  <c r="C85" i="41"/>
  <c r="C82" i="41"/>
  <c r="C81" i="41"/>
  <c r="C80" i="41"/>
  <c r="C79" i="41"/>
  <c r="C78" i="41"/>
  <c r="C77" i="41"/>
  <c r="C76" i="41"/>
  <c r="C75" i="41"/>
  <c r="C74" i="41"/>
  <c r="C73" i="41"/>
  <c r="C72" i="41"/>
  <c r="C71" i="41"/>
  <c r="C70" i="41"/>
  <c r="C69" i="41"/>
  <c r="C68" i="41"/>
  <c r="C67" i="41"/>
  <c r="C66" i="41"/>
  <c r="C65" i="41"/>
  <c r="C64" i="41"/>
  <c r="C63" i="41"/>
  <c r="C62" i="41"/>
  <c r="C61" i="41"/>
  <c r="C60" i="41"/>
  <c r="C59" i="41"/>
  <c r="C58" i="41"/>
  <c r="C57" i="41"/>
  <c r="C56" i="41"/>
  <c r="C55" i="41"/>
  <c r="C54" i="41"/>
  <c r="C53" i="41"/>
  <c r="C52" i="41"/>
  <c r="C51" i="41"/>
  <c r="C50" i="41"/>
  <c r="C49" i="41"/>
  <c r="C48" i="41"/>
  <c r="C47" i="41"/>
  <c r="C46" i="41"/>
  <c r="C45" i="41"/>
  <c r="C44" i="41"/>
  <c r="C43" i="41"/>
  <c r="C42" i="41"/>
  <c r="C41" i="41"/>
  <c r="C38" i="41"/>
  <c r="C37" i="41"/>
  <c r="C36" i="41"/>
  <c r="C35" i="41"/>
  <c r="C34" i="41"/>
  <c r="C33" i="41"/>
  <c r="C32" i="41"/>
  <c r="C31" i="41"/>
  <c r="C30" i="41"/>
  <c r="C29" i="41"/>
  <c r="C28" i="41"/>
  <c r="C23" i="41"/>
  <c r="C22" i="41"/>
  <c r="C21" i="41"/>
  <c r="C20" i="41"/>
  <c r="C19" i="41"/>
  <c r="C18" i="41"/>
  <c r="C13" i="41"/>
  <c r="B13" i="41"/>
  <c r="C12" i="41"/>
  <c r="B12" i="41"/>
  <c r="C11" i="41"/>
  <c r="B11" i="41"/>
  <c r="C10" i="41"/>
  <c r="B10" i="41"/>
  <c r="C9" i="41"/>
  <c r="B9" i="41"/>
  <c r="C8" i="41"/>
  <c r="B8" i="41"/>
  <c r="C7" i="41"/>
  <c r="B7" i="41"/>
  <c r="C6" i="41"/>
  <c r="B6" i="41"/>
  <c r="C5" i="41"/>
  <c r="B5" i="41"/>
  <c r="C4" i="41"/>
  <c r="B4" i="41"/>
  <c r="C2" i="41"/>
  <c r="C17" i="41" l="1"/>
  <c r="C223" i="40"/>
  <c r="C222" i="40"/>
  <c r="C221" i="40"/>
  <c r="C220" i="40"/>
  <c r="C219" i="40"/>
  <c r="C218" i="40"/>
  <c r="C217" i="40"/>
  <c r="C216" i="40"/>
  <c r="C215" i="40"/>
  <c r="C214" i="40"/>
  <c r="C213" i="40"/>
  <c r="C212" i="40"/>
  <c r="C211" i="40"/>
  <c r="C210" i="40"/>
  <c r="C209" i="40"/>
  <c r="C208" i="40"/>
  <c r="C207" i="40"/>
  <c r="C206" i="40"/>
  <c r="C205" i="40"/>
  <c r="C204" i="40"/>
  <c r="C203" i="40"/>
  <c r="C202" i="40"/>
  <c r="C201" i="40"/>
  <c r="C200" i="40"/>
  <c r="C199" i="40"/>
  <c r="C198" i="40"/>
  <c r="C197" i="40"/>
  <c r="C196" i="40"/>
  <c r="C195" i="40"/>
  <c r="C194" i="40"/>
  <c r="C193" i="40"/>
  <c r="C192" i="40"/>
  <c r="C191" i="40"/>
  <c r="C190" i="40"/>
  <c r="C189" i="40"/>
  <c r="C188" i="40"/>
  <c r="C187" i="40"/>
  <c r="C186" i="40"/>
  <c r="C185" i="40"/>
  <c r="C184" i="40"/>
  <c r="C183" i="40"/>
  <c r="C182" i="40"/>
  <c r="C181" i="40"/>
  <c r="C180" i="40"/>
  <c r="C179" i="40"/>
  <c r="C178" i="40"/>
  <c r="C177" i="40"/>
  <c r="C176" i="40"/>
  <c r="C175" i="40"/>
  <c r="C174" i="40"/>
  <c r="C173" i="40"/>
  <c r="C172" i="40"/>
  <c r="C171" i="40"/>
  <c r="C170" i="40"/>
  <c r="C169" i="40"/>
  <c r="C168" i="40"/>
  <c r="C167" i="40"/>
  <c r="C166" i="40"/>
  <c r="C165" i="40"/>
  <c r="C164" i="40"/>
  <c r="C163" i="40"/>
  <c r="C162" i="40"/>
  <c r="C161" i="40"/>
  <c r="C160" i="40"/>
  <c r="C159" i="40"/>
  <c r="C158" i="40"/>
  <c r="C157" i="40"/>
  <c r="C156" i="40"/>
  <c r="C155" i="40"/>
  <c r="C154" i="40"/>
  <c r="C153" i="40"/>
  <c r="C152" i="40"/>
  <c r="C151" i="40"/>
  <c r="C150" i="40"/>
  <c r="C149" i="40"/>
  <c r="C148" i="40"/>
  <c r="C147" i="40"/>
  <c r="C146" i="40"/>
  <c r="C145" i="40"/>
  <c r="C144" i="40"/>
  <c r="B144" i="40"/>
  <c r="B145" i="40" s="1"/>
  <c r="B146" i="40" s="1"/>
  <c r="B147" i="40" s="1"/>
  <c r="B148" i="40" s="1"/>
  <c r="B149" i="40" s="1"/>
  <c r="B150" i="40" s="1"/>
  <c r="B151" i="40" s="1"/>
  <c r="B152" i="40" s="1"/>
  <c r="B153" i="40" s="1"/>
  <c r="B154" i="40" s="1"/>
  <c r="B155" i="40" s="1"/>
  <c r="B156" i="40" s="1"/>
  <c r="B157" i="40" s="1"/>
  <c r="B158" i="40" s="1"/>
  <c r="B159" i="40" s="1"/>
  <c r="B160" i="40" s="1"/>
  <c r="B161" i="40" s="1"/>
  <c r="B162" i="40" s="1"/>
  <c r="B163" i="40" s="1"/>
  <c r="B164" i="40" s="1"/>
  <c r="B165" i="40" s="1"/>
  <c r="B166" i="40" s="1"/>
  <c r="B167" i="40" s="1"/>
  <c r="B168" i="40" s="1"/>
  <c r="B169" i="40" s="1"/>
  <c r="B170" i="40" s="1"/>
  <c r="B171" i="40" s="1"/>
  <c r="B172" i="40" s="1"/>
  <c r="B173" i="40" s="1"/>
  <c r="B174" i="40" s="1"/>
  <c r="B175" i="40" s="1"/>
  <c r="B176" i="40" s="1"/>
  <c r="B177" i="40" s="1"/>
  <c r="B178" i="40" s="1"/>
  <c r="B179" i="40" s="1"/>
  <c r="B180" i="40" s="1"/>
  <c r="B181" i="40" s="1"/>
  <c r="B182" i="40" s="1"/>
  <c r="B183" i="40" s="1"/>
  <c r="B184" i="40" s="1"/>
  <c r="B185" i="40" s="1"/>
  <c r="B186" i="40" s="1"/>
  <c r="B187" i="40" s="1"/>
  <c r="B188" i="40" s="1"/>
  <c r="B189" i="40" s="1"/>
  <c r="B190" i="40" s="1"/>
  <c r="B191" i="40" s="1"/>
  <c r="B192" i="40" s="1"/>
  <c r="B193" i="40" s="1"/>
  <c r="B194" i="40" s="1"/>
  <c r="B195" i="40" s="1"/>
  <c r="B196" i="40" s="1"/>
  <c r="B197" i="40" s="1"/>
  <c r="B198" i="40" s="1"/>
  <c r="B199" i="40" s="1"/>
  <c r="B200" i="40" s="1"/>
  <c r="B201" i="40" s="1"/>
  <c r="B202" i="40" s="1"/>
  <c r="B203" i="40" s="1"/>
  <c r="B204" i="40" s="1"/>
  <c r="B205" i="40" s="1"/>
  <c r="B206" i="40" s="1"/>
  <c r="B207" i="40" s="1"/>
  <c r="B208" i="40" s="1"/>
  <c r="B209" i="40" s="1"/>
  <c r="B210" i="40" s="1"/>
  <c r="B211" i="40" s="1"/>
  <c r="B212" i="40" s="1"/>
  <c r="B213" i="40" s="1"/>
  <c r="B214" i="40" s="1"/>
  <c r="B215" i="40" s="1"/>
  <c r="B216" i="40" s="1"/>
  <c r="B217" i="40" s="1"/>
  <c r="B218" i="40" s="1"/>
  <c r="B219" i="40" s="1"/>
  <c r="B220" i="40" s="1"/>
  <c r="B221" i="40" s="1"/>
  <c r="B222" i="40" s="1"/>
  <c r="B223" i="40" s="1"/>
  <c r="C143" i="40"/>
  <c r="C140" i="40"/>
  <c r="C138" i="40"/>
  <c r="C137" i="40"/>
  <c r="C136" i="40"/>
  <c r="C135" i="40"/>
  <c r="C125" i="40"/>
  <c r="C122" i="40"/>
  <c r="C121" i="40"/>
  <c r="C120" i="40"/>
  <c r="C119" i="40"/>
  <c r="C118" i="40"/>
  <c r="C117" i="40"/>
  <c r="C116" i="40"/>
  <c r="C115" i="40"/>
  <c r="C114" i="40"/>
  <c r="C113" i="40"/>
  <c r="C112" i="40"/>
  <c r="C111" i="40"/>
  <c r="C110" i="40"/>
  <c r="C109" i="40"/>
  <c r="C108" i="40"/>
  <c r="C107" i="40"/>
  <c r="C106" i="40"/>
  <c r="C105" i="40"/>
  <c r="C104" i="40"/>
  <c r="C103" i="40"/>
  <c r="C102" i="40"/>
  <c r="C101" i="40"/>
  <c r="C100" i="40"/>
  <c r="C99" i="40"/>
  <c r="C98" i="40"/>
  <c r="C97" i="40"/>
  <c r="C96" i="40"/>
  <c r="C93" i="40"/>
  <c r="C92" i="40"/>
  <c r="C91" i="40"/>
  <c r="C90" i="40"/>
  <c r="C89" i="40"/>
  <c r="C88" i="40"/>
  <c r="C87" i="40"/>
  <c r="C86" i="40"/>
  <c r="C85" i="40"/>
  <c r="C82" i="40"/>
  <c r="C81" i="40"/>
  <c r="C80" i="40"/>
  <c r="C79" i="40"/>
  <c r="C78" i="40"/>
  <c r="C77" i="40"/>
  <c r="C76" i="40"/>
  <c r="C75" i="40"/>
  <c r="C74" i="40"/>
  <c r="C73" i="40"/>
  <c r="C72" i="40"/>
  <c r="C71" i="40"/>
  <c r="C70" i="40"/>
  <c r="C69" i="40"/>
  <c r="C68" i="40"/>
  <c r="C67" i="40"/>
  <c r="C66" i="40"/>
  <c r="C65" i="40"/>
  <c r="C64" i="40"/>
  <c r="C63" i="40"/>
  <c r="C62" i="40"/>
  <c r="C61" i="40"/>
  <c r="C60" i="40"/>
  <c r="C59" i="40"/>
  <c r="C58" i="40"/>
  <c r="C57" i="40"/>
  <c r="C56" i="40"/>
  <c r="C55" i="40"/>
  <c r="C54" i="40"/>
  <c r="C53" i="40"/>
  <c r="C52" i="40"/>
  <c r="C51" i="40"/>
  <c r="C50" i="40"/>
  <c r="C49" i="40"/>
  <c r="C48" i="40"/>
  <c r="C47" i="40"/>
  <c r="C46" i="40"/>
  <c r="C45" i="40"/>
  <c r="C44" i="40"/>
  <c r="C43" i="40"/>
  <c r="C42" i="40"/>
  <c r="C41" i="40"/>
  <c r="C38" i="40"/>
  <c r="C37" i="40"/>
  <c r="C36" i="40"/>
  <c r="C35" i="40"/>
  <c r="C34" i="40"/>
  <c r="C33" i="40"/>
  <c r="C32" i="40"/>
  <c r="C31" i="40"/>
  <c r="C30" i="40"/>
  <c r="C29" i="40"/>
  <c r="C28" i="40"/>
  <c r="C23" i="40"/>
  <c r="C22" i="40"/>
  <c r="C21" i="40"/>
  <c r="C20" i="40"/>
  <c r="C19" i="40"/>
  <c r="C18" i="40"/>
  <c r="C13" i="40"/>
  <c r="B13" i="40"/>
  <c r="C12" i="40"/>
  <c r="B12" i="40"/>
  <c r="C11" i="40"/>
  <c r="B11" i="40"/>
  <c r="C10" i="40"/>
  <c r="B10" i="40"/>
  <c r="C9" i="40"/>
  <c r="B9" i="40"/>
  <c r="C8" i="40"/>
  <c r="B8" i="40"/>
  <c r="C7" i="40"/>
  <c r="B7" i="40"/>
  <c r="C6" i="40"/>
  <c r="B6" i="40"/>
  <c r="C5" i="40"/>
  <c r="B5" i="40"/>
  <c r="C4" i="40"/>
  <c r="B4" i="40"/>
  <c r="C2" i="40"/>
  <c r="C17" i="40" l="1"/>
  <c r="C223" i="39"/>
  <c r="C222" i="39"/>
  <c r="C221" i="39"/>
  <c r="C220" i="39"/>
  <c r="C219" i="39"/>
  <c r="C218" i="39"/>
  <c r="C217" i="39"/>
  <c r="C216" i="39"/>
  <c r="C215" i="39"/>
  <c r="C214" i="39"/>
  <c r="C213" i="39"/>
  <c r="C212" i="39"/>
  <c r="C211" i="39"/>
  <c r="C210" i="39"/>
  <c r="C209" i="39"/>
  <c r="C208" i="39"/>
  <c r="C207" i="39"/>
  <c r="C206" i="39"/>
  <c r="C205" i="39"/>
  <c r="C204" i="39"/>
  <c r="C203" i="39"/>
  <c r="C202" i="39"/>
  <c r="C201" i="39"/>
  <c r="C200" i="39"/>
  <c r="C199" i="39"/>
  <c r="C198" i="39"/>
  <c r="C197" i="39"/>
  <c r="C196" i="39"/>
  <c r="C195" i="39"/>
  <c r="C194" i="39"/>
  <c r="C193" i="39"/>
  <c r="C192" i="39"/>
  <c r="C191" i="39"/>
  <c r="C190" i="39"/>
  <c r="C189" i="39"/>
  <c r="C188" i="39"/>
  <c r="C187" i="39"/>
  <c r="C186" i="39"/>
  <c r="C185" i="39"/>
  <c r="C184" i="39"/>
  <c r="C183" i="39"/>
  <c r="C182" i="39"/>
  <c r="C181" i="39"/>
  <c r="C180" i="39"/>
  <c r="C179" i="39"/>
  <c r="C178" i="39"/>
  <c r="C177" i="39"/>
  <c r="C176" i="39"/>
  <c r="C175" i="39"/>
  <c r="C174" i="39"/>
  <c r="C173" i="39"/>
  <c r="C172" i="39"/>
  <c r="C171" i="39"/>
  <c r="C170" i="39"/>
  <c r="C169" i="39"/>
  <c r="C168" i="39"/>
  <c r="C167" i="39"/>
  <c r="C166" i="39"/>
  <c r="C165" i="39"/>
  <c r="C164" i="39"/>
  <c r="C163" i="39"/>
  <c r="C162" i="39"/>
  <c r="C161" i="39"/>
  <c r="C160" i="39"/>
  <c r="C159" i="39"/>
  <c r="C158" i="39"/>
  <c r="C157" i="39"/>
  <c r="C156" i="39"/>
  <c r="C155" i="39"/>
  <c r="C154" i="39"/>
  <c r="C153" i="39"/>
  <c r="C152" i="39"/>
  <c r="C151" i="39"/>
  <c r="C150" i="39"/>
  <c r="C149" i="39"/>
  <c r="C148" i="39"/>
  <c r="C147" i="39"/>
  <c r="C146" i="39"/>
  <c r="C145" i="39"/>
  <c r="C144" i="39"/>
  <c r="B144" i="39"/>
  <c r="B145" i="39" s="1"/>
  <c r="B146" i="39" s="1"/>
  <c r="B147" i="39" s="1"/>
  <c r="B148" i="39" s="1"/>
  <c r="B149" i="39" s="1"/>
  <c r="B150" i="39" s="1"/>
  <c r="B151" i="39" s="1"/>
  <c r="B152" i="39" s="1"/>
  <c r="B153" i="39" s="1"/>
  <c r="B154" i="39" s="1"/>
  <c r="B155" i="39" s="1"/>
  <c r="B156" i="39" s="1"/>
  <c r="B157" i="39" s="1"/>
  <c r="B158" i="39" s="1"/>
  <c r="B159" i="39" s="1"/>
  <c r="B160" i="39" s="1"/>
  <c r="B161" i="39" s="1"/>
  <c r="B162" i="39" s="1"/>
  <c r="B163" i="39" s="1"/>
  <c r="B164" i="39" s="1"/>
  <c r="B165" i="39" s="1"/>
  <c r="B166" i="39" s="1"/>
  <c r="B167" i="39" s="1"/>
  <c r="B168" i="39" s="1"/>
  <c r="B169" i="39" s="1"/>
  <c r="B170" i="39" s="1"/>
  <c r="B171" i="39" s="1"/>
  <c r="B172" i="39" s="1"/>
  <c r="B173" i="39" s="1"/>
  <c r="B174" i="39" s="1"/>
  <c r="B175" i="39" s="1"/>
  <c r="B176" i="39" s="1"/>
  <c r="B177" i="39" s="1"/>
  <c r="B178" i="39" s="1"/>
  <c r="B179" i="39" s="1"/>
  <c r="B180" i="39" s="1"/>
  <c r="B181" i="39" s="1"/>
  <c r="B182" i="39" s="1"/>
  <c r="B183" i="39" s="1"/>
  <c r="B184" i="39" s="1"/>
  <c r="B185" i="39" s="1"/>
  <c r="B186" i="39" s="1"/>
  <c r="B187" i="39" s="1"/>
  <c r="B188" i="39" s="1"/>
  <c r="B189" i="39" s="1"/>
  <c r="B190" i="39" s="1"/>
  <c r="B191" i="39" s="1"/>
  <c r="B192" i="39" s="1"/>
  <c r="B193" i="39" s="1"/>
  <c r="B194" i="39" s="1"/>
  <c r="B195" i="39" s="1"/>
  <c r="B196" i="39" s="1"/>
  <c r="B197" i="39" s="1"/>
  <c r="B198" i="39" s="1"/>
  <c r="B199" i="39" s="1"/>
  <c r="B200" i="39" s="1"/>
  <c r="B201" i="39" s="1"/>
  <c r="B202" i="39" s="1"/>
  <c r="B203" i="39" s="1"/>
  <c r="B204" i="39" s="1"/>
  <c r="B205" i="39" s="1"/>
  <c r="B206" i="39" s="1"/>
  <c r="B207" i="39" s="1"/>
  <c r="B208" i="39" s="1"/>
  <c r="B209" i="39" s="1"/>
  <c r="B210" i="39" s="1"/>
  <c r="B211" i="39" s="1"/>
  <c r="B212" i="39" s="1"/>
  <c r="B213" i="39" s="1"/>
  <c r="B214" i="39" s="1"/>
  <c r="B215" i="39" s="1"/>
  <c r="B216" i="39" s="1"/>
  <c r="B217" i="39" s="1"/>
  <c r="B218" i="39" s="1"/>
  <c r="B219" i="39" s="1"/>
  <c r="B220" i="39" s="1"/>
  <c r="B221" i="39" s="1"/>
  <c r="B222" i="39" s="1"/>
  <c r="B223" i="39" s="1"/>
  <c r="C143" i="39"/>
  <c r="C140" i="39"/>
  <c r="C138" i="39"/>
  <c r="C137" i="39"/>
  <c r="C136" i="39"/>
  <c r="C135" i="39"/>
  <c r="C125" i="39"/>
  <c r="C122" i="39"/>
  <c r="C121" i="39"/>
  <c r="C120" i="39"/>
  <c r="C119" i="39"/>
  <c r="C118" i="39"/>
  <c r="C117" i="39"/>
  <c r="C116" i="39"/>
  <c r="C115" i="39"/>
  <c r="C114" i="39"/>
  <c r="C113" i="39"/>
  <c r="C112" i="39"/>
  <c r="C111" i="39"/>
  <c r="C110" i="39"/>
  <c r="C109" i="39"/>
  <c r="C108" i="39"/>
  <c r="C107" i="39"/>
  <c r="C106" i="39"/>
  <c r="C105" i="39"/>
  <c r="C104" i="39"/>
  <c r="C103" i="39"/>
  <c r="C102" i="39"/>
  <c r="C101" i="39"/>
  <c r="C100" i="39"/>
  <c r="C99" i="39"/>
  <c r="C98" i="39"/>
  <c r="C97" i="39"/>
  <c r="C96" i="39"/>
  <c r="C93" i="39"/>
  <c r="C92" i="39"/>
  <c r="C91" i="39"/>
  <c r="C90" i="39"/>
  <c r="C89" i="39"/>
  <c r="C88" i="39"/>
  <c r="C87" i="39"/>
  <c r="C86" i="39"/>
  <c r="C85" i="39"/>
  <c r="C82" i="39"/>
  <c r="C81" i="39"/>
  <c r="C80" i="39"/>
  <c r="C79" i="39"/>
  <c r="C78" i="39"/>
  <c r="C77" i="39"/>
  <c r="C76" i="39"/>
  <c r="C75" i="39"/>
  <c r="C74" i="39"/>
  <c r="C73" i="39"/>
  <c r="C72" i="39"/>
  <c r="C71" i="39"/>
  <c r="C70" i="39"/>
  <c r="C69" i="39"/>
  <c r="C68" i="39"/>
  <c r="C67" i="39"/>
  <c r="C66" i="39"/>
  <c r="C65" i="39"/>
  <c r="C64" i="39"/>
  <c r="C63" i="39"/>
  <c r="C62" i="39"/>
  <c r="C61" i="39"/>
  <c r="C60" i="39"/>
  <c r="C59" i="39"/>
  <c r="C58" i="39"/>
  <c r="C57" i="39"/>
  <c r="C56" i="39"/>
  <c r="C55" i="39"/>
  <c r="C54" i="39"/>
  <c r="C53" i="39"/>
  <c r="C52" i="39"/>
  <c r="C51" i="39"/>
  <c r="C50" i="39"/>
  <c r="C49" i="39"/>
  <c r="C48" i="39"/>
  <c r="C47" i="39"/>
  <c r="C46" i="39"/>
  <c r="C45" i="39"/>
  <c r="C44" i="39"/>
  <c r="C43" i="39"/>
  <c r="C42" i="39"/>
  <c r="C41" i="39"/>
  <c r="C38" i="39"/>
  <c r="C37" i="39"/>
  <c r="C36" i="39"/>
  <c r="C35" i="39"/>
  <c r="C34" i="39"/>
  <c r="C33" i="39"/>
  <c r="C32" i="39"/>
  <c r="C31" i="39"/>
  <c r="C30" i="39"/>
  <c r="C29" i="39"/>
  <c r="C28" i="39"/>
  <c r="C23" i="39"/>
  <c r="C22" i="39"/>
  <c r="C21" i="39"/>
  <c r="C20" i="39"/>
  <c r="C19" i="39"/>
  <c r="C18" i="39"/>
  <c r="C13" i="39"/>
  <c r="B13" i="39"/>
  <c r="C12" i="39"/>
  <c r="B12" i="39"/>
  <c r="C11" i="39"/>
  <c r="B11" i="39"/>
  <c r="C10" i="39"/>
  <c r="B10" i="39"/>
  <c r="C9" i="39"/>
  <c r="B9" i="39"/>
  <c r="C8" i="39"/>
  <c r="B8" i="39"/>
  <c r="C7" i="39"/>
  <c r="B7" i="39"/>
  <c r="C6" i="39"/>
  <c r="B6" i="39"/>
  <c r="C5" i="39"/>
  <c r="B5" i="39"/>
  <c r="C4" i="39"/>
  <c r="B4" i="39"/>
  <c r="C2" i="39"/>
  <c r="C17" i="39" l="1"/>
  <c r="C223" i="38"/>
  <c r="C222" i="38"/>
  <c r="C221" i="38"/>
  <c r="C220" i="38"/>
  <c r="C219" i="38"/>
  <c r="C218" i="38"/>
  <c r="C217" i="38"/>
  <c r="C216" i="38"/>
  <c r="C215" i="38"/>
  <c r="C214" i="38"/>
  <c r="C213" i="38"/>
  <c r="C212" i="38"/>
  <c r="C211" i="38"/>
  <c r="C210" i="38"/>
  <c r="C209" i="38"/>
  <c r="C208" i="38"/>
  <c r="C207" i="38"/>
  <c r="C206" i="38"/>
  <c r="C205" i="38"/>
  <c r="C204" i="38"/>
  <c r="C203" i="38"/>
  <c r="C202" i="38"/>
  <c r="C201" i="38"/>
  <c r="C200" i="38"/>
  <c r="C199" i="38"/>
  <c r="C198" i="38"/>
  <c r="C197" i="38"/>
  <c r="C196" i="38"/>
  <c r="C195" i="38"/>
  <c r="C194" i="38"/>
  <c r="C193" i="38"/>
  <c r="C192" i="38"/>
  <c r="C191" i="38"/>
  <c r="C190" i="38"/>
  <c r="C189" i="38"/>
  <c r="C188" i="38"/>
  <c r="C187" i="38"/>
  <c r="C186" i="38"/>
  <c r="C185" i="38"/>
  <c r="C184" i="38"/>
  <c r="C183" i="38"/>
  <c r="C182" i="38"/>
  <c r="C181" i="38"/>
  <c r="C180" i="38"/>
  <c r="C179" i="38"/>
  <c r="C178" i="38"/>
  <c r="C177" i="38"/>
  <c r="C176" i="38"/>
  <c r="C175" i="38"/>
  <c r="C174" i="38"/>
  <c r="C173" i="38"/>
  <c r="C172" i="38"/>
  <c r="C171" i="38"/>
  <c r="C170" i="38"/>
  <c r="C169" i="38"/>
  <c r="C168" i="38"/>
  <c r="C167" i="38"/>
  <c r="C166" i="38"/>
  <c r="C165" i="38"/>
  <c r="C164" i="38"/>
  <c r="C163" i="38"/>
  <c r="C162" i="38"/>
  <c r="C161" i="38"/>
  <c r="C160" i="38"/>
  <c r="C159" i="38"/>
  <c r="C158" i="38"/>
  <c r="C157" i="38"/>
  <c r="C156" i="38"/>
  <c r="C155" i="38"/>
  <c r="C154" i="38"/>
  <c r="C153" i="38"/>
  <c r="C152" i="38"/>
  <c r="C151" i="38"/>
  <c r="C150" i="38"/>
  <c r="C149" i="38"/>
  <c r="C148" i="38"/>
  <c r="C147" i="38"/>
  <c r="C146" i="38"/>
  <c r="C145" i="38"/>
  <c r="C144" i="38"/>
  <c r="B144" i="38"/>
  <c r="B145" i="38" s="1"/>
  <c r="B146" i="38" s="1"/>
  <c r="B147" i="38" s="1"/>
  <c r="B148" i="38" s="1"/>
  <c r="B149" i="38" s="1"/>
  <c r="B150" i="38" s="1"/>
  <c r="B151" i="38" s="1"/>
  <c r="B152" i="38" s="1"/>
  <c r="B153" i="38" s="1"/>
  <c r="B154" i="38" s="1"/>
  <c r="B155" i="38" s="1"/>
  <c r="B156" i="38" s="1"/>
  <c r="B157" i="38" s="1"/>
  <c r="B158" i="38" s="1"/>
  <c r="B159" i="38" s="1"/>
  <c r="B160" i="38" s="1"/>
  <c r="B161" i="38" s="1"/>
  <c r="B162" i="38" s="1"/>
  <c r="B163" i="38" s="1"/>
  <c r="B164" i="38" s="1"/>
  <c r="B165" i="38" s="1"/>
  <c r="B166" i="38" s="1"/>
  <c r="B167" i="38" s="1"/>
  <c r="B168" i="38" s="1"/>
  <c r="B169" i="38" s="1"/>
  <c r="B170" i="38" s="1"/>
  <c r="B171" i="38" s="1"/>
  <c r="B172" i="38" s="1"/>
  <c r="B173" i="38" s="1"/>
  <c r="B174" i="38" s="1"/>
  <c r="B175" i="38" s="1"/>
  <c r="B176" i="38" s="1"/>
  <c r="B177" i="38" s="1"/>
  <c r="B178" i="38" s="1"/>
  <c r="B179" i="38" s="1"/>
  <c r="B180" i="38" s="1"/>
  <c r="B181" i="38" s="1"/>
  <c r="B182" i="38" s="1"/>
  <c r="B183" i="38" s="1"/>
  <c r="B184" i="38" s="1"/>
  <c r="B185" i="38" s="1"/>
  <c r="B186" i="38" s="1"/>
  <c r="B187" i="38" s="1"/>
  <c r="B188" i="38" s="1"/>
  <c r="B189" i="38" s="1"/>
  <c r="B190" i="38" s="1"/>
  <c r="B191" i="38" s="1"/>
  <c r="B192" i="38" s="1"/>
  <c r="B193" i="38" s="1"/>
  <c r="B194" i="38" s="1"/>
  <c r="B195" i="38" s="1"/>
  <c r="B196" i="38" s="1"/>
  <c r="B197" i="38" s="1"/>
  <c r="B198" i="38" s="1"/>
  <c r="B199" i="38" s="1"/>
  <c r="B200" i="38" s="1"/>
  <c r="B201" i="38" s="1"/>
  <c r="B202" i="38" s="1"/>
  <c r="B203" i="38" s="1"/>
  <c r="B204" i="38" s="1"/>
  <c r="B205" i="38" s="1"/>
  <c r="B206" i="38" s="1"/>
  <c r="B207" i="38" s="1"/>
  <c r="B208" i="38" s="1"/>
  <c r="B209" i="38" s="1"/>
  <c r="B210" i="38" s="1"/>
  <c r="B211" i="38" s="1"/>
  <c r="B212" i="38" s="1"/>
  <c r="B213" i="38" s="1"/>
  <c r="B214" i="38" s="1"/>
  <c r="B215" i="38" s="1"/>
  <c r="B216" i="38" s="1"/>
  <c r="B217" i="38" s="1"/>
  <c r="B218" i="38" s="1"/>
  <c r="B219" i="38" s="1"/>
  <c r="B220" i="38" s="1"/>
  <c r="B221" i="38" s="1"/>
  <c r="B222" i="38" s="1"/>
  <c r="B223" i="38" s="1"/>
  <c r="C143" i="38"/>
  <c r="C140" i="38"/>
  <c r="C138" i="38"/>
  <c r="C137" i="38"/>
  <c r="C136" i="38"/>
  <c r="C135" i="38"/>
  <c r="C125" i="38"/>
  <c r="C122" i="38"/>
  <c r="C121" i="38"/>
  <c r="C120" i="38"/>
  <c r="C119" i="38"/>
  <c r="C118" i="38"/>
  <c r="C117" i="38"/>
  <c r="C116" i="38"/>
  <c r="C115" i="38"/>
  <c r="C114" i="38"/>
  <c r="C113" i="38"/>
  <c r="C112" i="38"/>
  <c r="C111" i="38"/>
  <c r="C110" i="38"/>
  <c r="C109" i="38"/>
  <c r="C108" i="38"/>
  <c r="C107" i="38"/>
  <c r="C106" i="38"/>
  <c r="C105" i="38"/>
  <c r="C104" i="38"/>
  <c r="C103" i="38"/>
  <c r="C102" i="38"/>
  <c r="C101" i="38"/>
  <c r="C100" i="38"/>
  <c r="C99" i="38"/>
  <c r="C98" i="38"/>
  <c r="C97" i="38"/>
  <c r="C96" i="38"/>
  <c r="C93" i="38"/>
  <c r="C92" i="38"/>
  <c r="C91" i="38"/>
  <c r="C90" i="38"/>
  <c r="C89" i="38"/>
  <c r="C88" i="38"/>
  <c r="C87" i="38"/>
  <c r="C86" i="38"/>
  <c r="C85" i="38"/>
  <c r="C82" i="38"/>
  <c r="C81" i="38"/>
  <c r="C80" i="38"/>
  <c r="C79" i="38"/>
  <c r="C78" i="38"/>
  <c r="C77" i="38"/>
  <c r="C76" i="38"/>
  <c r="C75" i="38"/>
  <c r="C74" i="38"/>
  <c r="C73" i="38"/>
  <c r="C72" i="38"/>
  <c r="C71" i="38"/>
  <c r="C70" i="38"/>
  <c r="C69" i="38"/>
  <c r="C68" i="38"/>
  <c r="C67" i="38"/>
  <c r="C66" i="38"/>
  <c r="C65" i="38"/>
  <c r="C64" i="38"/>
  <c r="C63" i="38"/>
  <c r="C62" i="38"/>
  <c r="C61" i="38"/>
  <c r="C60" i="38"/>
  <c r="C59" i="38"/>
  <c r="C58" i="38"/>
  <c r="C57" i="38"/>
  <c r="C56" i="38"/>
  <c r="C55" i="38"/>
  <c r="C54" i="38"/>
  <c r="C53" i="38"/>
  <c r="C52" i="38"/>
  <c r="C51" i="38"/>
  <c r="C50" i="38"/>
  <c r="C49" i="38"/>
  <c r="C48" i="38"/>
  <c r="C47" i="38"/>
  <c r="C46" i="38"/>
  <c r="C45" i="38"/>
  <c r="C44" i="38"/>
  <c r="C43" i="38"/>
  <c r="C42" i="38"/>
  <c r="C41" i="38"/>
  <c r="C38" i="38"/>
  <c r="C37" i="38"/>
  <c r="C36" i="38"/>
  <c r="C35" i="38"/>
  <c r="C34" i="38"/>
  <c r="C33" i="38"/>
  <c r="C32" i="38"/>
  <c r="C31" i="38"/>
  <c r="C30" i="38"/>
  <c r="C29" i="38"/>
  <c r="C28" i="38"/>
  <c r="C23" i="38"/>
  <c r="C22" i="38"/>
  <c r="C21" i="38"/>
  <c r="C20" i="38"/>
  <c r="C19" i="38"/>
  <c r="C18" i="38"/>
  <c r="C13" i="38"/>
  <c r="B13" i="38"/>
  <c r="C12" i="38"/>
  <c r="B12" i="38"/>
  <c r="C11" i="38"/>
  <c r="B11" i="38"/>
  <c r="C10" i="38"/>
  <c r="B10" i="38"/>
  <c r="C9" i="38"/>
  <c r="B9" i="38"/>
  <c r="C8" i="38"/>
  <c r="B8" i="38"/>
  <c r="C7" i="38"/>
  <c r="B7" i="38"/>
  <c r="C6" i="38"/>
  <c r="B6" i="38"/>
  <c r="C5" i="38"/>
  <c r="B5" i="38"/>
  <c r="C4" i="38"/>
  <c r="B4" i="38"/>
  <c r="C2" i="38"/>
  <c r="C17" i="38" l="1"/>
  <c r="C223" i="37"/>
  <c r="C222" i="37"/>
  <c r="C221" i="37"/>
  <c r="C220" i="37"/>
  <c r="C219" i="37"/>
  <c r="C218" i="37"/>
  <c r="C217" i="37"/>
  <c r="C216" i="37"/>
  <c r="C215" i="37"/>
  <c r="C214" i="37"/>
  <c r="C213" i="37"/>
  <c r="C212" i="37"/>
  <c r="C211" i="37"/>
  <c r="C210" i="37"/>
  <c r="C209" i="37"/>
  <c r="C208" i="37"/>
  <c r="C207" i="37"/>
  <c r="C206" i="37"/>
  <c r="C205" i="37"/>
  <c r="C204" i="37"/>
  <c r="C203" i="37"/>
  <c r="C202" i="37"/>
  <c r="C201" i="37"/>
  <c r="C200" i="37"/>
  <c r="C199" i="37"/>
  <c r="C198" i="37"/>
  <c r="C197" i="37"/>
  <c r="C196" i="37"/>
  <c r="C195" i="37"/>
  <c r="C194" i="37"/>
  <c r="C193" i="37"/>
  <c r="C192" i="37"/>
  <c r="C191" i="37"/>
  <c r="C190" i="37"/>
  <c r="C189" i="37"/>
  <c r="C188" i="37"/>
  <c r="C187" i="37"/>
  <c r="C186" i="37"/>
  <c r="C185" i="37"/>
  <c r="C184" i="37"/>
  <c r="C183" i="37"/>
  <c r="C182" i="37"/>
  <c r="C181" i="37"/>
  <c r="C180" i="37"/>
  <c r="C179" i="37"/>
  <c r="C178" i="37"/>
  <c r="C177" i="37"/>
  <c r="C176" i="37"/>
  <c r="C175" i="37"/>
  <c r="C174" i="37"/>
  <c r="C173" i="37"/>
  <c r="C172" i="37"/>
  <c r="C171" i="37"/>
  <c r="C170" i="37"/>
  <c r="C169" i="37"/>
  <c r="C168" i="37"/>
  <c r="C167" i="37"/>
  <c r="C166" i="37"/>
  <c r="C165" i="37"/>
  <c r="C164" i="37"/>
  <c r="C163" i="37"/>
  <c r="C162" i="37"/>
  <c r="C161" i="37"/>
  <c r="C160" i="37"/>
  <c r="C159" i="37"/>
  <c r="C158" i="37"/>
  <c r="C157" i="37"/>
  <c r="C156" i="37"/>
  <c r="C155" i="37"/>
  <c r="C154" i="37"/>
  <c r="C153" i="37"/>
  <c r="C152" i="37"/>
  <c r="C151" i="37"/>
  <c r="C150" i="37"/>
  <c r="C149" i="37"/>
  <c r="C148" i="37"/>
  <c r="C147" i="37"/>
  <c r="C146" i="37"/>
  <c r="C145" i="37"/>
  <c r="C144" i="37"/>
  <c r="B144" i="37"/>
  <c r="B145" i="37" s="1"/>
  <c r="B146" i="37" s="1"/>
  <c r="B147" i="37" s="1"/>
  <c r="B148" i="37" s="1"/>
  <c r="B149" i="37" s="1"/>
  <c r="B150" i="37" s="1"/>
  <c r="B151" i="37" s="1"/>
  <c r="B152" i="37" s="1"/>
  <c r="B153" i="37" s="1"/>
  <c r="B154" i="37" s="1"/>
  <c r="B155" i="37" s="1"/>
  <c r="B156" i="37" s="1"/>
  <c r="B157" i="37" s="1"/>
  <c r="B158" i="37" s="1"/>
  <c r="B159" i="37" s="1"/>
  <c r="B160" i="37" s="1"/>
  <c r="B161" i="37" s="1"/>
  <c r="B162" i="37" s="1"/>
  <c r="B163" i="37" s="1"/>
  <c r="B164" i="37" s="1"/>
  <c r="B165" i="37" s="1"/>
  <c r="B166" i="37" s="1"/>
  <c r="B167" i="37" s="1"/>
  <c r="B168" i="37" s="1"/>
  <c r="B169" i="37" s="1"/>
  <c r="B170" i="37" s="1"/>
  <c r="B171" i="37" s="1"/>
  <c r="B172" i="37" s="1"/>
  <c r="B173" i="37" s="1"/>
  <c r="B174" i="37" s="1"/>
  <c r="B175" i="37" s="1"/>
  <c r="B176" i="37" s="1"/>
  <c r="B177" i="37" s="1"/>
  <c r="B178" i="37" s="1"/>
  <c r="B179" i="37" s="1"/>
  <c r="B180" i="37" s="1"/>
  <c r="B181" i="37" s="1"/>
  <c r="B182" i="37" s="1"/>
  <c r="B183" i="37" s="1"/>
  <c r="B184" i="37" s="1"/>
  <c r="B185" i="37" s="1"/>
  <c r="B186" i="37" s="1"/>
  <c r="B187" i="37" s="1"/>
  <c r="B188" i="37" s="1"/>
  <c r="B189" i="37" s="1"/>
  <c r="B190" i="37" s="1"/>
  <c r="B191" i="37" s="1"/>
  <c r="B192" i="37" s="1"/>
  <c r="B193" i="37" s="1"/>
  <c r="B194" i="37" s="1"/>
  <c r="B195" i="37" s="1"/>
  <c r="B196" i="37" s="1"/>
  <c r="B197" i="37" s="1"/>
  <c r="B198" i="37" s="1"/>
  <c r="B199" i="37" s="1"/>
  <c r="B200" i="37" s="1"/>
  <c r="B201" i="37" s="1"/>
  <c r="B202" i="37" s="1"/>
  <c r="B203" i="37" s="1"/>
  <c r="B204" i="37" s="1"/>
  <c r="B205" i="37" s="1"/>
  <c r="B206" i="37" s="1"/>
  <c r="B207" i="37" s="1"/>
  <c r="B208" i="37" s="1"/>
  <c r="B209" i="37" s="1"/>
  <c r="B210" i="37" s="1"/>
  <c r="B211" i="37" s="1"/>
  <c r="B212" i="37" s="1"/>
  <c r="B213" i="37" s="1"/>
  <c r="B214" i="37" s="1"/>
  <c r="B215" i="37" s="1"/>
  <c r="B216" i="37" s="1"/>
  <c r="B217" i="37" s="1"/>
  <c r="B218" i="37" s="1"/>
  <c r="B219" i="37" s="1"/>
  <c r="B220" i="37" s="1"/>
  <c r="B221" i="37" s="1"/>
  <c r="B222" i="37" s="1"/>
  <c r="B223" i="37" s="1"/>
  <c r="C143" i="37"/>
  <c r="C140" i="37"/>
  <c r="C138" i="37"/>
  <c r="C137" i="37"/>
  <c r="C136" i="37"/>
  <c r="C135" i="37"/>
  <c r="C125" i="37"/>
  <c r="C122" i="37"/>
  <c r="C121" i="37"/>
  <c r="C120" i="37"/>
  <c r="C119" i="37"/>
  <c r="C118" i="37"/>
  <c r="C117" i="37"/>
  <c r="C116" i="37"/>
  <c r="C115" i="37"/>
  <c r="C114" i="37"/>
  <c r="C113" i="37"/>
  <c r="C112" i="37"/>
  <c r="C111" i="37"/>
  <c r="C110" i="37"/>
  <c r="C109" i="37"/>
  <c r="C108" i="37"/>
  <c r="C107" i="37"/>
  <c r="C106" i="37"/>
  <c r="C105" i="37"/>
  <c r="C104" i="37"/>
  <c r="C103" i="37"/>
  <c r="C102" i="37"/>
  <c r="C101" i="37"/>
  <c r="C100" i="37"/>
  <c r="C99" i="37"/>
  <c r="C98" i="37"/>
  <c r="C97" i="37"/>
  <c r="C96" i="37"/>
  <c r="C93" i="37"/>
  <c r="C92" i="37"/>
  <c r="C91" i="37"/>
  <c r="C90" i="37"/>
  <c r="C89" i="37"/>
  <c r="C88" i="37"/>
  <c r="C87" i="37"/>
  <c r="C86" i="37"/>
  <c r="C85" i="37"/>
  <c r="C82" i="37"/>
  <c r="C81" i="37"/>
  <c r="C80" i="37"/>
  <c r="C79" i="37"/>
  <c r="C78" i="37"/>
  <c r="C77" i="37"/>
  <c r="C76" i="37"/>
  <c r="C75" i="37"/>
  <c r="C74" i="37"/>
  <c r="C73" i="37"/>
  <c r="C72" i="37"/>
  <c r="C71" i="37"/>
  <c r="C70" i="37"/>
  <c r="C69" i="37"/>
  <c r="C68" i="37"/>
  <c r="C67" i="37"/>
  <c r="C66" i="37"/>
  <c r="C65" i="37"/>
  <c r="C64" i="37"/>
  <c r="C63" i="37"/>
  <c r="C62" i="37"/>
  <c r="C61" i="37"/>
  <c r="C60" i="37"/>
  <c r="C59" i="37"/>
  <c r="C58" i="37"/>
  <c r="C57" i="37"/>
  <c r="C56" i="37"/>
  <c r="C55" i="37"/>
  <c r="C54" i="37"/>
  <c r="C53" i="37"/>
  <c r="C52" i="37"/>
  <c r="C51" i="37"/>
  <c r="C50" i="37"/>
  <c r="C49" i="37"/>
  <c r="C48" i="37"/>
  <c r="C47" i="37"/>
  <c r="C46" i="37"/>
  <c r="C45" i="37"/>
  <c r="C44" i="37"/>
  <c r="C43" i="37"/>
  <c r="C42" i="37"/>
  <c r="C41" i="37"/>
  <c r="C38" i="37"/>
  <c r="C37" i="37"/>
  <c r="C36" i="37"/>
  <c r="C35" i="37"/>
  <c r="C34" i="37"/>
  <c r="C33" i="37"/>
  <c r="C32" i="37"/>
  <c r="C31" i="37"/>
  <c r="C30" i="37"/>
  <c r="C29" i="37"/>
  <c r="C28" i="37"/>
  <c r="C23" i="37"/>
  <c r="C22" i="37"/>
  <c r="C21" i="37"/>
  <c r="C20" i="37"/>
  <c r="C19" i="37"/>
  <c r="C18" i="37"/>
  <c r="C13" i="37"/>
  <c r="B13" i="37"/>
  <c r="C12" i="37"/>
  <c r="B12" i="37"/>
  <c r="C11" i="37"/>
  <c r="B11" i="37"/>
  <c r="C10" i="37"/>
  <c r="B10" i="37"/>
  <c r="C9" i="37"/>
  <c r="B9" i="37"/>
  <c r="C8" i="37"/>
  <c r="B8" i="37"/>
  <c r="C7" i="37"/>
  <c r="B7" i="37"/>
  <c r="C6" i="37"/>
  <c r="B6" i="37"/>
  <c r="C5" i="37"/>
  <c r="B5" i="37"/>
  <c r="C4" i="37"/>
  <c r="B4" i="37"/>
  <c r="C2" i="37"/>
  <c r="C17" i="37" l="1"/>
  <c r="C223" i="36"/>
  <c r="C222" i="36"/>
  <c r="C221" i="36"/>
  <c r="C220" i="36"/>
  <c r="C219" i="36"/>
  <c r="C218" i="36"/>
  <c r="C217" i="36"/>
  <c r="C216" i="36"/>
  <c r="C215" i="36"/>
  <c r="C214" i="36"/>
  <c r="C213" i="36"/>
  <c r="C212" i="36"/>
  <c r="C211" i="36"/>
  <c r="C210" i="36"/>
  <c r="C209" i="36"/>
  <c r="C208" i="36"/>
  <c r="C207" i="36"/>
  <c r="C206" i="36"/>
  <c r="C205" i="36"/>
  <c r="C204" i="36"/>
  <c r="C203" i="36"/>
  <c r="C202" i="36"/>
  <c r="C201" i="36"/>
  <c r="C200" i="36"/>
  <c r="C199" i="36"/>
  <c r="C198" i="36"/>
  <c r="C197" i="36"/>
  <c r="C196" i="36"/>
  <c r="C195" i="36"/>
  <c r="C194" i="36"/>
  <c r="C193" i="36"/>
  <c r="C192" i="36"/>
  <c r="C191" i="36"/>
  <c r="C190" i="36"/>
  <c r="C189" i="36"/>
  <c r="C188" i="36"/>
  <c r="C187" i="36"/>
  <c r="C186" i="36"/>
  <c r="C185" i="36"/>
  <c r="C184" i="36"/>
  <c r="C183" i="36"/>
  <c r="C182" i="36"/>
  <c r="C181" i="36"/>
  <c r="C180" i="36"/>
  <c r="C179" i="36"/>
  <c r="C178" i="36"/>
  <c r="C177" i="36"/>
  <c r="C176" i="36"/>
  <c r="C175" i="36"/>
  <c r="C174" i="36"/>
  <c r="C173" i="36"/>
  <c r="C172" i="36"/>
  <c r="C171" i="36"/>
  <c r="C170" i="36"/>
  <c r="C169" i="36"/>
  <c r="C168" i="36"/>
  <c r="C167" i="36"/>
  <c r="C166" i="36"/>
  <c r="C165" i="36"/>
  <c r="C164" i="36"/>
  <c r="C163" i="36"/>
  <c r="C162" i="36"/>
  <c r="C161" i="36"/>
  <c r="C160" i="36"/>
  <c r="C159" i="36"/>
  <c r="C158" i="36"/>
  <c r="C157" i="36"/>
  <c r="C156" i="36"/>
  <c r="C155" i="36"/>
  <c r="C154" i="36"/>
  <c r="C153" i="36"/>
  <c r="C152" i="36"/>
  <c r="C151" i="36"/>
  <c r="C150" i="36"/>
  <c r="C149" i="36"/>
  <c r="C148" i="36"/>
  <c r="C147" i="36"/>
  <c r="C146" i="36"/>
  <c r="C145" i="36"/>
  <c r="C144" i="36"/>
  <c r="B144" i="36"/>
  <c r="B145" i="36" s="1"/>
  <c r="B146" i="36" s="1"/>
  <c r="B147" i="36" s="1"/>
  <c r="B148" i="36" s="1"/>
  <c r="B149" i="36" s="1"/>
  <c r="B150" i="36" s="1"/>
  <c r="B151" i="36" s="1"/>
  <c r="B152" i="36" s="1"/>
  <c r="B153" i="36" s="1"/>
  <c r="B154" i="36" s="1"/>
  <c r="B155" i="36" s="1"/>
  <c r="B156" i="36" s="1"/>
  <c r="B157" i="36" s="1"/>
  <c r="B158" i="36" s="1"/>
  <c r="B159" i="36" s="1"/>
  <c r="B160" i="36" s="1"/>
  <c r="B161" i="36" s="1"/>
  <c r="B162" i="36" s="1"/>
  <c r="B163" i="36" s="1"/>
  <c r="B164" i="36" s="1"/>
  <c r="B165" i="36" s="1"/>
  <c r="B166" i="36" s="1"/>
  <c r="B167" i="36" s="1"/>
  <c r="B168" i="36" s="1"/>
  <c r="B169" i="36" s="1"/>
  <c r="B170" i="36" s="1"/>
  <c r="B171" i="36" s="1"/>
  <c r="B172" i="36" s="1"/>
  <c r="B173" i="36" s="1"/>
  <c r="B174" i="36" s="1"/>
  <c r="B175" i="36" s="1"/>
  <c r="B176" i="36" s="1"/>
  <c r="B177" i="36" s="1"/>
  <c r="B178" i="36" s="1"/>
  <c r="B179" i="36" s="1"/>
  <c r="B180" i="36" s="1"/>
  <c r="B181" i="36" s="1"/>
  <c r="B182" i="36" s="1"/>
  <c r="B183" i="36" s="1"/>
  <c r="B184" i="36" s="1"/>
  <c r="B185" i="36" s="1"/>
  <c r="B186" i="36" s="1"/>
  <c r="B187" i="36" s="1"/>
  <c r="B188" i="36" s="1"/>
  <c r="B189" i="36" s="1"/>
  <c r="B190" i="36" s="1"/>
  <c r="B191" i="36" s="1"/>
  <c r="B192" i="36" s="1"/>
  <c r="B193" i="36" s="1"/>
  <c r="B194" i="36" s="1"/>
  <c r="B195" i="36" s="1"/>
  <c r="B196" i="36" s="1"/>
  <c r="B197" i="36" s="1"/>
  <c r="B198" i="36" s="1"/>
  <c r="B199" i="36" s="1"/>
  <c r="B200" i="36" s="1"/>
  <c r="B201" i="36" s="1"/>
  <c r="B202" i="36" s="1"/>
  <c r="B203" i="36" s="1"/>
  <c r="B204" i="36" s="1"/>
  <c r="B205" i="36" s="1"/>
  <c r="B206" i="36" s="1"/>
  <c r="B207" i="36" s="1"/>
  <c r="B208" i="36" s="1"/>
  <c r="B209" i="36" s="1"/>
  <c r="B210" i="36" s="1"/>
  <c r="B211" i="36" s="1"/>
  <c r="B212" i="36" s="1"/>
  <c r="B213" i="36" s="1"/>
  <c r="B214" i="36" s="1"/>
  <c r="B215" i="36" s="1"/>
  <c r="B216" i="36" s="1"/>
  <c r="B217" i="36" s="1"/>
  <c r="B218" i="36" s="1"/>
  <c r="B219" i="36" s="1"/>
  <c r="B220" i="36" s="1"/>
  <c r="B221" i="36" s="1"/>
  <c r="B222" i="36" s="1"/>
  <c r="B223" i="36" s="1"/>
  <c r="C143" i="36"/>
  <c r="C140" i="36"/>
  <c r="C138" i="36"/>
  <c r="C137" i="36"/>
  <c r="C136" i="36"/>
  <c r="C135" i="36"/>
  <c r="C125" i="36"/>
  <c r="C122" i="36"/>
  <c r="C121" i="36"/>
  <c r="C120" i="36"/>
  <c r="C119" i="36"/>
  <c r="C118" i="36"/>
  <c r="C117" i="36"/>
  <c r="C116" i="36"/>
  <c r="C115" i="36"/>
  <c r="C114" i="36"/>
  <c r="C113" i="36"/>
  <c r="C112" i="36"/>
  <c r="C111" i="36"/>
  <c r="C110" i="36"/>
  <c r="C109" i="36"/>
  <c r="C108" i="36"/>
  <c r="C107" i="36"/>
  <c r="C106" i="36"/>
  <c r="C105" i="36"/>
  <c r="C104" i="36"/>
  <c r="C103" i="36"/>
  <c r="C102" i="36"/>
  <c r="C101" i="36"/>
  <c r="C100" i="36"/>
  <c r="C99" i="36"/>
  <c r="C98" i="36"/>
  <c r="C97" i="36"/>
  <c r="C96" i="36"/>
  <c r="C93" i="36"/>
  <c r="C92" i="36"/>
  <c r="C91" i="36"/>
  <c r="C90" i="36"/>
  <c r="C89" i="36"/>
  <c r="C88" i="36"/>
  <c r="C87" i="36"/>
  <c r="C86" i="36"/>
  <c r="C85" i="36"/>
  <c r="C82" i="36"/>
  <c r="C81" i="36"/>
  <c r="C80" i="36"/>
  <c r="C79" i="36"/>
  <c r="C78" i="36"/>
  <c r="C77" i="36"/>
  <c r="C76" i="36"/>
  <c r="C75" i="36"/>
  <c r="C74" i="36"/>
  <c r="C73" i="36"/>
  <c r="C72" i="36"/>
  <c r="C71" i="36"/>
  <c r="C70" i="36"/>
  <c r="C69" i="36"/>
  <c r="C68" i="36"/>
  <c r="C67" i="36"/>
  <c r="C66" i="36"/>
  <c r="C65" i="36"/>
  <c r="C64" i="36"/>
  <c r="C63" i="36"/>
  <c r="C62" i="36"/>
  <c r="C61" i="36"/>
  <c r="C60" i="36"/>
  <c r="C59" i="36"/>
  <c r="C58" i="36"/>
  <c r="C57" i="36"/>
  <c r="C56" i="36"/>
  <c r="C55" i="36"/>
  <c r="C54" i="36"/>
  <c r="C53" i="36"/>
  <c r="C52" i="36"/>
  <c r="C51" i="36"/>
  <c r="C50" i="36"/>
  <c r="C49" i="36"/>
  <c r="C48" i="36"/>
  <c r="C47" i="36"/>
  <c r="C46" i="36"/>
  <c r="C45" i="36"/>
  <c r="C44" i="36"/>
  <c r="C43" i="36"/>
  <c r="C42" i="36"/>
  <c r="C41" i="36"/>
  <c r="C38" i="36"/>
  <c r="C37" i="36"/>
  <c r="C36" i="36"/>
  <c r="C35" i="36"/>
  <c r="C34" i="36"/>
  <c r="C33" i="36"/>
  <c r="C32" i="36"/>
  <c r="C31" i="36"/>
  <c r="C30" i="36"/>
  <c r="C29" i="36"/>
  <c r="C28" i="36"/>
  <c r="C23" i="36"/>
  <c r="C22" i="36"/>
  <c r="C21" i="36"/>
  <c r="C20" i="36"/>
  <c r="C19" i="36"/>
  <c r="C18" i="36"/>
  <c r="C13" i="36"/>
  <c r="B13" i="36"/>
  <c r="C12" i="36"/>
  <c r="B12" i="36"/>
  <c r="C11" i="36"/>
  <c r="B11" i="36"/>
  <c r="C10" i="36"/>
  <c r="B10" i="36"/>
  <c r="C9" i="36"/>
  <c r="B9" i="36"/>
  <c r="C8" i="36"/>
  <c r="B8" i="36"/>
  <c r="C7" i="36"/>
  <c r="B7" i="36"/>
  <c r="C6" i="36"/>
  <c r="B6" i="36"/>
  <c r="C5" i="36"/>
  <c r="B5" i="36"/>
  <c r="C4" i="36"/>
  <c r="B4" i="36"/>
  <c r="C2" i="36"/>
  <c r="C17" i="36" l="1"/>
  <c r="C223" i="35"/>
  <c r="C222" i="35"/>
  <c r="C221" i="35"/>
  <c r="C220" i="35"/>
  <c r="C219" i="35"/>
  <c r="C218" i="35"/>
  <c r="C217" i="35"/>
  <c r="C216" i="35"/>
  <c r="C215" i="35"/>
  <c r="C214" i="35"/>
  <c r="C213" i="35"/>
  <c r="C212" i="35"/>
  <c r="C211" i="35"/>
  <c r="C210" i="35"/>
  <c r="C209" i="35"/>
  <c r="C208" i="35"/>
  <c r="C207" i="35"/>
  <c r="C206" i="35"/>
  <c r="C205" i="35"/>
  <c r="C204" i="35"/>
  <c r="C203" i="35"/>
  <c r="C202" i="35"/>
  <c r="C201" i="35"/>
  <c r="C200" i="35"/>
  <c r="C199" i="35"/>
  <c r="C198" i="35"/>
  <c r="C197" i="35"/>
  <c r="C196" i="35"/>
  <c r="C195" i="35"/>
  <c r="C194" i="35"/>
  <c r="C193" i="35"/>
  <c r="C192" i="35"/>
  <c r="C191" i="35"/>
  <c r="C190" i="35"/>
  <c r="C189" i="35"/>
  <c r="C188" i="35"/>
  <c r="C187" i="35"/>
  <c r="C186" i="35"/>
  <c r="C185" i="35"/>
  <c r="C184" i="35"/>
  <c r="C183" i="35"/>
  <c r="C182" i="35"/>
  <c r="C181" i="35"/>
  <c r="C180" i="35"/>
  <c r="C179" i="35"/>
  <c r="C178" i="35"/>
  <c r="C177" i="35"/>
  <c r="C176" i="35"/>
  <c r="C175" i="35"/>
  <c r="C174" i="35"/>
  <c r="C173" i="35"/>
  <c r="C172" i="35"/>
  <c r="C171" i="35"/>
  <c r="C170" i="35"/>
  <c r="C169" i="35"/>
  <c r="C168" i="35"/>
  <c r="C167" i="35"/>
  <c r="C166" i="35"/>
  <c r="C165" i="35"/>
  <c r="C164" i="35"/>
  <c r="C163" i="35"/>
  <c r="C162" i="35"/>
  <c r="C161" i="35"/>
  <c r="C160" i="35"/>
  <c r="C159" i="35"/>
  <c r="C158" i="35"/>
  <c r="C157" i="35"/>
  <c r="C156" i="35"/>
  <c r="C155" i="35"/>
  <c r="C154" i="35"/>
  <c r="C153" i="35"/>
  <c r="C152" i="35"/>
  <c r="C151" i="35"/>
  <c r="C150" i="35"/>
  <c r="C149" i="35"/>
  <c r="C148" i="35"/>
  <c r="C147" i="35"/>
  <c r="C146" i="35"/>
  <c r="C145" i="35"/>
  <c r="C144" i="35"/>
  <c r="B144" i="35"/>
  <c r="B145" i="35" s="1"/>
  <c r="B146" i="35" s="1"/>
  <c r="B147" i="35" s="1"/>
  <c r="B148" i="35" s="1"/>
  <c r="B149" i="35" s="1"/>
  <c r="B150" i="35" s="1"/>
  <c r="B151" i="35" s="1"/>
  <c r="B152" i="35" s="1"/>
  <c r="B153" i="35" s="1"/>
  <c r="B154" i="35" s="1"/>
  <c r="B155" i="35" s="1"/>
  <c r="B156" i="35" s="1"/>
  <c r="B157" i="35" s="1"/>
  <c r="B158" i="35" s="1"/>
  <c r="B159" i="35" s="1"/>
  <c r="B160" i="35" s="1"/>
  <c r="B161" i="35" s="1"/>
  <c r="B162" i="35" s="1"/>
  <c r="B163" i="35" s="1"/>
  <c r="B164" i="35" s="1"/>
  <c r="B165" i="35" s="1"/>
  <c r="B166" i="35" s="1"/>
  <c r="B167" i="35" s="1"/>
  <c r="B168" i="35" s="1"/>
  <c r="B169" i="35" s="1"/>
  <c r="B170" i="35" s="1"/>
  <c r="B171" i="35" s="1"/>
  <c r="B172" i="35" s="1"/>
  <c r="B173" i="35" s="1"/>
  <c r="B174" i="35" s="1"/>
  <c r="B175" i="35" s="1"/>
  <c r="B176" i="35" s="1"/>
  <c r="B177" i="35" s="1"/>
  <c r="B178" i="35" s="1"/>
  <c r="B179" i="35" s="1"/>
  <c r="B180" i="35" s="1"/>
  <c r="B181" i="35" s="1"/>
  <c r="B182" i="35" s="1"/>
  <c r="B183" i="35" s="1"/>
  <c r="B184" i="35" s="1"/>
  <c r="B185" i="35" s="1"/>
  <c r="B186" i="35" s="1"/>
  <c r="B187" i="35" s="1"/>
  <c r="B188" i="35" s="1"/>
  <c r="B189" i="35" s="1"/>
  <c r="B190" i="35" s="1"/>
  <c r="B191" i="35" s="1"/>
  <c r="B192" i="35" s="1"/>
  <c r="B193" i="35" s="1"/>
  <c r="B194" i="35" s="1"/>
  <c r="B195" i="35" s="1"/>
  <c r="B196" i="35" s="1"/>
  <c r="B197" i="35" s="1"/>
  <c r="B198" i="35" s="1"/>
  <c r="B199" i="35" s="1"/>
  <c r="B200" i="35" s="1"/>
  <c r="B201" i="35" s="1"/>
  <c r="B202" i="35" s="1"/>
  <c r="B203" i="35" s="1"/>
  <c r="B204" i="35" s="1"/>
  <c r="B205" i="35" s="1"/>
  <c r="B206" i="35" s="1"/>
  <c r="B207" i="35" s="1"/>
  <c r="B208" i="35" s="1"/>
  <c r="B209" i="35" s="1"/>
  <c r="B210" i="35" s="1"/>
  <c r="B211" i="35" s="1"/>
  <c r="B212" i="35" s="1"/>
  <c r="B213" i="35" s="1"/>
  <c r="B214" i="35" s="1"/>
  <c r="B215" i="35" s="1"/>
  <c r="B216" i="35" s="1"/>
  <c r="B217" i="35" s="1"/>
  <c r="B218" i="35" s="1"/>
  <c r="B219" i="35" s="1"/>
  <c r="B220" i="35" s="1"/>
  <c r="B221" i="35" s="1"/>
  <c r="B222" i="35" s="1"/>
  <c r="B223" i="35" s="1"/>
  <c r="C143" i="35"/>
  <c r="C140" i="35"/>
  <c r="C138" i="35"/>
  <c r="C137" i="35"/>
  <c r="C136" i="35"/>
  <c r="C135" i="35"/>
  <c r="C125" i="35"/>
  <c r="C122" i="35"/>
  <c r="C121" i="35"/>
  <c r="C120" i="35"/>
  <c r="C119" i="35"/>
  <c r="C118" i="35"/>
  <c r="C117" i="35"/>
  <c r="C116" i="35"/>
  <c r="C115" i="35"/>
  <c r="C114" i="35"/>
  <c r="C113" i="35"/>
  <c r="C112" i="35"/>
  <c r="C111" i="35"/>
  <c r="C110" i="35"/>
  <c r="C109" i="35"/>
  <c r="C108" i="35"/>
  <c r="C107" i="35"/>
  <c r="C106" i="35"/>
  <c r="C105" i="35"/>
  <c r="C104" i="35"/>
  <c r="C103" i="35"/>
  <c r="C102" i="35"/>
  <c r="C101" i="35"/>
  <c r="C100" i="35"/>
  <c r="C99" i="35"/>
  <c r="C98" i="35"/>
  <c r="C97" i="35"/>
  <c r="C96" i="35"/>
  <c r="C93" i="35"/>
  <c r="C92" i="35"/>
  <c r="C91" i="35"/>
  <c r="C90" i="35"/>
  <c r="C89" i="35"/>
  <c r="C88" i="35"/>
  <c r="C87" i="35"/>
  <c r="C86" i="35"/>
  <c r="C85" i="35"/>
  <c r="C82" i="35"/>
  <c r="C81" i="35"/>
  <c r="C80" i="35"/>
  <c r="C79" i="35"/>
  <c r="C78" i="35"/>
  <c r="C77" i="35"/>
  <c r="C76" i="35"/>
  <c r="C75" i="35"/>
  <c r="C74" i="35"/>
  <c r="C73" i="35"/>
  <c r="C72" i="35"/>
  <c r="C71" i="35"/>
  <c r="C70" i="35"/>
  <c r="C69" i="35"/>
  <c r="C68" i="35"/>
  <c r="C67" i="35"/>
  <c r="C66" i="35"/>
  <c r="C65" i="35"/>
  <c r="C64" i="35"/>
  <c r="C63" i="35"/>
  <c r="C62" i="35"/>
  <c r="C61" i="35"/>
  <c r="C60" i="35"/>
  <c r="C59" i="35"/>
  <c r="C58" i="35"/>
  <c r="C57" i="35"/>
  <c r="C56" i="35"/>
  <c r="C55" i="35"/>
  <c r="C54" i="35"/>
  <c r="C53" i="35"/>
  <c r="C52" i="35"/>
  <c r="C51" i="35"/>
  <c r="C50" i="35"/>
  <c r="C49" i="35"/>
  <c r="C48" i="35"/>
  <c r="C47" i="35"/>
  <c r="C46" i="35"/>
  <c r="C45" i="35"/>
  <c r="C44" i="35"/>
  <c r="C43" i="35"/>
  <c r="C42" i="35"/>
  <c r="C41" i="35"/>
  <c r="C38" i="35"/>
  <c r="C37" i="35"/>
  <c r="C36" i="35"/>
  <c r="C35" i="35"/>
  <c r="C34" i="35"/>
  <c r="C33" i="35"/>
  <c r="C32" i="35"/>
  <c r="C31" i="35"/>
  <c r="C30" i="35"/>
  <c r="C29" i="35"/>
  <c r="C28" i="35"/>
  <c r="C23" i="35"/>
  <c r="C22" i="35"/>
  <c r="C21" i="35"/>
  <c r="C20" i="35"/>
  <c r="C19" i="35"/>
  <c r="C18" i="35"/>
  <c r="C17" i="35"/>
  <c r="C13" i="35"/>
  <c r="B13" i="35"/>
  <c r="C12" i="35"/>
  <c r="B12" i="35"/>
  <c r="C11" i="35"/>
  <c r="B11" i="35"/>
  <c r="C10" i="35"/>
  <c r="B10" i="35"/>
  <c r="C9" i="35"/>
  <c r="B9" i="35"/>
  <c r="C8" i="35"/>
  <c r="B8" i="35"/>
  <c r="C7" i="35"/>
  <c r="B7" i="35"/>
  <c r="C6" i="35"/>
  <c r="B6" i="35"/>
  <c r="C5" i="35"/>
  <c r="B5" i="35"/>
  <c r="C4" i="35"/>
  <c r="B4" i="35"/>
  <c r="C2" i="35"/>
  <c r="C223" i="34" l="1"/>
  <c r="C222" i="34"/>
  <c r="C221" i="34"/>
  <c r="C220" i="34"/>
  <c r="C219" i="34"/>
  <c r="C218" i="34"/>
  <c r="C217" i="34"/>
  <c r="C216" i="34"/>
  <c r="C215" i="34"/>
  <c r="C214" i="34"/>
  <c r="C213" i="34"/>
  <c r="C212" i="34"/>
  <c r="C211" i="34"/>
  <c r="C210" i="34"/>
  <c r="C209" i="34"/>
  <c r="C208" i="34"/>
  <c r="C207" i="34"/>
  <c r="C206" i="34"/>
  <c r="C205" i="34"/>
  <c r="C204" i="34"/>
  <c r="C203" i="34"/>
  <c r="C202" i="34"/>
  <c r="C201" i="34"/>
  <c r="C200" i="34"/>
  <c r="C199" i="34"/>
  <c r="C198" i="34"/>
  <c r="C197" i="34"/>
  <c r="C196" i="34"/>
  <c r="C195" i="34"/>
  <c r="C194" i="34"/>
  <c r="C193" i="34"/>
  <c r="C192" i="34"/>
  <c r="C191" i="34"/>
  <c r="C190" i="34"/>
  <c r="C189" i="34"/>
  <c r="C188" i="34"/>
  <c r="C187" i="34"/>
  <c r="C186" i="34"/>
  <c r="C185" i="34"/>
  <c r="C184" i="34"/>
  <c r="C183" i="34"/>
  <c r="C182" i="34"/>
  <c r="C181" i="34"/>
  <c r="C180" i="34"/>
  <c r="C179" i="34"/>
  <c r="C178" i="34"/>
  <c r="C177" i="34"/>
  <c r="C176" i="34"/>
  <c r="C175" i="34"/>
  <c r="C174" i="34"/>
  <c r="C173" i="34"/>
  <c r="C172" i="34"/>
  <c r="C171" i="34"/>
  <c r="C170" i="34"/>
  <c r="C169" i="34"/>
  <c r="C168" i="34"/>
  <c r="C167" i="34"/>
  <c r="C166" i="34"/>
  <c r="C165" i="34"/>
  <c r="C164" i="34"/>
  <c r="C163" i="34"/>
  <c r="C162" i="34"/>
  <c r="C161" i="34"/>
  <c r="C160" i="34"/>
  <c r="C159" i="34"/>
  <c r="C158" i="34"/>
  <c r="C157" i="34"/>
  <c r="C156" i="34"/>
  <c r="C155" i="34"/>
  <c r="C154" i="34"/>
  <c r="C153" i="34"/>
  <c r="C152" i="34"/>
  <c r="C151" i="34"/>
  <c r="C150" i="34"/>
  <c r="C149" i="34"/>
  <c r="C148" i="34"/>
  <c r="C147" i="34"/>
  <c r="C146" i="34"/>
  <c r="C145" i="34"/>
  <c r="C144" i="34"/>
  <c r="B144" i="34"/>
  <c r="B145" i="34" s="1"/>
  <c r="B146" i="34" s="1"/>
  <c r="B147" i="34" s="1"/>
  <c r="B148" i="34" s="1"/>
  <c r="B149" i="34" s="1"/>
  <c r="B150" i="34" s="1"/>
  <c r="B151" i="34" s="1"/>
  <c r="B152" i="34" s="1"/>
  <c r="B153" i="34" s="1"/>
  <c r="B154" i="34" s="1"/>
  <c r="B155" i="34" s="1"/>
  <c r="B156" i="34" s="1"/>
  <c r="B157" i="34" s="1"/>
  <c r="B158" i="34" s="1"/>
  <c r="B159" i="34" s="1"/>
  <c r="B160" i="34" s="1"/>
  <c r="B161" i="34" s="1"/>
  <c r="B162" i="34" s="1"/>
  <c r="B163" i="34" s="1"/>
  <c r="B164" i="34" s="1"/>
  <c r="B165" i="34" s="1"/>
  <c r="B166" i="34" s="1"/>
  <c r="B167" i="34" s="1"/>
  <c r="B168" i="34" s="1"/>
  <c r="B169" i="34" s="1"/>
  <c r="B170" i="34" s="1"/>
  <c r="B171" i="34" s="1"/>
  <c r="B172" i="34" s="1"/>
  <c r="B173" i="34" s="1"/>
  <c r="B174" i="34" s="1"/>
  <c r="B175" i="34" s="1"/>
  <c r="B176" i="34" s="1"/>
  <c r="B177" i="34" s="1"/>
  <c r="B178" i="34" s="1"/>
  <c r="B179" i="34" s="1"/>
  <c r="B180" i="34" s="1"/>
  <c r="B181" i="34" s="1"/>
  <c r="B182" i="34" s="1"/>
  <c r="B183" i="34" s="1"/>
  <c r="B184" i="34" s="1"/>
  <c r="B185" i="34" s="1"/>
  <c r="B186" i="34" s="1"/>
  <c r="B187" i="34" s="1"/>
  <c r="B188" i="34" s="1"/>
  <c r="B189" i="34" s="1"/>
  <c r="B190" i="34" s="1"/>
  <c r="B191" i="34" s="1"/>
  <c r="B192" i="34" s="1"/>
  <c r="B193" i="34" s="1"/>
  <c r="B194" i="34" s="1"/>
  <c r="B195" i="34" s="1"/>
  <c r="B196" i="34" s="1"/>
  <c r="B197" i="34" s="1"/>
  <c r="B198" i="34" s="1"/>
  <c r="B199" i="34" s="1"/>
  <c r="B200" i="34" s="1"/>
  <c r="B201" i="34" s="1"/>
  <c r="B202" i="34" s="1"/>
  <c r="B203" i="34" s="1"/>
  <c r="B204" i="34" s="1"/>
  <c r="B205" i="34" s="1"/>
  <c r="B206" i="34" s="1"/>
  <c r="B207" i="34" s="1"/>
  <c r="B208" i="34" s="1"/>
  <c r="B209" i="34" s="1"/>
  <c r="B210" i="34" s="1"/>
  <c r="B211" i="34" s="1"/>
  <c r="B212" i="34" s="1"/>
  <c r="B213" i="34" s="1"/>
  <c r="B214" i="34" s="1"/>
  <c r="B215" i="34" s="1"/>
  <c r="B216" i="34" s="1"/>
  <c r="B217" i="34" s="1"/>
  <c r="B218" i="34" s="1"/>
  <c r="B219" i="34" s="1"/>
  <c r="B220" i="34" s="1"/>
  <c r="B221" i="34" s="1"/>
  <c r="B222" i="34" s="1"/>
  <c r="B223" i="34" s="1"/>
  <c r="C143" i="34"/>
  <c r="C140" i="34"/>
  <c r="C138" i="34"/>
  <c r="C137" i="34"/>
  <c r="C136" i="34"/>
  <c r="C135" i="34"/>
  <c r="C125" i="34"/>
  <c r="C122" i="34"/>
  <c r="C121" i="34"/>
  <c r="C120" i="34"/>
  <c r="C119" i="34"/>
  <c r="C118" i="34"/>
  <c r="C117" i="34"/>
  <c r="C116" i="34"/>
  <c r="C115" i="34"/>
  <c r="C114" i="34"/>
  <c r="C113" i="34"/>
  <c r="C112" i="34"/>
  <c r="C111" i="34"/>
  <c r="C110" i="34"/>
  <c r="C109" i="34"/>
  <c r="C108" i="34"/>
  <c r="C107" i="34"/>
  <c r="C106" i="34"/>
  <c r="C105" i="34"/>
  <c r="C104" i="34"/>
  <c r="C103" i="34"/>
  <c r="C102" i="34"/>
  <c r="C101" i="34"/>
  <c r="C100" i="34"/>
  <c r="C99" i="34"/>
  <c r="C98" i="34"/>
  <c r="C97" i="34"/>
  <c r="C96" i="34"/>
  <c r="C93" i="34"/>
  <c r="C92" i="34"/>
  <c r="C91" i="34"/>
  <c r="C90" i="34"/>
  <c r="C89" i="34"/>
  <c r="C88" i="34"/>
  <c r="C87" i="34"/>
  <c r="C86" i="34"/>
  <c r="C85" i="34"/>
  <c r="C82" i="34"/>
  <c r="C81" i="34"/>
  <c r="C80" i="34"/>
  <c r="C79" i="34"/>
  <c r="C78" i="34"/>
  <c r="C77" i="34"/>
  <c r="C76" i="34"/>
  <c r="C75" i="34"/>
  <c r="C74" i="34"/>
  <c r="C73" i="34"/>
  <c r="C72" i="34"/>
  <c r="C71" i="34"/>
  <c r="C70" i="34"/>
  <c r="C69" i="34"/>
  <c r="C68" i="34"/>
  <c r="C67" i="34"/>
  <c r="C66" i="34"/>
  <c r="C65" i="34"/>
  <c r="C64" i="34"/>
  <c r="C63" i="34"/>
  <c r="C62" i="34"/>
  <c r="C61" i="34"/>
  <c r="C60" i="34"/>
  <c r="C59" i="34"/>
  <c r="C58" i="34"/>
  <c r="C57" i="34"/>
  <c r="C56" i="34"/>
  <c r="C55" i="34"/>
  <c r="C54" i="34"/>
  <c r="C53" i="34"/>
  <c r="C52" i="34"/>
  <c r="C51" i="34"/>
  <c r="C50" i="34"/>
  <c r="C49" i="34"/>
  <c r="C48" i="34"/>
  <c r="C47" i="34"/>
  <c r="C46" i="34"/>
  <c r="C45" i="34"/>
  <c r="C44" i="34"/>
  <c r="C43" i="34"/>
  <c r="C42" i="34"/>
  <c r="C41" i="34"/>
  <c r="C38" i="34"/>
  <c r="C37" i="34"/>
  <c r="C36" i="34"/>
  <c r="C35" i="34"/>
  <c r="C34" i="34"/>
  <c r="C33" i="34"/>
  <c r="C32" i="34"/>
  <c r="C31" i="34"/>
  <c r="C30" i="34"/>
  <c r="C29" i="34"/>
  <c r="C28" i="34"/>
  <c r="C23" i="34"/>
  <c r="C22" i="34"/>
  <c r="C21" i="34"/>
  <c r="C20" i="34"/>
  <c r="C19" i="34"/>
  <c r="C18" i="34"/>
  <c r="C13" i="34"/>
  <c r="B13" i="34"/>
  <c r="C12" i="34"/>
  <c r="B12" i="34"/>
  <c r="C11" i="34"/>
  <c r="B11" i="34"/>
  <c r="C10" i="34"/>
  <c r="B10" i="34"/>
  <c r="C9" i="34"/>
  <c r="B9" i="34"/>
  <c r="C8" i="34"/>
  <c r="B8" i="34"/>
  <c r="C7" i="34"/>
  <c r="B7" i="34"/>
  <c r="C6" i="34"/>
  <c r="B6" i="34"/>
  <c r="C5" i="34"/>
  <c r="B5" i="34"/>
  <c r="C4" i="34"/>
  <c r="B4" i="34"/>
  <c r="C2" i="34"/>
  <c r="C17" i="34" l="1"/>
  <c r="C225" i="33"/>
  <c r="C224" i="33"/>
  <c r="C223" i="33"/>
  <c r="C222" i="33"/>
  <c r="C221" i="33"/>
  <c r="C220" i="33"/>
  <c r="C219" i="33"/>
  <c r="C218" i="33"/>
  <c r="C217" i="33"/>
  <c r="C216" i="33"/>
  <c r="C215" i="33"/>
  <c r="C214" i="33"/>
  <c r="C213" i="33"/>
  <c r="C212" i="33"/>
  <c r="C211" i="33"/>
  <c r="C210" i="33"/>
  <c r="C209" i="33"/>
  <c r="C208" i="33"/>
  <c r="C207" i="33"/>
  <c r="C206" i="33"/>
  <c r="C205" i="33"/>
  <c r="C204" i="33"/>
  <c r="C203" i="33"/>
  <c r="C202" i="33"/>
  <c r="C201" i="33"/>
  <c r="C200" i="33"/>
  <c r="C199" i="33"/>
  <c r="C198" i="33"/>
  <c r="C197" i="33"/>
  <c r="C196" i="33"/>
  <c r="C195" i="33"/>
  <c r="C194" i="33"/>
  <c r="C193" i="33"/>
  <c r="C192" i="33"/>
  <c r="C191" i="33"/>
  <c r="C190" i="33"/>
  <c r="C189" i="33"/>
  <c r="C188" i="33"/>
  <c r="C187" i="33"/>
  <c r="C186" i="33"/>
  <c r="C185" i="33"/>
  <c r="C184" i="33"/>
  <c r="C183" i="33"/>
  <c r="C182" i="33"/>
  <c r="C181" i="33"/>
  <c r="C180" i="33"/>
  <c r="C179" i="33"/>
  <c r="C178" i="33"/>
  <c r="C177" i="33"/>
  <c r="C176" i="33"/>
  <c r="C175" i="33"/>
  <c r="C174" i="33"/>
  <c r="C173" i="33"/>
  <c r="C172" i="33"/>
  <c r="C171" i="33"/>
  <c r="C170" i="33"/>
  <c r="C169" i="33"/>
  <c r="C168" i="33"/>
  <c r="C167" i="33"/>
  <c r="C166" i="33"/>
  <c r="C165" i="33"/>
  <c r="C164" i="33"/>
  <c r="C163" i="33"/>
  <c r="C162" i="33"/>
  <c r="C161" i="33"/>
  <c r="C160" i="33"/>
  <c r="C159" i="33"/>
  <c r="C158" i="33"/>
  <c r="C157" i="33"/>
  <c r="C156" i="33"/>
  <c r="C155" i="33"/>
  <c r="C154" i="33"/>
  <c r="C153" i="33"/>
  <c r="C152" i="33"/>
  <c r="C151" i="33"/>
  <c r="C150" i="33"/>
  <c r="C149" i="33"/>
  <c r="C148" i="33"/>
  <c r="C147" i="33"/>
  <c r="C146" i="33"/>
  <c r="B146" i="33"/>
  <c r="B147" i="33" s="1"/>
  <c r="B148" i="33" s="1"/>
  <c r="B149" i="33" s="1"/>
  <c r="B150" i="33" s="1"/>
  <c r="B151" i="33" s="1"/>
  <c r="B152" i="33" s="1"/>
  <c r="B153" i="33" s="1"/>
  <c r="B154" i="33" s="1"/>
  <c r="B155" i="33" s="1"/>
  <c r="B156" i="33" s="1"/>
  <c r="B157" i="33" s="1"/>
  <c r="B158" i="33" s="1"/>
  <c r="B159" i="33" s="1"/>
  <c r="B160" i="33" s="1"/>
  <c r="B161" i="33" s="1"/>
  <c r="B162" i="33" s="1"/>
  <c r="C145" i="33"/>
  <c r="C142" i="33"/>
  <c r="C140" i="33"/>
  <c r="C139" i="33"/>
  <c r="C138" i="33"/>
  <c r="C137" i="33"/>
  <c r="C135" i="33"/>
  <c r="C134" i="33"/>
  <c r="C133" i="33"/>
  <c r="C132" i="33"/>
  <c r="C131" i="33"/>
  <c r="C130" i="33"/>
  <c r="C127" i="33"/>
  <c r="C124" i="33"/>
  <c r="C123" i="33"/>
  <c r="C122" i="33"/>
  <c r="C121" i="33"/>
  <c r="C120" i="33"/>
  <c r="C119" i="33"/>
  <c r="C118" i="33"/>
  <c r="C117" i="33"/>
  <c r="C116" i="33"/>
  <c r="C115" i="33"/>
  <c r="C114" i="33"/>
  <c r="C113" i="33"/>
  <c r="C112" i="33"/>
  <c r="C111" i="33"/>
  <c r="C110" i="33"/>
  <c r="C109" i="33"/>
  <c r="C108" i="33"/>
  <c r="C107" i="33"/>
  <c r="C106" i="33"/>
  <c r="C105" i="33"/>
  <c r="C104" i="33"/>
  <c r="C103" i="33"/>
  <c r="C102" i="33"/>
  <c r="C99" i="33"/>
  <c r="C98" i="33"/>
  <c r="C97" i="33"/>
  <c r="C96" i="33"/>
  <c r="C95" i="33"/>
  <c r="C94" i="33"/>
  <c r="C93" i="33"/>
  <c r="C92" i="33"/>
  <c r="C91" i="33"/>
  <c r="C88" i="33"/>
  <c r="C87" i="33"/>
  <c r="C86" i="33"/>
  <c r="C85" i="33"/>
  <c r="C84" i="33"/>
  <c r="C83" i="33"/>
  <c r="C82" i="33"/>
  <c r="C81" i="33"/>
  <c r="C80" i="33"/>
  <c r="C79" i="33"/>
  <c r="C78" i="33"/>
  <c r="C77" i="33"/>
  <c r="C76" i="33"/>
  <c r="C75" i="33"/>
  <c r="C74" i="33"/>
  <c r="C73" i="33"/>
  <c r="C72" i="33"/>
  <c r="C71" i="33"/>
  <c r="C70" i="33"/>
  <c r="C69" i="33"/>
  <c r="C68" i="33"/>
  <c r="C67" i="33"/>
  <c r="C66" i="33"/>
  <c r="C65" i="33"/>
  <c r="C64" i="33"/>
  <c r="C63" i="33"/>
  <c r="C62" i="33"/>
  <c r="C61" i="33"/>
  <c r="C60" i="33"/>
  <c r="C59" i="33"/>
  <c r="C58" i="33"/>
  <c r="C57" i="33"/>
  <c r="C56" i="33"/>
  <c r="C55" i="33"/>
  <c r="C54" i="33"/>
  <c r="C53" i="33"/>
  <c r="C52" i="33"/>
  <c r="C51" i="33"/>
  <c r="C50" i="33"/>
  <c r="C49" i="33"/>
  <c r="C48" i="33"/>
  <c r="C47" i="33"/>
  <c r="C46" i="33"/>
  <c r="C43" i="33"/>
  <c r="C42" i="33"/>
  <c r="C41" i="33"/>
  <c r="C40" i="33"/>
  <c r="C39" i="33"/>
  <c r="C38" i="33"/>
  <c r="C37" i="33"/>
  <c r="C36" i="33"/>
  <c r="C35" i="33"/>
  <c r="C34" i="33"/>
  <c r="B34" i="33"/>
  <c r="C33" i="33"/>
  <c r="B33" i="33"/>
  <c r="C32" i="33"/>
  <c r="B32" i="33"/>
  <c r="C31" i="33"/>
  <c r="B31" i="33"/>
  <c r="C30" i="33"/>
  <c r="C29" i="33"/>
  <c r="C28" i="33"/>
  <c r="C23" i="33"/>
  <c r="C22" i="33"/>
  <c r="C21" i="33"/>
  <c r="C20" i="33"/>
  <c r="C19" i="33"/>
  <c r="C17" i="33" s="1"/>
  <c r="C18" i="33"/>
  <c r="C13" i="33"/>
  <c r="B13" i="33"/>
  <c r="C12" i="33"/>
  <c r="B12" i="33"/>
  <c r="C11" i="33"/>
  <c r="B11" i="33"/>
  <c r="C10" i="33"/>
  <c r="B10" i="33"/>
  <c r="C9" i="33"/>
  <c r="B9" i="33"/>
  <c r="C8" i="33"/>
  <c r="B8" i="33"/>
  <c r="C7" i="33"/>
  <c r="B7" i="33"/>
  <c r="C6" i="33"/>
  <c r="B6" i="33"/>
  <c r="C5" i="33"/>
  <c r="B5" i="33"/>
  <c r="C4" i="33"/>
  <c r="B4" i="33"/>
  <c r="C2" i="33"/>
  <c r="B225" i="33" l="1"/>
  <c r="B163" i="33"/>
  <c r="B164" i="33" s="1"/>
  <c r="B165" i="33" s="1"/>
  <c r="B166" i="33" s="1"/>
  <c r="B167" i="33" s="1"/>
  <c r="B168" i="33" s="1"/>
  <c r="B169" i="33" s="1"/>
  <c r="B170" i="33" s="1"/>
  <c r="B171" i="33" s="1"/>
  <c r="B172" i="33" s="1"/>
  <c r="B173" i="33" s="1"/>
  <c r="B174" i="33" s="1"/>
  <c r="B175" i="33" s="1"/>
  <c r="B176" i="33" s="1"/>
  <c r="B177" i="33" s="1"/>
  <c r="B178" i="33" s="1"/>
  <c r="B179" i="33" s="1"/>
  <c r="B180" i="33" s="1"/>
  <c r="B181" i="33" s="1"/>
  <c r="B182" i="33" s="1"/>
  <c r="B183" i="33" s="1"/>
  <c r="B184" i="33" s="1"/>
  <c r="B185" i="33" s="1"/>
  <c r="B186" i="33" s="1"/>
  <c r="B187" i="33" s="1"/>
  <c r="B188" i="33" s="1"/>
  <c r="B189" i="33" s="1"/>
  <c r="B190" i="33" s="1"/>
  <c r="B191" i="33" s="1"/>
  <c r="B192" i="33" s="1"/>
  <c r="B193" i="33" s="1"/>
  <c r="B194" i="33" s="1"/>
  <c r="B195" i="33" s="1"/>
  <c r="B196" i="33" s="1"/>
  <c r="B197" i="33" s="1"/>
  <c r="B198" i="33" s="1"/>
  <c r="B199" i="33" s="1"/>
  <c r="B200" i="33" s="1"/>
  <c r="B201" i="33" s="1"/>
  <c r="B202" i="33" s="1"/>
  <c r="B203" i="33" s="1"/>
  <c r="B204" i="33" s="1"/>
  <c r="B205" i="33" s="1"/>
  <c r="B206" i="33" s="1"/>
  <c r="B207" i="33" s="1"/>
  <c r="B208" i="33" s="1"/>
  <c r="B209" i="33" s="1"/>
  <c r="B210" i="33" s="1"/>
  <c r="B211" i="33" s="1"/>
  <c r="B212" i="33" s="1"/>
  <c r="B213" i="33" s="1"/>
  <c r="B214" i="33" s="1"/>
  <c r="B215" i="33" s="1"/>
  <c r="B216" i="33" s="1"/>
  <c r="B217" i="33" s="1"/>
  <c r="B218" i="33" s="1"/>
  <c r="B219" i="33" s="1"/>
  <c r="B220" i="33" s="1"/>
  <c r="B221" i="33" s="1"/>
  <c r="B222" i="33" s="1"/>
  <c r="B223" i="33" s="1"/>
  <c r="B224" i="33" s="1"/>
  <c r="C223" i="32" l="1"/>
  <c r="C222" i="32"/>
  <c r="C221" i="32"/>
  <c r="C220" i="32"/>
  <c r="C219" i="32"/>
  <c r="C218" i="32"/>
  <c r="C217" i="32"/>
  <c r="C216" i="32"/>
  <c r="C215" i="32"/>
  <c r="C214" i="32"/>
  <c r="C213" i="32"/>
  <c r="C212" i="32"/>
  <c r="C211" i="32"/>
  <c r="C210" i="32"/>
  <c r="C209" i="32"/>
  <c r="C208" i="32"/>
  <c r="C207" i="32"/>
  <c r="C206" i="32"/>
  <c r="C205" i="32"/>
  <c r="C204" i="32"/>
  <c r="C203" i="32"/>
  <c r="C202" i="32"/>
  <c r="C201" i="32"/>
  <c r="C200" i="32"/>
  <c r="C199" i="32"/>
  <c r="C198" i="32"/>
  <c r="C197" i="32"/>
  <c r="C196" i="32"/>
  <c r="C195" i="32"/>
  <c r="C194" i="32"/>
  <c r="C193" i="32"/>
  <c r="C192" i="32"/>
  <c r="C191" i="32"/>
  <c r="C190" i="32"/>
  <c r="C189" i="32"/>
  <c r="C188" i="32"/>
  <c r="C187" i="32"/>
  <c r="C186" i="32"/>
  <c r="C185" i="32"/>
  <c r="C184" i="32"/>
  <c r="C183" i="32"/>
  <c r="C182" i="32"/>
  <c r="C181" i="32"/>
  <c r="C180" i="32"/>
  <c r="C179" i="32"/>
  <c r="C178" i="32"/>
  <c r="C177" i="32"/>
  <c r="C176" i="32"/>
  <c r="C175" i="32"/>
  <c r="C174" i="32"/>
  <c r="C173" i="32"/>
  <c r="C172" i="32"/>
  <c r="C171" i="32"/>
  <c r="C170" i="32"/>
  <c r="C169" i="32"/>
  <c r="C168" i="32"/>
  <c r="C167" i="32"/>
  <c r="C166" i="32"/>
  <c r="C165" i="32"/>
  <c r="C164" i="32"/>
  <c r="C163" i="32"/>
  <c r="C162" i="32"/>
  <c r="C161" i="32"/>
  <c r="C160" i="32"/>
  <c r="C159" i="32"/>
  <c r="C158" i="32"/>
  <c r="C157" i="32"/>
  <c r="C156" i="32"/>
  <c r="C155" i="32"/>
  <c r="C154" i="32"/>
  <c r="C153" i="32"/>
  <c r="C152" i="32"/>
  <c r="C151" i="32"/>
  <c r="C150" i="32"/>
  <c r="C149" i="32"/>
  <c r="C148" i="32"/>
  <c r="C147" i="32"/>
  <c r="C146" i="32"/>
  <c r="C145" i="32"/>
  <c r="C144" i="32"/>
  <c r="B144" i="32"/>
  <c r="B145" i="32" s="1"/>
  <c r="B146" i="32" s="1"/>
  <c r="B147" i="32" s="1"/>
  <c r="B148" i="32" s="1"/>
  <c r="B149" i="32" s="1"/>
  <c r="B150" i="32" s="1"/>
  <c r="B151" i="32" s="1"/>
  <c r="B152" i="32" s="1"/>
  <c r="B153" i="32" s="1"/>
  <c r="B154" i="32" s="1"/>
  <c r="B155" i="32" s="1"/>
  <c r="B156" i="32" s="1"/>
  <c r="B157" i="32" s="1"/>
  <c r="B158" i="32" s="1"/>
  <c r="B159" i="32" s="1"/>
  <c r="B160" i="32" s="1"/>
  <c r="B161" i="32" s="1"/>
  <c r="B162" i="32" s="1"/>
  <c r="B163" i="32" s="1"/>
  <c r="B164" i="32" s="1"/>
  <c r="B165" i="32" s="1"/>
  <c r="B166" i="32" s="1"/>
  <c r="B167" i="32" s="1"/>
  <c r="B168" i="32" s="1"/>
  <c r="B169" i="32" s="1"/>
  <c r="B170" i="32" s="1"/>
  <c r="B171" i="32" s="1"/>
  <c r="B172" i="32" s="1"/>
  <c r="B173" i="32" s="1"/>
  <c r="B174" i="32" s="1"/>
  <c r="B175" i="32" s="1"/>
  <c r="B176" i="32" s="1"/>
  <c r="B177" i="32" s="1"/>
  <c r="B178" i="32" s="1"/>
  <c r="B179" i="32" s="1"/>
  <c r="B180" i="32" s="1"/>
  <c r="B181" i="32" s="1"/>
  <c r="B182" i="32" s="1"/>
  <c r="B183" i="32" s="1"/>
  <c r="B184" i="32" s="1"/>
  <c r="B185" i="32" s="1"/>
  <c r="B186" i="32" s="1"/>
  <c r="B187" i="32" s="1"/>
  <c r="B188" i="32" s="1"/>
  <c r="B189" i="32" s="1"/>
  <c r="B190" i="32" s="1"/>
  <c r="B191" i="32" s="1"/>
  <c r="B192" i="32" s="1"/>
  <c r="B193" i="32" s="1"/>
  <c r="B194" i="32" s="1"/>
  <c r="B195" i="32" s="1"/>
  <c r="B196" i="32" s="1"/>
  <c r="B197" i="32" s="1"/>
  <c r="B198" i="32" s="1"/>
  <c r="B199" i="32" s="1"/>
  <c r="B200" i="32" s="1"/>
  <c r="B201" i="32" s="1"/>
  <c r="B202" i="32" s="1"/>
  <c r="B203" i="32" s="1"/>
  <c r="B204" i="32" s="1"/>
  <c r="B205" i="32" s="1"/>
  <c r="B206" i="32" s="1"/>
  <c r="B207" i="32" s="1"/>
  <c r="B208" i="32" s="1"/>
  <c r="B209" i="32" s="1"/>
  <c r="B210" i="32" s="1"/>
  <c r="B211" i="32" s="1"/>
  <c r="B212" i="32" s="1"/>
  <c r="B213" i="32" s="1"/>
  <c r="B214" i="32" s="1"/>
  <c r="B215" i="32" s="1"/>
  <c r="B216" i="32" s="1"/>
  <c r="B217" i="32" s="1"/>
  <c r="B218" i="32" s="1"/>
  <c r="B219" i="32" s="1"/>
  <c r="B220" i="32" s="1"/>
  <c r="B221" i="32" s="1"/>
  <c r="B222" i="32" s="1"/>
  <c r="B223" i="32" s="1"/>
  <c r="C143" i="32"/>
  <c r="C140" i="32"/>
  <c r="C138" i="32"/>
  <c r="C137" i="32"/>
  <c r="C136" i="32"/>
  <c r="C135" i="32"/>
  <c r="C125" i="32"/>
  <c r="C122" i="32"/>
  <c r="C121" i="32"/>
  <c r="C120" i="32"/>
  <c r="C119" i="32"/>
  <c r="C118" i="32"/>
  <c r="C117" i="32"/>
  <c r="C116" i="32"/>
  <c r="C115" i="32"/>
  <c r="C114" i="32"/>
  <c r="C113" i="32"/>
  <c r="C112" i="32"/>
  <c r="C111" i="32"/>
  <c r="C110" i="32"/>
  <c r="C109" i="32"/>
  <c r="C108" i="32"/>
  <c r="C107" i="32"/>
  <c r="C106" i="32"/>
  <c r="C105" i="32"/>
  <c r="C104" i="32"/>
  <c r="C103" i="32"/>
  <c r="C102" i="32"/>
  <c r="C101" i="32"/>
  <c r="C100" i="32"/>
  <c r="C99" i="32"/>
  <c r="C98" i="32"/>
  <c r="C97" i="32"/>
  <c r="C96" i="32"/>
  <c r="C93" i="32"/>
  <c r="C92" i="32"/>
  <c r="C91" i="32"/>
  <c r="C90" i="32"/>
  <c r="C89" i="32"/>
  <c r="C88" i="32"/>
  <c r="C87" i="32"/>
  <c r="C86" i="32"/>
  <c r="C85" i="32"/>
  <c r="C82" i="32"/>
  <c r="C81" i="32"/>
  <c r="C80" i="32"/>
  <c r="C79" i="32"/>
  <c r="C78" i="32"/>
  <c r="C77" i="32"/>
  <c r="C76" i="32"/>
  <c r="C75" i="32"/>
  <c r="C74" i="32"/>
  <c r="C73" i="32"/>
  <c r="C72" i="32"/>
  <c r="C71" i="32"/>
  <c r="C70" i="32"/>
  <c r="C69" i="32"/>
  <c r="C68" i="32"/>
  <c r="C67" i="32"/>
  <c r="C66" i="32"/>
  <c r="C65" i="32"/>
  <c r="C64" i="32"/>
  <c r="C63" i="32"/>
  <c r="C62" i="32"/>
  <c r="C61" i="32"/>
  <c r="C60" i="32"/>
  <c r="C59" i="32"/>
  <c r="C58" i="32"/>
  <c r="C57" i="32"/>
  <c r="C56" i="32"/>
  <c r="C55" i="32"/>
  <c r="C54" i="32"/>
  <c r="C53" i="32"/>
  <c r="C52" i="32"/>
  <c r="C51" i="32"/>
  <c r="C50" i="32"/>
  <c r="C49" i="32"/>
  <c r="C48" i="32"/>
  <c r="C47" i="32"/>
  <c r="C46" i="32"/>
  <c r="C45" i="32"/>
  <c r="C44" i="32"/>
  <c r="C43" i="32"/>
  <c r="C42" i="32"/>
  <c r="C41" i="32"/>
  <c r="C38" i="32"/>
  <c r="C37" i="32"/>
  <c r="C36" i="32"/>
  <c r="C35" i="32"/>
  <c r="C34" i="32"/>
  <c r="C33" i="32"/>
  <c r="C32" i="32"/>
  <c r="C31" i="32"/>
  <c r="C30" i="32"/>
  <c r="C29" i="32"/>
  <c r="C28" i="32"/>
  <c r="C23" i="32"/>
  <c r="C22" i="32"/>
  <c r="C21" i="32"/>
  <c r="C20" i="32"/>
  <c r="C19" i="32"/>
  <c r="C18" i="32"/>
  <c r="C13" i="32"/>
  <c r="B13" i="32"/>
  <c r="C12" i="32"/>
  <c r="B12" i="32"/>
  <c r="C11" i="32"/>
  <c r="B11" i="32"/>
  <c r="C10" i="32"/>
  <c r="B10" i="32"/>
  <c r="C9" i="32"/>
  <c r="B9" i="32"/>
  <c r="C8" i="32"/>
  <c r="B8" i="32"/>
  <c r="C7" i="32"/>
  <c r="B7" i="32"/>
  <c r="C6" i="32"/>
  <c r="B6" i="32"/>
  <c r="C5" i="32"/>
  <c r="B5" i="32"/>
  <c r="C4" i="32"/>
  <c r="B4" i="32"/>
  <c r="C2" i="32"/>
  <c r="C17" i="32" l="1"/>
  <c r="C223" i="31"/>
  <c r="C222" i="31"/>
  <c r="C221" i="31"/>
  <c r="C220" i="31"/>
  <c r="C219" i="31"/>
  <c r="C218" i="31"/>
  <c r="C217" i="31"/>
  <c r="C216" i="31"/>
  <c r="C215" i="31"/>
  <c r="C214" i="31"/>
  <c r="C213" i="31"/>
  <c r="C212" i="31"/>
  <c r="C211" i="31"/>
  <c r="C210" i="31"/>
  <c r="C209" i="31"/>
  <c r="C208" i="31"/>
  <c r="C207" i="31"/>
  <c r="C206" i="31"/>
  <c r="C205" i="31"/>
  <c r="C204" i="31"/>
  <c r="C203" i="31"/>
  <c r="C202" i="31"/>
  <c r="C201" i="31"/>
  <c r="C200" i="31"/>
  <c r="C199" i="31"/>
  <c r="C198" i="31"/>
  <c r="C197" i="31"/>
  <c r="C196" i="31"/>
  <c r="C195" i="31"/>
  <c r="C194" i="31"/>
  <c r="C193" i="31"/>
  <c r="C192" i="31"/>
  <c r="C191" i="31"/>
  <c r="C190" i="31"/>
  <c r="C189" i="31"/>
  <c r="C188" i="31"/>
  <c r="C187" i="31"/>
  <c r="C186" i="31"/>
  <c r="C185" i="31"/>
  <c r="C184" i="31"/>
  <c r="C183" i="31"/>
  <c r="C182" i="31"/>
  <c r="C181" i="31"/>
  <c r="C180" i="31"/>
  <c r="C179" i="31"/>
  <c r="C178" i="31"/>
  <c r="C177" i="31"/>
  <c r="C176" i="31"/>
  <c r="C175" i="31"/>
  <c r="C174" i="31"/>
  <c r="C173" i="31"/>
  <c r="C172" i="31"/>
  <c r="C171" i="31"/>
  <c r="C170" i="31"/>
  <c r="C169" i="31"/>
  <c r="C168" i="31"/>
  <c r="C167" i="31"/>
  <c r="C166" i="31"/>
  <c r="C165" i="31"/>
  <c r="C164" i="31"/>
  <c r="C163" i="31"/>
  <c r="C162" i="31"/>
  <c r="C161" i="31"/>
  <c r="C160" i="31"/>
  <c r="C159" i="31"/>
  <c r="C158" i="31"/>
  <c r="C157" i="31"/>
  <c r="C156" i="31"/>
  <c r="C155" i="31"/>
  <c r="C154" i="31"/>
  <c r="C153" i="31"/>
  <c r="C152" i="31"/>
  <c r="C151" i="31"/>
  <c r="C150" i="31"/>
  <c r="C149" i="31"/>
  <c r="C148" i="31"/>
  <c r="C147" i="31"/>
  <c r="C146" i="31"/>
  <c r="C145" i="31"/>
  <c r="C144" i="31"/>
  <c r="B144" i="31"/>
  <c r="B145" i="31" s="1"/>
  <c r="B146" i="31" s="1"/>
  <c r="B147" i="31" s="1"/>
  <c r="B148" i="31" s="1"/>
  <c r="B149" i="31" s="1"/>
  <c r="B150" i="31" s="1"/>
  <c r="B151" i="31" s="1"/>
  <c r="B152" i="31" s="1"/>
  <c r="B153" i="31" s="1"/>
  <c r="B154" i="31" s="1"/>
  <c r="B155" i="31" s="1"/>
  <c r="B156" i="31" s="1"/>
  <c r="B157" i="31" s="1"/>
  <c r="B158" i="31" s="1"/>
  <c r="B159" i="31" s="1"/>
  <c r="B160" i="31" s="1"/>
  <c r="B161" i="31" s="1"/>
  <c r="B162" i="31" s="1"/>
  <c r="B163" i="31" s="1"/>
  <c r="B164" i="31" s="1"/>
  <c r="B165" i="31" s="1"/>
  <c r="B166" i="31" s="1"/>
  <c r="B167" i="31" s="1"/>
  <c r="B168" i="31" s="1"/>
  <c r="B169" i="31" s="1"/>
  <c r="B170" i="31" s="1"/>
  <c r="B171" i="31" s="1"/>
  <c r="B172" i="31" s="1"/>
  <c r="B173" i="31" s="1"/>
  <c r="B174" i="31" s="1"/>
  <c r="B175" i="31" s="1"/>
  <c r="B176" i="31" s="1"/>
  <c r="B177" i="31" s="1"/>
  <c r="B178" i="31" s="1"/>
  <c r="B179" i="31" s="1"/>
  <c r="B180" i="31" s="1"/>
  <c r="B181" i="31" s="1"/>
  <c r="B182" i="31" s="1"/>
  <c r="B183" i="31" s="1"/>
  <c r="B184" i="31" s="1"/>
  <c r="B185" i="31" s="1"/>
  <c r="B186" i="31" s="1"/>
  <c r="B187" i="31" s="1"/>
  <c r="B188" i="31" s="1"/>
  <c r="B189" i="31" s="1"/>
  <c r="B190" i="31" s="1"/>
  <c r="B191" i="31" s="1"/>
  <c r="B192" i="31" s="1"/>
  <c r="B193" i="31" s="1"/>
  <c r="B194" i="31" s="1"/>
  <c r="B195" i="31" s="1"/>
  <c r="B196" i="31" s="1"/>
  <c r="B197" i="31" s="1"/>
  <c r="B198" i="31" s="1"/>
  <c r="B199" i="31" s="1"/>
  <c r="B200" i="31" s="1"/>
  <c r="B201" i="31" s="1"/>
  <c r="B202" i="31" s="1"/>
  <c r="B203" i="31" s="1"/>
  <c r="B204" i="31" s="1"/>
  <c r="B205" i="31" s="1"/>
  <c r="B206" i="31" s="1"/>
  <c r="B207" i="31" s="1"/>
  <c r="B208" i="31" s="1"/>
  <c r="B209" i="31" s="1"/>
  <c r="B210" i="31" s="1"/>
  <c r="B211" i="31" s="1"/>
  <c r="B212" i="31" s="1"/>
  <c r="B213" i="31" s="1"/>
  <c r="B214" i="31" s="1"/>
  <c r="B215" i="31" s="1"/>
  <c r="B216" i="31" s="1"/>
  <c r="B217" i="31" s="1"/>
  <c r="B218" i="31" s="1"/>
  <c r="B219" i="31" s="1"/>
  <c r="B220" i="31" s="1"/>
  <c r="B221" i="31" s="1"/>
  <c r="B222" i="31" s="1"/>
  <c r="B223" i="31" s="1"/>
  <c r="C143" i="31"/>
  <c r="C140" i="31"/>
  <c r="C138" i="31"/>
  <c r="C137" i="31"/>
  <c r="C136" i="31"/>
  <c r="C135" i="31"/>
  <c r="C125" i="31"/>
  <c r="C122" i="31"/>
  <c r="C121" i="31"/>
  <c r="C120" i="31"/>
  <c r="C119" i="31"/>
  <c r="C118" i="31"/>
  <c r="C117" i="31"/>
  <c r="C116" i="31"/>
  <c r="C115" i="31"/>
  <c r="C114" i="31"/>
  <c r="C113" i="31"/>
  <c r="C112" i="31"/>
  <c r="C111" i="31"/>
  <c r="C110" i="31"/>
  <c r="C109" i="31"/>
  <c r="C108" i="31"/>
  <c r="C107" i="31"/>
  <c r="C106" i="31"/>
  <c r="C105" i="31"/>
  <c r="C104" i="31"/>
  <c r="C103" i="31"/>
  <c r="C102" i="31"/>
  <c r="C101" i="31"/>
  <c r="C100" i="31"/>
  <c r="C99" i="31"/>
  <c r="C98" i="31"/>
  <c r="C97" i="31"/>
  <c r="C96" i="31"/>
  <c r="C93" i="31"/>
  <c r="C92" i="31"/>
  <c r="C91" i="31"/>
  <c r="C90" i="31"/>
  <c r="C89" i="31"/>
  <c r="C88" i="31"/>
  <c r="C87" i="31"/>
  <c r="C86" i="31"/>
  <c r="C85" i="31"/>
  <c r="C82" i="31"/>
  <c r="C81" i="31"/>
  <c r="C80" i="31"/>
  <c r="C79" i="31"/>
  <c r="C78" i="31"/>
  <c r="C77" i="31"/>
  <c r="C76" i="31"/>
  <c r="C75" i="31"/>
  <c r="C74" i="31"/>
  <c r="C73" i="31"/>
  <c r="C72" i="31"/>
  <c r="C71" i="31"/>
  <c r="C70" i="31"/>
  <c r="C69" i="31"/>
  <c r="C68" i="31"/>
  <c r="C67" i="31"/>
  <c r="C66" i="31"/>
  <c r="C65" i="31"/>
  <c r="C64" i="31"/>
  <c r="C63" i="31"/>
  <c r="C62" i="31"/>
  <c r="C61" i="31"/>
  <c r="C60" i="31"/>
  <c r="C59" i="31"/>
  <c r="C58" i="31"/>
  <c r="C57" i="31"/>
  <c r="C56" i="31"/>
  <c r="C55" i="31"/>
  <c r="C54" i="31"/>
  <c r="C53" i="31"/>
  <c r="C52" i="31"/>
  <c r="C51" i="31"/>
  <c r="C50" i="31"/>
  <c r="C49" i="31"/>
  <c r="C48" i="31"/>
  <c r="C47" i="31"/>
  <c r="C46" i="31"/>
  <c r="C45" i="31"/>
  <c r="C44" i="31"/>
  <c r="C43" i="31"/>
  <c r="C42" i="31"/>
  <c r="C41" i="31"/>
  <c r="C38" i="31"/>
  <c r="C37" i="31"/>
  <c r="C36" i="31"/>
  <c r="C35" i="31"/>
  <c r="C34" i="31"/>
  <c r="C33" i="31"/>
  <c r="C32" i="31"/>
  <c r="C31" i="31"/>
  <c r="C30" i="31"/>
  <c r="C29" i="31"/>
  <c r="C28" i="31"/>
  <c r="C23" i="31"/>
  <c r="C22" i="31"/>
  <c r="C21" i="31"/>
  <c r="C20" i="31"/>
  <c r="C19" i="31"/>
  <c r="C18" i="31"/>
  <c r="C13" i="31"/>
  <c r="B13" i="31"/>
  <c r="C12" i="31"/>
  <c r="B12" i="31"/>
  <c r="C11" i="31"/>
  <c r="B11" i="31"/>
  <c r="C10" i="31"/>
  <c r="B10" i="31"/>
  <c r="C9" i="31"/>
  <c r="B9" i="31"/>
  <c r="C8" i="31"/>
  <c r="B8" i="31"/>
  <c r="C7" i="31"/>
  <c r="B7" i="31"/>
  <c r="C6" i="31"/>
  <c r="B6" i="31"/>
  <c r="C5" i="31"/>
  <c r="B5" i="31"/>
  <c r="C4" i="31"/>
  <c r="B4" i="31"/>
  <c r="C2" i="31"/>
  <c r="C17" i="31" l="1"/>
  <c r="C223" i="30"/>
  <c r="C222" i="30"/>
  <c r="C221" i="30"/>
  <c r="C220" i="30"/>
  <c r="C219" i="30"/>
  <c r="C218" i="30"/>
  <c r="C217" i="30"/>
  <c r="C216" i="30"/>
  <c r="C215" i="30"/>
  <c r="C214" i="30"/>
  <c r="C213" i="30"/>
  <c r="C212" i="30"/>
  <c r="C211" i="30"/>
  <c r="C210" i="30"/>
  <c r="C209" i="30"/>
  <c r="C208" i="30"/>
  <c r="C207" i="30"/>
  <c r="C206" i="30"/>
  <c r="C205" i="30"/>
  <c r="C204" i="30"/>
  <c r="C203" i="30"/>
  <c r="C202" i="30"/>
  <c r="C201" i="30"/>
  <c r="C200" i="30"/>
  <c r="C199" i="30"/>
  <c r="C198" i="30"/>
  <c r="C197" i="30"/>
  <c r="C196" i="30"/>
  <c r="C195" i="30"/>
  <c r="C194" i="30"/>
  <c r="C193" i="30"/>
  <c r="C192" i="30"/>
  <c r="C191" i="30"/>
  <c r="C190" i="30"/>
  <c r="C189" i="30"/>
  <c r="C188" i="30"/>
  <c r="C187" i="30"/>
  <c r="C186" i="30"/>
  <c r="C185" i="30"/>
  <c r="C184" i="30"/>
  <c r="C183" i="30"/>
  <c r="C182" i="30"/>
  <c r="C181" i="30"/>
  <c r="C180" i="30"/>
  <c r="C179" i="30"/>
  <c r="C178" i="30"/>
  <c r="C177" i="30"/>
  <c r="C176" i="30"/>
  <c r="C175" i="30"/>
  <c r="C174" i="30"/>
  <c r="C173" i="30"/>
  <c r="C172" i="30"/>
  <c r="C171" i="30"/>
  <c r="C170" i="30"/>
  <c r="C169" i="30"/>
  <c r="C168" i="30"/>
  <c r="C167" i="30"/>
  <c r="C166" i="30"/>
  <c r="C165" i="30"/>
  <c r="C164" i="30"/>
  <c r="C163" i="30"/>
  <c r="C162" i="30"/>
  <c r="C161" i="30"/>
  <c r="C160" i="30"/>
  <c r="C159" i="30"/>
  <c r="C158" i="30"/>
  <c r="C157" i="30"/>
  <c r="C156" i="30"/>
  <c r="C155" i="30"/>
  <c r="C154" i="30"/>
  <c r="C153" i="30"/>
  <c r="C152" i="30"/>
  <c r="C151" i="30"/>
  <c r="C150" i="30"/>
  <c r="C149" i="30"/>
  <c r="C148" i="30"/>
  <c r="C147" i="30"/>
  <c r="C146" i="30"/>
  <c r="C145" i="30"/>
  <c r="C144" i="30"/>
  <c r="B144" i="30"/>
  <c r="B145" i="30" s="1"/>
  <c r="B146" i="30" s="1"/>
  <c r="B147" i="30" s="1"/>
  <c r="B148" i="30" s="1"/>
  <c r="B149" i="30" s="1"/>
  <c r="B150" i="30" s="1"/>
  <c r="B151" i="30" s="1"/>
  <c r="B152" i="30" s="1"/>
  <c r="B153" i="30" s="1"/>
  <c r="B154" i="30" s="1"/>
  <c r="B155" i="30" s="1"/>
  <c r="B156" i="30" s="1"/>
  <c r="B157" i="30" s="1"/>
  <c r="B158" i="30" s="1"/>
  <c r="B159" i="30" s="1"/>
  <c r="B160" i="30" s="1"/>
  <c r="B161" i="30" s="1"/>
  <c r="B162" i="30" s="1"/>
  <c r="B163" i="30" s="1"/>
  <c r="B164" i="30" s="1"/>
  <c r="B165" i="30" s="1"/>
  <c r="B166" i="30" s="1"/>
  <c r="B167" i="30" s="1"/>
  <c r="B168" i="30" s="1"/>
  <c r="B169" i="30" s="1"/>
  <c r="B170" i="30" s="1"/>
  <c r="B171" i="30" s="1"/>
  <c r="B172" i="30" s="1"/>
  <c r="B173" i="30" s="1"/>
  <c r="B174" i="30" s="1"/>
  <c r="B175" i="30" s="1"/>
  <c r="B176" i="30" s="1"/>
  <c r="B177" i="30" s="1"/>
  <c r="B178" i="30" s="1"/>
  <c r="B179" i="30" s="1"/>
  <c r="B180" i="30" s="1"/>
  <c r="B181" i="30" s="1"/>
  <c r="B182" i="30" s="1"/>
  <c r="B183" i="30" s="1"/>
  <c r="B184" i="30" s="1"/>
  <c r="B185" i="30" s="1"/>
  <c r="B186" i="30" s="1"/>
  <c r="B187" i="30" s="1"/>
  <c r="B188" i="30" s="1"/>
  <c r="B189" i="30" s="1"/>
  <c r="B190" i="30" s="1"/>
  <c r="B191" i="30" s="1"/>
  <c r="B192" i="30" s="1"/>
  <c r="B193" i="30" s="1"/>
  <c r="B194" i="30" s="1"/>
  <c r="B195" i="30" s="1"/>
  <c r="B196" i="30" s="1"/>
  <c r="B197" i="30" s="1"/>
  <c r="B198" i="30" s="1"/>
  <c r="B199" i="30" s="1"/>
  <c r="B200" i="30" s="1"/>
  <c r="B201" i="30" s="1"/>
  <c r="B202" i="30" s="1"/>
  <c r="B203" i="30" s="1"/>
  <c r="B204" i="30" s="1"/>
  <c r="B205" i="30" s="1"/>
  <c r="B206" i="30" s="1"/>
  <c r="B207" i="30" s="1"/>
  <c r="B208" i="30" s="1"/>
  <c r="B209" i="30" s="1"/>
  <c r="B210" i="30" s="1"/>
  <c r="B211" i="30" s="1"/>
  <c r="B212" i="30" s="1"/>
  <c r="B213" i="30" s="1"/>
  <c r="B214" i="30" s="1"/>
  <c r="B215" i="30" s="1"/>
  <c r="B216" i="30" s="1"/>
  <c r="B217" i="30" s="1"/>
  <c r="B218" i="30" s="1"/>
  <c r="B219" i="30" s="1"/>
  <c r="B220" i="30" s="1"/>
  <c r="B221" i="30" s="1"/>
  <c r="B222" i="30" s="1"/>
  <c r="B223" i="30" s="1"/>
  <c r="C143" i="30"/>
  <c r="C140" i="30"/>
  <c r="C138" i="30"/>
  <c r="C137" i="30"/>
  <c r="C136" i="30"/>
  <c r="C135" i="30"/>
  <c r="C125" i="30"/>
  <c r="C122" i="30"/>
  <c r="C121" i="30"/>
  <c r="C120" i="30"/>
  <c r="C119" i="30"/>
  <c r="C118" i="30"/>
  <c r="C117" i="30"/>
  <c r="C116" i="30"/>
  <c r="C115" i="30"/>
  <c r="C114" i="30"/>
  <c r="C113" i="30"/>
  <c r="C112" i="30"/>
  <c r="C111" i="30"/>
  <c r="C110" i="30"/>
  <c r="C109" i="30"/>
  <c r="C108" i="30"/>
  <c r="C107" i="30"/>
  <c r="C106" i="30"/>
  <c r="C105" i="30"/>
  <c r="C104" i="30"/>
  <c r="C103" i="30"/>
  <c r="C102" i="30"/>
  <c r="C101" i="30"/>
  <c r="C100" i="30"/>
  <c r="C99" i="30"/>
  <c r="C98" i="30"/>
  <c r="C97" i="30"/>
  <c r="C96" i="30"/>
  <c r="C93" i="30"/>
  <c r="C92" i="30"/>
  <c r="C91" i="30"/>
  <c r="C90" i="30"/>
  <c r="C89" i="30"/>
  <c r="C88" i="30"/>
  <c r="C87" i="30"/>
  <c r="C86" i="30"/>
  <c r="C85" i="30"/>
  <c r="C82" i="30"/>
  <c r="C81" i="30"/>
  <c r="C80" i="30"/>
  <c r="C79" i="30"/>
  <c r="C78" i="30"/>
  <c r="C77" i="30"/>
  <c r="C76" i="30"/>
  <c r="C75" i="30"/>
  <c r="C74" i="30"/>
  <c r="C73" i="30"/>
  <c r="C72" i="30"/>
  <c r="C71" i="30"/>
  <c r="C70" i="30"/>
  <c r="C69" i="30"/>
  <c r="C68" i="30"/>
  <c r="C67" i="30"/>
  <c r="C66" i="30"/>
  <c r="C65" i="30"/>
  <c r="C64" i="30"/>
  <c r="C63" i="30"/>
  <c r="C62" i="30"/>
  <c r="C61" i="30"/>
  <c r="C60" i="30"/>
  <c r="C59" i="30"/>
  <c r="C58" i="30"/>
  <c r="C57" i="30"/>
  <c r="C56" i="30"/>
  <c r="C55" i="30"/>
  <c r="C54" i="30"/>
  <c r="C53" i="30"/>
  <c r="C52" i="30"/>
  <c r="C51" i="30"/>
  <c r="C50" i="30"/>
  <c r="C49" i="30"/>
  <c r="C48" i="30"/>
  <c r="C47" i="30"/>
  <c r="C46" i="30"/>
  <c r="C45" i="30"/>
  <c r="C44" i="30"/>
  <c r="C43" i="30"/>
  <c r="C42" i="30"/>
  <c r="C41" i="30"/>
  <c r="C38" i="30"/>
  <c r="C37" i="30"/>
  <c r="C36" i="30"/>
  <c r="C35" i="30"/>
  <c r="C34" i="30"/>
  <c r="C33" i="30"/>
  <c r="C32" i="30"/>
  <c r="C31" i="30"/>
  <c r="C30" i="30"/>
  <c r="C29" i="30"/>
  <c r="C28" i="30"/>
  <c r="C23" i="30"/>
  <c r="C22" i="30"/>
  <c r="C21" i="30"/>
  <c r="C20" i="30"/>
  <c r="C19" i="30"/>
  <c r="C18" i="30"/>
  <c r="C13" i="30"/>
  <c r="B13" i="30"/>
  <c r="C12" i="30"/>
  <c r="B12" i="30"/>
  <c r="C11" i="30"/>
  <c r="B11" i="30"/>
  <c r="C10" i="30"/>
  <c r="B10" i="30"/>
  <c r="C9" i="30"/>
  <c r="B9" i="30"/>
  <c r="C8" i="30"/>
  <c r="B8" i="30"/>
  <c r="C7" i="30"/>
  <c r="B7" i="30"/>
  <c r="C6" i="30"/>
  <c r="B6" i="30"/>
  <c r="C5" i="30"/>
  <c r="B5" i="30"/>
  <c r="C4" i="30"/>
  <c r="B4" i="30"/>
  <c r="C2" i="30"/>
  <c r="C17" i="30" l="1"/>
  <c r="C225" i="29"/>
  <c r="C224" i="29"/>
  <c r="C223" i="29"/>
  <c r="C222" i="29"/>
  <c r="C221" i="29"/>
  <c r="C220" i="29"/>
  <c r="C219" i="29"/>
  <c r="C218" i="29"/>
  <c r="C217" i="29"/>
  <c r="C216" i="29"/>
  <c r="C215" i="29"/>
  <c r="C214" i="29"/>
  <c r="C213" i="29"/>
  <c r="C212" i="29"/>
  <c r="C211" i="29"/>
  <c r="C210" i="29"/>
  <c r="C209" i="29"/>
  <c r="C208" i="29"/>
  <c r="C207" i="29"/>
  <c r="C206" i="29"/>
  <c r="C205" i="29"/>
  <c r="C204" i="29"/>
  <c r="C203" i="29"/>
  <c r="C202" i="29"/>
  <c r="C201" i="29"/>
  <c r="C200" i="29"/>
  <c r="C199" i="29"/>
  <c r="C198" i="29"/>
  <c r="C197" i="29"/>
  <c r="C196" i="29"/>
  <c r="C195" i="29"/>
  <c r="C194" i="29"/>
  <c r="C193" i="29"/>
  <c r="C192" i="29"/>
  <c r="C191" i="29"/>
  <c r="C190" i="29"/>
  <c r="C189" i="29"/>
  <c r="C188" i="29"/>
  <c r="C187" i="29"/>
  <c r="C186" i="29"/>
  <c r="C185" i="29"/>
  <c r="C184" i="29"/>
  <c r="C183" i="29"/>
  <c r="C182" i="29"/>
  <c r="C181" i="29"/>
  <c r="C180" i="29"/>
  <c r="C179" i="29"/>
  <c r="C178" i="29"/>
  <c r="C177" i="29"/>
  <c r="C176" i="29"/>
  <c r="C175" i="29"/>
  <c r="C174" i="29"/>
  <c r="C173" i="29"/>
  <c r="C172" i="29"/>
  <c r="C171" i="29"/>
  <c r="C170" i="29"/>
  <c r="C169" i="29"/>
  <c r="C168" i="29"/>
  <c r="C167" i="29"/>
  <c r="C166" i="29"/>
  <c r="C165" i="29"/>
  <c r="C164" i="29"/>
  <c r="C163" i="29"/>
  <c r="C162" i="29"/>
  <c r="C161" i="29"/>
  <c r="C160" i="29"/>
  <c r="C159" i="29"/>
  <c r="C158" i="29"/>
  <c r="C157" i="29"/>
  <c r="C156" i="29"/>
  <c r="C155" i="29"/>
  <c r="C154" i="29"/>
  <c r="C153" i="29"/>
  <c r="C152" i="29"/>
  <c r="C151" i="29"/>
  <c r="C150" i="29"/>
  <c r="C149" i="29"/>
  <c r="C148" i="29"/>
  <c r="C147" i="29"/>
  <c r="C146" i="29"/>
  <c r="B146" i="29"/>
  <c r="B147" i="29" s="1"/>
  <c r="B148" i="29" s="1"/>
  <c r="B149" i="29" s="1"/>
  <c r="B150" i="29" s="1"/>
  <c r="B151" i="29" s="1"/>
  <c r="B152" i="29" s="1"/>
  <c r="B153" i="29" s="1"/>
  <c r="B154" i="29" s="1"/>
  <c r="B155" i="29" s="1"/>
  <c r="B156" i="29" s="1"/>
  <c r="B157" i="29" s="1"/>
  <c r="B158" i="29" s="1"/>
  <c r="B159" i="29" s="1"/>
  <c r="B160" i="29" s="1"/>
  <c r="B161" i="29" s="1"/>
  <c r="B162" i="29" s="1"/>
  <c r="C145" i="29"/>
  <c r="C142" i="29"/>
  <c r="C140" i="29"/>
  <c r="C139" i="29"/>
  <c r="C138" i="29"/>
  <c r="C137" i="29"/>
  <c r="C135" i="29"/>
  <c r="C134" i="29"/>
  <c r="C133" i="29"/>
  <c r="C132" i="29"/>
  <c r="C131" i="29"/>
  <c r="C130" i="29"/>
  <c r="C127" i="29"/>
  <c r="C124" i="29"/>
  <c r="C123" i="29"/>
  <c r="C122" i="29"/>
  <c r="C121" i="29"/>
  <c r="C120" i="29"/>
  <c r="C119" i="29"/>
  <c r="C118" i="29"/>
  <c r="C117" i="29"/>
  <c r="C116" i="29"/>
  <c r="C115" i="29"/>
  <c r="C114" i="29"/>
  <c r="C113" i="29"/>
  <c r="C112" i="29"/>
  <c r="C111" i="29"/>
  <c r="C110" i="29"/>
  <c r="C109" i="29"/>
  <c r="C108" i="29"/>
  <c r="C107" i="29"/>
  <c r="C106" i="29"/>
  <c r="C105" i="29"/>
  <c r="C104" i="29"/>
  <c r="C103" i="29"/>
  <c r="C102" i="29"/>
  <c r="C99" i="29"/>
  <c r="C98" i="29"/>
  <c r="C97" i="29"/>
  <c r="C96" i="29"/>
  <c r="C95" i="29"/>
  <c r="C94" i="29"/>
  <c r="C93" i="29"/>
  <c r="C92" i="29"/>
  <c r="C91" i="29"/>
  <c r="C88" i="29"/>
  <c r="C87" i="29"/>
  <c r="C86" i="29"/>
  <c r="C85" i="29"/>
  <c r="C84" i="29"/>
  <c r="C83" i="29"/>
  <c r="C82" i="29"/>
  <c r="C81" i="29"/>
  <c r="C80" i="29"/>
  <c r="C79" i="29"/>
  <c r="C78" i="29"/>
  <c r="C77" i="29"/>
  <c r="C76" i="29"/>
  <c r="C75" i="29"/>
  <c r="C74" i="29"/>
  <c r="C73" i="29"/>
  <c r="C72" i="29"/>
  <c r="C71" i="29"/>
  <c r="C70" i="29"/>
  <c r="C69" i="29"/>
  <c r="C68" i="29"/>
  <c r="C67" i="29"/>
  <c r="C66" i="29"/>
  <c r="C65" i="29"/>
  <c r="C64" i="29"/>
  <c r="C63" i="29"/>
  <c r="C62" i="29"/>
  <c r="C61" i="29"/>
  <c r="C60" i="29"/>
  <c r="C59" i="29"/>
  <c r="C58" i="29"/>
  <c r="C57" i="29"/>
  <c r="C56" i="29"/>
  <c r="C55" i="29"/>
  <c r="C54" i="29"/>
  <c r="C53" i="29"/>
  <c r="C52" i="29"/>
  <c r="C51" i="29"/>
  <c r="C50" i="29"/>
  <c r="C49" i="29"/>
  <c r="C48" i="29"/>
  <c r="C47" i="29"/>
  <c r="C46" i="29"/>
  <c r="C43" i="29"/>
  <c r="C42" i="29"/>
  <c r="C41" i="29"/>
  <c r="C40" i="29"/>
  <c r="C39" i="29"/>
  <c r="C38" i="29"/>
  <c r="C37" i="29"/>
  <c r="C36" i="29"/>
  <c r="C35" i="29"/>
  <c r="C34" i="29"/>
  <c r="B34" i="29"/>
  <c r="C33" i="29"/>
  <c r="B33" i="29"/>
  <c r="C32" i="29"/>
  <c r="B32" i="29"/>
  <c r="C31" i="29"/>
  <c r="B31" i="29"/>
  <c r="C30" i="29"/>
  <c r="C29" i="29"/>
  <c r="C28" i="29"/>
  <c r="C23" i="29"/>
  <c r="C22" i="29"/>
  <c r="C21" i="29"/>
  <c r="C20" i="29"/>
  <c r="C19" i="29"/>
  <c r="C18" i="29"/>
  <c r="C17" i="29" s="1"/>
  <c r="C13" i="29"/>
  <c r="B13" i="29"/>
  <c r="C12" i="29"/>
  <c r="B12" i="29"/>
  <c r="C11" i="29"/>
  <c r="B11" i="29"/>
  <c r="C10" i="29"/>
  <c r="B10" i="29"/>
  <c r="C9" i="29"/>
  <c r="B9" i="29"/>
  <c r="C8" i="29"/>
  <c r="B8" i="29"/>
  <c r="C7" i="29"/>
  <c r="B7" i="29"/>
  <c r="C6" i="29"/>
  <c r="B6" i="29"/>
  <c r="C5" i="29"/>
  <c r="B5" i="29"/>
  <c r="C4" i="29"/>
  <c r="B4" i="29"/>
  <c r="C2" i="29"/>
  <c r="B225" i="29" l="1"/>
  <c r="B163" i="29"/>
  <c r="B164" i="29" s="1"/>
  <c r="B165" i="29" s="1"/>
  <c r="B166" i="29" s="1"/>
  <c r="B167" i="29" s="1"/>
  <c r="B168" i="29" s="1"/>
  <c r="B169" i="29" s="1"/>
  <c r="B170" i="29" s="1"/>
  <c r="B171" i="29" s="1"/>
  <c r="B172" i="29" s="1"/>
  <c r="B173" i="29" s="1"/>
  <c r="B174" i="29" s="1"/>
  <c r="B175" i="29" s="1"/>
  <c r="B176" i="29" s="1"/>
  <c r="B177" i="29" s="1"/>
  <c r="B178" i="29" s="1"/>
  <c r="B179" i="29" s="1"/>
  <c r="B180" i="29" s="1"/>
  <c r="B181" i="29" s="1"/>
  <c r="B182" i="29" s="1"/>
  <c r="B183" i="29" s="1"/>
  <c r="B184" i="29" s="1"/>
  <c r="B185" i="29" s="1"/>
  <c r="B186" i="29" s="1"/>
  <c r="B187" i="29" s="1"/>
  <c r="B188" i="29" s="1"/>
  <c r="B189" i="29" s="1"/>
  <c r="B190" i="29" s="1"/>
  <c r="B191" i="29" s="1"/>
  <c r="B192" i="29" s="1"/>
  <c r="B193" i="29" s="1"/>
  <c r="B194" i="29" s="1"/>
  <c r="B195" i="29" s="1"/>
  <c r="B196" i="29" s="1"/>
  <c r="B197" i="29" s="1"/>
  <c r="B198" i="29" s="1"/>
  <c r="B199" i="29" s="1"/>
  <c r="B200" i="29" s="1"/>
  <c r="B201" i="29" s="1"/>
  <c r="B202" i="29" s="1"/>
  <c r="B203" i="29" s="1"/>
  <c r="B204" i="29" s="1"/>
  <c r="B205" i="29" s="1"/>
  <c r="B206" i="29" s="1"/>
  <c r="B207" i="29" s="1"/>
  <c r="B208" i="29" s="1"/>
  <c r="B209" i="29" s="1"/>
  <c r="B210" i="29" s="1"/>
  <c r="B211" i="29" s="1"/>
  <c r="B212" i="29" s="1"/>
  <c r="B213" i="29" s="1"/>
  <c r="B214" i="29" s="1"/>
  <c r="B215" i="29" s="1"/>
  <c r="B216" i="29" s="1"/>
  <c r="B217" i="29" s="1"/>
  <c r="B218" i="29" s="1"/>
  <c r="B219" i="29" s="1"/>
  <c r="B220" i="29" s="1"/>
  <c r="B221" i="29" s="1"/>
  <c r="B222" i="29" s="1"/>
  <c r="B223" i="29" s="1"/>
  <c r="B224" i="29" s="1"/>
  <c r="C223" i="26" l="1"/>
  <c r="C222" i="26"/>
  <c r="C221" i="26"/>
  <c r="C220" i="26"/>
  <c r="C219" i="26"/>
  <c r="C218" i="26"/>
  <c r="C217" i="26"/>
  <c r="C216" i="26"/>
  <c r="C215" i="26"/>
  <c r="C214" i="26"/>
  <c r="C213" i="26"/>
  <c r="C212" i="26"/>
  <c r="C211" i="26"/>
  <c r="C210" i="26"/>
  <c r="C209" i="26"/>
  <c r="C208" i="26"/>
  <c r="C207" i="26"/>
  <c r="C206" i="26"/>
  <c r="C205" i="26"/>
  <c r="C204" i="26"/>
  <c r="C203" i="26"/>
  <c r="C202" i="26"/>
  <c r="C201" i="26"/>
  <c r="C200" i="26"/>
  <c r="C199" i="26"/>
  <c r="C198" i="26"/>
  <c r="C197" i="26"/>
  <c r="C196" i="26"/>
  <c r="C195" i="26"/>
  <c r="C194" i="26"/>
  <c r="C193" i="26"/>
  <c r="C192" i="26"/>
  <c r="C191" i="26"/>
  <c r="C190" i="26"/>
  <c r="C189" i="26"/>
  <c r="C188" i="26"/>
  <c r="C187" i="26"/>
  <c r="C186" i="26"/>
  <c r="C185" i="26"/>
  <c r="C184" i="26"/>
  <c r="C183" i="26"/>
  <c r="C182" i="26"/>
  <c r="C181" i="26"/>
  <c r="C180" i="26"/>
  <c r="C179" i="26"/>
  <c r="C178" i="26"/>
  <c r="C177" i="26"/>
  <c r="C176" i="26"/>
  <c r="C175" i="26"/>
  <c r="C174" i="26"/>
  <c r="C173" i="26"/>
  <c r="C172" i="26"/>
  <c r="C171" i="26"/>
  <c r="C170" i="26"/>
  <c r="C169" i="26"/>
  <c r="C168" i="26"/>
  <c r="C167" i="26"/>
  <c r="C166" i="26"/>
  <c r="C165" i="26"/>
  <c r="C164" i="26"/>
  <c r="C163" i="26"/>
  <c r="C162" i="26"/>
  <c r="C161" i="26"/>
  <c r="C160" i="26"/>
  <c r="C159" i="26"/>
  <c r="C158" i="26"/>
  <c r="C157" i="26"/>
  <c r="C156" i="26"/>
  <c r="C155" i="26"/>
  <c r="C154" i="26"/>
  <c r="C153" i="26"/>
  <c r="C152" i="26"/>
  <c r="C151" i="26"/>
  <c r="C150" i="26"/>
  <c r="C149" i="26"/>
  <c r="C148" i="26"/>
  <c r="C147" i="26"/>
  <c r="C146" i="26"/>
  <c r="C145" i="26"/>
  <c r="C144" i="26"/>
  <c r="B144" i="26"/>
  <c r="B145" i="26" s="1"/>
  <c r="B146" i="26" s="1"/>
  <c r="B147" i="26" s="1"/>
  <c r="B148" i="26" s="1"/>
  <c r="B149" i="26" s="1"/>
  <c r="B150" i="26" s="1"/>
  <c r="B151" i="26" s="1"/>
  <c r="B152" i="26" s="1"/>
  <c r="B153" i="26" s="1"/>
  <c r="B154" i="26" s="1"/>
  <c r="B155" i="26" s="1"/>
  <c r="B156" i="26" s="1"/>
  <c r="B157" i="26" s="1"/>
  <c r="B158" i="26" s="1"/>
  <c r="B159" i="26" s="1"/>
  <c r="B160" i="26" s="1"/>
  <c r="B161" i="26" s="1"/>
  <c r="B162" i="26" s="1"/>
  <c r="B163" i="26" s="1"/>
  <c r="B164" i="26" s="1"/>
  <c r="B165" i="26" s="1"/>
  <c r="B166" i="26" s="1"/>
  <c r="B167" i="26" s="1"/>
  <c r="B168" i="26" s="1"/>
  <c r="B169" i="26" s="1"/>
  <c r="B170" i="26" s="1"/>
  <c r="B171" i="26" s="1"/>
  <c r="B172" i="26" s="1"/>
  <c r="B173" i="26" s="1"/>
  <c r="B174" i="26" s="1"/>
  <c r="B175" i="26" s="1"/>
  <c r="B176" i="26" s="1"/>
  <c r="B177" i="26" s="1"/>
  <c r="B178" i="26" s="1"/>
  <c r="B179" i="26" s="1"/>
  <c r="B180" i="26" s="1"/>
  <c r="B181" i="26" s="1"/>
  <c r="B182" i="26" s="1"/>
  <c r="B183" i="26" s="1"/>
  <c r="B184" i="26" s="1"/>
  <c r="B185" i="26" s="1"/>
  <c r="B186" i="26" s="1"/>
  <c r="B187" i="26" s="1"/>
  <c r="B188" i="26" s="1"/>
  <c r="B189" i="26" s="1"/>
  <c r="B190" i="26" s="1"/>
  <c r="B191" i="26" s="1"/>
  <c r="B192" i="26" s="1"/>
  <c r="B193" i="26" s="1"/>
  <c r="B194" i="26" s="1"/>
  <c r="B195" i="26" s="1"/>
  <c r="B196" i="26" s="1"/>
  <c r="B197" i="26" s="1"/>
  <c r="B198" i="26" s="1"/>
  <c r="B199" i="26" s="1"/>
  <c r="B200" i="26" s="1"/>
  <c r="B201" i="26" s="1"/>
  <c r="B202" i="26" s="1"/>
  <c r="B203" i="26" s="1"/>
  <c r="B204" i="26" s="1"/>
  <c r="B205" i="26" s="1"/>
  <c r="B206" i="26" s="1"/>
  <c r="B207" i="26" s="1"/>
  <c r="B208" i="26" s="1"/>
  <c r="B209" i="26" s="1"/>
  <c r="B210" i="26" s="1"/>
  <c r="B211" i="26" s="1"/>
  <c r="B212" i="26" s="1"/>
  <c r="B213" i="26" s="1"/>
  <c r="B214" i="26" s="1"/>
  <c r="B215" i="26" s="1"/>
  <c r="B216" i="26" s="1"/>
  <c r="B217" i="26" s="1"/>
  <c r="B218" i="26" s="1"/>
  <c r="B219" i="26" s="1"/>
  <c r="B220" i="26" s="1"/>
  <c r="B221" i="26" s="1"/>
  <c r="B222" i="26" s="1"/>
  <c r="B223" i="26" s="1"/>
  <c r="C143" i="26"/>
  <c r="C140" i="26"/>
  <c r="C138" i="26"/>
  <c r="C137" i="26"/>
  <c r="C136" i="26"/>
  <c r="C135" i="26"/>
  <c r="C125" i="26"/>
  <c r="C122" i="26"/>
  <c r="C121" i="26"/>
  <c r="C120" i="26"/>
  <c r="C119" i="26"/>
  <c r="C118" i="26"/>
  <c r="C117" i="26"/>
  <c r="C116" i="26"/>
  <c r="C115" i="26"/>
  <c r="C114" i="26"/>
  <c r="C113" i="26"/>
  <c r="C112" i="26"/>
  <c r="C111" i="26"/>
  <c r="C110" i="26"/>
  <c r="C109" i="26"/>
  <c r="C108" i="26"/>
  <c r="C107" i="26"/>
  <c r="C106" i="26"/>
  <c r="C105" i="26"/>
  <c r="C104" i="26"/>
  <c r="C103" i="26"/>
  <c r="C102" i="26"/>
  <c r="C101" i="26"/>
  <c r="C100" i="26"/>
  <c r="C99" i="26"/>
  <c r="C98" i="26"/>
  <c r="C97" i="26"/>
  <c r="C96" i="26"/>
  <c r="C93" i="26"/>
  <c r="C92" i="26"/>
  <c r="C91" i="26"/>
  <c r="C90" i="26"/>
  <c r="C89" i="26"/>
  <c r="C88" i="26"/>
  <c r="C87" i="26"/>
  <c r="C86" i="26"/>
  <c r="C85" i="26"/>
  <c r="C82" i="26"/>
  <c r="C81" i="26"/>
  <c r="C80" i="26"/>
  <c r="C79" i="26"/>
  <c r="C78" i="26"/>
  <c r="C77" i="26"/>
  <c r="C76" i="26"/>
  <c r="C75" i="26"/>
  <c r="C74" i="26"/>
  <c r="C73" i="26"/>
  <c r="C72" i="26"/>
  <c r="C71" i="26"/>
  <c r="C70" i="26"/>
  <c r="C69" i="26"/>
  <c r="C68" i="26"/>
  <c r="C67" i="26"/>
  <c r="C66" i="26"/>
  <c r="C65" i="26"/>
  <c r="C64" i="26"/>
  <c r="C63" i="26"/>
  <c r="C62" i="26"/>
  <c r="C61" i="26"/>
  <c r="C60" i="26"/>
  <c r="C59" i="26"/>
  <c r="C58" i="26"/>
  <c r="C57" i="26"/>
  <c r="C56" i="26"/>
  <c r="C55" i="26"/>
  <c r="C54" i="26"/>
  <c r="C53" i="26"/>
  <c r="C52" i="26"/>
  <c r="C51" i="26"/>
  <c r="C50" i="26"/>
  <c r="C49" i="26"/>
  <c r="C48" i="26"/>
  <c r="C47" i="26"/>
  <c r="C46" i="26"/>
  <c r="C45" i="26"/>
  <c r="C44" i="26"/>
  <c r="C43" i="26"/>
  <c r="C42" i="26"/>
  <c r="C41" i="26"/>
  <c r="C38" i="26"/>
  <c r="C37" i="26"/>
  <c r="C36" i="26"/>
  <c r="C35" i="26"/>
  <c r="C34" i="26"/>
  <c r="C33" i="26"/>
  <c r="C32" i="26"/>
  <c r="C31" i="26"/>
  <c r="C30" i="26"/>
  <c r="C29" i="26"/>
  <c r="C28" i="26"/>
  <c r="C23" i="26"/>
  <c r="C22" i="26"/>
  <c r="C21" i="26"/>
  <c r="C20" i="26"/>
  <c r="C19" i="26"/>
  <c r="C17" i="26" s="1"/>
  <c r="C18" i="26"/>
  <c r="C13" i="26"/>
  <c r="B13" i="26"/>
  <c r="C12" i="26"/>
  <c r="B12" i="26"/>
  <c r="C11" i="26"/>
  <c r="B11" i="26"/>
  <c r="C10" i="26"/>
  <c r="B10" i="26"/>
  <c r="C9" i="26"/>
  <c r="B9" i="26"/>
  <c r="C8" i="26"/>
  <c r="B8" i="26"/>
  <c r="C7" i="26"/>
  <c r="B7" i="26"/>
  <c r="C6" i="26"/>
  <c r="B6" i="26"/>
  <c r="C5" i="26"/>
  <c r="B5" i="26"/>
  <c r="C4" i="26"/>
  <c r="B4" i="26"/>
  <c r="C2" i="26"/>
  <c r="C225" i="25" l="1"/>
  <c r="C224" i="25"/>
  <c r="C223" i="25"/>
  <c r="C222" i="25"/>
  <c r="C221" i="25"/>
  <c r="C220" i="25"/>
  <c r="C219" i="25"/>
  <c r="C218" i="25"/>
  <c r="C217" i="25"/>
  <c r="C216" i="25"/>
  <c r="C215" i="25"/>
  <c r="C214" i="25"/>
  <c r="C213" i="25"/>
  <c r="C212" i="25"/>
  <c r="C211" i="25"/>
  <c r="C210" i="25"/>
  <c r="C209" i="25"/>
  <c r="C208" i="25"/>
  <c r="C207" i="25"/>
  <c r="C206" i="25"/>
  <c r="C205" i="25"/>
  <c r="C204" i="25"/>
  <c r="C203" i="25"/>
  <c r="C202" i="25"/>
  <c r="C201" i="25"/>
  <c r="C200" i="25"/>
  <c r="C199" i="25"/>
  <c r="C198" i="25"/>
  <c r="C197" i="25"/>
  <c r="C196" i="25"/>
  <c r="C195" i="25"/>
  <c r="C194" i="25"/>
  <c r="C193" i="25"/>
  <c r="C192" i="25"/>
  <c r="C191" i="25"/>
  <c r="C190" i="25"/>
  <c r="C189" i="25"/>
  <c r="C188" i="25"/>
  <c r="C187" i="25"/>
  <c r="C186" i="25"/>
  <c r="C185" i="25"/>
  <c r="C184" i="25"/>
  <c r="C183" i="25"/>
  <c r="C182" i="25"/>
  <c r="C181" i="25"/>
  <c r="C180" i="25"/>
  <c r="C179" i="25"/>
  <c r="C178" i="25"/>
  <c r="C177" i="25"/>
  <c r="C176" i="25"/>
  <c r="C175" i="25"/>
  <c r="C174" i="25"/>
  <c r="C173" i="25"/>
  <c r="C172" i="25"/>
  <c r="C171" i="25"/>
  <c r="C170" i="25"/>
  <c r="C169" i="25"/>
  <c r="C168" i="25"/>
  <c r="C167" i="25"/>
  <c r="C166" i="25"/>
  <c r="C165" i="25"/>
  <c r="C164" i="25"/>
  <c r="C163" i="25"/>
  <c r="C162" i="25"/>
  <c r="C161" i="25"/>
  <c r="C160" i="25"/>
  <c r="C159" i="25"/>
  <c r="C158" i="25"/>
  <c r="C157" i="25"/>
  <c r="C156" i="25"/>
  <c r="C155" i="25"/>
  <c r="C154" i="25"/>
  <c r="C153" i="25"/>
  <c r="C152" i="25"/>
  <c r="C151" i="25"/>
  <c r="C150" i="25"/>
  <c r="C149" i="25"/>
  <c r="C148" i="25"/>
  <c r="C147" i="25"/>
  <c r="C146" i="25"/>
  <c r="B146" i="25"/>
  <c r="B147" i="25" s="1"/>
  <c r="B148" i="25" s="1"/>
  <c r="B149" i="25" s="1"/>
  <c r="B150" i="25" s="1"/>
  <c r="B151" i="25" s="1"/>
  <c r="B152" i="25" s="1"/>
  <c r="B153" i="25" s="1"/>
  <c r="B154" i="25" s="1"/>
  <c r="B155" i="25" s="1"/>
  <c r="B156" i="25" s="1"/>
  <c r="B157" i="25" s="1"/>
  <c r="B158" i="25" s="1"/>
  <c r="B159" i="25" s="1"/>
  <c r="B160" i="25" s="1"/>
  <c r="B161" i="25" s="1"/>
  <c r="B162" i="25" s="1"/>
  <c r="C145" i="25"/>
  <c r="C142" i="25"/>
  <c r="C140" i="25"/>
  <c r="C139" i="25"/>
  <c r="C138" i="25"/>
  <c r="C137" i="25"/>
  <c r="C135" i="25"/>
  <c r="C134" i="25"/>
  <c r="C133" i="25"/>
  <c r="C132" i="25"/>
  <c r="C131" i="25"/>
  <c r="C130" i="25"/>
  <c r="C127" i="25"/>
  <c r="C124" i="25"/>
  <c r="C123" i="25"/>
  <c r="C122" i="25"/>
  <c r="C121" i="25"/>
  <c r="C120" i="25"/>
  <c r="C119" i="25"/>
  <c r="C118" i="25"/>
  <c r="C117" i="25"/>
  <c r="C116" i="25"/>
  <c r="C115" i="25"/>
  <c r="C114" i="25"/>
  <c r="C113" i="25"/>
  <c r="C112" i="25"/>
  <c r="C111" i="25"/>
  <c r="C110" i="25"/>
  <c r="C109" i="25"/>
  <c r="C108" i="25"/>
  <c r="C107" i="25"/>
  <c r="C106" i="25"/>
  <c r="C105" i="25"/>
  <c r="C104" i="25"/>
  <c r="C103" i="25"/>
  <c r="C102" i="25"/>
  <c r="C99" i="25"/>
  <c r="C98" i="25"/>
  <c r="C97" i="25"/>
  <c r="C96" i="25"/>
  <c r="C95" i="25"/>
  <c r="C94" i="25"/>
  <c r="C93" i="25"/>
  <c r="C92" i="25"/>
  <c r="C91" i="25"/>
  <c r="C88" i="25"/>
  <c r="C87" i="25"/>
  <c r="C86" i="25"/>
  <c r="C85" i="25"/>
  <c r="C84" i="25"/>
  <c r="C83" i="25"/>
  <c r="C82" i="25"/>
  <c r="C81" i="25"/>
  <c r="C80" i="25"/>
  <c r="C79" i="25"/>
  <c r="C78" i="25"/>
  <c r="C77" i="25"/>
  <c r="C76" i="25"/>
  <c r="C75" i="25"/>
  <c r="C74" i="25"/>
  <c r="C73" i="25"/>
  <c r="C72" i="25"/>
  <c r="C71" i="25"/>
  <c r="C70" i="25"/>
  <c r="C69" i="25"/>
  <c r="C68" i="25"/>
  <c r="C67" i="25"/>
  <c r="C66" i="25"/>
  <c r="C65" i="25"/>
  <c r="C64" i="25"/>
  <c r="C63" i="25"/>
  <c r="C62" i="25"/>
  <c r="C61" i="25"/>
  <c r="C60" i="25"/>
  <c r="C59" i="25"/>
  <c r="C58" i="25"/>
  <c r="C57" i="25"/>
  <c r="C56" i="25"/>
  <c r="C55" i="25"/>
  <c r="C54" i="25"/>
  <c r="C53" i="25"/>
  <c r="C52" i="25"/>
  <c r="C51" i="25"/>
  <c r="C50" i="25"/>
  <c r="C49" i="25"/>
  <c r="C48" i="25"/>
  <c r="C47" i="25"/>
  <c r="C46" i="25"/>
  <c r="C43" i="25"/>
  <c r="C42" i="25"/>
  <c r="C41" i="25"/>
  <c r="C40" i="25"/>
  <c r="C39" i="25"/>
  <c r="C38" i="25"/>
  <c r="C37" i="25"/>
  <c r="C36" i="25"/>
  <c r="C35" i="25"/>
  <c r="C34" i="25"/>
  <c r="B34" i="25"/>
  <c r="C33" i="25"/>
  <c r="B33" i="25"/>
  <c r="C32" i="25"/>
  <c r="B32" i="25"/>
  <c r="C31" i="25"/>
  <c r="B31" i="25"/>
  <c r="C30" i="25"/>
  <c r="C29" i="25"/>
  <c r="C28" i="25"/>
  <c r="C23" i="25"/>
  <c r="C22" i="25"/>
  <c r="C21" i="25"/>
  <c r="C20" i="25"/>
  <c r="C19" i="25"/>
  <c r="C17" i="25" s="1"/>
  <c r="C18" i="25"/>
  <c r="C13" i="25"/>
  <c r="B13" i="25"/>
  <c r="C12" i="25"/>
  <c r="B12" i="25"/>
  <c r="C11" i="25"/>
  <c r="B11" i="25"/>
  <c r="C10" i="25"/>
  <c r="B10" i="25"/>
  <c r="C9" i="25"/>
  <c r="B9" i="25"/>
  <c r="C8" i="25"/>
  <c r="B8" i="25"/>
  <c r="C7" i="25"/>
  <c r="B7" i="25"/>
  <c r="C6" i="25"/>
  <c r="B6" i="25"/>
  <c r="C5" i="25"/>
  <c r="B5" i="25"/>
  <c r="C4" i="25"/>
  <c r="B4" i="25"/>
  <c r="C2" i="25"/>
  <c r="B225" i="25" l="1"/>
  <c r="B163" i="25"/>
  <c r="B164" i="25" s="1"/>
  <c r="B165" i="25" s="1"/>
  <c r="B166" i="25" s="1"/>
  <c r="B167" i="25" s="1"/>
  <c r="B168" i="25" s="1"/>
  <c r="B169" i="25" s="1"/>
  <c r="B170" i="25" s="1"/>
  <c r="B171" i="25" s="1"/>
  <c r="B172" i="25" s="1"/>
  <c r="B173" i="25" s="1"/>
  <c r="B174" i="25" s="1"/>
  <c r="B175" i="25" s="1"/>
  <c r="B176" i="25" s="1"/>
  <c r="B177" i="25" s="1"/>
  <c r="B178" i="25" s="1"/>
  <c r="B179" i="25" s="1"/>
  <c r="B180" i="25" s="1"/>
  <c r="B181" i="25" s="1"/>
  <c r="B182" i="25" s="1"/>
  <c r="B183" i="25" s="1"/>
  <c r="B184" i="25" s="1"/>
  <c r="B185" i="25" s="1"/>
  <c r="B186" i="25" s="1"/>
  <c r="B187" i="25" s="1"/>
  <c r="B188" i="25" s="1"/>
  <c r="B189" i="25" s="1"/>
  <c r="B190" i="25" s="1"/>
  <c r="B191" i="25" s="1"/>
  <c r="B192" i="25" s="1"/>
  <c r="B193" i="25" s="1"/>
  <c r="B194" i="25" s="1"/>
  <c r="B195" i="25" s="1"/>
  <c r="B196" i="25" s="1"/>
  <c r="B197" i="25" s="1"/>
  <c r="B198" i="25" s="1"/>
  <c r="B199" i="25" s="1"/>
  <c r="B200" i="25" s="1"/>
  <c r="B201" i="25" s="1"/>
  <c r="B202" i="25" s="1"/>
  <c r="B203" i="25" s="1"/>
  <c r="B204" i="25" s="1"/>
  <c r="B205" i="25" s="1"/>
  <c r="B206" i="25" s="1"/>
  <c r="B207" i="25" s="1"/>
  <c r="B208" i="25" s="1"/>
  <c r="B209" i="25" s="1"/>
  <c r="B210" i="25" s="1"/>
  <c r="B211" i="25" s="1"/>
  <c r="B212" i="25" s="1"/>
  <c r="B213" i="25" s="1"/>
  <c r="B214" i="25" s="1"/>
  <c r="B215" i="25" s="1"/>
  <c r="B216" i="25" s="1"/>
  <c r="B217" i="25" s="1"/>
  <c r="B218" i="25" s="1"/>
  <c r="B219" i="25" s="1"/>
  <c r="B220" i="25" s="1"/>
  <c r="B221" i="25" s="1"/>
  <c r="B222" i="25" s="1"/>
  <c r="B223" i="25" s="1"/>
  <c r="B224" i="25" s="1"/>
  <c r="C225" i="27" l="1"/>
  <c r="C224" i="27"/>
  <c r="C223" i="27"/>
  <c r="C222" i="27"/>
  <c r="C221" i="27"/>
  <c r="C220" i="27"/>
  <c r="C219" i="27"/>
  <c r="C218" i="27"/>
  <c r="C217" i="27"/>
  <c r="C216" i="27"/>
  <c r="C215" i="27"/>
  <c r="C214" i="27"/>
  <c r="C213" i="27"/>
  <c r="C212" i="27"/>
  <c r="C211" i="27"/>
  <c r="C210" i="27"/>
  <c r="C209" i="27"/>
  <c r="C208" i="27"/>
  <c r="C207" i="27"/>
  <c r="C206" i="27"/>
  <c r="C205" i="27"/>
  <c r="C204" i="27"/>
  <c r="C203" i="27"/>
  <c r="C202" i="27"/>
  <c r="C201" i="27"/>
  <c r="C200" i="27"/>
  <c r="C199" i="27"/>
  <c r="C198" i="27"/>
  <c r="C197" i="27"/>
  <c r="C196" i="27"/>
  <c r="C195" i="27"/>
  <c r="C194" i="27"/>
  <c r="C193" i="27"/>
  <c r="C192" i="27"/>
  <c r="C191" i="27"/>
  <c r="C190" i="27"/>
  <c r="C189" i="27"/>
  <c r="C188" i="27"/>
  <c r="C187" i="27"/>
  <c r="C186" i="27"/>
  <c r="C185" i="27"/>
  <c r="C184" i="27"/>
  <c r="C183" i="27"/>
  <c r="C182" i="27"/>
  <c r="C181" i="27"/>
  <c r="C180" i="27"/>
  <c r="C179" i="27"/>
  <c r="C178" i="27"/>
  <c r="C177" i="27"/>
  <c r="C176" i="27"/>
  <c r="C175" i="27"/>
  <c r="C174" i="27"/>
  <c r="C173" i="27"/>
  <c r="C172" i="27"/>
  <c r="C171" i="27"/>
  <c r="C170" i="27"/>
  <c r="C169" i="27"/>
  <c r="C168" i="27"/>
  <c r="C167" i="27"/>
  <c r="C166" i="27"/>
  <c r="C165" i="27"/>
  <c r="C164" i="27"/>
  <c r="C163" i="27"/>
  <c r="C162" i="27"/>
  <c r="C161" i="27"/>
  <c r="C160" i="27"/>
  <c r="C159" i="27"/>
  <c r="C158" i="27"/>
  <c r="C157" i="27"/>
  <c r="C156" i="27"/>
  <c r="C155" i="27"/>
  <c r="C154" i="27"/>
  <c r="C153" i="27"/>
  <c r="C152" i="27"/>
  <c r="C151" i="27"/>
  <c r="C150" i="27"/>
  <c r="C149" i="27"/>
  <c r="C148" i="27"/>
  <c r="C147" i="27"/>
  <c r="C146" i="27"/>
  <c r="B146" i="27"/>
  <c r="B147" i="27" s="1"/>
  <c r="B148" i="27" s="1"/>
  <c r="B149" i="27" s="1"/>
  <c r="B150" i="27" s="1"/>
  <c r="B151" i="27" s="1"/>
  <c r="B152" i="27" s="1"/>
  <c r="B153" i="27" s="1"/>
  <c r="B154" i="27" s="1"/>
  <c r="B155" i="27" s="1"/>
  <c r="B156" i="27" s="1"/>
  <c r="B157" i="27" s="1"/>
  <c r="B158" i="27" s="1"/>
  <c r="B159" i="27" s="1"/>
  <c r="B160" i="27" s="1"/>
  <c r="B161" i="27" s="1"/>
  <c r="B162" i="27" s="1"/>
  <c r="C145" i="27"/>
  <c r="C142" i="27"/>
  <c r="C140" i="27"/>
  <c r="C139" i="27"/>
  <c r="C138" i="27"/>
  <c r="C137" i="27"/>
  <c r="C135" i="27"/>
  <c r="C134" i="27"/>
  <c r="C133" i="27"/>
  <c r="C132" i="27"/>
  <c r="C131" i="27"/>
  <c r="C130" i="27"/>
  <c r="C127" i="27"/>
  <c r="C124" i="27"/>
  <c r="C123" i="27"/>
  <c r="C122" i="27"/>
  <c r="C121" i="27"/>
  <c r="C120" i="27"/>
  <c r="C119" i="27"/>
  <c r="C118" i="27"/>
  <c r="C117" i="27"/>
  <c r="C116" i="27"/>
  <c r="C115" i="27"/>
  <c r="C114" i="27"/>
  <c r="C113" i="27"/>
  <c r="C112" i="27"/>
  <c r="C111" i="27"/>
  <c r="C110" i="27"/>
  <c r="C109" i="27"/>
  <c r="C108" i="27"/>
  <c r="C107" i="27"/>
  <c r="C106" i="27"/>
  <c r="C105" i="27"/>
  <c r="C104" i="27"/>
  <c r="C103" i="27"/>
  <c r="C102" i="27"/>
  <c r="C99" i="27"/>
  <c r="C98" i="27"/>
  <c r="C97" i="27"/>
  <c r="C96" i="27"/>
  <c r="C95" i="27"/>
  <c r="C94" i="27"/>
  <c r="C93" i="27"/>
  <c r="C92" i="27"/>
  <c r="C91" i="27"/>
  <c r="C88" i="27"/>
  <c r="C87" i="27"/>
  <c r="C86" i="27"/>
  <c r="C85" i="27"/>
  <c r="C84" i="27"/>
  <c r="C83" i="27"/>
  <c r="C82" i="27"/>
  <c r="C81" i="27"/>
  <c r="C80" i="27"/>
  <c r="C79" i="27"/>
  <c r="C78" i="27"/>
  <c r="C77" i="27"/>
  <c r="C76" i="27"/>
  <c r="C75" i="27"/>
  <c r="C74" i="27"/>
  <c r="C73" i="27"/>
  <c r="C72" i="27"/>
  <c r="C71" i="27"/>
  <c r="C70" i="27"/>
  <c r="C69" i="27"/>
  <c r="C68" i="27"/>
  <c r="C67" i="27"/>
  <c r="C66" i="27"/>
  <c r="C65" i="27"/>
  <c r="C64" i="27"/>
  <c r="C63" i="27"/>
  <c r="C62" i="27"/>
  <c r="C61" i="27"/>
  <c r="C60" i="27"/>
  <c r="C59" i="27"/>
  <c r="C58" i="27"/>
  <c r="C57" i="27"/>
  <c r="C56" i="27"/>
  <c r="C55" i="27"/>
  <c r="C54" i="27"/>
  <c r="C53" i="27"/>
  <c r="C52" i="27"/>
  <c r="C51" i="27"/>
  <c r="C50" i="27"/>
  <c r="C49" i="27"/>
  <c r="C48" i="27"/>
  <c r="C47" i="27"/>
  <c r="C46" i="27"/>
  <c r="C43" i="27"/>
  <c r="C42" i="27"/>
  <c r="C41" i="27"/>
  <c r="C40" i="27"/>
  <c r="C39" i="27"/>
  <c r="C38" i="27"/>
  <c r="C37" i="27"/>
  <c r="C36" i="27"/>
  <c r="C35" i="27"/>
  <c r="C34" i="27"/>
  <c r="B34" i="27"/>
  <c r="C33" i="27"/>
  <c r="B33" i="27"/>
  <c r="C32" i="27"/>
  <c r="B32" i="27"/>
  <c r="C31" i="27"/>
  <c r="B31" i="27"/>
  <c r="C30" i="27"/>
  <c r="C29" i="27"/>
  <c r="C28" i="27"/>
  <c r="C23" i="27"/>
  <c r="C22" i="27"/>
  <c r="C21" i="27"/>
  <c r="C20" i="27"/>
  <c r="C19" i="27"/>
  <c r="C17" i="27" s="1"/>
  <c r="C18" i="27"/>
  <c r="C13" i="27"/>
  <c r="B13" i="27"/>
  <c r="C12" i="27"/>
  <c r="B12" i="27"/>
  <c r="C11" i="27"/>
  <c r="B11" i="27"/>
  <c r="C10" i="27"/>
  <c r="B10" i="27"/>
  <c r="C9" i="27"/>
  <c r="B9" i="27"/>
  <c r="C8" i="27"/>
  <c r="B8" i="27"/>
  <c r="C7" i="27"/>
  <c r="B7" i="27"/>
  <c r="C6" i="27"/>
  <c r="B6" i="27"/>
  <c r="C5" i="27"/>
  <c r="B5" i="27"/>
  <c r="C4" i="27"/>
  <c r="B4" i="27"/>
  <c r="C2" i="27"/>
  <c r="B225" i="27" l="1"/>
  <c r="B163" i="27"/>
  <c r="B164" i="27" s="1"/>
  <c r="B165" i="27" s="1"/>
  <c r="B166" i="27" s="1"/>
  <c r="B167" i="27" s="1"/>
  <c r="B168" i="27" s="1"/>
  <c r="B169" i="27" s="1"/>
  <c r="B170" i="27" s="1"/>
  <c r="B171" i="27" s="1"/>
  <c r="B172" i="27" s="1"/>
  <c r="B173" i="27" s="1"/>
  <c r="B174" i="27" s="1"/>
  <c r="B175" i="27" s="1"/>
  <c r="B176" i="27" s="1"/>
  <c r="B177" i="27" s="1"/>
  <c r="B178" i="27" s="1"/>
  <c r="B179" i="27" s="1"/>
  <c r="B180" i="27" s="1"/>
  <c r="B181" i="27" s="1"/>
  <c r="B182" i="27" s="1"/>
  <c r="B183" i="27" s="1"/>
  <c r="B184" i="27" s="1"/>
  <c r="B185" i="27" s="1"/>
  <c r="B186" i="27" s="1"/>
  <c r="B187" i="27" s="1"/>
  <c r="B188" i="27" s="1"/>
  <c r="B189" i="27" s="1"/>
  <c r="B190" i="27" s="1"/>
  <c r="B191" i="27" s="1"/>
  <c r="B192" i="27" s="1"/>
  <c r="B193" i="27" s="1"/>
  <c r="B194" i="27" s="1"/>
  <c r="B195" i="27" s="1"/>
  <c r="B196" i="27" s="1"/>
  <c r="B197" i="27" s="1"/>
  <c r="B198" i="27" s="1"/>
  <c r="B199" i="27" s="1"/>
  <c r="B200" i="27" s="1"/>
  <c r="B201" i="27" s="1"/>
  <c r="B202" i="27" s="1"/>
  <c r="B203" i="27" s="1"/>
  <c r="B204" i="27" s="1"/>
  <c r="B205" i="27" s="1"/>
  <c r="B206" i="27" s="1"/>
  <c r="B207" i="27" s="1"/>
  <c r="B208" i="27" s="1"/>
  <c r="B209" i="27" s="1"/>
  <c r="B210" i="27" s="1"/>
  <c r="B211" i="27" s="1"/>
  <c r="B212" i="27" s="1"/>
  <c r="B213" i="27" s="1"/>
  <c r="B214" i="27" s="1"/>
  <c r="B215" i="27" s="1"/>
  <c r="B216" i="27" s="1"/>
  <c r="B217" i="27" s="1"/>
  <c r="B218" i="27" s="1"/>
  <c r="B219" i="27" s="1"/>
  <c r="B220" i="27" s="1"/>
  <c r="B221" i="27" s="1"/>
  <c r="B222" i="27" s="1"/>
  <c r="B223" i="27" s="1"/>
  <c r="B224" i="27" s="1"/>
  <c r="C223" i="28" l="1"/>
  <c r="C222" i="28"/>
  <c r="C221" i="28"/>
  <c r="C220" i="28"/>
  <c r="C219" i="28"/>
  <c r="C218" i="28"/>
  <c r="C217" i="28"/>
  <c r="C216" i="28"/>
  <c r="C215" i="28"/>
  <c r="C214" i="28"/>
  <c r="C213" i="28"/>
  <c r="C212" i="28"/>
  <c r="C211" i="28"/>
  <c r="C210" i="28"/>
  <c r="C209" i="28"/>
  <c r="C208" i="28"/>
  <c r="C207" i="28"/>
  <c r="C206" i="28"/>
  <c r="C205" i="28"/>
  <c r="C204" i="28"/>
  <c r="C203" i="28"/>
  <c r="C202" i="28"/>
  <c r="C201" i="28"/>
  <c r="C200" i="28"/>
  <c r="C199" i="28"/>
  <c r="C198" i="28"/>
  <c r="C197" i="28"/>
  <c r="C196" i="28"/>
  <c r="C195" i="28"/>
  <c r="C194" i="28"/>
  <c r="C193" i="28"/>
  <c r="C192" i="28"/>
  <c r="C191" i="28"/>
  <c r="C190" i="28"/>
  <c r="C189" i="28"/>
  <c r="C188" i="28"/>
  <c r="C187" i="28"/>
  <c r="C186" i="28"/>
  <c r="C185" i="28"/>
  <c r="C184" i="28"/>
  <c r="C183" i="28"/>
  <c r="C182" i="28"/>
  <c r="C181" i="28"/>
  <c r="C180" i="28"/>
  <c r="C179" i="28"/>
  <c r="C178" i="28"/>
  <c r="C177" i="28"/>
  <c r="C176" i="28"/>
  <c r="C175" i="28"/>
  <c r="C174" i="28"/>
  <c r="C173" i="28"/>
  <c r="C172" i="28"/>
  <c r="C171" i="28"/>
  <c r="C170" i="28"/>
  <c r="C169" i="28"/>
  <c r="C168" i="28"/>
  <c r="C167" i="28"/>
  <c r="C166" i="28"/>
  <c r="C165" i="28"/>
  <c r="C164" i="28"/>
  <c r="C163" i="28"/>
  <c r="C162" i="28"/>
  <c r="C161" i="28"/>
  <c r="C160" i="28"/>
  <c r="C159" i="28"/>
  <c r="C158" i="28"/>
  <c r="C157" i="28"/>
  <c r="C156" i="28"/>
  <c r="C155" i="28"/>
  <c r="C154" i="28"/>
  <c r="C153" i="28"/>
  <c r="C152" i="28"/>
  <c r="C151" i="28"/>
  <c r="C150" i="28"/>
  <c r="C149" i="28"/>
  <c r="C148" i="28"/>
  <c r="C147" i="28"/>
  <c r="C146" i="28"/>
  <c r="C145" i="28"/>
  <c r="C144" i="28"/>
  <c r="B144" i="28"/>
  <c r="B145" i="28" s="1"/>
  <c r="B146" i="28" s="1"/>
  <c r="B147" i="28" s="1"/>
  <c r="B148" i="28" s="1"/>
  <c r="B149" i="28" s="1"/>
  <c r="B150" i="28" s="1"/>
  <c r="B151" i="28" s="1"/>
  <c r="B152" i="28" s="1"/>
  <c r="B153" i="28" s="1"/>
  <c r="B154" i="28" s="1"/>
  <c r="B155" i="28" s="1"/>
  <c r="B156" i="28" s="1"/>
  <c r="B157" i="28" s="1"/>
  <c r="B158" i="28" s="1"/>
  <c r="B159" i="28" s="1"/>
  <c r="B160" i="28" s="1"/>
  <c r="B161" i="28" s="1"/>
  <c r="B162" i="28" s="1"/>
  <c r="B163" i="28" s="1"/>
  <c r="B164" i="28" s="1"/>
  <c r="B165" i="28" s="1"/>
  <c r="B166" i="28" s="1"/>
  <c r="B167" i="28" s="1"/>
  <c r="B168" i="28" s="1"/>
  <c r="B169" i="28" s="1"/>
  <c r="B170" i="28" s="1"/>
  <c r="B171" i="28" s="1"/>
  <c r="B172" i="28" s="1"/>
  <c r="B173" i="28" s="1"/>
  <c r="B174" i="28" s="1"/>
  <c r="B175" i="28" s="1"/>
  <c r="B176" i="28" s="1"/>
  <c r="B177" i="28" s="1"/>
  <c r="B178" i="28" s="1"/>
  <c r="B179" i="28" s="1"/>
  <c r="B180" i="28" s="1"/>
  <c r="B181" i="28" s="1"/>
  <c r="B182" i="28" s="1"/>
  <c r="B183" i="28" s="1"/>
  <c r="B184" i="28" s="1"/>
  <c r="B185" i="28" s="1"/>
  <c r="B186" i="28" s="1"/>
  <c r="B187" i="28" s="1"/>
  <c r="B188" i="28" s="1"/>
  <c r="B189" i="28" s="1"/>
  <c r="B190" i="28" s="1"/>
  <c r="B191" i="28" s="1"/>
  <c r="B192" i="28" s="1"/>
  <c r="B193" i="28" s="1"/>
  <c r="B194" i="28" s="1"/>
  <c r="B195" i="28" s="1"/>
  <c r="B196" i="28" s="1"/>
  <c r="B197" i="28" s="1"/>
  <c r="B198" i="28" s="1"/>
  <c r="B199" i="28" s="1"/>
  <c r="B200" i="28" s="1"/>
  <c r="B201" i="28" s="1"/>
  <c r="B202" i="28" s="1"/>
  <c r="B203" i="28" s="1"/>
  <c r="B204" i="28" s="1"/>
  <c r="B205" i="28" s="1"/>
  <c r="B206" i="28" s="1"/>
  <c r="B207" i="28" s="1"/>
  <c r="B208" i="28" s="1"/>
  <c r="B209" i="28" s="1"/>
  <c r="B210" i="28" s="1"/>
  <c r="B211" i="28" s="1"/>
  <c r="B212" i="28" s="1"/>
  <c r="B213" i="28" s="1"/>
  <c r="B214" i="28" s="1"/>
  <c r="B215" i="28" s="1"/>
  <c r="B216" i="28" s="1"/>
  <c r="B217" i="28" s="1"/>
  <c r="B218" i="28" s="1"/>
  <c r="B219" i="28" s="1"/>
  <c r="B220" i="28" s="1"/>
  <c r="B221" i="28" s="1"/>
  <c r="B222" i="28" s="1"/>
  <c r="B223" i="28" s="1"/>
  <c r="C143" i="28"/>
  <c r="C140" i="28"/>
  <c r="C138" i="28"/>
  <c r="C137" i="28"/>
  <c r="C136" i="28"/>
  <c r="C135" i="28"/>
  <c r="C125" i="28"/>
  <c r="C122" i="28"/>
  <c r="C121" i="28"/>
  <c r="C120" i="28"/>
  <c r="C119" i="28"/>
  <c r="C118" i="28"/>
  <c r="C117" i="28"/>
  <c r="C116" i="28"/>
  <c r="C115" i="28"/>
  <c r="C114" i="28"/>
  <c r="C113" i="28"/>
  <c r="C112" i="28"/>
  <c r="C111" i="28"/>
  <c r="C110" i="28"/>
  <c r="C109" i="28"/>
  <c r="C108" i="28"/>
  <c r="C107" i="28"/>
  <c r="C106" i="28"/>
  <c r="C105" i="28"/>
  <c r="C104" i="28"/>
  <c r="C103" i="28"/>
  <c r="C102" i="28"/>
  <c r="C101" i="28"/>
  <c r="C100" i="28"/>
  <c r="C99" i="28"/>
  <c r="C98" i="28"/>
  <c r="C97" i="28"/>
  <c r="C96" i="28"/>
  <c r="C93" i="28"/>
  <c r="C92" i="28"/>
  <c r="C91" i="28"/>
  <c r="C90" i="28"/>
  <c r="C89" i="28"/>
  <c r="C88" i="28"/>
  <c r="C87" i="28"/>
  <c r="C86" i="28"/>
  <c r="C85" i="28"/>
  <c r="C82" i="28"/>
  <c r="C81" i="28"/>
  <c r="C80" i="28"/>
  <c r="C79" i="28"/>
  <c r="C78" i="28"/>
  <c r="C77" i="28"/>
  <c r="C76" i="28"/>
  <c r="C75" i="28"/>
  <c r="C74" i="28"/>
  <c r="C73" i="28"/>
  <c r="C72" i="28"/>
  <c r="C71" i="28"/>
  <c r="C70" i="28"/>
  <c r="C69" i="28"/>
  <c r="C68" i="28"/>
  <c r="C67" i="28"/>
  <c r="C66" i="28"/>
  <c r="C65" i="28"/>
  <c r="C64" i="28"/>
  <c r="C63" i="28"/>
  <c r="C62" i="28"/>
  <c r="C61" i="28"/>
  <c r="C60" i="28"/>
  <c r="C59" i="28"/>
  <c r="C58" i="28"/>
  <c r="C57" i="28"/>
  <c r="C56" i="28"/>
  <c r="C55" i="28"/>
  <c r="C54" i="28"/>
  <c r="C53" i="28"/>
  <c r="C52" i="28"/>
  <c r="C51" i="28"/>
  <c r="C50" i="28"/>
  <c r="C49" i="28"/>
  <c r="C48" i="28"/>
  <c r="C47" i="28"/>
  <c r="C46" i="28"/>
  <c r="C45" i="28"/>
  <c r="C44" i="28"/>
  <c r="C43" i="28"/>
  <c r="C42" i="28"/>
  <c r="C41" i="28"/>
  <c r="C38" i="28"/>
  <c r="C37" i="28"/>
  <c r="C36" i="28"/>
  <c r="C35" i="28"/>
  <c r="C34" i="28"/>
  <c r="C33" i="28"/>
  <c r="C32" i="28"/>
  <c r="C31" i="28"/>
  <c r="C30" i="28"/>
  <c r="C29" i="28"/>
  <c r="C28" i="28"/>
  <c r="C23" i="28"/>
  <c r="C22" i="28"/>
  <c r="C21" i="28"/>
  <c r="C20" i="28"/>
  <c r="C19" i="28"/>
  <c r="C18" i="28"/>
  <c r="C13" i="28"/>
  <c r="B13" i="28"/>
  <c r="C12" i="28"/>
  <c r="B12" i="28"/>
  <c r="C11" i="28"/>
  <c r="B11" i="28"/>
  <c r="C10" i="28"/>
  <c r="B10" i="28"/>
  <c r="C9" i="28"/>
  <c r="B9" i="28"/>
  <c r="C8" i="28"/>
  <c r="B8" i="28"/>
  <c r="C7" i="28"/>
  <c r="B7" i="28"/>
  <c r="C6" i="28"/>
  <c r="B6" i="28"/>
  <c r="C5" i="28"/>
  <c r="B5" i="28"/>
  <c r="C4" i="28"/>
  <c r="B4" i="28"/>
  <c r="C2" i="28"/>
  <c r="C17" i="28" l="1"/>
</calcChain>
</file>

<file path=xl/sharedStrings.xml><?xml version="1.0" encoding="utf-8"?>
<sst xmlns="http://schemas.openxmlformats.org/spreadsheetml/2006/main" count="5051" uniqueCount="259">
  <si>
    <t>Год</t>
  </si>
  <si>
    <t>Предельный уровень цены на тепловую энергию (мощность), рассчитанный в соответствии с частью 1 статьи 23.6 Федерального закона от 27.07.2010 N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</si>
  <si>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</si>
  <si>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</si>
  <si>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</si>
  <si>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</si>
  <si>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</si>
  <si>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</si>
  <si>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</si>
  <si>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</si>
  <si>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</si>
  <si>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</si>
  <si>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</si>
  <si>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</si>
  <si>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</si>
  <si>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</si>
  <si>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1"/>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</si>
  <si>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</si>
  <si>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1"/>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</si>
  <si>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</si>
  <si>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1"/>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1"/>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</si>
  <si>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</si>
  <si>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(газа), ккал/кг</t>
  </si>
  <si>
    <r>
      <t>Фактическая цена на топливо (газ),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</si>
  <si>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1.2.1</t>
  </si>
  <si>
    <t>Организация с наибольшим объемом поставляемого, транспортируемого газа, осуществляющая свою деятельность на территории системы теплоснабжения</t>
  </si>
  <si>
    <t>1.2.2</t>
  </si>
  <si>
    <t>1.2.3</t>
  </si>
  <si>
    <t>1.2.4</t>
  </si>
  <si>
    <t>1.2.5</t>
  </si>
  <si>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</si>
  <si>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</si>
  <si>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газа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</si>
  <si>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</si>
  <si>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</si>
  <si>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у.т./куб. м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</si>
  <si>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</si>
  <si>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</si>
  <si>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</si>
  <si>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</si>
  <si>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</si>
  <si>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</si>
  <si>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</si>
  <si>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</si>
  <si>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</si>
  <si>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</si>
  <si>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</si>
  <si>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</si>
  <si>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</si>
  <si>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</si>
  <si>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</si>
  <si>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РФ с железнодорожным сообщением, км</t>
  </si>
  <si>
    <t>2.4</t>
  </si>
  <si>
    <t xml:space="preserve">Поселение, городской округ, на территории которого находится система теплоснабжения, отнесено к территории распространения вечномерзлых грунтов? </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</si>
  <si>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</si>
  <si>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</si>
  <si>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</si>
  <si>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</si>
  <si>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</si>
  <si>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</si>
  <si>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</si>
  <si>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</si>
  <si>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</si>
  <si>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</si>
  <si>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</si>
  <si>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</si>
  <si>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</si>
  <si>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</si>
  <si>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</si>
  <si>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</si>
  <si>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</si>
  <si>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</si>
  <si>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</si>
  <si>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</si>
  <si>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</si>
  <si>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</si>
  <si>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</si>
  <si>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газа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</si>
  <si>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</si>
  <si>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газа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</si>
  <si>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</si>
  <si>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</si>
  <si>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</si>
  <si>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</si>
  <si>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</si>
  <si>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</si>
  <si>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</si>
  <si>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</si>
  <si>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</si>
  <si>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</si>
  <si>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</si>
  <si>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 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</si>
  <si>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</si>
  <si>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газа,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</si>
  <si>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</si>
  <si>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газа к электрическим сетям, к централизованной системе водоснабжения и водоотведения, к газораспределительным сетям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</si>
  <si>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</si>
  <si>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газа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</si>
  <si>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</si>
  <si>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</si>
  <si>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</si>
  <si>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</si>
  <si>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</si>
  <si>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</si>
  <si>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</si>
  <si>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</si>
  <si>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</si>
  <si>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</si>
  <si>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</si>
  <si>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</si>
  <si>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</si>
  <si>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</si>
  <si>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</si>
  <si>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</si>
  <si>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</si>
  <si>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</si>
  <si>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</si>
  <si>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</si>
  <si>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</si>
  <si>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</si>
  <si>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</si>
  <si>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2.8.4</t>
  </si>
  <si>
    <r>
      <t>Базовая величина затрат на подключение (технологическое присоединение) к газораспределительным сетям, тыс. руб. (</t>
    </r>
    <r>
      <rPr>
        <b/>
        <i/>
        <sz val="11"/>
        <color theme="1"/>
        <rFont val="Tahoma"/>
        <family val="2"/>
        <charset val="204"/>
      </rPr>
      <t>ТП</t>
    </r>
    <r>
      <rPr>
        <b/>
        <i/>
        <vertAlign val="subscript"/>
        <sz val="11"/>
        <color theme="1"/>
        <rFont val="Tahoma"/>
        <family val="2"/>
        <charset val="204"/>
      </rPr>
      <t>б</t>
    </r>
    <r>
      <rPr>
        <b/>
        <i/>
        <vertAlign val="superscript"/>
        <sz val="11"/>
        <color theme="1"/>
        <rFont val="Tahoma"/>
        <family val="2"/>
        <charset val="204"/>
      </rPr>
      <t>гс</t>
    </r>
    <r>
      <rPr>
        <i/>
        <sz val="10"/>
        <color theme="1"/>
        <rFont val="Tahoma"/>
        <family val="2"/>
        <charset val="204"/>
      </rPr>
      <t>)</t>
    </r>
  </si>
  <si>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</si>
  <si>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</si>
  <si>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</si>
  <si>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</si>
  <si>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</si>
  <si>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</si>
  <si>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</si>
  <si>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</si>
  <si>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</si>
  <si>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</si>
  <si>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</si>
  <si>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</si>
  <si>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</si>
  <si>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</si>
  <si>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</si>
  <si>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</si>
  <si>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</si>
  <si>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</si>
  <si>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</si>
  <si>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</si>
  <si>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</si>
  <si>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</si>
  <si>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</si>
  <si>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</si>
  <si>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</si>
  <si>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</si>
  <si>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</si>
  <si>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</si>
  <si>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</si>
  <si>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газа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</si>
  <si>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</si>
  <si>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газа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</si>
  <si>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</si>
  <si>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</si>
  <si>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</si>
  <si>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</si>
  <si>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</si>
  <si>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</si>
  <si>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</si>
  <si>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газа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</si>
  <si>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</si>
  <si>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</si>
  <si>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</si>
  <si>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</si>
  <si>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</si>
  <si>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газа,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</si>
  <si>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</si>
  <si>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</si>
  <si>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</si>
  <si>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</si>
  <si>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</si>
  <si>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</si>
  <si>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</si>
  <si>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</si>
  <si>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</si>
  <si>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</si>
  <si>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</si>
  <si>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</si>
  <si>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</si>
  <si>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</si>
  <si>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</si>
  <si>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</si>
  <si>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</si>
  <si>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</si>
  <si>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</si>
  <si>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газа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</si>
  <si>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</si>
  <si>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газа,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</si>
  <si>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</si>
  <si>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</si>
  <si>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</si>
  <si>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</si>
  <si>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</si>
  <si>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</si>
  <si>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</si>
  <si>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</si>
  <si>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</si>
  <si>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</si>
  <si>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</si>
  <si>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</si>
  <si>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</si>
  <si>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</si>
  <si>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</si>
  <si>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</si>
  <si>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</si>
  <si>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</si>
  <si>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</si>
  <si>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</si>
  <si>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</si>
  <si>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</si>
  <si>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</si>
  <si>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</si>
  <si>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</si>
  <si>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</si>
  <si>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</si>
  <si>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</si>
  <si>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</si>
  <si>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</si>
  <si>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</si>
  <si>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</si>
  <si>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</si>
  <si>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</si>
  <si>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</si>
  <si>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</si>
  <si>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</si>
  <si>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</si>
  <si>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</si>
  <si>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</si>
  <si>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</si>
  <si>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</si>
  <si>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</si>
  <si>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</si>
  <si>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</si>
  <si>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</si>
  <si>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</si>
  <si>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</si>
  <si>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</si>
  <si>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</si>
  <si>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</si>
  <si>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</si>
  <si>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</si>
  <si>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</si>
  <si>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</si>
  <si>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</si>
  <si>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Заработная плата сотрудников котельной, производящей тепловую энергию с использованием угля, в базовом (2019) году, тыс. руб.</t>
  </si>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</sst>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000"/>
    <numFmt numFmtId="165" formatCode="#,##0.0"/>
    <numFmt numFmtId="166" formatCode="0.000"/>
    <numFmt numFmtId="167" formatCode="0.0%"/>
  </numFmts>
  <fonts count="39"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u/>
      <sz val="11"/>
      <color theme="10"/>
      <name val="Calibri"/>
      <family val="2"/>
      <scheme val="minor"/>
    </font>
    <font>
      <sz val="10"/>
      <name val="Times New Roman"/>
      <family val="1"/>
      <charset val="204"/>
    </font>
    <font>
      <sz val="11"/>
      <color theme="1"/>
      <name val="Calibri"/>
      <family val="2"/>
      <scheme val="minor"/>
    </font>
    <font>
      <sz val="11"/>
      <color rgb="FF000000"/>
      <name val="Calibri"/>
      <family val="2"/>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sz val="11"/>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
      <b/>
      <vertAlign val="subscript"/>
      <sz val="10"/>
      <color theme="1"/>
      <name val="Tahoma"/>
      <family val="2"/>
      <charset val="204"/>
    </font>
  </fonts>
  <fills count="3">
    <fill>
      <patternFill patternType="none"/>
    </fill>
    <fill>
      <patternFill patternType="gray125"/>
    </fill>
    <fill>
      <patternFill patternType="solid">
        <fgColor theme="0"/>
        <bgColor indexed="64"/>
      </patternFill>
    </fill>
  </fills>
  <borders count="23">
    <border>
      <left/>
      <right/>
      <top/>
      <bottom/>
      <diagonal/>
    </border>
    <border>
      <left style="medium">
        <color indexed="64"/>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right/>
      <top style="medium">
        <color indexed="64"/>
      </top>
      <bottom style="thin">
        <color indexed="64"/>
      </bottom>
      <diagonal/>
    </border>
    <border>
      <left/>
      <right/>
      <top style="medium">
        <color auto="1"/>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s>
  <cellStyleXfs count="9">
    <xf numFmtId="0" fontId="0" fillId="0" borderId="0"/>
    <xf numFmtId="0" fontId="3" fillId="0" borderId="0"/>
    <xf numFmtId="0" fontId="4" fillId="0" borderId="0" applyNumberFormat="0" applyFill="0" applyBorder="0" applyAlignment="0" applyProtection="0"/>
    <xf numFmtId="0" fontId="5" fillId="0" borderId="0"/>
    <xf numFmtId="0" fontId="3" fillId="0" borderId="0"/>
    <xf numFmtId="0" fontId="2" fillId="0" borderId="0"/>
    <xf numFmtId="9" fontId="6" fillId="0" borderId="0" applyFont="0" applyFill="0" applyBorder="0" applyAlignment="0" applyProtection="0"/>
    <xf numFmtId="0" fontId="1" fillId="0" borderId="0"/>
    <xf numFmtId="0" fontId="33" fillId="0" borderId="0"/>
  </cellStyleXfs>
  <cellXfs count="149">
    <xf numFmtId="0" fontId="0" fillId="0" borderId="0" xfId="0"/>
    <xf numFmtId="0" fontId="8" fillId="2" borderId="0" xfId="7" applyFont="1" applyFill="1" applyAlignment="1">
      <alignment wrapText="1"/>
    </xf>
    <xf numFmtId="0" fontId="8" fillId="2" borderId="0" xfId="7" applyFont="1" applyFill="1"/>
    <xf numFmtId="0" fontId="8" fillId="2" borderId="0" xfId="7" applyFont="1" applyFill="1" applyAlignment="1">
      <alignment horizontal="right"/>
    </xf>
    <xf numFmtId="14" fontId="8" fillId="2" borderId="0" xfId="7" applyNumberFormat="1" applyFont="1" applyFill="1" applyAlignment="1">
      <alignment horizontal="center" vertical="center" wrapText="1"/>
    </xf>
    <xf numFmtId="0" fontId="10" fillId="2" borderId="0" xfId="7" applyFont="1" applyFill="1" applyAlignment="1">
      <alignment horizontal="left" vertical="center"/>
    </xf>
    <xf numFmtId="0" fontId="8" fillId="2" borderId="0" xfId="7" applyFont="1" applyFill="1" applyAlignment="1">
      <alignment horizontal="center" vertical="center"/>
    </xf>
    <xf numFmtId="0" fontId="8" fillId="2" borderId="0" xfId="7" applyFont="1" applyFill="1" applyBorder="1" applyAlignment="1">
      <alignment wrapText="1"/>
    </xf>
    <xf numFmtId="0" fontId="8" fillId="2" borderId="0" xfId="7" applyFont="1" applyFill="1" applyBorder="1" applyAlignment="1">
      <alignment horizontal="left" vertical="center" wrapText="1"/>
    </xf>
    <xf numFmtId="0" fontId="8" fillId="2" borderId="0" xfId="7" applyNumberFormat="1" applyFont="1" applyFill="1" applyBorder="1" applyAlignment="1">
      <alignment horizontal="center" vertical="center" wrapText="1"/>
    </xf>
    <xf numFmtId="49" fontId="8" fillId="2" borderId="0" xfId="7" applyNumberFormat="1" applyFont="1" applyFill="1" applyBorder="1" applyAlignment="1">
      <alignment horizontal="center" vertical="center" wrapText="1"/>
    </xf>
    <xf numFmtId="0" fontId="8" fillId="2" borderId="0" xfId="7" applyFont="1" applyFill="1" applyBorder="1" applyAlignment="1">
      <alignment vertical="center" wrapText="1"/>
    </xf>
    <xf numFmtId="0" fontId="8" fillId="2" borderId="0" xfId="7" applyFont="1" applyFill="1" applyBorder="1" applyAlignment="1">
      <alignment horizontal="center" vertical="center" wrapText="1"/>
    </xf>
    <xf numFmtId="1" fontId="8" fillId="2" borderId="0" xfId="7" applyNumberFormat="1" applyFont="1" applyFill="1" applyBorder="1" applyAlignment="1">
      <alignment horizontal="center" vertical="center" wrapText="1"/>
    </xf>
    <xf numFmtId="4" fontId="8" fillId="2" borderId="0" xfId="7" applyNumberFormat="1" applyFont="1" applyFill="1" applyBorder="1" applyAlignment="1">
      <alignment horizontal="center" vertical="center" wrapText="1"/>
    </xf>
    <xf numFmtId="4" fontId="10" fillId="2" borderId="5" xfId="7" applyNumberFormat="1" applyFont="1" applyFill="1" applyBorder="1" applyAlignment="1">
      <alignment horizontal="center" vertical="center" wrapText="1"/>
    </xf>
    <xf numFmtId="4" fontId="10" fillId="2" borderId="6" xfId="7" applyNumberFormat="1" applyFont="1" applyFill="1" applyBorder="1" applyAlignment="1">
      <alignment horizontal="center" vertical="center" wrapText="1"/>
    </xf>
    <xf numFmtId="4" fontId="10" fillId="2" borderId="7" xfId="7" applyNumberFormat="1" applyFont="1" applyFill="1" applyBorder="1" applyAlignment="1">
      <alignment horizontal="center" vertical="center" wrapText="1"/>
    </xf>
    <xf numFmtId="0" fontId="10" fillId="2" borderId="2" xfId="7" applyFont="1" applyFill="1" applyBorder="1" applyAlignment="1">
      <alignment horizontal="center" vertical="center" wrapText="1"/>
    </xf>
    <xf numFmtId="0" fontId="10" fillId="2" borderId="8" xfId="7" applyFont="1" applyFill="1" applyBorder="1" applyAlignment="1">
      <alignment horizontal="center" vertical="center" wrapText="1"/>
    </xf>
    <xf numFmtId="0" fontId="10" fillId="2" borderId="3" xfId="7" applyFont="1" applyFill="1" applyBorder="1" applyAlignment="1">
      <alignment horizontal="center" vertical="center" wrapText="1"/>
    </xf>
    <xf numFmtId="49" fontId="8" fillId="2" borderId="2" xfId="7" applyNumberFormat="1" applyFont="1" applyFill="1" applyBorder="1" applyAlignment="1">
      <alignment horizontal="right" vertical="center" wrapText="1"/>
    </xf>
    <xf numFmtId="0" fontId="10" fillId="2" borderId="8" xfId="7" applyFont="1" applyFill="1" applyBorder="1" applyAlignment="1">
      <alignment vertical="center" wrapText="1"/>
    </xf>
    <xf numFmtId="4" fontId="10" fillId="2" borderId="3" xfId="7" applyNumberFormat="1" applyFont="1" applyFill="1" applyBorder="1" applyAlignment="1">
      <alignment horizontal="center" vertical="center" wrapText="1"/>
    </xf>
    <xf numFmtId="0" fontId="8" fillId="2" borderId="8" xfId="7" applyFont="1" applyFill="1" applyBorder="1" applyAlignment="1">
      <alignment horizontal="left" vertical="center" wrapText="1"/>
    </xf>
    <xf numFmtId="4" fontId="8" fillId="2" borderId="3" xfId="7" applyNumberFormat="1" applyFont="1" applyFill="1" applyBorder="1" applyAlignment="1">
      <alignment horizontal="center" vertical="center" wrapText="1"/>
    </xf>
    <xf numFmtId="49" fontId="8" fillId="2" borderId="9" xfId="7" applyNumberFormat="1" applyFont="1" applyFill="1" applyBorder="1" applyAlignment="1">
      <alignment horizontal="right" vertical="center" wrapText="1"/>
    </xf>
    <xf numFmtId="0" fontId="8" fillId="2" borderId="10" xfId="7" applyFont="1" applyFill="1" applyBorder="1" applyAlignment="1">
      <alignment horizontal="left" vertical="center" wrapText="1"/>
    </xf>
    <xf numFmtId="4" fontId="8" fillId="2" borderId="11" xfId="7" applyNumberFormat="1" applyFont="1" applyFill="1" applyBorder="1" applyAlignment="1">
      <alignment horizontal="center" vertical="center" wrapText="1"/>
    </xf>
    <xf numFmtId="4" fontId="10" fillId="2" borderId="12" xfId="7" applyNumberFormat="1" applyFont="1" applyFill="1" applyBorder="1" applyAlignment="1">
      <alignment horizontal="center" vertical="center" wrapText="1"/>
    </xf>
    <xf numFmtId="3" fontId="10" fillId="2" borderId="13" xfId="7" applyNumberFormat="1" applyFont="1" applyFill="1" applyBorder="1" applyAlignment="1">
      <alignment horizontal="center" vertical="center" wrapText="1"/>
    </xf>
    <xf numFmtId="3" fontId="10" fillId="2" borderId="8" xfId="7" applyNumberFormat="1" applyFont="1" applyFill="1" applyBorder="1" applyAlignment="1">
      <alignment horizontal="center" vertical="center" wrapText="1"/>
    </xf>
    <xf numFmtId="0" fontId="8" fillId="2" borderId="13" xfId="7" applyFont="1" applyFill="1" applyBorder="1" applyAlignment="1">
      <alignment horizontal="left" vertical="center" wrapText="1" indent="2"/>
    </xf>
    <xf numFmtId="4" fontId="8" fillId="2" borderId="8" xfId="7" applyNumberFormat="1" applyFont="1" applyFill="1" applyBorder="1" applyAlignment="1">
      <alignment horizontal="center" vertical="center" wrapText="1"/>
    </xf>
    <xf numFmtId="0" fontId="8" fillId="2" borderId="8" xfId="7" applyNumberFormat="1" applyFont="1" applyFill="1" applyBorder="1" applyAlignment="1">
      <alignment horizontal="center" vertical="center" wrapText="1"/>
    </xf>
    <xf numFmtId="10" fontId="8" fillId="2" borderId="8" xfId="6" applyNumberFormat="1" applyFont="1" applyFill="1" applyBorder="1" applyAlignment="1">
      <alignment horizontal="center" vertical="center" wrapText="1"/>
    </xf>
    <xf numFmtId="0" fontId="17" fillId="2" borderId="13" xfId="7" applyFont="1" applyFill="1" applyBorder="1" applyAlignment="1">
      <alignment horizontal="left" vertical="center" wrapText="1" indent="2"/>
    </xf>
    <xf numFmtId="165" fontId="8" fillId="2" borderId="8" xfId="7" applyNumberFormat="1" applyFont="1" applyFill="1" applyBorder="1" applyAlignment="1">
      <alignment horizontal="center" vertical="center"/>
    </xf>
    <xf numFmtId="3" fontId="8" fillId="2" borderId="8" xfId="7" applyNumberFormat="1" applyFont="1" applyFill="1" applyBorder="1" applyAlignment="1">
      <alignment horizontal="center" vertical="center"/>
    </xf>
    <xf numFmtId="49" fontId="8" fillId="2" borderId="8" xfId="7" applyNumberFormat="1" applyFont="1" applyFill="1" applyBorder="1" applyAlignment="1">
      <alignment horizontal="right" vertical="center" wrapText="1"/>
    </xf>
    <xf numFmtId="0" fontId="8" fillId="2" borderId="8" xfId="7" applyFont="1" applyFill="1" applyBorder="1" applyAlignment="1">
      <alignment horizontal="left" vertical="center" wrapText="1" indent="2"/>
    </xf>
    <xf numFmtId="164" fontId="8" fillId="2" borderId="8" xfId="7" applyNumberFormat="1" applyFont="1" applyFill="1" applyBorder="1" applyAlignment="1">
      <alignment horizontal="center" vertical="center" wrapText="1"/>
    </xf>
    <xf numFmtId="49" fontId="13" fillId="2" borderId="8" xfId="0" applyNumberFormat="1" applyFont="1" applyFill="1" applyBorder="1" applyAlignment="1">
      <alignment horizontal="right" vertical="center"/>
    </xf>
    <xf numFmtId="0" fontId="21" fillId="0" borderId="8" xfId="0" applyFont="1" applyFill="1" applyBorder="1" applyAlignment="1">
      <alignment horizontal="left" vertical="center" wrapText="1" indent="3"/>
    </xf>
    <xf numFmtId="0" fontId="13" fillId="2" borderId="8" xfId="0" applyFont="1" applyFill="1" applyBorder="1" applyAlignment="1">
      <alignment horizontal="left" vertical="center" wrapText="1" indent="5"/>
    </xf>
    <xf numFmtId="0" fontId="20" fillId="2" borderId="8" xfId="0" applyFont="1" applyFill="1" applyBorder="1" applyAlignment="1">
      <alignment horizontal="left" vertical="center" wrapText="1" indent="5"/>
    </xf>
    <xf numFmtId="0" fontId="17" fillId="2" borderId="15" xfId="7" applyFont="1" applyFill="1" applyBorder="1" applyAlignment="1">
      <alignment horizontal="left" vertical="center" wrapText="1" indent="2"/>
    </xf>
    <xf numFmtId="164" fontId="8" fillId="2" borderId="10" xfId="7" applyNumberFormat="1" applyFont="1" applyFill="1" applyBorder="1" applyAlignment="1">
      <alignment horizontal="center" vertical="center" wrapText="1"/>
    </xf>
    <xf numFmtId="49" fontId="8" fillId="2" borderId="1" xfId="7" applyNumberFormat="1" applyFont="1" applyFill="1" applyBorder="1" applyAlignment="1">
      <alignment horizontal="right" vertical="center" wrapText="1"/>
    </xf>
    <xf numFmtId="0" fontId="8" fillId="2" borderId="0" xfId="7" applyFont="1" applyFill="1" applyBorder="1" applyAlignment="1">
      <alignment horizontal="left" vertical="center" wrapText="1" indent="2"/>
    </xf>
    <xf numFmtId="49" fontId="8" fillId="2" borderId="5" xfId="7" applyNumberFormat="1" applyFont="1" applyFill="1" applyBorder="1" applyAlignment="1">
      <alignment horizontal="right" vertical="center" wrapText="1"/>
    </xf>
    <xf numFmtId="49" fontId="8" fillId="2" borderId="8" xfId="7" applyNumberFormat="1" applyFont="1" applyFill="1" applyBorder="1" applyAlignment="1">
      <alignment horizontal="center" vertical="center" wrapText="1"/>
    </xf>
    <xf numFmtId="0" fontId="8" fillId="2" borderId="8" xfId="7" applyFont="1" applyFill="1" applyBorder="1" applyAlignment="1">
      <alignment horizontal="center" vertical="center" wrapText="1"/>
    </xf>
    <xf numFmtId="0" fontId="8" fillId="2" borderId="13" xfId="7" applyFont="1" applyFill="1" applyBorder="1" applyAlignment="1">
      <alignment horizontal="left" vertical="center" wrapText="1" indent="4"/>
    </xf>
    <xf numFmtId="0" fontId="8" fillId="2" borderId="13" xfId="7" applyFont="1" applyFill="1" applyBorder="1" applyAlignment="1">
      <alignment horizontal="left" vertical="center" wrapText="1" indent="7"/>
    </xf>
    <xf numFmtId="0" fontId="17" fillId="2" borderId="13" xfId="7" applyFont="1" applyFill="1" applyBorder="1" applyAlignment="1">
      <alignment horizontal="left" vertical="center" wrapText="1" indent="7"/>
    </xf>
    <xf numFmtId="0" fontId="20" fillId="2" borderId="8" xfId="0" applyFont="1" applyFill="1" applyBorder="1" applyAlignment="1">
      <alignment horizontal="left" vertical="center" wrapText="1" indent="7"/>
    </xf>
    <xf numFmtId="0" fontId="13" fillId="2" borderId="8" xfId="0" applyFont="1" applyFill="1" applyBorder="1" applyAlignment="1">
      <alignment horizontal="left" vertical="center" wrapText="1" indent="7"/>
    </xf>
    <xf numFmtId="166" fontId="8" fillId="2" borderId="8" xfId="6" applyNumberFormat="1" applyFont="1" applyFill="1" applyBorder="1" applyAlignment="1">
      <alignment horizontal="center" vertical="center" wrapText="1"/>
    </xf>
    <xf numFmtId="0" fontId="17" fillId="2" borderId="13" xfId="7" applyFont="1" applyFill="1" applyBorder="1" applyAlignment="1">
      <alignment horizontal="left" vertical="center" wrapText="1" indent="4"/>
    </xf>
    <xf numFmtId="49" fontId="8" fillId="2" borderId="2" xfId="7" applyNumberFormat="1" applyFont="1" applyFill="1" applyBorder="1" applyAlignment="1">
      <alignment horizontal="right" vertical="center"/>
    </xf>
    <xf numFmtId="0" fontId="20" fillId="2" borderId="8" xfId="0" applyFont="1" applyFill="1" applyBorder="1" applyAlignment="1">
      <alignment horizontal="left" vertical="center" wrapText="1" indent="4"/>
    </xf>
    <xf numFmtId="166" fontId="8" fillId="2" borderId="8" xfId="7" applyNumberFormat="1" applyFont="1" applyFill="1" applyBorder="1" applyAlignment="1">
      <alignment horizontal="center" vertical="center" wrapText="1"/>
    </xf>
    <xf numFmtId="2" fontId="8" fillId="2" borderId="8" xfId="7" applyNumberFormat="1" applyFont="1" applyFill="1" applyBorder="1" applyAlignment="1">
      <alignment horizontal="center" vertical="center" wrapText="1"/>
    </xf>
    <xf numFmtId="0" fontId="20" fillId="2" borderId="8" xfId="0" applyFont="1" applyFill="1" applyBorder="1" applyAlignment="1">
      <alignment horizontal="left" vertical="center" wrapText="1" indent="3"/>
    </xf>
    <xf numFmtId="3" fontId="8" fillId="2" borderId="8" xfId="7" applyNumberFormat="1" applyFont="1" applyFill="1" applyBorder="1" applyAlignment="1">
      <alignment horizontal="center" vertical="center" wrapText="1"/>
    </xf>
    <xf numFmtId="0" fontId="21" fillId="2" borderId="0" xfId="7" applyFont="1" applyFill="1"/>
    <xf numFmtId="0" fontId="13" fillId="2" borderId="8" xfId="0" applyFont="1" applyFill="1" applyBorder="1" applyAlignment="1">
      <alignment horizontal="left" vertical="center" wrapText="1" indent="2"/>
    </xf>
    <xf numFmtId="0" fontId="8" fillId="2" borderId="13" xfId="7" applyFont="1" applyFill="1" applyBorder="1" applyAlignment="1">
      <alignment horizontal="left" vertical="center" wrapText="1" indent="5"/>
    </xf>
    <xf numFmtId="0" fontId="17" fillId="2" borderId="13" xfId="7" applyFont="1" applyFill="1" applyBorder="1" applyAlignment="1">
      <alignment horizontal="left" vertical="center" wrapText="1" indent="5"/>
    </xf>
    <xf numFmtId="165" fontId="8" fillId="2" borderId="8" xfId="7" applyNumberFormat="1" applyFont="1" applyFill="1" applyBorder="1" applyAlignment="1">
      <alignment horizontal="center" vertical="center" wrapText="1"/>
    </xf>
    <xf numFmtId="4" fontId="21" fillId="2" borderId="8" xfId="7" applyNumberFormat="1" applyFont="1" applyFill="1" applyBorder="1" applyAlignment="1">
      <alignment horizontal="center" vertical="center"/>
    </xf>
    <xf numFmtId="0" fontId="8" fillId="2" borderId="13" xfId="7" applyFont="1" applyFill="1" applyBorder="1" applyAlignment="1">
      <alignment horizontal="left" wrapText="1" indent="5"/>
    </xf>
    <xf numFmtId="10" fontId="21" fillId="2" borderId="8" xfId="6" applyNumberFormat="1" applyFont="1" applyFill="1" applyBorder="1" applyAlignment="1">
      <alignment horizontal="center" vertical="center"/>
    </xf>
    <xf numFmtId="0" fontId="20" fillId="2" borderId="13" xfId="7" applyFont="1" applyFill="1" applyBorder="1" applyAlignment="1">
      <alignment horizontal="left" vertical="center" wrapText="1" indent="4"/>
    </xf>
    <xf numFmtId="49" fontId="8" fillId="2" borderId="9" xfId="7" applyNumberFormat="1" applyFont="1" applyFill="1" applyBorder="1" applyAlignment="1">
      <alignment horizontal="right" vertical="center"/>
    </xf>
    <xf numFmtId="0" fontId="17" fillId="2" borderId="15" xfId="7" applyFont="1" applyFill="1" applyBorder="1" applyAlignment="1">
      <alignment horizontal="left" vertical="center" wrapText="1" indent="4"/>
    </xf>
    <xf numFmtId="10" fontId="8" fillId="2" borderId="10" xfId="6" applyNumberFormat="1" applyFont="1" applyFill="1" applyBorder="1" applyAlignment="1">
      <alignment horizontal="center" vertical="center" wrapText="1"/>
    </xf>
    <xf numFmtId="49" fontId="21" fillId="2" borderId="5" xfId="7" applyNumberFormat="1" applyFont="1" applyFill="1" applyBorder="1" applyAlignment="1">
      <alignment horizontal="right" vertical="center"/>
    </xf>
    <xf numFmtId="49" fontId="21" fillId="2" borderId="2" xfId="7" applyNumberFormat="1" applyFont="1" applyFill="1" applyBorder="1" applyAlignment="1">
      <alignment horizontal="right" vertical="center"/>
    </xf>
    <xf numFmtId="9" fontId="8" fillId="2" borderId="8" xfId="6" applyFont="1" applyFill="1" applyBorder="1" applyAlignment="1">
      <alignment horizontal="center" vertical="center" wrapText="1"/>
    </xf>
    <xf numFmtId="0" fontId="17" fillId="0" borderId="13" xfId="7" applyFont="1" applyFill="1" applyBorder="1" applyAlignment="1">
      <alignment horizontal="left" vertical="center" wrapText="1" indent="4"/>
    </xf>
    <xf numFmtId="167" fontId="8" fillId="2" borderId="8" xfId="6" applyNumberFormat="1" applyFont="1" applyFill="1" applyBorder="1" applyAlignment="1">
      <alignment horizontal="center" vertical="center" wrapText="1"/>
    </xf>
    <xf numFmtId="49" fontId="21" fillId="2" borderId="9" xfId="7" applyNumberFormat="1" applyFont="1" applyFill="1" applyBorder="1" applyAlignment="1">
      <alignment horizontal="right" vertical="center"/>
    </xf>
    <xf numFmtId="0" fontId="13" fillId="2" borderId="10" xfId="0" applyFont="1" applyFill="1" applyBorder="1" applyAlignment="1">
      <alignment horizontal="left" vertical="center" wrapText="1" indent="4"/>
    </xf>
    <xf numFmtId="4" fontId="8" fillId="2" borderId="10" xfId="7" applyNumberFormat="1" applyFont="1" applyFill="1" applyBorder="1" applyAlignment="1">
      <alignment horizontal="center" vertical="center" wrapText="1"/>
    </xf>
    <xf numFmtId="49" fontId="8" fillId="2" borderId="5" xfId="7" applyNumberFormat="1" applyFont="1" applyFill="1" applyBorder="1" applyAlignment="1">
      <alignment horizontal="right" vertical="center"/>
    </xf>
    <xf numFmtId="0" fontId="8" fillId="2" borderId="15" xfId="7" applyFont="1" applyFill="1" applyBorder="1" applyAlignment="1">
      <alignment horizontal="left" vertical="center" wrapText="1" indent="2"/>
    </xf>
    <xf numFmtId="0" fontId="8" fillId="2" borderId="0" xfId="7" applyFont="1" applyFill="1" applyBorder="1"/>
    <xf numFmtId="0" fontId="21" fillId="2" borderId="8" xfId="7" applyFont="1" applyFill="1" applyBorder="1" applyAlignment="1">
      <alignment horizontal="left" vertical="center" wrapText="1" indent="2"/>
    </xf>
    <xf numFmtId="0" fontId="8" fillId="2" borderId="8" xfId="7" applyFont="1" applyFill="1" applyBorder="1" applyAlignment="1">
      <alignment horizontal="left" vertical="center" wrapText="1" indent="4"/>
    </xf>
    <xf numFmtId="4" fontId="8" fillId="2" borderId="8" xfId="6" applyNumberFormat="1" applyFont="1" applyFill="1" applyBorder="1" applyAlignment="1">
      <alignment horizontal="center" vertical="center" wrapText="1"/>
    </xf>
    <xf numFmtId="4" fontId="21" fillId="2" borderId="8" xfId="7" applyNumberFormat="1" applyFont="1" applyFill="1" applyBorder="1" applyAlignment="1">
      <alignment horizontal="center" vertical="center" wrapText="1"/>
    </xf>
    <xf numFmtId="0" fontId="8" fillId="2" borderId="10" xfId="7" applyFont="1" applyFill="1" applyBorder="1" applyAlignment="1">
      <alignment horizontal="left" vertical="center" wrapText="1" indent="4"/>
    </xf>
    <xf numFmtId="0" fontId="26" fillId="2" borderId="6" xfId="0" applyFont="1" applyFill="1" applyBorder="1" applyAlignment="1">
      <alignment horizontal="left" vertical="center" wrapText="1"/>
    </xf>
    <xf numFmtId="4" fontId="8" fillId="2" borderId="6" xfId="7" applyNumberFormat="1" applyFont="1" applyFill="1" applyBorder="1" applyAlignment="1">
      <alignment horizontal="center" vertical="center" wrapText="1"/>
    </xf>
    <xf numFmtId="0" fontId="34" fillId="2" borderId="6" xfId="8" applyFont="1" applyFill="1" applyBorder="1" applyAlignment="1">
      <alignment horizontal="left" vertical="center" wrapText="1"/>
    </xf>
    <xf numFmtId="10" fontId="8" fillId="2" borderId="6" xfId="7" applyNumberFormat="1" applyFont="1" applyFill="1" applyBorder="1" applyAlignment="1">
      <alignment horizontal="center" vertical="center" wrapText="1"/>
    </xf>
    <xf numFmtId="0" fontId="8" fillId="2" borderId="10" xfId="7" applyFont="1" applyFill="1" applyBorder="1" applyAlignment="1">
      <alignment horizontal="left" vertical="center" wrapText="1"/>
    </xf>
    <xf numFmtId="0" fontId="8" fillId="2" borderId="0" xfId="7" applyFont="1" applyFill="1" applyBorder="1" applyAlignment="1">
      <alignment horizontal="right" vertical="center"/>
    </xf>
    <xf numFmtId="0" fontId="8" fillId="2" borderId="5" xfId="7" applyFont="1" applyFill="1" applyBorder="1" applyAlignment="1">
      <alignment horizontal="right" wrapText="1" indent="1"/>
    </xf>
    <xf numFmtId="0" fontId="8" fillId="2" borderId="7" xfId="7" applyFont="1" applyFill="1" applyBorder="1" applyAlignment="1">
      <alignment horizontal="center" vertical="center" wrapText="1"/>
    </xf>
    <xf numFmtId="0" fontId="8" fillId="2" borderId="2" xfId="7" applyFont="1" applyFill="1" applyBorder="1" applyProtection="1"/>
    <xf numFmtId="10" fontId="21" fillId="2" borderId="3" xfId="7" applyNumberFormat="1" applyFont="1" applyFill="1" applyBorder="1" applyAlignment="1" applyProtection="1">
      <alignment horizontal="right" vertical="center"/>
    </xf>
    <xf numFmtId="10" fontId="8" fillId="2" borderId="3" xfId="7" applyNumberFormat="1" applyFont="1" applyFill="1" applyBorder="1" applyAlignment="1" applyProtection="1">
      <alignment horizontal="right" vertical="center"/>
    </xf>
    <xf numFmtId="10" fontId="8" fillId="2" borderId="3" xfId="7" applyNumberFormat="1" applyFont="1" applyFill="1" applyBorder="1" applyAlignment="1" applyProtection="1">
      <alignment vertical="center"/>
    </xf>
    <xf numFmtId="0" fontId="8" fillId="2" borderId="2" xfId="7" applyFont="1" applyFill="1" applyBorder="1"/>
    <xf numFmtId="10" fontId="8" fillId="2" borderId="3" xfId="7" applyNumberFormat="1" applyFont="1" applyFill="1" applyBorder="1" applyAlignment="1" applyProtection="1">
      <alignment vertical="center"/>
      <protection locked="0"/>
    </xf>
    <xf numFmtId="0" fontId="8" fillId="2" borderId="9" xfId="7" applyFont="1" applyFill="1" applyBorder="1"/>
    <xf numFmtId="10" fontId="8" fillId="2" borderId="11" xfId="7" applyNumberFormat="1" applyFont="1" applyFill="1" applyBorder="1" applyAlignment="1" applyProtection="1">
      <alignment vertical="center"/>
      <protection locked="0"/>
    </xf>
    <xf numFmtId="0" fontId="8" fillId="2" borderId="17" xfId="7" applyFont="1" applyFill="1" applyBorder="1"/>
    <xf numFmtId="0" fontId="8" fillId="2" borderId="17" xfId="7" applyFont="1" applyFill="1" applyBorder="1" applyAlignment="1">
      <alignment vertical="center"/>
    </xf>
    <xf numFmtId="0" fontId="8" fillId="2" borderId="0" xfId="7" applyFont="1" applyFill="1" applyAlignment="1">
      <alignment vertical="center"/>
    </xf>
    <xf numFmtId="10" fontId="8" fillId="2" borderId="0" xfId="7" applyNumberFormat="1" applyFont="1" applyFill="1" applyAlignment="1">
      <alignment wrapText="1"/>
    </xf>
    <xf numFmtId="0" fontId="10" fillId="2" borderId="0" xfId="7" applyFont="1" applyFill="1" applyAlignment="1">
      <alignment horizontal="left"/>
    </xf>
    <xf numFmtId="4" fontId="10" fillId="0" borderId="6" xfId="7" applyNumberFormat="1" applyFont="1" applyFill="1" applyBorder="1" applyAlignment="1">
      <alignment horizontal="center" vertical="center" wrapText="1"/>
    </xf>
    <xf numFmtId="4" fontId="10" fillId="0" borderId="7" xfId="7" applyNumberFormat="1" applyFont="1" applyFill="1" applyBorder="1" applyAlignment="1">
      <alignment horizontal="center" vertical="center" wrapText="1"/>
    </xf>
    <xf numFmtId="0" fontId="10" fillId="0" borderId="8" xfId="7" applyFont="1" applyBorder="1" applyAlignment="1">
      <alignment horizontal="center" vertical="center" wrapText="1"/>
    </xf>
    <xf numFmtId="0" fontId="10" fillId="0" borderId="3" xfId="7" applyFont="1" applyBorder="1" applyAlignment="1">
      <alignment horizontal="center" vertical="center" wrapText="1"/>
    </xf>
    <xf numFmtId="4" fontId="8" fillId="2" borderId="8" xfId="7" applyNumberFormat="1" applyFont="1" applyFill="1" applyBorder="1" applyAlignment="1">
      <alignment horizontal="center" vertical="center"/>
    </xf>
    <xf numFmtId="49" fontId="13" fillId="2" borderId="2" xfId="0" applyNumberFormat="1" applyFont="1" applyFill="1" applyBorder="1" applyAlignment="1">
      <alignment horizontal="right" vertical="center"/>
    </xf>
    <xf numFmtId="0" fontId="8" fillId="0" borderId="0" xfId="7" applyFont="1" applyFill="1" applyBorder="1" applyAlignment="1">
      <alignment horizontal="left" vertical="center" wrapText="1" indent="2"/>
    </xf>
    <xf numFmtId="4" fontId="8" fillId="0" borderId="0" xfId="7" applyNumberFormat="1" applyFont="1" applyFill="1" applyBorder="1" applyAlignment="1">
      <alignment horizontal="center" vertical="center" wrapText="1"/>
    </xf>
    <xf numFmtId="0" fontId="13" fillId="2" borderId="8" xfId="0" applyFont="1" applyFill="1" applyBorder="1" applyAlignment="1">
      <alignment horizontal="left" vertical="center" wrapText="1" indent="6"/>
    </xf>
    <xf numFmtId="0" fontId="13" fillId="2" borderId="10" xfId="0" applyFont="1" applyFill="1" applyBorder="1" applyAlignment="1">
      <alignment horizontal="left" vertical="center" wrapText="1" indent="7"/>
    </xf>
    <xf numFmtId="0" fontId="21" fillId="2" borderId="10" xfId="7" applyFont="1" applyFill="1" applyBorder="1" applyAlignment="1">
      <alignment horizontal="left" vertical="center" wrapText="1" indent="2"/>
    </xf>
    <xf numFmtId="4" fontId="21" fillId="2" borderId="10" xfId="7" applyNumberFormat="1" applyFont="1" applyFill="1" applyBorder="1" applyAlignment="1">
      <alignment horizontal="center" vertical="center" wrapText="1"/>
    </xf>
    <xf numFmtId="49" fontId="8" fillId="2" borderId="18" xfId="7" applyNumberFormat="1" applyFont="1" applyFill="1" applyBorder="1" applyAlignment="1">
      <alignment horizontal="right" vertical="center"/>
    </xf>
    <xf numFmtId="0" fontId="8" fillId="2" borderId="19" xfId="7" applyFont="1" applyFill="1" applyBorder="1" applyAlignment="1">
      <alignment horizontal="left" vertical="center" wrapText="1" indent="4"/>
    </xf>
    <xf numFmtId="10" fontId="8" fillId="2" borderId="19" xfId="6" applyNumberFormat="1" applyFont="1" applyFill="1" applyBorder="1" applyAlignment="1">
      <alignment horizontal="center" vertical="center" wrapText="1"/>
    </xf>
    <xf numFmtId="0" fontId="17" fillId="2" borderId="8" xfId="7" applyFont="1" applyFill="1" applyBorder="1" applyAlignment="1">
      <alignment horizontal="left" vertical="center" wrapText="1" indent="4"/>
    </xf>
    <xf numFmtId="0" fontId="17" fillId="2" borderId="10" xfId="7" applyFont="1" applyFill="1" applyBorder="1" applyAlignment="1">
      <alignment horizontal="left" vertical="center" wrapText="1" indent="4"/>
    </xf>
    <xf numFmtId="10" fontId="8" fillId="2" borderId="6" xfId="6" applyNumberFormat="1" applyFont="1" applyFill="1" applyBorder="1" applyAlignment="1">
      <alignment horizontal="center" vertical="center" wrapText="1"/>
    </xf>
    <xf numFmtId="0" fontId="8" fillId="2" borderId="21" xfId="7" applyFont="1" applyFill="1" applyBorder="1" applyAlignment="1">
      <alignment horizontal="right" wrapText="1" indent="1"/>
    </xf>
    <xf numFmtId="0" fontId="8" fillId="2" borderId="22" xfId="7" applyFont="1" applyFill="1" applyBorder="1" applyAlignment="1">
      <alignment horizontal="center" vertical="center" wrapText="1"/>
    </xf>
    <xf numFmtId="0" fontId="8" fillId="2" borderId="5" xfId="7" applyFont="1" applyFill="1" applyBorder="1"/>
    <xf numFmtId="10" fontId="21" fillId="2" borderId="7" xfId="7" applyNumberFormat="1" applyFont="1" applyFill="1" applyBorder="1" applyAlignment="1" applyProtection="1">
      <alignment vertical="center"/>
    </xf>
    <xf numFmtId="10" fontId="21" fillId="2" borderId="3" xfId="7" applyNumberFormat="1" applyFont="1" applyFill="1" applyBorder="1" applyAlignment="1" applyProtection="1">
      <alignment vertical="center"/>
    </xf>
    <xf numFmtId="10" fontId="21" fillId="2" borderId="11" xfId="7" applyNumberFormat="1" applyFont="1" applyFill="1" applyBorder="1" applyAlignment="1" applyProtection="1">
      <alignment vertical="center"/>
    </xf>
    <xf numFmtId="0" fontId="8" fillId="2" borderId="18" xfId="7" applyFont="1" applyFill="1" applyBorder="1"/>
    <xf numFmtId="10" fontId="21" fillId="2" borderId="20" xfId="7" applyNumberFormat="1" applyFont="1" applyFill="1" applyBorder="1" applyAlignment="1" applyProtection="1">
      <alignment vertical="center"/>
    </xf>
    <xf numFmtId="0" fontId="8" fillId="2" borderId="0" xfId="7" applyFont="1" applyFill="1" applyAlignment="1" applyProtection="1">
      <alignment horizontal="center" vertical="center"/>
    </xf>
    <xf numFmtId="0" fontId="9" fillId="2" borderId="0" xfId="7" applyFont="1" applyFill="1" applyBorder="1" applyAlignment="1">
      <alignment horizontal="center" vertical="center" wrapText="1"/>
    </xf>
    <xf numFmtId="0" fontId="10" fillId="2" borderId="4" xfId="7" applyFont="1" applyFill="1" applyBorder="1" applyAlignment="1">
      <alignment horizontal="center" wrapText="1"/>
    </xf>
    <xf numFmtId="0" fontId="10" fillId="2" borderId="14" xfId="7" applyFont="1" applyFill="1" applyBorder="1" applyAlignment="1">
      <alignment horizontal="left" vertical="center" wrapText="1"/>
    </xf>
    <xf numFmtId="0" fontId="8" fillId="2" borderId="10" xfId="7" applyFont="1" applyFill="1" applyBorder="1" applyAlignment="1">
      <alignment horizontal="left" vertical="center" wrapText="1"/>
    </xf>
    <xf numFmtId="0" fontId="10" fillId="2" borderId="16" xfId="7" applyFont="1" applyFill="1" applyBorder="1" applyAlignment="1">
      <alignment horizontal="left" vertical="center" wrapText="1"/>
    </xf>
    <xf numFmtId="0" fontId="10" fillId="2" borderId="4" xfId="7" applyFont="1" applyFill="1" applyBorder="1" applyAlignment="1">
      <alignment horizontal="left" wrapText="1"/>
    </xf>
    <xf numFmtId="0" fontId="10" fillId="2" borderId="6" xfId="7" applyFont="1" applyFill="1" applyBorder="1" applyAlignment="1">
      <alignment horizontal="left" vertical="center" wrapText="1"/>
    </xf>
  </cellXfs>
  <cellStyles count="9">
    <cellStyle name="Гиперссылка 2" xfId="2"/>
    <cellStyle name="Обычный" xfId="0" builtinId="0"/>
    <cellStyle name="Обычный 2" xfId="1"/>
    <cellStyle name="Обычный 2 2" xfId="3"/>
    <cellStyle name="Обычный 3" xfId="4"/>
    <cellStyle name="Обычный 4" xfId="5"/>
    <cellStyle name="Обычный 80" xfId="7"/>
    <cellStyle name="Обычный_Копия Condition-все вар13.12.08-утнах17-50" xfId="8"/>
    <cellStyle name="Процентный" xfId="6" builtinId="5"/>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5.xml"/><Relationship Id="rId39" Type="http://schemas.openxmlformats.org/officeDocument/2006/relationships/externalLink" Target="externalLinks/externalLink18.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externalLink" Target="externalLinks/externalLink13.xml"/><Relationship Id="rId42" Type="http://schemas.openxmlformats.org/officeDocument/2006/relationships/externalLink" Target="externalLinks/externalLink21.xml"/><Relationship Id="rId47"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4.xml"/><Relationship Id="rId33" Type="http://schemas.openxmlformats.org/officeDocument/2006/relationships/externalLink" Target="externalLinks/externalLink12.xml"/><Relationship Id="rId38" Type="http://schemas.openxmlformats.org/officeDocument/2006/relationships/externalLink" Target="externalLinks/externalLink17.xml"/><Relationship Id="rId46"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8.xml"/><Relationship Id="rId41" Type="http://schemas.openxmlformats.org/officeDocument/2006/relationships/externalLink" Target="externalLinks/externalLink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3.xml"/><Relationship Id="rId32" Type="http://schemas.openxmlformats.org/officeDocument/2006/relationships/externalLink" Target="externalLinks/externalLink11.xml"/><Relationship Id="rId37" Type="http://schemas.openxmlformats.org/officeDocument/2006/relationships/externalLink" Target="externalLinks/externalLink16.xml"/><Relationship Id="rId40" Type="http://schemas.openxmlformats.org/officeDocument/2006/relationships/externalLink" Target="externalLinks/externalLink19.xml"/><Relationship Id="rId45"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2.xml"/><Relationship Id="rId28" Type="http://schemas.openxmlformats.org/officeDocument/2006/relationships/externalLink" Target="externalLinks/externalLink7.xml"/><Relationship Id="rId36" Type="http://schemas.openxmlformats.org/officeDocument/2006/relationships/externalLink" Target="externalLinks/externalLink1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0.xml"/><Relationship Id="rId44"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1.xml"/><Relationship Id="rId27" Type="http://schemas.openxmlformats.org/officeDocument/2006/relationships/externalLink" Target="externalLinks/externalLink6.xml"/><Relationship Id="rId30" Type="http://schemas.openxmlformats.org/officeDocument/2006/relationships/externalLink" Target="externalLinks/externalLink9.xml"/><Relationship Id="rId35" Type="http://schemas.openxmlformats.org/officeDocument/2006/relationships/externalLink" Target="externalLinks/externalLink14.xml"/><Relationship Id="rId43" Type="http://schemas.openxmlformats.org/officeDocument/2006/relationships/externalLink" Target="externalLinks/externalLink22.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ctrlProps/ctrlProp8.xml><?xml version="1.0" encoding="utf-8"?>
<formControlPr xmlns="http://schemas.microsoft.com/office/spreadsheetml/2009/9/main" objectType="Button" lockText="1"/>
</file>

<file path=xl/ctrlProps/ctrlProp9.xml><?xml version="1.0" encoding="utf-8"?>
<formControlPr xmlns="http://schemas.microsoft.com/office/spreadsheetml/2009/9/main" objectType="Button" lockText="1"/>
</file>

<file path=xl/ctrlProps/ctrlProp10.xml><?xml version="1.0" encoding="utf-8"?>
<formControlPr xmlns="http://schemas.microsoft.com/office/spreadsheetml/2009/9/main" objectType="Button" lockText="1"/>
</file>

<file path=xl/ctrlProps/ctrlProp11.xml><?xml version="1.0" encoding="utf-8"?>
<formControlPr xmlns="http://schemas.microsoft.com/office/spreadsheetml/2009/9/main" objectType="Button" lockText="1"/>
</file>

<file path=xl/ctrlProps/ctrlProp12.xml><?xml version="1.0" encoding="utf-8"?>
<formControlPr xmlns="http://schemas.microsoft.com/office/spreadsheetml/2009/9/main" objectType="Button" lockText="1"/>
</file>

<file path=xl/ctrlProps/ctrlProp13.xml><?xml version="1.0" encoding="utf-8"?>
<formControlPr xmlns="http://schemas.microsoft.com/office/spreadsheetml/2009/9/main" objectType="Button" lockText="1"/>
</file>

<file path=xl/ctrlProps/ctrlProp14.xml><?xml version="1.0" encoding="utf-8"?>
<formControlPr xmlns="http://schemas.microsoft.com/office/spreadsheetml/2009/9/main" objectType="Button" lockText="1"/>
</file>

<file path=xl/ctrlProps/ctrlProp15.xml><?xml version="1.0" encoding="utf-8"?>
<formControlPr xmlns="http://schemas.microsoft.com/office/spreadsheetml/2009/9/main" objectType="Button" lockText="1"/>
</file>

<file path=xl/ctrlProps/ctrlProp16.xml><?xml version="1.0" encoding="utf-8"?>
<formControlPr xmlns="http://schemas.microsoft.com/office/spreadsheetml/2009/9/main" objectType="Button" lockText="1"/>
</file>

<file path=xl/ctrlProps/ctrlProp17.xml><?xml version="1.0" encoding="utf-8"?>
<formControlPr xmlns="http://schemas.microsoft.com/office/spreadsheetml/2009/9/main" objectType="Button" lockText="1"/>
</file>

<file path=xl/ctrlProps/ctrlProp18.xml><?xml version="1.0" encoding="utf-8"?>
<formControlPr xmlns="http://schemas.microsoft.com/office/spreadsheetml/2009/9/main" objectType="Button" lockText="1"/>
</file>

<file path=xl/ctrlProps/ctrlProp19.xml><?xml version="1.0" encoding="utf-8"?>
<formControlPr xmlns="http://schemas.microsoft.com/office/spreadsheetml/2009/9/main" objectType="Button" lockText="1"/>
</file>

<file path=xl/ctrlProps/ctrlProp20.xml><?xml version="1.0" encoding="utf-8"?>
<formControlPr xmlns="http://schemas.microsoft.com/office/spreadsheetml/2009/9/main" objectType="Button" lockText="1"/>
</file>

<file path=xl/ctrlProps/ctrlProp21.xml><?xml version="1.0" encoding="utf-8"?>
<formControlPr xmlns="http://schemas.microsoft.com/office/spreadsheetml/2009/9/main" objectType="Button" lockText="1"/>
</file>

<file path=xl/ctrlProps/ctrlProp22.xml><?xml version="1.0" encoding="utf-8"?>
<formControlPr xmlns="http://schemas.microsoft.com/office/spreadsheetml/2009/9/main" objectType="Button" lockText="1"/>
</file>

<file path=xl/ctrlProps/ctrlProp23.xml><?xml version="1.0" encoding="utf-8"?>
<formControlPr xmlns="http://schemas.microsoft.com/office/spreadsheetml/2009/9/main" objectType="Button" lockText="1"/>
</file>

<file path=xl/ctrlProps/ctrlProp24.xml><?xml version="1.0" encoding="utf-8"?>
<formControlPr xmlns="http://schemas.microsoft.com/office/spreadsheetml/2009/9/main" objectType="Button"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47625</xdr:colOff>
          <xdr:row>0</xdr:row>
          <xdr:rowOff>104775</xdr:rowOff>
        </xdr:from>
        <xdr:to>
          <xdr:col>4</xdr:col>
          <xdr:colOff>1095375</xdr:colOff>
          <xdr:row>0</xdr:row>
          <xdr:rowOff>352425</xdr:rowOff>
        </xdr:to>
        <xdr:sp macro="" textlink="">
          <xdr:nvSpPr>
            <xdr:cNvPr id="1025" name="Button 1" hidden="1">
              <a:extLst>
                <a:ext uri="{63B3BB69-23CF-44E3-9099-C40C66FF867C}">
                  <a14:compatExt spid="_x0000_s102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47625</xdr:colOff>
          <xdr:row>0</xdr:row>
          <xdr:rowOff>104775</xdr:rowOff>
        </xdr:from>
        <xdr:to>
          <xdr:col>4</xdr:col>
          <xdr:colOff>1095375</xdr:colOff>
          <xdr:row>0</xdr:row>
          <xdr:rowOff>352425</xdr:rowOff>
        </xdr:to>
        <xdr:sp macro="" textlink="">
          <xdr:nvSpPr>
            <xdr:cNvPr id="1026" name="Button 2" hidden="1">
              <a:extLst>
                <a:ext uri="{63B3BB69-23CF-44E3-9099-C40C66FF867C}">
                  <a14:compatExt spid="_x0000_s1026"/>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049" name="Button 1" hidden="1">
              <a:extLst>
                <a:ext uri="{63B3BB69-23CF-44E3-9099-C40C66FF867C}">
                  <a14:compatExt spid="_x0000_s204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050" name="Button 2" hidden="1">
              <a:extLst>
                <a:ext uri="{63B3BB69-23CF-44E3-9099-C40C66FF867C}">
                  <a14:compatExt spid="_x0000_s2050"/>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47625</xdr:colOff>
          <xdr:row>0</xdr:row>
          <xdr:rowOff>104775</xdr:rowOff>
        </xdr:from>
        <xdr:to>
          <xdr:col>4</xdr:col>
          <xdr:colOff>1095375</xdr:colOff>
          <xdr:row>0</xdr:row>
          <xdr:rowOff>352425</xdr:rowOff>
        </xdr:to>
        <xdr:sp macro="" textlink="">
          <xdr:nvSpPr>
            <xdr:cNvPr id="3073" name="Button 1" hidden="1">
              <a:extLst>
                <a:ext uri="{63B3BB69-23CF-44E3-9099-C40C66FF867C}">
                  <a14:compatExt spid="_x0000_s307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47625</xdr:colOff>
          <xdr:row>0</xdr:row>
          <xdr:rowOff>104775</xdr:rowOff>
        </xdr:from>
        <xdr:to>
          <xdr:col>4</xdr:col>
          <xdr:colOff>1095375</xdr:colOff>
          <xdr:row>0</xdr:row>
          <xdr:rowOff>352425</xdr:rowOff>
        </xdr:to>
        <xdr:sp macro="" textlink="">
          <xdr:nvSpPr>
            <xdr:cNvPr id="3074" name="Button 2" hidden="1">
              <a:extLst>
                <a:ext uri="{63B3BB69-23CF-44E3-9099-C40C66FF867C}">
                  <a14:compatExt spid="_x0000_s3074"/>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4097" name="Button 1" hidden="1">
              <a:extLst>
                <a:ext uri="{63B3BB69-23CF-44E3-9099-C40C66FF867C}">
                  <a14:compatExt spid="_x0000_s409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47625</xdr:colOff>
          <xdr:row>0</xdr:row>
          <xdr:rowOff>104775</xdr:rowOff>
        </xdr:from>
        <xdr:to>
          <xdr:col>4</xdr:col>
          <xdr:colOff>1095375</xdr:colOff>
          <xdr:row>0</xdr:row>
          <xdr:rowOff>352425</xdr:rowOff>
        </xdr:to>
        <xdr:sp macro="" textlink="">
          <xdr:nvSpPr>
            <xdr:cNvPr id="5121" name="Button 1" hidden="1">
              <a:extLst>
                <a:ext uri="{63B3BB69-23CF-44E3-9099-C40C66FF867C}">
                  <a14:compatExt spid="_x0000_s512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6145" name="Button 1" hidden="1">
              <a:extLst>
                <a:ext uri="{63B3BB69-23CF-44E3-9099-C40C66FF867C}">
                  <a14:compatExt spid="_x0000_s614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7169" name="Button 1" hidden="1">
              <a:extLst>
                <a:ext uri="{63B3BB69-23CF-44E3-9099-C40C66FF867C}">
                  <a14:compatExt spid="_x0000_s716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8193" name="Button 1" hidden="1">
              <a:extLst>
                <a:ext uri="{63B3BB69-23CF-44E3-9099-C40C66FF867C}">
                  <a14:compatExt spid="_x0000_s819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47625</xdr:colOff>
          <xdr:row>0</xdr:row>
          <xdr:rowOff>104775</xdr:rowOff>
        </xdr:from>
        <xdr:to>
          <xdr:col>4</xdr:col>
          <xdr:colOff>1095375</xdr:colOff>
          <xdr:row>0</xdr:row>
          <xdr:rowOff>352425</xdr:rowOff>
        </xdr:to>
        <xdr:sp macro="" textlink="">
          <xdr:nvSpPr>
            <xdr:cNvPr id="9217" name="Button 1" hidden="1">
              <a:extLst>
                <a:ext uri="{63B3BB69-23CF-44E3-9099-C40C66FF867C}">
                  <a14:compatExt spid="_x0000_s921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0241" name="Button 1" hidden="1">
              <a:extLst>
                <a:ext uri="{63B3BB69-23CF-44E3-9099-C40C66FF867C}">
                  <a14:compatExt spid="_x0000_s1024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1265" name="Button 1" hidden="1">
              <a:extLst>
                <a:ext uri="{63B3BB69-23CF-44E3-9099-C40C66FF867C}">
                  <a14:compatExt spid="_x0000_s1126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2289" name="Button 1" hidden="1">
              <a:extLst>
                <a:ext uri="{63B3BB69-23CF-44E3-9099-C40C66FF867C}">
                  <a14:compatExt spid="_x0000_s1228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3313" name="Button 1" hidden="1">
              <a:extLst>
                <a:ext uri="{63B3BB69-23CF-44E3-9099-C40C66FF867C}">
                  <a14:compatExt spid="_x0000_s1331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4337" name="Button 1" hidden="1">
              <a:extLst>
                <a:ext uri="{63B3BB69-23CF-44E3-9099-C40C66FF867C}">
                  <a14:compatExt spid="_x0000_s1433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5361" name="Button 1" hidden="1">
              <a:extLst>
                <a:ext uri="{63B3BB69-23CF-44E3-9099-C40C66FF867C}">
                  <a14:compatExt spid="_x0000_s1536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6385" name="Button 1" hidden="1">
              <a:extLst>
                <a:ext uri="{63B3BB69-23CF-44E3-9099-C40C66FF867C}">
                  <a14:compatExt spid="_x0000_s1638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7409" name="Button 1" hidden="1">
              <a:extLst>
                <a:ext uri="{63B3BB69-23CF-44E3-9099-C40C66FF867C}">
                  <a14:compatExt spid="_x0000_s1740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8433" name="Button 1" hidden="1">
              <a:extLst>
                <a:ext uri="{63B3BB69-23CF-44E3-9099-C40C66FF867C}">
                  <a14:compatExt spid="_x0000_s1843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9457" name="Button 1" hidden="1">
              <a:extLst>
                <a:ext uri="{63B3BB69-23CF-44E3-9099-C40C66FF867C}">
                  <a14:compatExt spid="_x0000_s1945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2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0481" name="Button 1" hidden="1">
              <a:extLst>
                <a:ext uri="{63B3BB69-23CF-44E3-9099-C40C66FF867C}">
                  <a14:compatExt spid="_x0000_s2048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2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47625</xdr:colOff>
          <xdr:row>0</xdr:row>
          <xdr:rowOff>104775</xdr:rowOff>
        </xdr:from>
        <xdr:to>
          <xdr:col>4</xdr:col>
          <xdr:colOff>1095375</xdr:colOff>
          <xdr:row>0</xdr:row>
          <xdr:rowOff>352425</xdr:rowOff>
        </xdr:to>
        <xdr:sp macro="" textlink="">
          <xdr:nvSpPr>
            <xdr:cNvPr id="21505" name="Button 1" hidden="1">
              <a:extLst>
                <a:ext uri="{63B3BB69-23CF-44E3-9099-C40C66FF867C}">
                  <a14:compatExt spid="_x0000_s2150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Backoffice\Projects\Energy%20Group\&#1056;&#1072;&#1073;&#1086;&#1095;&#1080;&#1077;%20&#1084;&#1072;&#1090;&#1077;&#1088;&#1080;&#1072;&#1083;&#1099;%20&#1087;&#1086;%20&#1087;&#1088;&#1086;&#1077;&#1082;&#1090;&#1072;&#1084;\&#1050;&#1072;&#1083;&#1100;&#1082;&#1091;&#1083;&#1103;&#1090;&#1086;&#1088;\&#1056;&#1072;&#1089;&#1095;&#1077;&#1090;%20&#1087;&#1086;%20&#1075;&#1086;&#1088;&#1086;&#1076;&#1072;&#1084;\&#1052;&#1091;&#1088;&#1084;&#1072;&#1085;&#1089;&#1082;&#1072;&#1103;%20&#1086;&#1073;&#1083;&#1072;&#1089;&#1090;&#1100;\2.%20Ugol._&#1052;&#1091;&#1088;&#1084;&#1072;&#1085;&#1089;&#108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1064;&#1072;&#1073;&#1083;&#1086;&#1085;%20&#1062;&#1040;&#1050;_&#1075;&#1072;&#1079;_&#1062;&#1055;%20(&#1073;&#1077;&#1079;%20&#1053;&#1044;&#1057;)_2&#1087;&#1075;2023&#1075;_&#1084;&#1077;&#1085;&#1077;&#1077;%2050%20&#1090;&#1099;&#1089;_&#1053;&#1086;&#1074;&#1086;&#1096;&#1072;&#1088;&#1072;&#1087;&#1089;&#1082;&#1080;&#1081;.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41;&#1077;&#1088;&#1077;&#1079;&#1086;&#1074;&#1089;&#1082;&#1080;&#1081;.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1064;&#1072;&#1073;&#1083;&#1086;&#1085;%20&#1062;&#1040;&#1050;_&#1075;&#1072;&#1079;_&#1062;&#1055;%20(&#1073;&#1077;&#1079;%20&#1053;&#1044;&#1057;)_2&#1087;&#1075;2023&#1075;_&#1084;&#1077;&#1085;&#1077;&#1077;%2050%20&#1090;&#1099;&#1089;_&#1042;&#1072;&#1075;&#1072;&#1081;&#1094;&#1077;&#1074;&#1089;&#1082;&#1080;&#1081;.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42;&#1077;&#1088;&#1093;-&#1040;&#1083;&#1077;&#1091;&#1089;&#1089;&#1082;&#1080;&#1081;.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64;&#1072;&#1073;&#1083;&#1086;&#1085;%20&#1062;&#1040;&#1050;_&#1075;&#1072;&#1079;_&#1062;&#1055;%20(&#1073;&#1077;&#1079;%20&#1053;&#1044;&#1057;)_2&#1087;&#1075;2023&#1075;_&#1084;&#1077;&#1085;&#1077;&#1077;%2050%20&#1090;&#1099;&#1089;_&#1042;&#1077;&#1088;&#1093;-&#1048;&#1088;&#1084;&#1077;&#1085;&#1089;&#1082;&#1080;&#1081;.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42;&#1077;&#1088;&#1093;-&#1063;&#1080;&#1082;&#1089;&#1082;&#1080;&#1081;.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50;&#1080;&#1088;&#1079;&#1080;&#1085;&#1089;&#1082;&#1080;&#1081;.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50;&#1086;&#1079;&#1080;&#1093;&#1080;&#1085;&#1089;&#1082;&#1080;&#1081;.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1064;&#1072;&#1073;&#1083;&#1086;&#1085;%20&#1062;&#1040;&#1050;_&#1075;&#1072;&#1079;_&#1062;&#1055;%20(&#1073;&#1077;&#1079;%20&#1053;&#1044;&#1057;)_2&#1087;&#1075;2023&#1075;_&#1084;&#1077;&#1085;&#1077;&#1077;%2050%20&#1090;&#1099;&#1089;_&#1050;&#1088;&#1072;&#1089;&#1085;&#1086;&#1103;&#1088;&#1089;&#1082;&#1080;&#1081;.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53;&#1080;&#1078;&#1085;&#1077;&#1082;&#1072;&#1084;&#1077;&#1085;&#1089;&#1082;&#1080;&#1081;.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53;&#1086;&#1074;&#1086;&#1087;&#1080;&#1095;&#1091;&#1075;&#1086;&#1074;&#1089;&#1082;&#1080;&#1081;.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63;&#1080;&#1085;&#1075;&#1080;&#1089;&#1089;&#1082;&#1080;&#1081;.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64;&#1072;&#1081;&#1076;&#1091;&#1088;&#1086;&#1074;&#1089;&#1082;&#1080;&#1081;.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55;&#1077;&#1090;&#1088;&#1086;&#1074;&#1089;&#1082;&#1080;&#1081;.xlsm"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55;&#1088;&#1086;&#1083;&#1077;&#1090;&#1072;&#1088;&#1089;&#1082;&#1080;&#1081;.xlsm"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56;&#1086;&#1075;&#1072;&#1083;&#1077;&#1074;&#1089;&#1082;&#1080;&#1081;.xlsm"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57;&#1087;&#1080;&#1088;&#1080;&#1085;&#1089;&#1082;&#1080;&#1081;.xlsm"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59;&#1089;&#1090;&#1100;-&#1051;&#1091;&#1082;&#1086;&#1074;&#1089;&#1082;&#1080;&#1081;.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59;&#1089;&#1090;&#1102;&#1078;&#1072;&#1085;&#1080;&#1085;&#1089;&#1082;&#1080;&#1081;.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60;&#1080;&#1083;&#1080;&#1087;&#1087;&#1086;&#1074;&#1089;&#1082;&#1080;&#1081;.xlsm"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1064;&#1072;&#1073;&#1083;&#1086;&#1085;%20&#1062;&#1040;&#1050;_&#1075;&#1072;&#1079;_&#1062;&#1055;%20(&#1073;&#1077;&#1079;%20&#1053;&#1044;&#1057;)_2&#1087;&#1075;2023&#1075;_&#1084;&#1077;&#1085;&#1077;&#1077;%2050%20&#1090;&#1099;&#1089;_&#1088;.&#1087;.&#1054;&#1088;&#1076;&#1099;&#1085;&#1089;&#1082;&#1086;&#1077;.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Уголь"/>
      <sheetName val="Модель"/>
      <sheetName val="Результаты на 10 лет уголь"/>
      <sheetName val="ФОТ"/>
      <sheetName val="темп изм Т до АК"/>
      <sheetName val="Коэффициенты"/>
      <sheetName val="КИУМ"/>
      <sheetName val="Топливо"/>
      <sheetName val="Стоимость строительства"/>
      <sheetName val="WACC"/>
      <sheetName val="Техприс. водоснаб и водоот"/>
      <sheetName val="Стоимость земля кадастр"/>
      <sheetName val="Тариф ВиК"/>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sheetData sheetId="6" refreshError="1"/>
      <sheetData sheetId="7"/>
      <sheetData sheetId="8"/>
      <sheetData sheetId="9"/>
      <sheetData sheetId="10"/>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деревня Новый Шарап, Ордынский муниципальный район</v>
          </cell>
        </row>
        <row r="15">
          <cell r="D15" t="str">
            <v/>
          </cell>
        </row>
        <row r="16">
          <cell r="D16" t="str">
            <v>Код ОКТМО</v>
          </cell>
          <cell r="E16" t="str">
            <v>50642420101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912.75572352910331</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0.1392500000000001</v>
          </cell>
        </row>
        <row r="21">
          <cell r="E21">
            <v>0</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4475.5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952.13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132.9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30.63</v>
          </cell>
        </row>
        <row r="32">
          <cell r="E32">
            <v>5591.16</v>
          </cell>
        </row>
      </sheetData>
      <sheetData sheetId="9" refreshError="1"/>
      <sheetData sheetId="10" refreshError="1"/>
      <sheetData sheetId="11"/>
      <sheetData sheetId="12" refreshError="1"/>
      <sheetData sheetId="13">
        <row r="12">
          <cell r="F12">
            <v>1416.3895121306814</v>
          </cell>
        </row>
        <row r="13">
          <cell r="F13">
            <v>97038.307983185223</v>
          </cell>
        </row>
        <row r="14">
          <cell r="F14">
            <v>64899</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36585.255753162281</v>
          </cell>
        </row>
        <row r="23">
          <cell r="F23">
            <v>21</v>
          </cell>
        </row>
        <row r="26">
          <cell r="F26">
            <v>2892</v>
          </cell>
        </row>
        <row r="28">
          <cell r="F28">
            <v>139.14695294069438</v>
          </cell>
        </row>
        <row r="29">
          <cell r="F29">
            <v>0.201330388</v>
          </cell>
        </row>
        <row r="30">
          <cell r="F30">
            <v>500</v>
          </cell>
        </row>
        <row r="31">
          <cell r="F31">
            <v>0.128978033685065</v>
          </cell>
        </row>
        <row r="32">
          <cell r="F32">
            <v>0.11668498168498169</v>
          </cell>
        </row>
        <row r="33">
          <cell r="F33">
            <v>0.13880000000000001</v>
          </cell>
        </row>
        <row r="34">
          <cell r="F34">
            <v>0.12640000000000001</v>
          </cell>
        </row>
        <row r="35">
          <cell r="F35">
            <v>10</v>
          </cell>
        </row>
        <row r="37">
          <cell r="F37">
            <v>1.3822747209000001</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0.121</v>
          </cell>
          <cell r="H11">
            <v>0.02</v>
          </cell>
        </row>
      </sheetData>
      <sheetData sheetId="20">
        <row r="11">
          <cell r="G11" t="str">
            <v>Информация с официального сайта Банка России</v>
          </cell>
        </row>
      </sheetData>
      <sheetData sheetId="21" refreshError="1"/>
      <sheetData sheetId="22">
        <row r="12">
          <cell r="F12">
            <v>338.69535278862691</v>
          </cell>
        </row>
        <row r="14">
          <cell r="F14">
            <v>4857.2878492227173</v>
          </cell>
        </row>
        <row r="15">
          <cell r="F15">
            <v>0.2</v>
          </cell>
        </row>
        <row r="18">
          <cell r="F18">
            <v>15</v>
          </cell>
        </row>
        <row r="19">
          <cell r="F19">
            <v>2435.0508023655884</v>
          </cell>
        </row>
        <row r="20">
          <cell r="F20">
            <v>2.1999999999999999E-2</v>
          </cell>
        </row>
        <row r="21">
          <cell r="F21">
            <v>10</v>
          </cell>
        </row>
        <row r="22">
          <cell r="F22">
            <v>0.41744085882208315</v>
          </cell>
        </row>
        <row r="23">
          <cell r="F23">
            <v>3.0000000000000001E-3</v>
          </cell>
        </row>
        <row r="24">
          <cell r="F24">
            <v>139.14695294069438</v>
          </cell>
        </row>
      </sheetData>
      <sheetData sheetId="23">
        <row r="12">
          <cell r="F12" t="str">
            <v xml:space="preserve">Налоговый кодекс Российской Федерации </v>
          </cell>
        </row>
      </sheetData>
      <sheetData sheetId="24">
        <row r="12">
          <cell r="F12">
            <v>218.46347309481291</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47.113160000000001</v>
          </cell>
        </row>
        <row r="27">
          <cell r="F27">
            <v>946.59139764731083</v>
          </cell>
        </row>
        <row r="28">
          <cell r="F28">
            <v>727.02872323142151</v>
          </cell>
        </row>
        <row r="29">
          <cell r="F29">
            <v>219.56267441588932</v>
          </cell>
        </row>
        <row r="30">
          <cell r="F30">
            <v>490.84222061732129</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22.17</v>
          </cell>
        </row>
        <row r="19">
          <cell r="E19">
            <v>58.64</v>
          </cell>
        </row>
      </sheetData>
      <sheetData sheetId="28" refreshError="1"/>
      <sheetData sheetId="29">
        <row r="12">
          <cell r="F12">
            <v>57.726081230864494</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деревня Березовка, Ордынский муниципальный район</v>
          </cell>
        </row>
        <row r="15">
          <cell r="D15" t="str">
            <v/>
          </cell>
        </row>
        <row r="16">
          <cell r="D16" t="str">
            <v>Код ОКТМО</v>
          </cell>
          <cell r="E16" t="str">
            <v>50642403101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1134.7740071372189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3051.2176603165599</v>
          </cell>
        </row>
      </sheetData>
      <sheetData sheetId="9" refreshError="1"/>
      <sheetData sheetId="10" refreshError="1"/>
      <sheetData sheetId="11"/>
      <sheetData sheetId="12" refreshError="1"/>
      <sheetData sheetId="13">
        <row r="12">
          <cell r="F12">
            <v>2106.4563180122805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1168.8344047018327</v>
          </cell>
        </row>
        <row r="27">
          <cell r="F27">
            <v>0.201330388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503.94083842199643</v>
          </cell>
        </row>
        <row r="14">
          <cell r="F14">
            <v>7000.4488806189811</v>
          </cell>
        </row>
        <row r="15">
          <cell r="F15">
            <v>0.2</v>
          </cell>
        </row>
        <row r="18">
          <cell r="F18">
            <v>15</v>
          </cell>
        </row>
        <row r="19">
          <cell r="F19">
            <v>3487.1555421534131</v>
          </cell>
        </row>
        <row r="20">
          <cell r="F20">
            <v>2.1999999999999999E-2</v>
          </cell>
        </row>
        <row r="21">
          <cell r="F21">
            <v>10</v>
          </cell>
        </row>
        <row r="22">
          <cell r="F22">
            <v>3.5065032141054981</v>
          </cell>
        </row>
        <row r="23">
          <cell r="F23">
            <v>3.0000000000000001E-3</v>
          </cell>
        </row>
        <row r="24">
          <cell r="F24">
            <v>1168.8344047018327</v>
          </cell>
        </row>
      </sheetData>
      <sheetData sheetId="24"/>
      <sheetData sheetId="25">
        <row r="12">
          <cell r="F12">
            <v>449.20470268424725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85.855050000000006</v>
          </cell>
        </row>
        <row r="27">
          <cell r="F27">
            <v>1351.1912129385403</v>
          </cell>
        </row>
        <row r="28">
          <cell r="F28">
            <v>1037.7812695380494</v>
          </cell>
        </row>
        <row r="29">
          <cell r="F29">
            <v>313.40994340049093</v>
          </cell>
        </row>
        <row r="30">
          <cell r="F30">
            <v>2408.798202640929</v>
          </cell>
        </row>
        <row r="33">
          <cell r="F33">
            <v>1670.7125714260535</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21.07</v>
          </cell>
        </row>
        <row r="19">
          <cell r="E19">
            <v>58.64</v>
          </cell>
        </row>
      </sheetData>
      <sheetData sheetId="29" refreshError="1"/>
      <sheetData sheetId="30">
        <row r="12">
          <cell r="F12">
            <v>83.887517325114857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Вагайцево, Ордынский муниципальный район</v>
          </cell>
        </row>
        <row r="15">
          <cell r="D15" t="str">
            <v/>
          </cell>
        </row>
        <row r="16">
          <cell r="D16" t="str">
            <v>Код ОКТМО</v>
          </cell>
          <cell r="E16" t="str">
            <v>50642401101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912.75572352910331</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0.1392500000000001</v>
          </cell>
        </row>
        <row r="21">
          <cell r="E21">
            <v>0</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4475.5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952.13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132.9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30.63</v>
          </cell>
        </row>
        <row r="32">
          <cell r="E32">
            <v>5591.16</v>
          </cell>
        </row>
      </sheetData>
      <sheetData sheetId="9" refreshError="1"/>
      <sheetData sheetId="10" refreshError="1"/>
      <sheetData sheetId="11"/>
      <sheetData sheetId="12" refreshError="1"/>
      <sheetData sheetId="13">
        <row r="12">
          <cell r="F12">
            <v>1416.3895121306814</v>
          </cell>
        </row>
        <row r="13">
          <cell r="F13">
            <v>97038.307983185223</v>
          </cell>
        </row>
        <row r="14">
          <cell r="F14">
            <v>64899</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36585.255753162281</v>
          </cell>
        </row>
        <row r="23">
          <cell r="F23">
            <v>21</v>
          </cell>
        </row>
        <row r="26">
          <cell r="F26">
            <v>2892</v>
          </cell>
        </row>
        <row r="28">
          <cell r="F28">
            <v>139.14695294069438</v>
          </cell>
        </row>
        <row r="29">
          <cell r="F29">
            <v>0.201330388</v>
          </cell>
        </row>
        <row r="30">
          <cell r="F30">
            <v>500</v>
          </cell>
        </row>
        <row r="31">
          <cell r="F31">
            <v>0.128978033685065</v>
          </cell>
        </row>
        <row r="32">
          <cell r="F32">
            <v>0.11668498168498169</v>
          </cell>
        </row>
        <row r="33">
          <cell r="F33">
            <v>0.13880000000000001</v>
          </cell>
        </row>
        <row r="34">
          <cell r="F34">
            <v>0.12640000000000001</v>
          </cell>
        </row>
        <row r="35">
          <cell r="F35">
            <v>10</v>
          </cell>
        </row>
        <row r="37">
          <cell r="F37">
            <v>1.3822747209000001</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0.121</v>
          </cell>
          <cell r="H11">
            <v>0.02</v>
          </cell>
        </row>
      </sheetData>
      <sheetData sheetId="20">
        <row r="11">
          <cell r="G11" t="str">
            <v>Информация с официального сайта Банка России</v>
          </cell>
        </row>
      </sheetData>
      <sheetData sheetId="21" refreshError="1"/>
      <sheetData sheetId="22">
        <row r="12">
          <cell r="F12">
            <v>338.69535278862691</v>
          </cell>
        </row>
        <row r="14">
          <cell r="F14">
            <v>4857.2878492227173</v>
          </cell>
        </row>
        <row r="15">
          <cell r="F15">
            <v>0.2</v>
          </cell>
        </row>
        <row r="18">
          <cell r="F18">
            <v>15</v>
          </cell>
        </row>
        <row r="19">
          <cell r="F19">
            <v>2435.0508023655884</v>
          </cell>
        </row>
        <row r="20">
          <cell r="F20">
            <v>2.1999999999999999E-2</v>
          </cell>
        </row>
        <row r="21">
          <cell r="F21">
            <v>10</v>
          </cell>
        </row>
        <row r="22">
          <cell r="F22">
            <v>0.41744085882208315</v>
          </cell>
        </row>
        <row r="23">
          <cell r="F23">
            <v>3.0000000000000001E-3</v>
          </cell>
        </row>
        <row r="24">
          <cell r="F24">
            <v>139.14695294069438</v>
          </cell>
        </row>
      </sheetData>
      <sheetData sheetId="23">
        <row r="12">
          <cell r="F12" t="str">
            <v xml:space="preserve">Налоговый кодекс Российской Федерации </v>
          </cell>
        </row>
      </sheetData>
      <sheetData sheetId="24">
        <row r="12">
          <cell r="F12">
            <v>218.26878045732127</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44.224820000000001</v>
          </cell>
        </row>
        <row r="27">
          <cell r="F27">
            <v>946.59139764731083</v>
          </cell>
        </row>
        <row r="28">
          <cell r="F28">
            <v>727.02872323142151</v>
          </cell>
        </row>
        <row r="29">
          <cell r="F29">
            <v>219.56267441588932</v>
          </cell>
        </row>
        <row r="30">
          <cell r="F30">
            <v>490.64259664895303</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20.675000000000001</v>
          </cell>
        </row>
        <row r="19">
          <cell r="E19">
            <v>58.64</v>
          </cell>
        </row>
      </sheetData>
      <sheetData sheetId="28" refreshError="1"/>
      <sheetData sheetId="29">
        <row r="12">
          <cell r="F12">
            <v>57.722187378114661</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Верх-Алеус, Ордынский муниципальный район</v>
          </cell>
        </row>
        <row r="15">
          <cell r="D15" t="str">
            <v/>
          </cell>
        </row>
        <row r="16">
          <cell r="D16" t="str">
            <v>Код ОКТМО</v>
          </cell>
          <cell r="E16" t="str">
            <v>50642402101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1134.7740071372189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3051.2176603165599</v>
          </cell>
        </row>
      </sheetData>
      <sheetData sheetId="9" refreshError="1"/>
      <sheetData sheetId="10" refreshError="1"/>
      <sheetData sheetId="11"/>
      <sheetData sheetId="12" refreshError="1"/>
      <sheetData sheetId="13">
        <row r="12">
          <cell r="F12">
            <v>2106.4563180122805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1168.8344047018327</v>
          </cell>
        </row>
        <row r="27">
          <cell r="F27">
            <v>0.201330388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503.94083842199643</v>
          </cell>
        </row>
        <row r="14">
          <cell r="F14">
            <v>7000.4488806189811</v>
          </cell>
        </row>
        <row r="15">
          <cell r="F15">
            <v>0.2</v>
          </cell>
        </row>
        <row r="18">
          <cell r="F18">
            <v>15</v>
          </cell>
        </row>
        <row r="19">
          <cell r="F19">
            <v>3487.1555421534131</v>
          </cell>
        </row>
        <row r="20">
          <cell r="F20">
            <v>2.1999999999999999E-2</v>
          </cell>
        </row>
        <row r="21">
          <cell r="F21">
            <v>10</v>
          </cell>
        </row>
        <row r="22">
          <cell r="F22">
            <v>3.5065032141054981</v>
          </cell>
        </row>
        <row r="23">
          <cell r="F23">
            <v>3.0000000000000001E-3</v>
          </cell>
        </row>
        <row r="24">
          <cell r="F24">
            <v>1168.8344047018327</v>
          </cell>
        </row>
      </sheetData>
      <sheetData sheetId="24"/>
      <sheetData sheetId="25">
        <row r="12">
          <cell r="F12">
            <v>448.96346343836552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82.394810000000007</v>
          </cell>
        </row>
        <row r="27">
          <cell r="F27">
            <v>1351.1912129385403</v>
          </cell>
        </row>
        <row r="28">
          <cell r="F28">
            <v>1037.7812695380494</v>
          </cell>
        </row>
        <row r="29">
          <cell r="F29">
            <v>313.40994340049093</v>
          </cell>
        </row>
        <row r="30">
          <cell r="F30">
            <v>2408.5590525269167</v>
          </cell>
        </row>
        <row r="33">
          <cell r="F33">
            <v>1670.7125714260535</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20.083333333333336</v>
          </cell>
        </row>
        <row r="19">
          <cell r="E19">
            <v>58.64</v>
          </cell>
        </row>
      </sheetData>
      <sheetData sheetId="29" refreshError="1"/>
      <sheetData sheetId="30">
        <row r="12">
          <cell r="F12">
            <v>83.882692540197226</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Верх-Ирмень, Ордынский муниципальный район</v>
          </cell>
        </row>
        <row r="15">
          <cell r="D15" t="str">
            <v/>
          </cell>
        </row>
        <row r="16">
          <cell r="D16" t="str">
            <v>Код ОКТМО</v>
          </cell>
          <cell r="E16" t="str">
            <v>50642404101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912.75572352910331</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0.1392500000000001</v>
          </cell>
        </row>
        <row r="21">
          <cell r="E21">
            <v>0</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4475.5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952.13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132.9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30.63</v>
          </cell>
        </row>
        <row r="32">
          <cell r="E32">
            <v>5591.16</v>
          </cell>
        </row>
      </sheetData>
      <sheetData sheetId="9" refreshError="1"/>
      <sheetData sheetId="10" refreshError="1"/>
      <sheetData sheetId="11"/>
      <sheetData sheetId="12" refreshError="1"/>
      <sheetData sheetId="13">
        <row r="12">
          <cell r="F12">
            <v>1416.3895121306814</v>
          </cell>
        </row>
        <row r="13">
          <cell r="F13">
            <v>97038.307983185223</v>
          </cell>
        </row>
        <row r="14">
          <cell r="F14">
            <v>64899</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36585.255753162281</v>
          </cell>
        </row>
        <row r="23">
          <cell r="F23">
            <v>21</v>
          </cell>
        </row>
        <row r="26">
          <cell r="F26">
            <v>2892</v>
          </cell>
        </row>
        <row r="28">
          <cell r="F28">
            <v>139.14695294069438</v>
          </cell>
        </row>
        <row r="29">
          <cell r="F29">
            <v>0.201330388</v>
          </cell>
        </row>
        <row r="30">
          <cell r="F30">
            <v>500</v>
          </cell>
        </row>
        <row r="31">
          <cell r="F31">
            <v>0.128978033685065</v>
          </cell>
        </row>
        <row r="32">
          <cell r="F32">
            <v>0.11668498168498169</v>
          </cell>
        </row>
        <row r="33">
          <cell r="F33">
            <v>0.13880000000000001</v>
          </cell>
        </row>
        <row r="34">
          <cell r="F34">
            <v>0.12640000000000001</v>
          </cell>
        </row>
        <row r="35">
          <cell r="F35">
            <v>10</v>
          </cell>
        </row>
        <row r="37">
          <cell r="F37">
            <v>1.3822747209000001</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0.121</v>
          </cell>
          <cell r="H11">
            <v>0.02</v>
          </cell>
        </row>
      </sheetData>
      <sheetData sheetId="20">
        <row r="11">
          <cell r="G11" t="str">
            <v>Информация с официального сайта Банка России</v>
          </cell>
        </row>
      </sheetData>
      <sheetData sheetId="21" refreshError="1"/>
      <sheetData sheetId="22">
        <row r="12">
          <cell r="F12">
            <v>338.69535278862691</v>
          </cell>
        </row>
        <row r="14">
          <cell r="F14">
            <v>4857.2878492227173</v>
          </cell>
        </row>
        <row r="15">
          <cell r="F15">
            <v>0.2</v>
          </cell>
        </row>
        <row r="18">
          <cell r="F18">
            <v>15</v>
          </cell>
        </row>
        <row r="19">
          <cell r="F19">
            <v>2435.0508023655884</v>
          </cell>
        </row>
        <row r="20">
          <cell r="F20">
            <v>2.1999999999999999E-2</v>
          </cell>
        </row>
        <row r="21">
          <cell r="F21">
            <v>10</v>
          </cell>
        </row>
        <row r="22">
          <cell r="F22">
            <v>0.41744085882208315</v>
          </cell>
        </row>
        <row r="23">
          <cell r="F23">
            <v>3.0000000000000001E-3</v>
          </cell>
        </row>
        <row r="24">
          <cell r="F24">
            <v>139.14695294069438</v>
          </cell>
        </row>
      </sheetData>
      <sheetData sheetId="23">
        <row r="12">
          <cell r="F12" t="str">
            <v xml:space="preserve">Налоговый кодекс Российской Федерации </v>
          </cell>
        </row>
      </sheetData>
      <sheetData sheetId="24">
        <row r="12">
          <cell r="F12">
            <v>217.67101791966761</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35.35678333333334</v>
          </cell>
        </row>
        <row r="27">
          <cell r="F27">
            <v>946.59139764731083</v>
          </cell>
        </row>
        <row r="28">
          <cell r="F28">
            <v>727.02872323142151</v>
          </cell>
        </row>
        <row r="29">
          <cell r="F29">
            <v>219.56267441588932</v>
          </cell>
        </row>
        <row r="30">
          <cell r="F30">
            <v>490.02969350353561</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17.583333333333336</v>
          </cell>
        </row>
        <row r="19">
          <cell r="E19">
            <v>18.983333333333334</v>
          </cell>
        </row>
      </sheetData>
      <sheetData sheetId="28" refreshError="1"/>
      <sheetData sheetId="29">
        <row r="12">
          <cell r="F12">
            <v>57.710232127361586</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деревня Верх-Чик, Ордынский муниципальный район</v>
          </cell>
        </row>
        <row r="15">
          <cell r="D15" t="str">
            <v/>
          </cell>
        </row>
        <row r="16">
          <cell r="D16" t="str">
            <v>Код ОКТМО</v>
          </cell>
          <cell r="E16" t="str">
            <v>50642405101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1151.8021760407769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3097.0035607289806</v>
          </cell>
        </row>
      </sheetData>
      <sheetData sheetId="9" refreshError="1"/>
      <sheetData sheetId="10" refreshError="1"/>
      <sheetData sheetId="11"/>
      <sheetData sheetId="12" refreshError="1"/>
      <sheetData sheetId="13">
        <row r="12">
          <cell r="F12">
            <v>2106.4563180122805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1168.8344047018327</v>
          </cell>
        </row>
        <row r="27">
          <cell r="F27">
            <v>0.201330388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503.94083842199643</v>
          </cell>
        </row>
        <row r="14">
          <cell r="F14">
            <v>7000.4488806189811</v>
          </cell>
        </row>
        <row r="15">
          <cell r="F15">
            <v>0.2</v>
          </cell>
        </row>
        <row r="18">
          <cell r="F18">
            <v>15</v>
          </cell>
        </row>
        <row r="19">
          <cell r="F19">
            <v>3487.1555421534131</v>
          </cell>
        </row>
        <row r="20">
          <cell r="F20">
            <v>2.1999999999999999E-2</v>
          </cell>
        </row>
        <row r="21">
          <cell r="F21">
            <v>10</v>
          </cell>
        </row>
        <row r="22">
          <cell r="F22">
            <v>3.5065032141054981</v>
          </cell>
        </row>
        <row r="23">
          <cell r="F23">
            <v>3.0000000000000001E-3</v>
          </cell>
        </row>
        <row r="24">
          <cell r="F24">
            <v>1168.8344047018327</v>
          </cell>
        </row>
      </sheetData>
      <sheetData sheetId="24"/>
      <sheetData sheetId="25">
        <row r="12">
          <cell r="F12">
            <v>448.37911484992526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56.915974999999996</v>
          </cell>
        </row>
        <row r="27">
          <cell r="F27">
            <v>1351.1912129385403</v>
          </cell>
        </row>
        <row r="28">
          <cell r="F28">
            <v>1037.7812695380494</v>
          </cell>
        </row>
        <row r="29">
          <cell r="F29">
            <v>313.40994340049093</v>
          </cell>
        </row>
        <row r="30">
          <cell r="F30">
            <v>2431.6127513424467</v>
          </cell>
        </row>
        <row r="33">
          <cell r="F33">
            <v>1695.5272077185077</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15.125</v>
          </cell>
        </row>
        <row r="19">
          <cell r="E19">
            <v>18.983333333333334</v>
          </cell>
        </row>
      </sheetData>
      <sheetData sheetId="29" refreshError="1"/>
      <sheetData sheetId="30">
        <row r="12">
          <cell r="F12">
            <v>84.211568946499582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Кирза, Ордынский муниципальный район</v>
          </cell>
        </row>
        <row r="15">
          <cell r="D15" t="str">
            <v/>
          </cell>
        </row>
        <row r="16">
          <cell r="D16" t="str">
            <v>Код ОКТМО</v>
          </cell>
          <cell r="E16" t="str">
            <v>50642407101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1151.8021760407769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3097.0035607289806</v>
          </cell>
        </row>
      </sheetData>
      <sheetData sheetId="9" refreshError="1"/>
      <sheetData sheetId="10" refreshError="1"/>
      <sheetData sheetId="11"/>
      <sheetData sheetId="12" refreshError="1"/>
      <sheetData sheetId="13">
        <row r="12">
          <cell r="F12">
            <v>2106.4563180122805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1168.8344047018327</v>
          </cell>
        </row>
        <row r="27">
          <cell r="F27">
            <v>0.201330388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503.94083842199643</v>
          </cell>
        </row>
        <row r="14">
          <cell r="F14">
            <v>7000.4488806189811</v>
          </cell>
        </row>
        <row r="15">
          <cell r="F15">
            <v>0.2</v>
          </cell>
        </row>
        <row r="18">
          <cell r="F18">
            <v>15</v>
          </cell>
        </row>
        <row r="19">
          <cell r="F19">
            <v>3487.1555421534131</v>
          </cell>
        </row>
        <row r="20">
          <cell r="F20">
            <v>2.1999999999999999E-2</v>
          </cell>
        </row>
        <row r="21">
          <cell r="F21">
            <v>10</v>
          </cell>
        </row>
        <row r="22">
          <cell r="F22">
            <v>3.5065032141054981</v>
          </cell>
        </row>
        <row r="23">
          <cell r="F23">
            <v>3.0000000000000001E-3</v>
          </cell>
        </row>
        <row r="24">
          <cell r="F24">
            <v>1168.8344047018327</v>
          </cell>
        </row>
      </sheetData>
      <sheetData sheetId="24"/>
      <sheetData sheetId="25">
        <row r="12">
          <cell r="F12">
            <v>450.67129518452748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89.7941</v>
          </cell>
        </row>
        <row r="27">
          <cell r="F27">
            <v>1351.1912129385403</v>
          </cell>
        </row>
        <row r="28">
          <cell r="F28">
            <v>1037.7812695380494</v>
          </cell>
        </row>
        <row r="29">
          <cell r="F29">
            <v>313.40994340049093</v>
          </cell>
        </row>
        <row r="30">
          <cell r="F30">
            <v>2433.8850813953513</v>
          </cell>
        </row>
        <row r="33">
          <cell r="F33">
            <v>1695.5272077185077</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24.5</v>
          </cell>
        </row>
        <row r="19">
          <cell r="E19">
            <v>18.983333333333334</v>
          </cell>
        </row>
      </sheetData>
      <sheetData sheetId="29" refreshError="1"/>
      <sheetData sheetId="30">
        <row r="12">
          <cell r="F12">
            <v>84.257412553191628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Козиха, Ордынский муниципальный район</v>
          </cell>
        </row>
        <row r="15">
          <cell r="D15" t="str">
            <v/>
          </cell>
        </row>
        <row r="16">
          <cell r="D16" t="str">
            <v>Код ОКТМО</v>
          </cell>
          <cell r="E16" t="str">
            <v>50642410101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1134.77400713722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3051.2176603165626</v>
          </cell>
        </row>
      </sheetData>
      <sheetData sheetId="9" refreshError="1"/>
      <sheetData sheetId="10" refreshError="1"/>
      <sheetData sheetId="11"/>
      <sheetData sheetId="12" refreshError="1"/>
      <sheetData sheetId="13">
        <row r="12">
          <cell r="F12">
            <v>2106.4563180122805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1168.8344047018327</v>
          </cell>
        </row>
        <row r="27">
          <cell r="F27">
            <v>0.201330388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503.94083842199643</v>
          </cell>
        </row>
        <row r="14">
          <cell r="F14">
            <v>7000.4488806189811</v>
          </cell>
        </row>
        <row r="15">
          <cell r="F15">
            <v>0.2</v>
          </cell>
        </row>
        <row r="18">
          <cell r="F18">
            <v>15</v>
          </cell>
        </row>
        <row r="19">
          <cell r="F19">
            <v>3487.1555421534131</v>
          </cell>
        </row>
        <row r="20">
          <cell r="F20">
            <v>2.1999999999999999E-2</v>
          </cell>
        </row>
        <row r="21">
          <cell r="F21">
            <v>10</v>
          </cell>
        </row>
        <row r="22">
          <cell r="F22">
            <v>3.5065032141054981</v>
          </cell>
        </row>
        <row r="23">
          <cell r="F23">
            <v>3.0000000000000001E-3</v>
          </cell>
        </row>
        <row r="24">
          <cell r="F24">
            <v>1168.8344047018327</v>
          </cell>
        </row>
      </sheetData>
      <sheetData sheetId="24"/>
      <sheetData sheetId="25">
        <row r="12">
          <cell r="F12">
            <v>447.73604381080236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64.789190000000005</v>
          </cell>
        </row>
        <row r="27">
          <cell r="F27">
            <v>1351.1912129385403</v>
          </cell>
        </row>
        <row r="28">
          <cell r="F28">
            <v>1037.7812695380494</v>
          </cell>
        </row>
        <row r="29">
          <cell r="F29">
            <v>313.40994340049093</v>
          </cell>
        </row>
        <row r="30">
          <cell r="F30">
            <v>2407.3422623533297</v>
          </cell>
        </row>
        <row r="33">
          <cell r="F33">
            <v>1670.7125714260549</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17.37</v>
          </cell>
        </row>
        <row r="19">
          <cell r="E19">
            <v>18.983333333333334</v>
          </cell>
        </row>
      </sheetData>
      <sheetData sheetId="29" refreshError="1"/>
      <sheetData sheetId="30">
        <row r="12">
          <cell r="F12">
            <v>83.858144147645987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Красный Яр, Ордынский муниципальный район</v>
          </cell>
        </row>
        <row r="15">
          <cell r="D15" t="str">
            <v/>
          </cell>
        </row>
        <row r="16">
          <cell r="D16" t="str">
            <v>Код ОКТМО</v>
          </cell>
          <cell r="E16" t="str">
            <v>50642413101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912.75572352910331</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0.1392500000000001</v>
          </cell>
        </row>
        <row r="21">
          <cell r="E21">
            <v>0</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4475.5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952.13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132.9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30.63</v>
          </cell>
        </row>
        <row r="32">
          <cell r="E32">
            <v>5591.16</v>
          </cell>
        </row>
      </sheetData>
      <sheetData sheetId="9" refreshError="1"/>
      <sheetData sheetId="10" refreshError="1"/>
      <sheetData sheetId="11"/>
      <sheetData sheetId="12" refreshError="1"/>
      <sheetData sheetId="13">
        <row r="12">
          <cell r="F12">
            <v>1416.3895121306814</v>
          </cell>
        </row>
        <row r="13">
          <cell r="F13">
            <v>97038.307983185223</v>
          </cell>
        </row>
        <row r="14">
          <cell r="F14">
            <v>64899</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36585.255753162281</v>
          </cell>
        </row>
        <row r="23">
          <cell r="F23">
            <v>21</v>
          </cell>
        </row>
        <row r="26">
          <cell r="F26">
            <v>2892</v>
          </cell>
        </row>
        <row r="28">
          <cell r="F28">
            <v>139.14695294069438</v>
          </cell>
        </row>
        <row r="29">
          <cell r="F29">
            <v>0.201330388</v>
          </cell>
        </row>
        <row r="30">
          <cell r="F30">
            <v>500</v>
          </cell>
        </row>
        <row r="31">
          <cell r="F31">
            <v>0.128978033685065</v>
          </cell>
        </row>
        <row r="32">
          <cell r="F32">
            <v>0.11668498168498169</v>
          </cell>
        </row>
        <row r="33">
          <cell r="F33">
            <v>0.13880000000000001</v>
          </cell>
        </row>
        <row r="34">
          <cell r="F34">
            <v>0.12640000000000001</v>
          </cell>
        </row>
        <row r="35">
          <cell r="F35">
            <v>10</v>
          </cell>
        </row>
        <row r="37">
          <cell r="F37">
            <v>1.3822747209000001</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0.121</v>
          </cell>
          <cell r="H11">
            <v>0.02</v>
          </cell>
        </row>
      </sheetData>
      <sheetData sheetId="20">
        <row r="11">
          <cell r="G11" t="str">
            <v>Информация с официального сайта Банка России</v>
          </cell>
        </row>
      </sheetData>
      <sheetData sheetId="21" refreshError="1"/>
      <sheetData sheetId="22">
        <row r="12">
          <cell r="F12">
            <v>338.69535278862691</v>
          </cell>
        </row>
        <row r="14">
          <cell r="F14">
            <v>4857.2878492227173</v>
          </cell>
        </row>
        <row r="15">
          <cell r="F15">
            <v>0.2</v>
          </cell>
        </row>
        <row r="18">
          <cell r="F18">
            <v>15</v>
          </cell>
        </row>
        <row r="19">
          <cell r="F19">
            <v>2435.0508023655884</v>
          </cell>
        </row>
        <row r="20">
          <cell r="F20">
            <v>2.1999999999999999E-2</v>
          </cell>
        </row>
        <row r="21">
          <cell r="F21">
            <v>10</v>
          </cell>
        </row>
        <row r="22">
          <cell r="F22">
            <v>0.41744085882208315</v>
          </cell>
        </row>
        <row r="23">
          <cell r="F23">
            <v>3.0000000000000001E-3</v>
          </cell>
        </row>
        <row r="24">
          <cell r="F24">
            <v>139.14695294069438</v>
          </cell>
        </row>
      </sheetData>
      <sheetData sheetId="23">
        <row r="12">
          <cell r="F12" t="str">
            <v xml:space="preserve">Налоговый кодекс Российской Федерации </v>
          </cell>
        </row>
      </sheetData>
      <sheetData sheetId="24">
        <row r="12">
          <cell r="F12">
            <v>217.46221712003879</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32.259143333333334</v>
          </cell>
        </row>
        <row r="27">
          <cell r="F27">
            <v>946.59139764731083</v>
          </cell>
        </row>
        <row r="28">
          <cell r="F28">
            <v>727.02872323142151</v>
          </cell>
        </row>
        <row r="29">
          <cell r="F29">
            <v>219.56267441588932</v>
          </cell>
        </row>
        <row r="30">
          <cell r="F30">
            <v>489.81560403021325</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15.98</v>
          </cell>
        </row>
        <row r="19">
          <cell r="E19">
            <v>18.983333333333334</v>
          </cell>
        </row>
      </sheetData>
      <sheetData sheetId="28" refreshError="1"/>
      <sheetData sheetId="29">
        <row r="12">
          <cell r="F12">
            <v>57.706056111369016</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Нижнекаменка, Ордынский муниципальный район</v>
          </cell>
        </row>
        <row r="15">
          <cell r="D15" t="str">
            <v/>
          </cell>
        </row>
        <row r="16">
          <cell r="D16" t="str">
            <v>Код ОКТМО</v>
          </cell>
          <cell r="E16" t="str">
            <v>50642416101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1134.77400713722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3051.2176603165626</v>
          </cell>
        </row>
      </sheetData>
      <sheetData sheetId="9" refreshError="1"/>
      <sheetData sheetId="10" refreshError="1"/>
      <sheetData sheetId="11"/>
      <sheetData sheetId="12" refreshError="1"/>
      <sheetData sheetId="13">
        <row r="12">
          <cell r="F12">
            <v>2106.4563180122805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1168.8344047018327</v>
          </cell>
        </row>
        <row r="27">
          <cell r="F27">
            <v>0.201330388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503.94083842199643</v>
          </cell>
        </row>
        <row r="14">
          <cell r="F14">
            <v>7000.4488806189811</v>
          </cell>
        </row>
        <row r="15">
          <cell r="F15">
            <v>0.2</v>
          </cell>
        </row>
        <row r="18">
          <cell r="F18">
            <v>15</v>
          </cell>
        </row>
        <row r="19">
          <cell r="F19">
            <v>3487.1555421534131</v>
          </cell>
        </row>
        <row r="20">
          <cell r="F20">
            <v>2.1999999999999999E-2</v>
          </cell>
        </row>
        <row r="21">
          <cell r="F21">
            <v>10</v>
          </cell>
        </row>
        <row r="22">
          <cell r="F22">
            <v>3.5065032141054981</v>
          </cell>
        </row>
        <row r="23">
          <cell r="F23">
            <v>3.0000000000000001E-3</v>
          </cell>
        </row>
        <row r="24">
          <cell r="F24">
            <v>1168.8344047018327</v>
          </cell>
        </row>
      </sheetData>
      <sheetData sheetId="24"/>
      <sheetData sheetId="25">
        <row r="12">
          <cell r="F12">
            <v>448.90964014211869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81.622790000000009</v>
          </cell>
        </row>
        <row r="27">
          <cell r="F27">
            <v>1351.1912129385403</v>
          </cell>
        </row>
        <row r="28">
          <cell r="F28">
            <v>1037.7812695380494</v>
          </cell>
        </row>
        <row r="29">
          <cell r="F29">
            <v>313.40994340049093</v>
          </cell>
        </row>
        <row r="30">
          <cell r="F30">
            <v>2408.5056953404164</v>
          </cell>
        </row>
        <row r="33">
          <cell r="F33">
            <v>1670.7125714260549</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22.17</v>
          </cell>
        </row>
        <row r="19">
          <cell r="E19">
            <v>18.983333333333334</v>
          </cell>
        </row>
      </sheetData>
      <sheetData sheetId="29" refreshError="1"/>
      <sheetData sheetId="30">
        <row r="12">
          <cell r="F12">
            <v>83.881616074272316</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Новопичугово, Ордынский муниципальный район</v>
          </cell>
        </row>
        <row r="15">
          <cell r="D15" t="str">
            <v/>
          </cell>
        </row>
        <row r="16">
          <cell r="D16" t="str">
            <v>Код ОКТМО</v>
          </cell>
          <cell r="E16" t="str">
            <v>50642418101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884.58144255949048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2378.4916666666668</v>
          </cell>
        </row>
      </sheetData>
      <sheetData sheetId="9" refreshError="1"/>
      <sheetData sheetId="10" refreshError="1"/>
      <sheetData sheetId="11"/>
      <sheetData sheetId="12" refreshError="1"/>
      <sheetData sheetId="13">
        <row r="12">
          <cell r="F12">
            <v>2106.4563180122805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1168.8344047018327</v>
          </cell>
        </row>
        <row r="27">
          <cell r="F27">
            <v>0.201330388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503.94083842199643</v>
          </cell>
        </row>
        <row r="14">
          <cell r="F14">
            <v>7000.4488806189811</v>
          </cell>
        </row>
        <row r="15">
          <cell r="F15">
            <v>0.2</v>
          </cell>
        </row>
        <row r="18">
          <cell r="F18">
            <v>15</v>
          </cell>
        </row>
        <row r="19">
          <cell r="F19">
            <v>3487.1555421534131</v>
          </cell>
        </row>
        <row r="20">
          <cell r="F20">
            <v>2.1999999999999999E-2</v>
          </cell>
        </row>
        <row r="21">
          <cell r="F21">
            <v>10</v>
          </cell>
        </row>
        <row r="22">
          <cell r="F22">
            <v>3.5065032141054981</v>
          </cell>
        </row>
        <row r="23">
          <cell r="F23">
            <v>3.0000000000000001E-3</v>
          </cell>
        </row>
        <row r="24">
          <cell r="F24">
            <v>1168.8344047018327</v>
          </cell>
        </row>
      </sheetData>
      <sheetData sheetId="24"/>
      <sheetData sheetId="25">
        <row r="12">
          <cell r="F12">
            <v>432.49383181822435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97.367349999999988</v>
          </cell>
        </row>
        <row r="27">
          <cell r="F27">
            <v>1351.1912129385403</v>
          </cell>
        </row>
        <row r="28">
          <cell r="F28">
            <v>1037.7812695380494</v>
          </cell>
        </row>
        <row r="29">
          <cell r="F29">
            <v>313.40994340049093</v>
          </cell>
        </row>
        <row r="30">
          <cell r="F30">
            <v>2044.9957921607263</v>
          </cell>
        </row>
        <row r="33">
          <cell r="F33">
            <v>1306.1145028823801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25.016666666666666</v>
          </cell>
        </row>
        <row r="19">
          <cell r="E19">
            <v>47.225000000000001</v>
          </cell>
        </row>
      </sheetData>
      <sheetData sheetId="29" refreshError="1"/>
      <sheetData sheetId="30">
        <row r="12">
          <cell r="F12">
            <v>78.549448616239829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Чингис, Ордынский муниципальный район</v>
          </cell>
        </row>
        <row r="15">
          <cell r="D15" t="str">
            <v/>
          </cell>
        </row>
        <row r="16">
          <cell r="D16" t="str">
            <v>Код ОКТМО</v>
          </cell>
          <cell r="E16" t="str">
            <v>50642437101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1151.8021760407769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3097.0035607289806</v>
          </cell>
        </row>
      </sheetData>
      <sheetData sheetId="9" refreshError="1"/>
      <sheetData sheetId="10" refreshError="1"/>
      <sheetData sheetId="11"/>
      <sheetData sheetId="12" refreshError="1"/>
      <sheetData sheetId="13">
        <row r="12">
          <cell r="F12">
            <v>2106.4563180122805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1168.8344047018327</v>
          </cell>
        </row>
        <row r="27">
          <cell r="F27">
            <v>0.201330388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503.94083842199643</v>
          </cell>
        </row>
        <row r="14">
          <cell r="F14">
            <v>7000.4488806189811</v>
          </cell>
        </row>
        <row r="15">
          <cell r="F15">
            <v>0.2</v>
          </cell>
        </row>
        <row r="18">
          <cell r="F18">
            <v>15</v>
          </cell>
        </row>
        <row r="19">
          <cell r="F19">
            <v>3487.1555421534131</v>
          </cell>
        </row>
        <row r="20">
          <cell r="F20">
            <v>2.1999999999999999E-2</v>
          </cell>
        </row>
        <row r="21">
          <cell r="F21">
            <v>10</v>
          </cell>
        </row>
        <row r="22">
          <cell r="F22">
            <v>3.5065032141054981</v>
          </cell>
        </row>
        <row r="23">
          <cell r="F23">
            <v>3.0000000000000001E-3</v>
          </cell>
        </row>
        <row r="24">
          <cell r="F24">
            <v>1168.8344047018327</v>
          </cell>
        </row>
      </sheetData>
      <sheetData sheetId="24"/>
      <sheetData sheetId="25">
        <row r="12">
          <cell r="F12">
            <v>449.84707410836302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77.971800000000002</v>
          </cell>
        </row>
        <row r="27">
          <cell r="F27">
            <v>1351.1912129385403</v>
          </cell>
        </row>
        <row r="28">
          <cell r="F28">
            <v>1037.7812695380494</v>
          </cell>
        </row>
        <row r="29">
          <cell r="F29">
            <v>313.40994340049093</v>
          </cell>
        </row>
        <row r="30">
          <cell r="F30">
            <v>2433.0679980737063</v>
          </cell>
        </row>
        <row r="33">
          <cell r="F33">
            <v>1695.5272077185077</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19.3</v>
          </cell>
        </row>
        <row r="19">
          <cell r="E19">
            <v>50.424999999999997</v>
          </cell>
        </row>
      </sheetData>
      <sheetData sheetId="29" refreshError="1"/>
      <sheetData sheetId="30">
        <row r="12">
          <cell r="F12">
            <v>84.24092813166834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Шайдуровский, Ордынский муниципальный район</v>
          </cell>
        </row>
        <row r="15">
          <cell r="D15" t="str">
            <v/>
          </cell>
        </row>
        <row r="16">
          <cell r="D16" t="str">
            <v>Код ОКТМО</v>
          </cell>
          <cell r="E16" t="str">
            <v>50642440101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1151.8021760407769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3097.0035607289806</v>
          </cell>
        </row>
      </sheetData>
      <sheetData sheetId="9" refreshError="1"/>
      <sheetData sheetId="10" refreshError="1"/>
      <sheetData sheetId="11"/>
      <sheetData sheetId="12" refreshError="1"/>
      <sheetData sheetId="13">
        <row r="12">
          <cell r="F12">
            <v>2106.4563180122805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1168.8344047018327</v>
          </cell>
        </row>
        <row r="27">
          <cell r="F27">
            <v>0.201330388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503.94083842199643</v>
          </cell>
        </row>
        <row r="14">
          <cell r="F14">
            <v>7000.4488806189811</v>
          </cell>
        </row>
        <row r="15">
          <cell r="F15">
            <v>0.2</v>
          </cell>
        </row>
        <row r="18">
          <cell r="F18">
            <v>15</v>
          </cell>
        </row>
        <row r="19">
          <cell r="F19">
            <v>3487.1555421534131</v>
          </cell>
        </row>
        <row r="20">
          <cell r="F20">
            <v>2.1999999999999999E-2</v>
          </cell>
        </row>
        <row r="21">
          <cell r="F21">
            <v>10</v>
          </cell>
        </row>
        <row r="22">
          <cell r="F22">
            <v>3.5065032141054981</v>
          </cell>
        </row>
        <row r="23">
          <cell r="F23">
            <v>3.0000000000000001E-3</v>
          </cell>
        </row>
        <row r="24">
          <cell r="F24">
            <v>1168.8344047018327</v>
          </cell>
        </row>
      </sheetData>
      <sheetData sheetId="24"/>
      <sheetData sheetId="25">
        <row r="12">
          <cell r="F12">
            <v>449.84707410836302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77.971800000000002</v>
          </cell>
        </row>
        <row r="27">
          <cell r="F27">
            <v>1351.1912129385403</v>
          </cell>
        </row>
        <row r="28">
          <cell r="F28">
            <v>1037.7812695380494</v>
          </cell>
        </row>
        <row r="29">
          <cell r="F29">
            <v>313.40994340049093</v>
          </cell>
        </row>
        <row r="30">
          <cell r="F30">
            <v>2433.0679980737063</v>
          </cell>
        </row>
        <row r="33">
          <cell r="F33">
            <v>1695.5272077185077</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19.3</v>
          </cell>
        </row>
        <row r="19">
          <cell r="E19">
            <v>50.424999999999997</v>
          </cell>
        </row>
      </sheetData>
      <sheetData sheetId="29" refreshError="1"/>
      <sheetData sheetId="30">
        <row r="12">
          <cell r="F12">
            <v>84.24092813166834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Петровский, Ордынский муниципальный район</v>
          </cell>
        </row>
        <row r="15">
          <cell r="D15" t="str">
            <v/>
          </cell>
        </row>
        <row r="16">
          <cell r="D16" t="str">
            <v>Код ОКТМО</v>
          </cell>
          <cell r="E16" t="str">
            <v>50642419101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1134.77400713722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3051.2176603165626</v>
          </cell>
        </row>
      </sheetData>
      <sheetData sheetId="9" refreshError="1"/>
      <sheetData sheetId="10" refreshError="1"/>
      <sheetData sheetId="11"/>
      <sheetData sheetId="12" refreshError="1"/>
      <sheetData sheetId="13">
        <row r="12">
          <cell r="F12">
            <v>2106.4563180122805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1168.8344047018327</v>
          </cell>
        </row>
        <row r="27">
          <cell r="F27">
            <v>0.201330388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503.94083842199643</v>
          </cell>
        </row>
        <row r="14">
          <cell r="F14">
            <v>7000.4488806189811</v>
          </cell>
        </row>
        <row r="15">
          <cell r="F15">
            <v>0.2</v>
          </cell>
        </row>
        <row r="18">
          <cell r="F18">
            <v>15</v>
          </cell>
        </row>
        <row r="19">
          <cell r="F19">
            <v>3487.1555421534131</v>
          </cell>
        </row>
        <row r="20">
          <cell r="F20">
            <v>2.1999999999999999E-2</v>
          </cell>
        </row>
        <row r="21">
          <cell r="F21">
            <v>10</v>
          </cell>
        </row>
        <row r="22">
          <cell r="F22">
            <v>3.5065032141054981</v>
          </cell>
        </row>
        <row r="23">
          <cell r="F23">
            <v>3.0000000000000001E-3</v>
          </cell>
        </row>
        <row r="24">
          <cell r="F24">
            <v>1168.8344047018327</v>
          </cell>
        </row>
      </sheetData>
      <sheetData sheetId="24"/>
      <sheetData sheetId="25">
        <row r="12">
          <cell r="F12">
            <v>448.18321876023066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71.20329000000001</v>
          </cell>
        </row>
        <row r="27">
          <cell r="F27">
            <v>1351.1912129385403</v>
          </cell>
        </row>
        <row r="28">
          <cell r="F28">
            <v>1037.7812695380494</v>
          </cell>
        </row>
        <row r="29">
          <cell r="F29">
            <v>313.40994340049093</v>
          </cell>
        </row>
        <row r="30">
          <cell r="F30">
            <v>2407.7855647676956</v>
          </cell>
        </row>
        <row r="33">
          <cell r="F33">
            <v>1670.7125714260549</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17.37</v>
          </cell>
        </row>
        <row r="19">
          <cell r="E19">
            <v>50.424999999999997</v>
          </cell>
        </row>
      </sheetData>
      <sheetData sheetId="29" refreshError="1"/>
      <sheetData sheetId="30">
        <row r="12">
          <cell r="F12">
            <v>83.867087646634559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Пролетарский, Ордынский муниципальный район</v>
          </cell>
        </row>
        <row r="15">
          <cell r="D15" t="str">
            <v/>
          </cell>
        </row>
        <row r="16">
          <cell r="D16" t="str">
            <v>Код ОКТМО</v>
          </cell>
          <cell r="E16" t="str">
            <v>50642422101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1134.77400713722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3051.2176603165626</v>
          </cell>
        </row>
      </sheetData>
      <sheetData sheetId="9" refreshError="1"/>
      <sheetData sheetId="10" refreshError="1"/>
      <sheetData sheetId="11"/>
      <sheetData sheetId="12" refreshError="1"/>
      <sheetData sheetId="13">
        <row r="12">
          <cell r="F12">
            <v>2106.4563180122805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1168.8344047018327</v>
          </cell>
        </row>
        <row r="27">
          <cell r="F27">
            <v>0.201330388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503.94083842199643</v>
          </cell>
        </row>
        <row r="14">
          <cell r="F14">
            <v>7000.4488806189811</v>
          </cell>
        </row>
        <row r="15">
          <cell r="F15">
            <v>0.2</v>
          </cell>
        </row>
        <row r="18">
          <cell r="F18">
            <v>15</v>
          </cell>
        </row>
        <row r="19">
          <cell r="F19">
            <v>3487.1555421534131</v>
          </cell>
        </row>
        <row r="20">
          <cell r="F20">
            <v>2.1999999999999999E-2</v>
          </cell>
        </row>
        <row r="21">
          <cell r="F21">
            <v>10</v>
          </cell>
        </row>
        <row r="22">
          <cell r="F22">
            <v>3.5065032141054981</v>
          </cell>
        </row>
        <row r="23">
          <cell r="F23">
            <v>3.0000000000000001E-3</v>
          </cell>
        </row>
        <row r="24">
          <cell r="F24">
            <v>1168.8344047018327</v>
          </cell>
        </row>
      </sheetData>
      <sheetData sheetId="24"/>
      <sheetData sheetId="25">
        <row r="12">
          <cell r="F12">
            <v>447.6697703652797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63.838589999999996</v>
          </cell>
        </row>
        <row r="27">
          <cell r="F27">
            <v>1351.1912129385403</v>
          </cell>
        </row>
        <row r="28">
          <cell r="F28">
            <v>1037.7812695380494</v>
          </cell>
        </row>
        <row r="29">
          <cell r="F29">
            <v>313.40994340049093</v>
          </cell>
        </row>
        <row r="30">
          <cell r="F30">
            <v>2407.2765628358447</v>
          </cell>
        </row>
        <row r="33">
          <cell r="F33">
            <v>1670.7125714260549</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15.27</v>
          </cell>
        </row>
        <row r="19">
          <cell r="E19">
            <v>50.424999999999997</v>
          </cell>
        </row>
      </sheetData>
      <sheetData sheetId="29" refreshError="1"/>
      <sheetData sheetId="30">
        <row r="12">
          <cell r="F12">
            <v>83.856818678735522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Рогалево, Ордынский муниципальный район</v>
          </cell>
        </row>
        <row r="15">
          <cell r="D15" t="str">
            <v/>
          </cell>
        </row>
        <row r="16">
          <cell r="D16" t="str">
            <v>Код ОКТМО</v>
          </cell>
          <cell r="E16" t="str">
            <v>50642423101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1151.8021760407769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3097.0035607289806</v>
          </cell>
        </row>
      </sheetData>
      <sheetData sheetId="9" refreshError="1"/>
      <sheetData sheetId="10" refreshError="1"/>
      <sheetData sheetId="11"/>
      <sheetData sheetId="12" refreshError="1"/>
      <sheetData sheetId="13">
        <row r="12">
          <cell r="F12">
            <v>2106.4563180122805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1168.8344047018327</v>
          </cell>
        </row>
        <row r="27">
          <cell r="F27">
            <v>0.201330388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503.94083842199643</v>
          </cell>
        </row>
        <row r="14">
          <cell r="F14">
            <v>7000.4488806189811</v>
          </cell>
        </row>
        <row r="15">
          <cell r="F15">
            <v>0.2</v>
          </cell>
        </row>
        <row r="18">
          <cell r="F18">
            <v>15</v>
          </cell>
        </row>
        <row r="19">
          <cell r="F19">
            <v>3487.1555421534131</v>
          </cell>
        </row>
        <row r="20">
          <cell r="F20">
            <v>2.1999999999999999E-2</v>
          </cell>
        </row>
        <row r="21">
          <cell r="F21">
            <v>10</v>
          </cell>
        </row>
        <row r="22">
          <cell r="F22">
            <v>3.5065032141054981</v>
          </cell>
        </row>
        <row r="23">
          <cell r="F23">
            <v>3.0000000000000001E-3</v>
          </cell>
        </row>
        <row r="24">
          <cell r="F24">
            <v>1168.8344047018327</v>
          </cell>
        </row>
      </sheetData>
      <sheetData sheetId="24"/>
      <sheetData sheetId="25">
        <row r="12">
          <cell r="F12">
            <v>354.59406818880984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62.8917</v>
          </cell>
        </row>
        <row r="27">
          <cell r="F27">
            <v>0</v>
          </cell>
        </row>
        <row r="28">
          <cell r="F28">
            <v>0</v>
          </cell>
        </row>
        <row r="29">
          <cell r="F29">
            <v>0</v>
          </cell>
        </row>
        <row r="30">
          <cell r="F30">
            <v>2338.6398831854167</v>
          </cell>
        </row>
        <row r="33">
          <cell r="F33">
            <v>1695.5272077185077</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15</v>
          </cell>
        </row>
        <row r="19">
          <cell r="E19">
            <v>50.424999999999997</v>
          </cell>
        </row>
      </sheetData>
      <sheetData sheetId="29" refreshError="1"/>
      <sheetData sheetId="30">
        <row r="12">
          <cell r="F12">
            <v>82.335868013277263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Спирино, Ордынский муниципальный район</v>
          </cell>
        </row>
        <row r="15">
          <cell r="D15" t="str">
            <v/>
          </cell>
        </row>
        <row r="16">
          <cell r="D16" t="str">
            <v>Код ОКТМО</v>
          </cell>
          <cell r="E16" t="str">
            <v>50642425101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1151.8021760407769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3097.0035607289806</v>
          </cell>
        </row>
      </sheetData>
      <sheetData sheetId="9" refreshError="1"/>
      <sheetData sheetId="10" refreshError="1"/>
      <sheetData sheetId="11"/>
      <sheetData sheetId="12" refreshError="1"/>
      <sheetData sheetId="13">
        <row r="12">
          <cell r="F12">
            <v>2106.4563180122805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1168.8344047018327</v>
          </cell>
        </row>
        <row r="27">
          <cell r="F27">
            <v>0.201330388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503.94083842199643</v>
          </cell>
        </row>
        <row r="14">
          <cell r="F14">
            <v>7000.4488806189811</v>
          </cell>
        </row>
        <row r="15">
          <cell r="F15">
            <v>0.2</v>
          </cell>
        </row>
        <row r="18">
          <cell r="F18">
            <v>15</v>
          </cell>
        </row>
        <row r="19">
          <cell r="F19">
            <v>3487.1555421534131</v>
          </cell>
        </row>
        <row r="20">
          <cell r="F20">
            <v>2.1999999999999999E-2</v>
          </cell>
        </row>
        <row r="21">
          <cell r="F21">
            <v>10</v>
          </cell>
        </row>
        <row r="22">
          <cell r="F22">
            <v>3.5065032141054981</v>
          </cell>
        </row>
        <row r="23">
          <cell r="F23">
            <v>3.0000000000000001E-3</v>
          </cell>
        </row>
        <row r="24">
          <cell r="F24">
            <v>1168.8344047018327</v>
          </cell>
        </row>
      </sheetData>
      <sheetData sheetId="24"/>
      <sheetData sheetId="25">
        <row r="12">
          <cell r="F12">
            <v>451.51944888048882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101.95967999999999</v>
          </cell>
        </row>
        <row r="27">
          <cell r="F27">
            <v>1351.1912129385403</v>
          </cell>
        </row>
        <row r="28">
          <cell r="F28">
            <v>1037.7812695380494</v>
          </cell>
        </row>
        <row r="29">
          <cell r="F29">
            <v>313.40994340049093</v>
          </cell>
        </row>
        <row r="30">
          <cell r="F30">
            <v>2434.7258900803054</v>
          </cell>
        </row>
        <row r="33">
          <cell r="F33">
            <v>1695.5272077185077</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26.14</v>
          </cell>
        </row>
        <row r="19">
          <cell r="E19">
            <v>50.424999999999997</v>
          </cell>
        </row>
      </sheetData>
      <sheetData sheetId="29" refreshError="1"/>
      <sheetData sheetId="30">
        <row r="12">
          <cell r="F12">
            <v>84.274375627110857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Усть-Луковка, Ордынский муниципальный район</v>
          </cell>
        </row>
        <row r="15">
          <cell r="D15" t="str">
            <v/>
          </cell>
        </row>
        <row r="16">
          <cell r="D16" t="str">
            <v>Код ОКТМО</v>
          </cell>
          <cell r="E16" t="str">
            <v>50642428101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1073.9038749568319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2887.5480475774125</v>
          </cell>
        </row>
      </sheetData>
      <sheetData sheetId="9" refreshError="1"/>
      <sheetData sheetId="10" refreshError="1"/>
      <sheetData sheetId="11"/>
      <sheetData sheetId="12" refreshError="1"/>
      <sheetData sheetId="13">
        <row r="12">
          <cell r="F12">
            <v>2106.4563180122805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1168.8344047018327</v>
          </cell>
        </row>
        <row r="27">
          <cell r="F27">
            <v>0.201330388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503.94083842199643</v>
          </cell>
        </row>
        <row r="14">
          <cell r="F14">
            <v>7000.4488806189811</v>
          </cell>
        </row>
        <row r="15">
          <cell r="F15">
            <v>0.2</v>
          </cell>
        </row>
        <row r="18">
          <cell r="F18">
            <v>15</v>
          </cell>
        </row>
        <row r="19">
          <cell r="F19">
            <v>3487.1555421534131</v>
          </cell>
        </row>
        <row r="20">
          <cell r="F20">
            <v>2.1999999999999999E-2</v>
          </cell>
        </row>
        <row r="21">
          <cell r="F21">
            <v>10</v>
          </cell>
        </row>
        <row r="22">
          <cell r="F22">
            <v>3.5065032141054981</v>
          </cell>
        </row>
        <row r="23">
          <cell r="F23">
            <v>3.0000000000000001E-3</v>
          </cell>
        </row>
        <row r="24">
          <cell r="F24">
            <v>1168.8344047018327</v>
          </cell>
        </row>
      </sheetData>
      <sheetData sheetId="24"/>
      <sheetData sheetId="25">
        <row r="12">
          <cell r="F12">
            <v>444.3941930324869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77.971800000000002</v>
          </cell>
        </row>
        <row r="27">
          <cell r="F27">
            <v>1351.1912129385403</v>
          </cell>
        </row>
        <row r="28">
          <cell r="F28">
            <v>1037.7812695380494</v>
          </cell>
        </row>
        <row r="29">
          <cell r="F29">
            <v>313.40994340049093</v>
          </cell>
        </row>
        <row r="30">
          <cell r="F30">
            <v>2319.5491564327658</v>
          </cell>
        </row>
        <row r="33">
          <cell r="F33">
            <v>1582.0083660775674</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19.3</v>
          </cell>
        </row>
        <row r="19">
          <cell r="E19">
            <v>50.424999999999997</v>
          </cell>
        </row>
      </sheetData>
      <sheetData sheetId="29" refreshError="1"/>
      <sheetData sheetId="30">
        <row r="12">
          <cell r="F12">
            <v>82.573904488471911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деревня Устюжанино, Ордынский муниципальный район</v>
          </cell>
        </row>
        <row r="15">
          <cell r="D15" t="str">
            <v/>
          </cell>
        </row>
        <row r="16">
          <cell r="D16" t="str">
            <v>Код ОКТМО</v>
          </cell>
          <cell r="E16" t="str">
            <v>50642431101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1151.8021760407769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3097.0035607289806</v>
          </cell>
        </row>
      </sheetData>
      <sheetData sheetId="9" refreshError="1"/>
      <sheetData sheetId="10" refreshError="1"/>
      <sheetData sheetId="11"/>
      <sheetData sheetId="12" refreshError="1"/>
      <sheetData sheetId="13">
        <row r="12">
          <cell r="F12">
            <v>2106.4563180122805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1168.8344047018327</v>
          </cell>
        </row>
        <row r="27">
          <cell r="F27">
            <v>0.201330388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503.94083842199643</v>
          </cell>
        </row>
        <row r="14">
          <cell r="F14">
            <v>7000.4488806189811</v>
          </cell>
        </row>
        <row r="15">
          <cell r="F15">
            <v>0.2</v>
          </cell>
        </row>
        <row r="18">
          <cell r="F18">
            <v>15</v>
          </cell>
        </row>
        <row r="19">
          <cell r="F19">
            <v>3487.1555421534131</v>
          </cell>
        </row>
        <row r="20">
          <cell r="F20">
            <v>2.1999999999999999E-2</v>
          </cell>
        </row>
        <row r="21">
          <cell r="F21">
            <v>10</v>
          </cell>
        </row>
        <row r="22">
          <cell r="F22">
            <v>3.5065032141054981</v>
          </cell>
        </row>
        <row r="23">
          <cell r="F23">
            <v>3.0000000000000001E-3</v>
          </cell>
        </row>
        <row r="24">
          <cell r="F24">
            <v>1168.8344047018327</v>
          </cell>
        </row>
      </sheetData>
      <sheetData sheetId="24"/>
      <sheetData sheetId="25">
        <row r="12">
          <cell r="F12">
            <v>449.71015453637608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76.007879999999986</v>
          </cell>
        </row>
        <row r="27">
          <cell r="F27">
            <v>1351.1912129385403</v>
          </cell>
        </row>
        <row r="28">
          <cell r="F28">
            <v>1037.7812695380494</v>
          </cell>
        </row>
        <row r="29">
          <cell r="F29">
            <v>313.40994340049093</v>
          </cell>
        </row>
        <row r="30">
          <cell r="F30">
            <v>2432.9322642252127</v>
          </cell>
        </row>
        <row r="33">
          <cell r="F33">
            <v>1695.5272077185077</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18.739999999999998</v>
          </cell>
        </row>
        <row r="19">
          <cell r="E19">
            <v>50.424999999999997</v>
          </cell>
        </row>
      </sheetData>
      <sheetData sheetId="29" refreshError="1"/>
      <sheetData sheetId="30">
        <row r="12">
          <cell r="F12">
            <v>84.238189740228592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Филиппово, Ордынский муниципальный район</v>
          </cell>
        </row>
        <row r="15">
          <cell r="D15" t="str">
            <v/>
          </cell>
        </row>
        <row r="16">
          <cell r="D16" t="str">
            <v>Код ОКТМО</v>
          </cell>
          <cell r="E16" t="str">
            <v>50642434101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1151.8021760407769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3097.0035607289806</v>
          </cell>
        </row>
      </sheetData>
      <sheetData sheetId="9" refreshError="1"/>
      <sheetData sheetId="10" refreshError="1"/>
      <sheetData sheetId="11"/>
      <sheetData sheetId="12" refreshError="1"/>
      <sheetData sheetId="13">
        <row r="12">
          <cell r="F12">
            <v>2106.4563180122805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1168.8344047018327</v>
          </cell>
        </row>
        <row r="27">
          <cell r="F27">
            <v>0.201330388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503.94083842199643</v>
          </cell>
        </row>
        <row r="14">
          <cell r="F14">
            <v>7000.4488806189811</v>
          </cell>
        </row>
        <row r="15">
          <cell r="F15">
            <v>0.2</v>
          </cell>
        </row>
        <row r="18">
          <cell r="F18">
            <v>15</v>
          </cell>
        </row>
        <row r="19">
          <cell r="F19">
            <v>3487.1555421534131</v>
          </cell>
        </row>
        <row r="20">
          <cell r="F20">
            <v>2.1999999999999999E-2</v>
          </cell>
        </row>
        <row r="21">
          <cell r="F21">
            <v>10</v>
          </cell>
        </row>
        <row r="22">
          <cell r="F22">
            <v>3.5065032141054981</v>
          </cell>
        </row>
        <row r="23">
          <cell r="F23">
            <v>3.0000000000000001E-3</v>
          </cell>
        </row>
        <row r="24">
          <cell r="F24">
            <v>1168.8344047018327</v>
          </cell>
        </row>
      </sheetData>
      <sheetData sheetId="24"/>
      <sheetData sheetId="25">
        <row r="12">
          <cell r="F12">
            <v>355.557395177432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76.709279999999993</v>
          </cell>
        </row>
        <row r="27">
          <cell r="F27">
            <v>0</v>
          </cell>
        </row>
        <row r="28">
          <cell r="F28">
            <v>0</v>
          </cell>
        </row>
        <row r="29">
          <cell r="F29">
            <v>0</v>
          </cell>
        </row>
        <row r="30">
          <cell r="F30">
            <v>2339.5948677623173</v>
          </cell>
        </row>
        <row r="33">
          <cell r="F33">
            <v>1695.5272077185077</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18.940000000000001</v>
          </cell>
        </row>
        <row r="19">
          <cell r="E19">
            <v>50.424999999999997</v>
          </cell>
        </row>
      </sheetData>
      <sheetData sheetId="29" refreshError="1"/>
      <sheetData sheetId="30">
        <row r="12">
          <cell r="F12">
            <v>82.355134553049723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sheetData sheetId="1"/>
      <sheetData sheetId="2"/>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рабочий поселок Ордынское, Ордынский муниципальный район</v>
          </cell>
        </row>
        <row r="15">
          <cell r="D15" t="str">
            <v/>
          </cell>
        </row>
        <row r="16">
          <cell r="D16" t="str">
            <v>Код ОКТМО</v>
          </cell>
          <cell r="E16" t="str">
            <v>50642151051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912.75572352910331</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0.1392500000000001</v>
          </cell>
        </row>
        <row r="21">
          <cell r="E21">
            <v>0</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4475.5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952.13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132.9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30.63</v>
          </cell>
        </row>
        <row r="32">
          <cell r="E32">
            <v>5591.16</v>
          </cell>
        </row>
      </sheetData>
      <sheetData sheetId="9"/>
      <sheetData sheetId="10"/>
      <sheetData sheetId="11"/>
      <sheetData sheetId="12"/>
      <sheetData sheetId="13">
        <row r="12">
          <cell r="F12">
            <v>1416.3895121306814</v>
          </cell>
        </row>
        <row r="13">
          <cell r="F13">
            <v>97038.307983185223</v>
          </cell>
        </row>
        <row r="14">
          <cell r="F14">
            <v>64899</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36585.255753162281</v>
          </cell>
        </row>
        <row r="23">
          <cell r="F23">
            <v>21</v>
          </cell>
        </row>
        <row r="26">
          <cell r="F26">
            <v>2892</v>
          </cell>
        </row>
        <row r="28">
          <cell r="F28">
            <v>139.14695294069438</v>
          </cell>
        </row>
        <row r="29">
          <cell r="F29">
            <v>0.201330388</v>
          </cell>
        </row>
        <row r="30">
          <cell r="F30">
            <v>500</v>
          </cell>
        </row>
        <row r="31">
          <cell r="F31">
            <v>0.128978033685065</v>
          </cell>
        </row>
        <row r="32">
          <cell r="F32">
            <v>0.11668498168498169</v>
          </cell>
        </row>
        <row r="33">
          <cell r="F33">
            <v>0.13880000000000001</v>
          </cell>
        </row>
        <row r="34">
          <cell r="F34">
            <v>0.12640000000000001</v>
          </cell>
        </row>
        <row r="35">
          <cell r="F35">
            <v>10</v>
          </cell>
        </row>
        <row r="37">
          <cell r="F37">
            <v>1.3822747209000001</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0.121</v>
          </cell>
          <cell r="H11">
            <v>0.02</v>
          </cell>
        </row>
      </sheetData>
      <sheetData sheetId="20">
        <row r="11">
          <cell r="G11" t="str">
            <v>Информация с официального сайта Банка России</v>
          </cell>
        </row>
      </sheetData>
      <sheetData sheetId="21"/>
      <sheetData sheetId="22">
        <row r="12">
          <cell r="F12">
            <v>338.69535278862691</v>
          </cell>
        </row>
        <row r="14">
          <cell r="F14">
            <v>4857.2878492227173</v>
          </cell>
        </row>
        <row r="15">
          <cell r="F15">
            <v>0.2</v>
          </cell>
        </row>
        <row r="18">
          <cell r="F18">
            <v>15</v>
          </cell>
        </row>
        <row r="19">
          <cell r="F19">
            <v>2435.0508023655884</v>
          </cell>
        </row>
        <row r="20">
          <cell r="F20">
            <v>2.1999999999999999E-2</v>
          </cell>
        </row>
        <row r="21">
          <cell r="F21">
            <v>10</v>
          </cell>
        </row>
        <row r="22">
          <cell r="F22">
            <v>0.41744085882208315</v>
          </cell>
        </row>
        <row r="23">
          <cell r="F23">
            <v>3.0000000000000001E-3</v>
          </cell>
        </row>
        <row r="24">
          <cell r="F24">
            <v>139.14695294069438</v>
          </cell>
        </row>
      </sheetData>
      <sheetData sheetId="23">
        <row r="12">
          <cell r="F12" t="str">
            <v xml:space="preserve">Налоговый кодекс Российской Федерации </v>
          </cell>
        </row>
      </sheetData>
      <sheetData sheetId="24">
        <row r="12">
          <cell r="F12">
            <v>218.22835716877469</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43.625124999999997</v>
          </cell>
        </row>
        <row r="27">
          <cell r="F27">
            <v>946.59139764731083</v>
          </cell>
        </row>
        <row r="28">
          <cell r="F28">
            <v>727.02872323142151</v>
          </cell>
        </row>
        <row r="29">
          <cell r="F29">
            <v>219.56267441588932</v>
          </cell>
        </row>
        <row r="30">
          <cell r="F30">
            <v>490.6011494870155</v>
          </cell>
        </row>
      </sheetData>
      <sheetData sheetId="25"/>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20.675000000000001</v>
          </cell>
        </row>
        <row r="19">
          <cell r="E19">
            <v>50.424999999999997</v>
          </cell>
        </row>
      </sheetData>
      <sheetData sheetId="28"/>
      <sheetData sheetId="29">
        <row r="12">
          <cell r="F12">
            <v>57.721378912343738</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trlProp" Target="../ctrlProps/ctrlProp4.xml"/><Relationship Id="rId4" Type="http://schemas.openxmlformats.org/officeDocument/2006/relationships/ctrlProp" Target="../ctrlProps/ctrlProp3.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5" Type="http://schemas.openxmlformats.org/officeDocument/2006/relationships/ctrlProp" Target="../ctrlProps/ctrlProp6.xml"/><Relationship Id="rId4" Type="http://schemas.openxmlformats.org/officeDocument/2006/relationships/ctrlProp" Target="../ctrlProps/ctrlProp5.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trlProp" Target="../ctrlProps/ctrlProp7.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trlProp" Target="../ctrlProps/ctrlProp8.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6.bin"/><Relationship Id="rId4" Type="http://schemas.openxmlformats.org/officeDocument/2006/relationships/ctrlProp" Target="../ctrlProps/ctrlProp9.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7.xml"/><Relationship Id="rId1" Type="http://schemas.openxmlformats.org/officeDocument/2006/relationships/printerSettings" Target="../printerSettings/printerSettings7.bin"/><Relationship Id="rId4" Type="http://schemas.openxmlformats.org/officeDocument/2006/relationships/ctrlProp" Target="../ctrlProps/ctrlProp10.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8.xml"/><Relationship Id="rId1" Type="http://schemas.openxmlformats.org/officeDocument/2006/relationships/printerSettings" Target="../printerSettings/printerSettings8.bin"/><Relationship Id="rId4" Type="http://schemas.openxmlformats.org/officeDocument/2006/relationships/ctrlProp" Target="../ctrlProps/ctrlProp11.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9.xml"/><Relationship Id="rId1" Type="http://schemas.openxmlformats.org/officeDocument/2006/relationships/printerSettings" Target="../printerSettings/printerSettings9.bin"/><Relationship Id="rId4" Type="http://schemas.openxmlformats.org/officeDocument/2006/relationships/ctrlProp" Target="../ctrlProps/ctrlProp12.xm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0.xml"/><Relationship Id="rId1" Type="http://schemas.openxmlformats.org/officeDocument/2006/relationships/printerSettings" Target="../printerSettings/printerSettings10.bin"/><Relationship Id="rId4" Type="http://schemas.openxmlformats.org/officeDocument/2006/relationships/ctrlProp" Target="../ctrlProps/ctrlProp13.x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11.xml"/><Relationship Id="rId1" Type="http://schemas.openxmlformats.org/officeDocument/2006/relationships/printerSettings" Target="../printerSettings/printerSettings11.bin"/><Relationship Id="rId4" Type="http://schemas.openxmlformats.org/officeDocument/2006/relationships/ctrlProp" Target="../ctrlProps/ctrlProp14.xml"/></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drawing" Target="../drawings/drawing12.xml"/><Relationship Id="rId1" Type="http://schemas.openxmlformats.org/officeDocument/2006/relationships/printerSettings" Target="../printerSettings/printerSettings12.bin"/><Relationship Id="rId4" Type="http://schemas.openxmlformats.org/officeDocument/2006/relationships/ctrlProp" Target="../ctrlProps/ctrlProp15.xml"/></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13.xml"/><Relationship Id="rId1" Type="http://schemas.openxmlformats.org/officeDocument/2006/relationships/printerSettings" Target="../printerSettings/printerSettings13.bin"/><Relationship Id="rId4" Type="http://schemas.openxmlformats.org/officeDocument/2006/relationships/ctrlProp" Target="../ctrlProps/ctrlProp16.xml"/></Relationships>
</file>

<file path=xl/worksheets/_rels/sheet14.xml.rels><?xml version="1.0" encoding="UTF-8" standalone="yes"?>
<Relationships xmlns="http://schemas.openxmlformats.org/package/2006/relationships"><Relationship Id="rId3" Type="http://schemas.openxmlformats.org/officeDocument/2006/relationships/vmlDrawing" Target="../drawings/vmlDrawing14.vml"/><Relationship Id="rId2" Type="http://schemas.openxmlformats.org/officeDocument/2006/relationships/drawing" Target="../drawings/drawing14.xml"/><Relationship Id="rId1" Type="http://schemas.openxmlformats.org/officeDocument/2006/relationships/printerSettings" Target="../printerSettings/printerSettings14.bin"/><Relationship Id="rId4" Type="http://schemas.openxmlformats.org/officeDocument/2006/relationships/ctrlProp" Target="../ctrlProps/ctrlProp17.xml"/></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15.vml"/><Relationship Id="rId2" Type="http://schemas.openxmlformats.org/officeDocument/2006/relationships/drawing" Target="../drawings/drawing15.xml"/><Relationship Id="rId1" Type="http://schemas.openxmlformats.org/officeDocument/2006/relationships/printerSettings" Target="../printerSettings/printerSettings15.bin"/><Relationship Id="rId4" Type="http://schemas.openxmlformats.org/officeDocument/2006/relationships/ctrlProp" Target="../ctrlProps/ctrlProp18.xml"/></Relationships>
</file>

<file path=xl/worksheets/_rels/sheet16.xml.rels><?xml version="1.0" encoding="UTF-8" standalone="yes"?>
<Relationships xmlns="http://schemas.openxmlformats.org/package/2006/relationships"><Relationship Id="rId3" Type="http://schemas.openxmlformats.org/officeDocument/2006/relationships/vmlDrawing" Target="../drawings/vmlDrawing16.vml"/><Relationship Id="rId2" Type="http://schemas.openxmlformats.org/officeDocument/2006/relationships/drawing" Target="../drawings/drawing16.xml"/><Relationship Id="rId1" Type="http://schemas.openxmlformats.org/officeDocument/2006/relationships/printerSettings" Target="../printerSettings/printerSettings16.bin"/><Relationship Id="rId4" Type="http://schemas.openxmlformats.org/officeDocument/2006/relationships/ctrlProp" Target="../ctrlProps/ctrlProp19.xml"/></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17.vml"/><Relationship Id="rId2" Type="http://schemas.openxmlformats.org/officeDocument/2006/relationships/drawing" Target="../drawings/drawing17.xml"/><Relationship Id="rId1" Type="http://schemas.openxmlformats.org/officeDocument/2006/relationships/printerSettings" Target="../printerSettings/printerSettings17.bin"/><Relationship Id="rId4" Type="http://schemas.openxmlformats.org/officeDocument/2006/relationships/ctrlProp" Target="../ctrlProps/ctrlProp20.xml"/></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18.vml"/><Relationship Id="rId2" Type="http://schemas.openxmlformats.org/officeDocument/2006/relationships/drawing" Target="../drawings/drawing18.xml"/><Relationship Id="rId1" Type="http://schemas.openxmlformats.org/officeDocument/2006/relationships/printerSettings" Target="../printerSettings/printerSettings18.bin"/><Relationship Id="rId4" Type="http://schemas.openxmlformats.org/officeDocument/2006/relationships/ctrlProp" Target="../ctrlProps/ctrlProp21.xml"/></Relationships>
</file>

<file path=xl/worksheets/_rels/sheet19.xml.rels><?xml version="1.0" encoding="UTF-8" standalone="yes"?>
<Relationships xmlns="http://schemas.openxmlformats.org/package/2006/relationships"><Relationship Id="rId3" Type="http://schemas.openxmlformats.org/officeDocument/2006/relationships/vmlDrawing" Target="../drawings/vmlDrawing19.vml"/><Relationship Id="rId2" Type="http://schemas.openxmlformats.org/officeDocument/2006/relationships/drawing" Target="../drawings/drawing19.xml"/><Relationship Id="rId1" Type="http://schemas.openxmlformats.org/officeDocument/2006/relationships/printerSettings" Target="../printerSettings/printerSettings19.bin"/><Relationship Id="rId4" Type="http://schemas.openxmlformats.org/officeDocument/2006/relationships/ctrlProp" Target="../ctrlProps/ctrlProp22.xml"/></Relationships>
</file>

<file path=xl/worksheets/_rels/sheet20.xml.rels><?xml version="1.0" encoding="UTF-8" standalone="yes"?>
<Relationships xmlns="http://schemas.openxmlformats.org/package/2006/relationships"><Relationship Id="rId3" Type="http://schemas.openxmlformats.org/officeDocument/2006/relationships/vmlDrawing" Target="../drawings/vmlDrawing20.vml"/><Relationship Id="rId2" Type="http://schemas.openxmlformats.org/officeDocument/2006/relationships/drawing" Target="../drawings/drawing20.xml"/><Relationship Id="rId1" Type="http://schemas.openxmlformats.org/officeDocument/2006/relationships/printerSettings" Target="../printerSettings/printerSettings20.bin"/><Relationship Id="rId4" Type="http://schemas.openxmlformats.org/officeDocument/2006/relationships/ctrlProp" Target="../ctrlProps/ctrlProp23.xml"/></Relationships>
</file>

<file path=xl/worksheets/_rels/sheet21.xml.rels><?xml version="1.0" encoding="UTF-8" standalone="yes"?>
<Relationships xmlns="http://schemas.openxmlformats.org/package/2006/relationships"><Relationship Id="rId3" Type="http://schemas.openxmlformats.org/officeDocument/2006/relationships/vmlDrawing" Target="../drawings/vmlDrawing21.vml"/><Relationship Id="rId2" Type="http://schemas.openxmlformats.org/officeDocument/2006/relationships/drawing" Target="../drawings/drawing21.xml"/><Relationship Id="rId1" Type="http://schemas.openxmlformats.org/officeDocument/2006/relationships/printerSettings" Target="../printerSettings/printerSettings21.bin"/><Relationship Id="rId4" Type="http://schemas.openxmlformats.org/officeDocument/2006/relationships/ctrlProp" Target="../ctrlProps/ctrlProp2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7.28515625" style="2" customWidth="1"/>
    <col min="2" max="2" width="100.7109375" style="2" customWidth="1"/>
    <col min="3" max="3" width="20.85546875" style="112" customWidth="1"/>
    <col min="4" max="4" width="5.140625" style="2" customWidth="1"/>
    <col min="5" max="5" width="17.5703125" style="2" customWidth="1"/>
    <col min="6" max="158" width="9.140625" style="2"/>
    <col min="159" max="240" width="0" style="2" hidden="1" customWidth="1"/>
    <col min="241" max="249" width="9.140625" style="2"/>
    <col min="250" max="250" width="3.710937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710937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710937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710937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710937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710937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710937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710937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710937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710937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710937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710937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710937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710937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710937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710937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710937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710937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710937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710937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710937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710937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710937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710937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710937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710937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710937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710937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710937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710937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710937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710937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710937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710937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710937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710937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710937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710937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710937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710937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710937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710937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710937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710937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710937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710937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710937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710937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710937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710937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710937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710937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710937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710937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710937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710937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710937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710937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710937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710937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710937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710937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710937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2" t="s">
        <v>1</v>
      </c>
      <c r="C1" s="142"/>
    </row>
    <row r="2" spans="1:3" x14ac:dyDescent="0.2">
      <c r="A2" s="1"/>
      <c r="B2" s="3" t="s">
        <v>2</v>
      </c>
      <c r="C2" s="4">
        <f ca="1">TODAY()</f>
        <v>44944</v>
      </c>
    </row>
    <row r="3" spans="1:3" x14ac:dyDescent="0.2">
      <c r="A3" s="1"/>
      <c r="B3" s="5" t="s">
        <v>3</v>
      </c>
      <c r="C3" s="6"/>
    </row>
    <row r="4" spans="1:3" ht="25.5" x14ac:dyDescent="0.2">
      <c r="A4" s="7"/>
      <c r="B4" s="8" t="str">
        <f>[2]И1!D13</f>
        <v>Субъект Российской Федерации</v>
      </c>
      <c r="C4" s="9" t="str">
        <f>[2]И1!E13</f>
        <v>Новосибирская область</v>
      </c>
    </row>
    <row r="5" spans="1:3" ht="15.95" customHeight="1" x14ac:dyDescent="0.2">
      <c r="A5" s="7"/>
      <c r="B5" s="8" t="str">
        <f>[2]И1!D14</f>
        <v>Тип муниципального образования (выберите из списка)</v>
      </c>
      <c r="C5" s="9" t="str">
        <f>[2]И1!E14</f>
        <v>деревня Новый Шарап, Ордынский муниципальный район</v>
      </c>
    </row>
    <row r="6" spans="1:3" x14ac:dyDescent="0.2">
      <c r="A6" s="7"/>
      <c r="B6" s="8" t="str">
        <f>IF([2]И1!E15="","",[2]И1!D15)</f>
        <v/>
      </c>
      <c r="C6" s="6" t="str">
        <f>IF([2]И1!E15="","",[2]И1!E15)</f>
        <v/>
      </c>
    </row>
    <row r="7" spans="1:3" x14ac:dyDescent="0.2">
      <c r="A7" s="7"/>
      <c r="B7" s="8" t="str">
        <f>[2]И1!D16</f>
        <v>Код ОКТМО</v>
      </c>
      <c r="C7" s="10" t="str">
        <f>[2]И1!E16</f>
        <v>50642420101</v>
      </c>
    </row>
    <row r="8" spans="1:3" x14ac:dyDescent="0.2">
      <c r="A8" s="7"/>
      <c r="B8" s="11" t="str">
        <f>[2]И1!D17</f>
        <v>Система теплоснабжения</v>
      </c>
      <c r="C8" s="12">
        <f>[2]И1!E17</f>
        <v>0</v>
      </c>
    </row>
    <row r="9" spans="1:3" x14ac:dyDescent="0.2">
      <c r="A9" s="7"/>
      <c r="B9" s="8" t="str">
        <f>[2]И1!D8</f>
        <v>Период регулирования (i)-й</v>
      </c>
      <c r="C9" s="13">
        <f>[2]И1!E8</f>
        <v>2023</v>
      </c>
    </row>
    <row r="10" spans="1:3" x14ac:dyDescent="0.2">
      <c r="A10" s="7"/>
      <c r="B10" s="8" t="str">
        <f>[2]И1!D9</f>
        <v>Период регулирования (i-1)-й</v>
      </c>
      <c r="C10" s="13">
        <f>[2]И1!E9</f>
        <v>2022</v>
      </c>
    </row>
    <row r="11" spans="1:3" x14ac:dyDescent="0.2">
      <c r="A11" s="7"/>
      <c r="B11" s="8" t="str">
        <f>[2]И1!D10</f>
        <v>Период регулирования (i-2)-й</v>
      </c>
      <c r="C11" s="13">
        <f>[2]И1!E10</f>
        <v>2021</v>
      </c>
    </row>
    <row r="12" spans="1:3" x14ac:dyDescent="0.2">
      <c r="A12" s="7"/>
      <c r="B12" s="8" t="str">
        <f>[2]И1!D11</f>
        <v>Базовый год (б)</v>
      </c>
      <c r="C12" s="13">
        <f>[2]И1!E11</f>
        <v>2019</v>
      </c>
    </row>
    <row r="13" spans="1:3" x14ac:dyDescent="0.2">
      <c r="A13" s="7"/>
      <c r="B13" s="8" t="str">
        <f>[2]И1!D18</f>
        <v>Вид топлива, использование которого преобладает в системе теплоснабжения</v>
      </c>
      <c r="C13" s="14" t="str">
        <f>[2]И1!E18</f>
        <v>Газ</v>
      </c>
    </row>
    <row r="14" spans="1:3" ht="26.25" customHeight="1" thickBot="1" x14ac:dyDescent="0.25">
      <c r="A14" s="143" t="s">
        <v>4</v>
      </c>
      <c r="B14" s="143"/>
      <c r="C14" s="143"/>
    </row>
    <row r="15" spans="1:3" x14ac:dyDescent="0.2">
      <c r="A15" s="15" t="s">
        <v>5</v>
      </c>
      <c r="B15" s="16" t="s">
        <v>6</v>
      </c>
      <c r="C15" s="17" t="s">
        <v>7</v>
      </c>
    </row>
    <row r="16" spans="1:3" x14ac:dyDescent="0.2">
      <c r="A16" s="18">
        <v>1</v>
      </c>
      <c r="B16" s="19">
        <v>2</v>
      </c>
      <c r="C16" s="20">
        <v>3</v>
      </c>
    </row>
    <row r="17" spans="1:3" x14ac:dyDescent="0.2">
      <c r="A17" s="21">
        <v>1</v>
      </c>
      <c r="B17" s="22" t="s">
        <v>8</v>
      </c>
      <c r="C17" s="23">
        <f>SUM(C18:C23)</f>
        <v>2944.0301427740892</v>
      </c>
    </row>
    <row r="18" spans="1:3" ht="42.75" x14ac:dyDescent="0.2">
      <c r="A18" s="21" t="s">
        <v>9</v>
      </c>
      <c r="B18" s="24" t="s">
        <v>10</v>
      </c>
      <c r="C18" s="25">
        <f>[2]С1!F12</f>
        <v>912.75572352910331</v>
      </c>
    </row>
    <row r="19" spans="1:3" ht="42.75" x14ac:dyDescent="0.2">
      <c r="A19" s="21" t="s">
        <v>11</v>
      </c>
      <c r="B19" s="24" t="s">
        <v>12</v>
      </c>
      <c r="C19" s="25">
        <f>[2]С2!F12</f>
        <v>1416.3895121306814</v>
      </c>
    </row>
    <row r="20" spans="1:3" ht="30" x14ac:dyDescent="0.2">
      <c r="A20" s="21" t="s">
        <v>13</v>
      </c>
      <c r="B20" s="24" t="s">
        <v>14</v>
      </c>
      <c r="C20" s="25">
        <f>[2]С3!F12</f>
        <v>338.69535278862691</v>
      </c>
    </row>
    <row r="21" spans="1:3" ht="42.75" x14ac:dyDescent="0.2">
      <c r="A21" s="21" t="s">
        <v>15</v>
      </c>
      <c r="B21" s="24" t="s">
        <v>16</v>
      </c>
      <c r="C21" s="25">
        <f>[2]С4!F12</f>
        <v>218.46347309481291</v>
      </c>
    </row>
    <row r="22" spans="1:3" ht="33" customHeight="1" x14ac:dyDescent="0.2">
      <c r="A22" s="21" t="s">
        <v>17</v>
      </c>
      <c r="B22" s="24" t="s">
        <v>18</v>
      </c>
      <c r="C22" s="25">
        <f>[2]С5!F12</f>
        <v>57.726081230864494</v>
      </c>
    </row>
    <row r="23" spans="1:3" ht="45.75" customHeight="1" thickBot="1" x14ac:dyDescent="0.25">
      <c r="A23" s="26" t="s">
        <v>19</v>
      </c>
      <c r="B23" s="27" t="s">
        <v>20</v>
      </c>
      <c r="C23" s="28">
        <f>[2]С6!F12</f>
        <v>0</v>
      </c>
    </row>
    <row r="24" spans="1:3" ht="13.5" thickBot="1" x14ac:dyDescent="0.25">
      <c r="A24" s="1"/>
      <c r="C24" s="6"/>
    </row>
    <row r="25" spans="1:3" x14ac:dyDescent="0.2">
      <c r="A25" s="15" t="s">
        <v>5</v>
      </c>
      <c r="B25" s="29" t="s">
        <v>6</v>
      </c>
      <c r="C25" s="16" t="s">
        <v>7</v>
      </c>
    </row>
    <row r="26" spans="1:3" x14ac:dyDescent="0.2">
      <c r="A26" s="18">
        <v>1</v>
      </c>
      <c r="B26" s="30">
        <v>2</v>
      </c>
      <c r="C26" s="31">
        <v>3</v>
      </c>
    </row>
    <row r="27" spans="1:3" ht="30" customHeight="1" x14ac:dyDescent="0.2">
      <c r="A27" s="21">
        <v>1</v>
      </c>
      <c r="B27" s="144" t="s">
        <v>21</v>
      </c>
      <c r="C27" s="144"/>
    </row>
    <row r="28" spans="1:3" x14ac:dyDescent="0.2">
      <c r="A28" s="21" t="s">
        <v>9</v>
      </c>
      <c r="B28" s="32" t="s">
        <v>22</v>
      </c>
      <c r="C28" s="33">
        <f>[2]С1.1!E16</f>
        <v>7900</v>
      </c>
    </row>
    <row r="29" spans="1:3" ht="42.75" x14ac:dyDescent="0.2">
      <c r="A29" s="21" t="s">
        <v>11</v>
      </c>
      <c r="B29" s="32" t="s">
        <v>23</v>
      </c>
      <c r="C29" s="33">
        <f>[2]С1.1!E32</f>
        <v>5591.16</v>
      </c>
    </row>
    <row r="30" spans="1:3" ht="38.25" x14ac:dyDescent="0.2">
      <c r="A30" s="21" t="s">
        <v>24</v>
      </c>
      <c r="B30" s="32" t="s">
        <v>25</v>
      </c>
      <c r="C30" s="34" t="str">
        <f>[2]С1.1!E25</f>
        <v>ООО "Газпром газораспределение Томск"</v>
      </c>
    </row>
    <row r="31" spans="1:3" ht="38.25" x14ac:dyDescent="0.2">
      <c r="A31" s="21" t="s">
        <v>26</v>
      </c>
      <c r="B31" s="32" t="str">
        <f>[2]С1.1!D26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3">
        <f>[2]С1.1!E26</f>
        <v>4475.5</v>
      </c>
    </row>
    <row r="32" spans="1:3" ht="25.5" x14ac:dyDescent="0.2">
      <c r="A32" s="21" t="s">
        <v>27</v>
      </c>
      <c r="B32" s="32" t="str">
        <f>[2]С1.1!D27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3">
        <f>[2]С1.1!E27</f>
        <v>952.13</v>
      </c>
    </row>
    <row r="33" spans="1:3" ht="25.5" x14ac:dyDescent="0.2">
      <c r="A33" s="21" t="s">
        <v>28</v>
      </c>
      <c r="B33" s="32" t="str">
        <f>[2]С1.1!D28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3">
        <f>[2]С1.1!E28</f>
        <v>132.9</v>
      </c>
    </row>
    <row r="34" spans="1:3" ht="38.25" x14ac:dyDescent="0.2">
      <c r="A34" s="21" t="s">
        <v>29</v>
      </c>
      <c r="B34" s="32" t="str">
        <f>[2]С1.1!D29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3">
        <f>[2]С1.1!E29</f>
        <v>30.63</v>
      </c>
    </row>
    <row r="35" spans="1:3" ht="17.25" x14ac:dyDescent="0.2">
      <c r="A35" s="21" t="s">
        <v>13</v>
      </c>
      <c r="B35" s="32" t="s">
        <v>30</v>
      </c>
      <c r="C35" s="35">
        <f>[2]С1.1!E20</f>
        <v>0.1392500000000001</v>
      </c>
    </row>
    <row r="36" spans="1:3" ht="17.25" x14ac:dyDescent="0.2">
      <c r="A36" s="21" t="s">
        <v>15</v>
      </c>
      <c r="B36" s="32" t="s">
        <v>31</v>
      </c>
      <c r="C36" s="35">
        <f>[2]С1.1!E21</f>
        <v>0</v>
      </c>
    </row>
    <row r="37" spans="1:3" ht="30" x14ac:dyDescent="0.2">
      <c r="A37" s="21" t="s">
        <v>17</v>
      </c>
      <c r="B37" s="36" t="s">
        <v>32</v>
      </c>
      <c r="C37" s="37">
        <f>[2]С1!F13</f>
        <v>156.1</v>
      </c>
    </row>
    <row r="38" spans="1:3" x14ac:dyDescent="0.2">
      <c r="A38" s="21" t="s">
        <v>19</v>
      </c>
      <c r="B38" s="36" t="s">
        <v>33</v>
      </c>
      <c r="C38" s="38">
        <f>[2]С1!F16</f>
        <v>7000</v>
      </c>
    </row>
    <row r="39" spans="1:3" ht="14.25" x14ac:dyDescent="0.2">
      <c r="A39" s="39" t="s">
        <v>34</v>
      </c>
      <c r="B39" s="40" t="s">
        <v>35</v>
      </c>
      <c r="C39" s="41">
        <f>[2]С1!F17</f>
        <v>1.1285714285714286</v>
      </c>
    </row>
    <row r="40" spans="1:3" ht="15.75" x14ac:dyDescent="0.2">
      <c r="A40" s="42" t="s">
        <v>36</v>
      </c>
      <c r="B40" s="43" t="s">
        <v>37</v>
      </c>
      <c r="C40" s="41">
        <f>[2]С1!F20</f>
        <v>22.307053372799995</v>
      </c>
    </row>
    <row r="41" spans="1:3" ht="15.75" x14ac:dyDescent="0.2">
      <c r="A41" s="42" t="s">
        <v>38</v>
      </c>
      <c r="B41" s="44" t="s">
        <v>39</v>
      </c>
      <c r="C41" s="41">
        <f>[2]С1!F21</f>
        <v>21.531904799999996</v>
      </c>
    </row>
    <row r="42" spans="1:3" ht="14.25" x14ac:dyDescent="0.2">
      <c r="A42" s="42" t="s">
        <v>40</v>
      </c>
      <c r="B42" s="45" t="s">
        <v>41</v>
      </c>
      <c r="C42" s="41">
        <f>[2]С1!F22</f>
        <v>1.036</v>
      </c>
    </row>
    <row r="43" spans="1:3" ht="53.25" thickBot="1" x14ac:dyDescent="0.25">
      <c r="A43" s="26" t="s">
        <v>42</v>
      </c>
      <c r="B43" s="46" t="s">
        <v>43</v>
      </c>
      <c r="C43" s="47" t="str">
        <f>[2]С1!F23</f>
        <v>-</v>
      </c>
    </row>
    <row r="44" spans="1:3" ht="13.5" thickBot="1" x14ac:dyDescent="0.25">
      <c r="A44" s="48"/>
      <c r="B44" s="49"/>
      <c r="C44" s="14"/>
    </row>
    <row r="45" spans="1:3" ht="30" customHeight="1" x14ac:dyDescent="0.2">
      <c r="A45" s="50" t="s">
        <v>44</v>
      </c>
      <c r="B45" s="146" t="s">
        <v>45</v>
      </c>
      <c r="C45" s="146"/>
    </row>
    <row r="46" spans="1:3" ht="25.5" x14ac:dyDescent="0.2">
      <c r="A46" s="21" t="s">
        <v>46</v>
      </c>
      <c r="B46" s="36" t="s">
        <v>47</v>
      </c>
      <c r="C46" s="51" t="str">
        <f>[2]С2.1!E12</f>
        <v>V</v>
      </c>
    </row>
    <row r="47" spans="1:3" ht="25.5" x14ac:dyDescent="0.2">
      <c r="A47" s="21" t="s">
        <v>48</v>
      </c>
      <c r="B47" s="32" t="s">
        <v>49</v>
      </c>
      <c r="C47" s="51" t="str">
        <f>[2]С2.1!E13</f>
        <v>6 и менее баллов</v>
      </c>
    </row>
    <row r="48" spans="1:3" ht="25.5" x14ac:dyDescent="0.2">
      <c r="A48" s="21" t="s">
        <v>50</v>
      </c>
      <c r="B48" s="32" t="s">
        <v>51</v>
      </c>
      <c r="C48" s="51" t="str">
        <f>[2]С2.1!E14</f>
        <v>от 200 до 500</v>
      </c>
    </row>
    <row r="49" spans="1:3" ht="25.5" x14ac:dyDescent="0.2">
      <c r="A49" s="21" t="s">
        <v>52</v>
      </c>
      <c r="B49" s="32" t="s">
        <v>53</v>
      </c>
      <c r="C49" s="52" t="str">
        <f>[2]С2.1!E15</f>
        <v>нет</v>
      </c>
    </row>
    <row r="50" spans="1:3" ht="30" x14ac:dyDescent="0.2">
      <c r="A50" s="21" t="s">
        <v>54</v>
      </c>
      <c r="B50" s="32" t="s">
        <v>55</v>
      </c>
      <c r="C50" s="33">
        <f>[2]С2!F18</f>
        <v>32402.627334033532</v>
      </c>
    </row>
    <row r="51" spans="1:3" ht="30" x14ac:dyDescent="0.2">
      <c r="A51" s="21" t="s">
        <v>56</v>
      </c>
      <c r="B51" s="53" t="s">
        <v>57</v>
      </c>
      <c r="C51" s="33">
        <f>IF([2]С2!F19&gt;0,[2]С2!F19,[2]С2!F20)</f>
        <v>23441.524932855718</v>
      </c>
    </row>
    <row r="52" spans="1:3" ht="25.5" x14ac:dyDescent="0.2">
      <c r="A52" s="21" t="s">
        <v>58</v>
      </c>
      <c r="B52" s="54" t="s">
        <v>59</v>
      </c>
      <c r="C52" s="33">
        <f>[2]С2.1!E20</f>
        <v>-37</v>
      </c>
    </row>
    <row r="53" spans="1:3" ht="25.5" x14ac:dyDescent="0.2">
      <c r="A53" s="21" t="s">
        <v>60</v>
      </c>
      <c r="B53" s="54" t="s">
        <v>61</v>
      </c>
      <c r="C53" s="33" t="str">
        <f>[2]С2.1!E23</f>
        <v>нет</v>
      </c>
    </row>
    <row r="54" spans="1:3" ht="38.25" x14ac:dyDescent="0.2">
      <c r="A54" s="21" t="s">
        <v>62</v>
      </c>
      <c r="B54" s="55" t="s">
        <v>63</v>
      </c>
      <c r="C54" s="33">
        <f>[2]С2.2!E10</f>
        <v>1287</v>
      </c>
    </row>
    <row r="55" spans="1:3" ht="25.5" x14ac:dyDescent="0.2">
      <c r="A55" s="21" t="s">
        <v>64</v>
      </c>
      <c r="B55" s="56" t="s">
        <v>65</v>
      </c>
      <c r="C55" s="33">
        <f>[2]С2.2!E12</f>
        <v>5.97</v>
      </c>
    </row>
    <row r="56" spans="1:3" ht="52.5" x14ac:dyDescent="0.2">
      <c r="A56" s="21" t="s">
        <v>66</v>
      </c>
      <c r="B56" s="57" t="s">
        <v>67</v>
      </c>
      <c r="C56" s="33">
        <f>[2]С2.2!E13</f>
        <v>1</v>
      </c>
    </row>
    <row r="57" spans="1:3" ht="27.75" x14ac:dyDescent="0.2">
      <c r="A57" s="21" t="s">
        <v>68</v>
      </c>
      <c r="B57" s="56" t="s">
        <v>69</v>
      </c>
      <c r="C57" s="33">
        <f>[2]С2.2!E14</f>
        <v>12104</v>
      </c>
    </row>
    <row r="58" spans="1:3" ht="25.5" x14ac:dyDescent="0.2">
      <c r="A58" s="21" t="s">
        <v>70</v>
      </c>
      <c r="B58" s="57" t="s">
        <v>71</v>
      </c>
      <c r="C58" s="35">
        <f>[2]С2.2!E15</f>
        <v>4.8000000000000001E-2</v>
      </c>
    </row>
    <row r="59" spans="1:3" x14ac:dyDescent="0.2">
      <c r="A59" s="21" t="s">
        <v>72</v>
      </c>
      <c r="B59" s="57" t="s">
        <v>73</v>
      </c>
      <c r="C59" s="58">
        <f>[2]С2.2!E16</f>
        <v>1</v>
      </c>
    </row>
    <row r="60" spans="1:3" ht="15.75" x14ac:dyDescent="0.2">
      <c r="A60" s="21" t="s">
        <v>74</v>
      </c>
      <c r="B60" s="59" t="s">
        <v>75</v>
      </c>
      <c r="C60" s="33">
        <f>[2]С2!F21</f>
        <v>1</v>
      </c>
    </row>
    <row r="61" spans="1:3" ht="30" x14ac:dyDescent="0.2">
      <c r="A61" s="60" t="s">
        <v>76</v>
      </c>
      <c r="B61" s="32" t="s">
        <v>77</v>
      </c>
      <c r="C61" s="33">
        <f>[2]С2!F13</f>
        <v>97038.307983185223</v>
      </c>
    </row>
    <row r="62" spans="1:3" ht="30" x14ac:dyDescent="0.2">
      <c r="A62" s="60" t="s">
        <v>78</v>
      </c>
      <c r="B62" s="61" t="s">
        <v>79</v>
      </c>
      <c r="C62" s="33">
        <f>[2]С2!F14</f>
        <v>64899</v>
      </c>
    </row>
    <row r="63" spans="1:3" ht="15.75" x14ac:dyDescent="0.2">
      <c r="A63" s="60" t="s">
        <v>80</v>
      </c>
      <c r="B63" s="61" t="s">
        <v>81</v>
      </c>
      <c r="C63" s="41">
        <f>[2]С2!F15</f>
        <v>1.071</v>
      </c>
    </row>
    <row r="64" spans="1:3" ht="15.75" x14ac:dyDescent="0.2">
      <c r="A64" s="60" t="s">
        <v>82</v>
      </c>
      <c r="B64" s="61" t="s">
        <v>83</v>
      </c>
      <c r="C64" s="62">
        <f>[2]С2!F16</f>
        <v>1</v>
      </c>
    </row>
    <row r="65" spans="1:3" ht="17.25" x14ac:dyDescent="0.2">
      <c r="A65" s="60" t="s">
        <v>84</v>
      </c>
      <c r="B65" s="61" t="s">
        <v>85</v>
      </c>
      <c r="C65" s="63">
        <f>[2]С2!F17</f>
        <v>1.01</v>
      </c>
    </row>
    <row r="66" spans="1:3" s="66" customFormat="1" ht="14.25" x14ac:dyDescent="0.2">
      <c r="A66" s="60" t="s">
        <v>86</v>
      </c>
      <c r="B66" s="64" t="s">
        <v>87</v>
      </c>
      <c r="C66" s="65">
        <f>[2]С2!F35</f>
        <v>10</v>
      </c>
    </row>
    <row r="67" spans="1:3" ht="30" x14ac:dyDescent="0.2">
      <c r="A67" s="60" t="s">
        <v>88</v>
      </c>
      <c r="B67" s="67" t="s">
        <v>89</v>
      </c>
      <c r="C67" s="33">
        <f>[2]С2!F28</f>
        <v>139.14695294069438</v>
      </c>
    </row>
    <row r="68" spans="1:3" ht="17.25" x14ac:dyDescent="0.2">
      <c r="A68" s="60" t="s">
        <v>90</v>
      </c>
      <c r="B68" s="53" t="s">
        <v>91</v>
      </c>
      <c r="C68" s="41">
        <f>[2]С2!F29</f>
        <v>0.201330388</v>
      </c>
    </row>
    <row r="69" spans="1:3" ht="17.25" x14ac:dyDescent="0.2">
      <c r="A69" s="60" t="s">
        <v>92</v>
      </c>
      <c r="B69" s="59" t="s">
        <v>93</v>
      </c>
      <c r="C69" s="65">
        <f>[2]С2!F30</f>
        <v>500</v>
      </c>
    </row>
    <row r="70" spans="1:3" ht="42.75" x14ac:dyDescent="0.2">
      <c r="A70" s="60" t="s">
        <v>94</v>
      </c>
      <c r="B70" s="32" t="s">
        <v>95</v>
      </c>
      <c r="C70" s="33">
        <f>[2]С2!F22</f>
        <v>36585.255753162281</v>
      </c>
    </row>
    <row r="71" spans="1:3" ht="30" x14ac:dyDescent="0.2">
      <c r="A71" s="60" t="s">
        <v>96</v>
      </c>
      <c r="B71" s="61" t="s">
        <v>97</v>
      </c>
      <c r="C71" s="33">
        <f>[2]С2!F23</f>
        <v>21</v>
      </c>
    </row>
    <row r="72" spans="1:3" ht="30" x14ac:dyDescent="0.2">
      <c r="A72" s="60" t="s">
        <v>98</v>
      </c>
      <c r="B72" s="53" t="s">
        <v>99</v>
      </c>
      <c r="C72" s="33">
        <f>[2]С2.1!E28</f>
        <v>14036.09995</v>
      </c>
    </row>
    <row r="73" spans="1:3" ht="38.25" x14ac:dyDescent="0.2">
      <c r="A73" s="60" t="s">
        <v>100</v>
      </c>
      <c r="B73" s="68" t="s">
        <v>101</v>
      </c>
      <c r="C73" s="52">
        <f>[2]С2.3!E21</f>
        <v>0</v>
      </c>
    </row>
    <row r="74" spans="1:3" ht="25.5" x14ac:dyDescent="0.2">
      <c r="A74" s="60" t="s">
        <v>102</v>
      </c>
      <c r="B74" s="69" t="s">
        <v>103</v>
      </c>
      <c r="C74" s="70">
        <f>[2]С2.3!E11</f>
        <v>5.45</v>
      </c>
    </row>
    <row r="75" spans="1:3" ht="25.5" x14ac:dyDescent="0.2">
      <c r="A75" s="60" t="s">
        <v>104</v>
      </c>
      <c r="B75" s="69" t="s">
        <v>105</v>
      </c>
      <c r="C75" s="65">
        <f>[2]С2.3!E13</f>
        <v>300</v>
      </c>
    </row>
    <row r="76" spans="1:3" ht="25.5" x14ac:dyDescent="0.2">
      <c r="A76" s="60" t="s">
        <v>106</v>
      </c>
      <c r="B76" s="68" t="s">
        <v>107</v>
      </c>
      <c r="C76" s="71">
        <f>IF([2]С2.3!E22&gt;0,[2]С2.3!E22,[2]С2.3!E14)</f>
        <v>61211</v>
      </c>
    </row>
    <row r="77" spans="1:3" ht="38.25" x14ac:dyDescent="0.2">
      <c r="A77" s="60" t="s">
        <v>108</v>
      </c>
      <c r="B77" s="68" t="s">
        <v>109</v>
      </c>
      <c r="C77" s="71">
        <f>IF([2]С2.3!E23&gt;0,[2]С2.3!E23,[2]С2.3!E15)</f>
        <v>45675</v>
      </c>
    </row>
    <row r="78" spans="1:3" ht="30" x14ac:dyDescent="0.2">
      <c r="A78" s="60" t="s">
        <v>110</v>
      </c>
      <c r="B78" s="53" t="s">
        <v>111</v>
      </c>
      <c r="C78" s="33">
        <f>[2]С2.1!E29</f>
        <v>9518.3274000000001</v>
      </c>
    </row>
    <row r="79" spans="1:3" ht="38.25" x14ac:dyDescent="0.2">
      <c r="A79" s="60" t="s">
        <v>112</v>
      </c>
      <c r="B79" s="68" t="s">
        <v>113</v>
      </c>
      <c r="C79" s="52">
        <f>[2]С2.3!E25</f>
        <v>0</v>
      </c>
    </row>
    <row r="80" spans="1:3" ht="25.5" x14ac:dyDescent="0.2">
      <c r="A80" s="60" t="s">
        <v>114</v>
      </c>
      <c r="B80" s="69" t="s">
        <v>115</v>
      </c>
      <c r="C80" s="70">
        <f>[2]С2.3!E12</f>
        <v>0.2</v>
      </c>
    </row>
    <row r="81" spans="1:3" ht="25.5" x14ac:dyDescent="0.2">
      <c r="A81" s="60" t="s">
        <v>116</v>
      </c>
      <c r="B81" s="69" t="s">
        <v>105</v>
      </c>
      <c r="C81" s="65">
        <f>[2]С2.3!E13</f>
        <v>300</v>
      </c>
    </row>
    <row r="82" spans="1:3" ht="25.5" x14ac:dyDescent="0.2">
      <c r="A82" s="60" t="s">
        <v>117</v>
      </c>
      <c r="B82" s="72" t="s">
        <v>118</v>
      </c>
      <c r="C82" s="71">
        <f>IF([2]С2.3!E26&gt;0,[2]С2.3!E26,[2]С2.3!E16)</f>
        <v>65637</v>
      </c>
    </row>
    <row r="83" spans="1:3" ht="38.25" x14ac:dyDescent="0.2">
      <c r="A83" s="60" t="s">
        <v>119</v>
      </c>
      <c r="B83" s="72" t="s">
        <v>120</v>
      </c>
      <c r="C83" s="71">
        <f>IF([2]С2.3!E27&gt;0,[2]С2.3!E27,[2]С2.3!E17)</f>
        <v>31684</v>
      </c>
    </row>
    <row r="84" spans="1:3" ht="30" x14ac:dyDescent="0.2">
      <c r="A84" s="60" t="s">
        <v>121</v>
      </c>
      <c r="B84" s="61" t="s">
        <v>122</v>
      </c>
      <c r="C84" s="71">
        <f>IF([2]С2.1!E19&gt;0,[2]С2.1!E19,[2]С2!F26)</f>
        <v>2892</v>
      </c>
    </row>
    <row r="85" spans="1:3" ht="17.25" x14ac:dyDescent="0.2">
      <c r="A85" s="60" t="s">
        <v>123</v>
      </c>
      <c r="B85" s="32" t="s">
        <v>124</v>
      </c>
      <c r="C85" s="35">
        <f>[2]С2!F31</f>
        <v>0.128978033685065</v>
      </c>
    </row>
    <row r="86" spans="1:3" ht="30" x14ac:dyDescent="0.2">
      <c r="A86" s="60" t="s">
        <v>125</v>
      </c>
      <c r="B86" s="53" t="s">
        <v>126</v>
      </c>
      <c r="C86" s="73">
        <f>[2]С2!F32</f>
        <v>0.11668498168498169</v>
      </c>
    </row>
    <row r="87" spans="1:3" ht="17.25" x14ac:dyDescent="0.2">
      <c r="A87" s="60" t="s">
        <v>127</v>
      </c>
      <c r="B87" s="74" t="s">
        <v>128</v>
      </c>
      <c r="C87" s="35">
        <f>[2]С2!F33</f>
        <v>0.13880000000000001</v>
      </c>
    </row>
    <row r="88" spans="1:3" s="66" customFormat="1" ht="18" thickBot="1" x14ac:dyDescent="0.25">
      <c r="A88" s="75" t="s">
        <v>129</v>
      </c>
      <c r="B88" s="76" t="s">
        <v>130</v>
      </c>
      <c r="C88" s="77">
        <f>[2]С2!F34</f>
        <v>0.12640000000000001</v>
      </c>
    </row>
    <row r="89" spans="1:3" ht="13.5" thickBot="1" x14ac:dyDescent="0.25">
      <c r="A89" s="48"/>
      <c r="B89" s="49"/>
      <c r="C89" s="14"/>
    </row>
    <row r="90" spans="1:3" s="66" customFormat="1" ht="30" customHeight="1" x14ac:dyDescent="0.2">
      <c r="A90" s="78" t="s">
        <v>131</v>
      </c>
      <c r="B90" s="146" t="s">
        <v>132</v>
      </c>
      <c r="C90" s="146"/>
    </row>
    <row r="91" spans="1:3" s="66" customFormat="1" ht="30" x14ac:dyDescent="0.2">
      <c r="A91" s="79" t="s">
        <v>133</v>
      </c>
      <c r="B91" s="32" t="s">
        <v>134</v>
      </c>
      <c r="C91" s="33">
        <f>[2]С3!F14</f>
        <v>4857.2878492227173</v>
      </c>
    </row>
    <row r="92" spans="1:3" s="66" customFormat="1" ht="42.75" x14ac:dyDescent="0.2">
      <c r="A92" s="79" t="s">
        <v>135</v>
      </c>
      <c r="B92" s="53" t="s">
        <v>136</v>
      </c>
      <c r="C92" s="80">
        <f>[2]С3!F15</f>
        <v>0.2</v>
      </c>
    </row>
    <row r="93" spans="1:3" s="66" customFormat="1" ht="14.25" x14ac:dyDescent="0.2">
      <c r="A93" s="79" t="s">
        <v>137</v>
      </c>
      <c r="B93" s="81" t="s">
        <v>138</v>
      </c>
      <c r="C93" s="65">
        <f>[2]С3!F18</f>
        <v>15</v>
      </c>
    </row>
    <row r="94" spans="1:3" s="66" customFormat="1" ht="17.25" x14ac:dyDescent="0.2">
      <c r="A94" s="79" t="s">
        <v>139</v>
      </c>
      <c r="B94" s="32" t="s">
        <v>140</v>
      </c>
      <c r="C94" s="33">
        <f>[2]С3!F19</f>
        <v>2435.0508023655884</v>
      </c>
    </row>
    <row r="95" spans="1:3" s="66" customFormat="1" ht="55.5" x14ac:dyDescent="0.2">
      <c r="A95" s="79" t="s">
        <v>141</v>
      </c>
      <c r="B95" s="53" t="s">
        <v>142</v>
      </c>
      <c r="C95" s="82">
        <f>[2]С3!F20</f>
        <v>2.1999999999999999E-2</v>
      </c>
    </row>
    <row r="96" spans="1:3" s="66" customFormat="1" ht="14.25" x14ac:dyDescent="0.2">
      <c r="A96" s="79" t="s">
        <v>143</v>
      </c>
      <c r="B96" s="59" t="s">
        <v>87</v>
      </c>
      <c r="C96" s="65">
        <f>[2]С3!F21</f>
        <v>10</v>
      </c>
    </row>
    <row r="97" spans="1:3" s="66" customFormat="1" ht="17.25" x14ac:dyDescent="0.2">
      <c r="A97" s="79" t="s">
        <v>144</v>
      </c>
      <c r="B97" s="32" t="s">
        <v>145</v>
      </c>
      <c r="C97" s="33">
        <f>[2]С3!F22</f>
        <v>0.41744085882208315</v>
      </c>
    </row>
    <row r="98" spans="1:3" s="66" customFormat="1" ht="55.5" x14ac:dyDescent="0.2">
      <c r="A98" s="79" t="s">
        <v>146</v>
      </c>
      <c r="B98" s="53" t="s">
        <v>147</v>
      </c>
      <c r="C98" s="82">
        <f>[2]С3!F23</f>
        <v>3.0000000000000001E-3</v>
      </c>
    </row>
    <row r="99" spans="1:3" s="66" customFormat="1" ht="30.75" thickBot="1" x14ac:dyDescent="0.25">
      <c r="A99" s="83" t="s">
        <v>148</v>
      </c>
      <c r="B99" s="84" t="s">
        <v>89</v>
      </c>
      <c r="C99" s="85">
        <f>[2]С3!F24</f>
        <v>139.14695294069438</v>
      </c>
    </row>
    <row r="100" spans="1:3" ht="13.5" thickBot="1" x14ac:dyDescent="0.25">
      <c r="A100" s="48"/>
      <c r="B100" s="49"/>
      <c r="C100" s="14"/>
    </row>
    <row r="101" spans="1:3" ht="30" customHeight="1" x14ac:dyDescent="0.2">
      <c r="A101" s="86" t="s">
        <v>149</v>
      </c>
      <c r="B101" s="146" t="s">
        <v>150</v>
      </c>
      <c r="C101" s="146"/>
    </row>
    <row r="102" spans="1:3" ht="30" x14ac:dyDescent="0.2">
      <c r="A102" s="60" t="s">
        <v>151</v>
      </c>
      <c r="B102" s="32" t="s">
        <v>152</v>
      </c>
      <c r="C102" s="33">
        <f>[2]С4!F16</f>
        <v>832.33500000000004</v>
      </c>
    </row>
    <row r="103" spans="1:3" ht="30" x14ac:dyDescent="0.2">
      <c r="A103" s="60" t="s">
        <v>153</v>
      </c>
      <c r="B103" s="59" t="s">
        <v>154</v>
      </c>
      <c r="C103" s="33">
        <f>[2]С4!F17</f>
        <v>43385</v>
      </c>
    </row>
    <row r="104" spans="1:3" ht="17.25" x14ac:dyDescent="0.2">
      <c r="A104" s="60" t="s">
        <v>155</v>
      </c>
      <c r="B104" s="59" t="s">
        <v>156</v>
      </c>
      <c r="C104" s="41">
        <f>[2]С4!F18</f>
        <v>1.4999999999999999E-2</v>
      </c>
    </row>
    <row r="105" spans="1:3" ht="30" x14ac:dyDescent="0.2">
      <c r="A105" s="60" t="s">
        <v>157</v>
      </c>
      <c r="B105" s="59" t="s">
        <v>158</v>
      </c>
      <c r="C105" s="33">
        <f>[2]С4!F19</f>
        <v>12104</v>
      </c>
    </row>
    <row r="106" spans="1:3" ht="28.5" x14ac:dyDescent="0.2">
      <c r="A106" s="60" t="s">
        <v>159</v>
      </c>
      <c r="B106" s="59" t="s">
        <v>160</v>
      </c>
      <c r="C106" s="41">
        <f>[2]С4!F20</f>
        <v>1.4999999999999999E-2</v>
      </c>
    </row>
    <row r="107" spans="1:3" ht="30" x14ac:dyDescent="0.2">
      <c r="A107" s="60" t="s">
        <v>161</v>
      </c>
      <c r="B107" s="32" t="s">
        <v>162</v>
      </c>
      <c r="C107" s="33">
        <f>[2]С4!F21</f>
        <v>1221.9019409821399</v>
      </c>
    </row>
    <row r="108" spans="1:3" ht="45.6" customHeight="1" x14ac:dyDescent="0.2">
      <c r="A108" s="60" t="s">
        <v>163</v>
      </c>
      <c r="B108" s="53" t="s">
        <v>164</v>
      </c>
      <c r="C108" s="34" t="str">
        <f>IF([2]С4.2!F8="да",[2]С4.2!D21,[2]С4.2!D15)</f>
        <v>АО "Новосибирскэнергосбыт"</v>
      </c>
    </row>
    <row r="109" spans="1:3" ht="68.25" customHeight="1" x14ac:dyDescent="0.2">
      <c r="A109" s="60" t="s">
        <v>165</v>
      </c>
      <c r="B109" s="53" t="s">
        <v>166</v>
      </c>
      <c r="C109" s="33">
        <f>[2]С4!F22</f>
        <v>3.6112641666666665</v>
      </c>
    </row>
    <row r="110" spans="1:3" ht="30" x14ac:dyDescent="0.2">
      <c r="A110" s="60" t="s">
        <v>167</v>
      </c>
      <c r="B110" s="59" t="s">
        <v>168</v>
      </c>
      <c r="C110" s="65">
        <f>[2]С4!F23</f>
        <v>110</v>
      </c>
    </row>
    <row r="111" spans="1:3" ht="14.25" x14ac:dyDescent="0.2">
      <c r="A111" s="60" t="s">
        <v>169</v>
      </c>
      <c r="B111" s="53" t="s">
        <v>170</v>
      </c>
      <c r="C111" s="33">
        <f>[2]С4!F24</f>
        <v>8497.1999999999989</v>
      </c>
    </row>
    <row r="112" spans="1:3" ht="14.25" x14ac:dyDescent="0.2">
      <c r="A112" s="60" t="s">
        <v>171</v>
      </c>
      <c r="B112" s="59" t="s">
        <v>172</v>
      </c>
      <c r="C112" s="41">
        <f>[2]С4!F25</f>
        <v>0.36199999999999999</v>
      </c>
    </row>
    <row r="113" spans="1:3" ht="17.25" x14ac:dyDescent="0.2">
      <c r="A113" s="60" t="s">
        <v>173</v>
      </c>
      <c r="B113" s="32" t="s">
        <v>174</v>
      </c>
      <c r="C113" s="33">
        <f>[2]С4!F26</f>
        <v>47.113160000000001</v>
      </c>
    </row>
    <row r="114" spans="1:3" ht="25.5" x14ac:dyDescent="0.2">
      <c r="A114" s="60" t="s">
        <v>175</v>
      </c>
      <c r="B114" s="53" t="s">
        <v>101</v>
      </c>
      <c r="C114" s="34">
        <f>[2]С4.3!E16</f>
        <v>0</v>
      </c>
    </row>
    <row r="115" spans="1:3" ht="25.5" x14ac:dyDescent="0.2">
      <c r="A115" s="60" t="s">
        <v>176</v>
      </c>
      <c r="B115" s="53" t="s">
        <v>177</v>
      </c>
      <c r="C115" s="33">
        <f>[2]С4.3!E17</f>
        <v>22.17</v>
      </c>
    </row>
    <row r="116" spans="1:3" ht="38.25" x14ac:dyDescent="0.2">
      <c r="A116" s="60" t="s">
        <v>178</v>
      </c>
      <c r="B116" s="53" t="s">
        <v>113</v>
      </c>
      <c r="C116" s="34">
        <f>[2]С4.3!E18</f>
        <v>0</v>
      </c>
    </row>
    <row r="117" spans="1:3" x14ac:dyDescent="0.2">
      <c r="A117" s="60" t="s">
        <v>179</v>
      </c>
      <c r="B117" s="53" t="s">
        <v>180</v>
      </c>
      <c r="C117" s="33">
        <f>[2]С4.3!E19</f>
        <v>58.64</v>
      </c>
    </row>
    <row r="118" spans="1:3" x14ac:dyDescent="0.2">
      <c r="A118" s="60" t="s">
        <v>181</v>
      </c>
      <c r="B118" s="59" t="s">
        <v>182</v>
      </c>
      <c r="C118" s="65">
        <f>[2]С4.3!E11</f>
        <v>1871</v>
      </c>
    </row>
    <row r="119" spans="1:3" x14ac:dyDescent="0.2">
      <c r="A119" s="60" t="s">
        <v>183</v>
      </c>
      <c r="B119" s="59" t="s">
        <v>184</v>
      </c>
      <c r="C119" s="52">
        <f>[2]С4.3!E12</f>
        <v>61</v>
      </c>
    </row>
    <row r="120" spans="1:3" x14ac:dyDescent="0.2">
      <c r="A120" s="60" t="s">
        <v>185</v>
      </c>
      <c r="B120" s="59" t="s">
        <v>186</v>
      </c>
      <c r="C120" s="52">
        <f>[2]С4.3!E13</f>
        <v>73</v>
      </c>
    </row>
    <row r="121" spans="1:3" ht="30" x14ac:dyDescent="0.2">
      <c r="A121" s="60" t="s">
        <v>187</v>
      </c>
      <c r="B121" s="32" t="s">
        <v>188</v>
      </c>
      <c r="C121" s="33">
        <f>[2]С4!F27</f>
        <v>946.59139764731083</v>
      </c>
    </row>
    <row r="122" spans="1:3" ht="25.5" x14ac:dyDescent="0.2">
      <c r="A122" s="60" t="s">
        <v>189</v>
      </c>
      <c r="B122" s="53" t="s">
        <v>190</v>
      </c>
      <c r="C122" s="33">
        <f>[2]С4!F28</f>
        <v>727.02872323142151</v>
      </c>
    </row>
    <row r="123" spans="1:3" ht="42.75" x14ac:dyDescent="0.2">
      <c r="A123" s="60" t="s">
        <v>191</v>
      </c>
      <c r="B123" s="53" t="s">
        <v>192</v>
      </c>
      <c r="C123" s="33">
        <f>[2]С4!F29</f>
        <v>219.56267441588932</v>
      </c>
    </row>
    <row r="124" spans="1:3" ht="30.75" thickBot="1" x14ac:dyDescent="0.25">
      <c r="A124" s="75" t="s">
        <v>193</v>
      </c>
      <c r="B124" s="87" t="s">
        <v>194</v>
      </c>
      <c r="C124" s="85">
        <f>[2]С4!F30</f>
        <v>490.84222061732129</v>
      </c>
    </row>
    <row r="125" spans="1:3" s="88" customFormat="1" ht="13.5" thickBot="1" x14ac:dyDescent="0.25">
      <c r="A125" s="48"/>
      <c r="B125" s="49"/>
      <c r="C125" s="14"/>
    </row>
    <row r="126" spans="1:3" s="66" customFormat="1" ht="30" customHeight="1" x14ac:dyDescent="0.2">
      <c r="A126" s="78" t="s">
        <v>195</v>
      </c>
      <c r="B126" s="146" t="s">
        <v>196</v>
      </c>
      <c r="C126" s="146"/>
    </row>
    <row r="127" spans="1:3" ht="30.6" customHeight="1" thickBot="1" x14ac:dyDescent="0.25">
      <c r="A127" s="26" t="s">
        <v>197</v>
      </c>
      <c r="B127" s="87" t="s">
        <v>198</v>
      </c>
      <c r="C127" s="85">
        <f>[2]С5!F17</f>
        <v>0.02</v>
      </c>
    </row>
    <row r="128" spans="1:3" s="88" customFormat="1" ht="13.5" thickBot="1" x14ac:dyDescent="0.25">
      <c r="A128" s="48"/>
      <c r="B128" s="49"/>
      <c r="C128" s="14"/>
    </row>
    <row r="129" spans="1:4" ht="42.75" customHeight="1" x14ac:dyDescent="0.2">
      <c r="A129" s="86" t="s">
        <v>199</v>
      </c>
      <c r="B129" s="146" t="s">
        <v>200</v>
      </c>
      <c r="C129" s="146"/>
    </row>
    <row r="130" spans="1:4" ht="68.25" x14ac:dyDescent="0.2">
      <c r="A130" s="60" t="s">
        <v>201</v>
      </c>
      <c r="B130" s="89" t="s">
        <v>202</v>
      </c>
      <c r="C130" s="33" t="str">
        <f>IF([2]С6.1!E11="нет",[2]С6!F13,"")</f>
        <v/>
      </c>
    </row>
    <row r="131" spans="1:4" ht="42.75" x14ac:dyDescent="0.2">
      <c r="A131" s="60" t="s">
        <v>203</v>
      </c>
      <c r="B131" s="90" t="s">
        <v>204</v>
      </c>
      <c r="C131" s="91" t="str">
        <f>IF([2]С6.1!E12="нет",[2]С6.1!E17,"")</f>
        <v/>
      </c>
    </row>
    <row r="132" spans="1:4" ht="68.25" x14ac:dyDescent="0.2">
      <c r="A132" s="60" t="s">
        <v>205</v>
      </c>
      <c r="B132" s="89" t="s">
        <v>206</v>
      </c>
      <c r="C132" s="92" t="str">
        <f>IF([2]С6.1!E18="нет",[2]С6!F19,"")</f>
        <v/>
      </c>
    </row>
    <row r="133" spans="1:4" ht="55.5" x14ac:dyDescent="0.2">
      <c r="A133" s="60" t="s">
        <v>207</v>
      </c>
      <c r="B133" s="90" t="s">
        <v>208</v>
      </c>
      <c r="C133" s="35" t="str">
        <f>IF([2]С6.1!E18="нет",[2]С6.1!E19,"")</f>
        <v/>
      </c>
    </row>
    <row r="134" spans="1:4" ht="61.5" customHeight="1" x14ac:dyDescent="0.2">
      <c r="A134" s="60" t="s">
        <v>209</v>
      </c>
      <c r="B134" s="90" t="s">
        <v>210</v>
      </c>
      <c r="C134" s="35" t="str">
        <f>IF([2]С6.1!E18="нет",[2]С6.1!E22,"")</f>
        <v/>
      </c>
    </row>
    <row r="135" spans="1:4" ht="69" thickBot="1" x14ac:dyDescent="0.25">
      <c r="A135" s="75" t="s">
        <v>211</v>
      </c>
      <c r="B135" s="93" t="s">
        <v>212</v>
      </c>
      <c r="C135" s="77" t="str">
        <f>IF([2]С6.1!E18="нет",[2]С6.1!E23,"")</f>
        <v/>
      </c>
    </row>
    <row r="136" spans="1:4" s="88" customFormat="1" ht="13.5" thickBot="1" x14ac:dyDescent="0.25">
      <c r="A136" s="48"/>
      <c r="B136" s="49"/>
      <c r="C136" s="14"/>
    </row>
    <row r="137" spans="1:4" ht="15.75" x14ac:dyDescent="0.2">
      <c r="A137" s="86" t="s">
        <v>213</v>
      </c>
      <c r="B137" s="94" t="s">
        <v>214</v>
      </c>
      <c r="C137" s="95">
        <f>[2]С2!F39</f>
        <v>21.531904799999996</v>
      </c>
    </row>
    <row r="138" spans="1:4" ht="14.25" x14ac:dyDescent="0.2">
      <c r="A138" s="60" t="s">
        <v>215</v>
      </c>
      <c r="B138" s="59" t="s">
        <v>216</v>
      </c>
      <c r="C138" s="33">
        <f>[2]С2!F40</f>
        <v>7</v>
      </c>
    </row>
    <row r="139" spans="1:4" ht="17.25" x14ac:dyDescent="0.2">
      <c r="A139" s="60" t="s">
        <v>217</v>
      </c>
      <c r="B139" s="59" t="s">
        <v>218</v>
      </c>
      <c r="C139" s="33">
        <f>[2]С2!F42</f>
        <v>0.97</v>
      </c>
    </row>
    <row r="140" spans="1:4" ht="15" thickBot="1" x14ac:dyDescent="0.25">
      <c r="A140" s="75" t="s">
        <v>219</v>
      </c>
      <c r="B140" s="76" t="s">
        <v>220</v>
      </c>
      <c r="C140" s="47">
        <f>[2]С2!F44</f>
        <v>0.36199999999999999</v>
      </c>
    </row>
    <row r="141" spans="1:4" s="88" customFormat="1" ht="13.5" thickBot="1" x14ac:dyDescent="0.25">
      <c r="A141" s="48"/>
      <c r="B141" s="49"/>
      <c r="C141" s="14"/>
    </row>
    <row r="142" spans="1:4" ht="17.25" x14ac:dyDescent="0.2">
      <c r="A142" s="86" t="s">
        <v>221</v>
      </c>
      <c r="B142" s="96" t="s">
        <v>222</v>
      </c>
      <c r="C142" s="97">
        <f>[2]С2!F37</f>
        <v>1.3822747209000001</v>
      </c>
      <c r="D142" s="88"/>
    </row>
    <row r="143" spans="1:4" ht="17.25" customHeight="1" thickBot="1" x14ac:dyDescent="0.25">
      <c r="A143" s="75" t="s">
        <v>223</v>
      </c>
      <c r="B143" s="145" t="s">
        <v>224</v>
      </c>
      <c r="C143" s="145"/>
      <c r="D143" s="88"/>
    </row>
    <row r="144" spans="1:4" x14ac:dyDescent="0.2">
      <c r="A144" s="99"/>
      <c r="B144" s="100" t="s">
        <v>0</v>
      </c>
      <c r="C144" s="101"/>
    </row>
    <row r="145" spans="1:3" x14ac:dyDescent="0.2">
      <c r="A145" s="99"/>
      <c r="B145" s="102">
        <v>2020</v>
      </c>
      <c r="C145" s="103">
        <f>[2]С2.5!$E$11</f>
        <v>-2.9000000000000026E-2</v>
      </c>
    </row>
    <row r="146" spans="1:3" x14ac:dyDescent="0.2">
      <c r="B146" s="102">
        <f>B145+1</f>
        <v>2021</v>
      </c>
      <c r="C146" s="104">
        <f>[2]С2.5!$F$11</f>
        <v>0.245</v>
      </c>
    </row>
    <row r="147" spans="1:3" x14ac:dyDescent="0.2">
      <c r="B147" s="102">
        <f t="shared" ref="B147:B210" si="0">B146+1</f>
        <v>2022</v>
      </c>
      <c r="C147" s="105">
        <f>[2]С2.5!$G$11</f>
        <v>0.121</v>
      </c>
    </row>
    <row r="148" spans="1:3" ht="13.5" thickBot="1" x14ac:dyDescent="0.25">
      <c r="B148" s="106">
        <f t="shared" si="0"/>
        <v>2023</v>
      </c>
      <c r="C148" s="107">
        <f>[2]С2.5!$H$11</f>
        <v>0.02</v>
      </c>
    </row>
    <row r="149" spans="1:3" ht="13.5" hidden="1" thickBot="1" x14ac:dyDescent="0.25">
      <c r="B149" s="106">
        <f t="shared" si="0"/>
        <v>2024</v>
      </c>
      <c r="C149" s="107">
        <f>[2]С2.5!$I$11</f>
        <v>0</v>
      </c>
    </row>
    <row r="150" spans="1:3" ht="13.5" hidden="1" thickBot="1" x14ac:dyDescent="0.25">
      <c r="B150" s="106">
        <f t="shared" si="0"/>
        <v>2025</v>
      </c>
      <c r="C150" s="107">
        <f>[2]С2.5!$J$11</f>
        <v>0</v>
      </c>
    </row>
    <row r="151" spans="1:3" ht="13.5" hidden="1" thickBot="1" x14ac:dyDescent="0.25">
      <c r="B151" s="106">
        <f t="shared" si="0"/>
        <v>2026</v>
      </c>
      <c r="C151" s="107">
        <f>[2]С2.5!$K$11</f>
        <v>0</v>
      </c>
    </row>
    <row r="152" spans="1:3" ht="13.5" hidden="1" thickBot="1" x14ac:dyDescent="0.25">
      <c r="B152" s="106">
        <f t="shared" si="0"/>
        <v>2027</v>
      </c>
      <c r="C152" s="107">
        <f>[2]С2.5!$L$11</f>
        <v>0</v>
      </c>
    </row>
    <row r="153" spans="1:3" ht="13.5" hidden="1" thickBot="1" x14ac:dyDescent="0.25">
      <c r="B153" s="106">
        <f t="shared" si="0"/>
        <v>2028</v>
      </c>
      <c r="C153" s="107">
        <f>[2]С2.5!$M$11</f>
        <v>0</v>
      </c>
    </row>
    <row r="154" spans="1:3" ht="13.5" hidden="1" thickBot="1" x14ac:dyDescent="0.25">
      <c r="B154" s="106">
        <f t="shared" si="0"/>
        <v>2029</v>
      </c>
      <c r="C154" s="107">
        <f>[2]С2.5!$N$11</f>
        <v>0</v>
      </c>
    </row>
    <row r="155" spans="1:3" ht="13.5" hidden="1" thickBot="1" x14ac:dyDescent="0.25">
      <c r="B155" s="106">
        <f t="shared" si="0"/>
        <v>2030</v>
      </c>
      <c r="C155" s="107">
        <f>[2]С2.5!$O$11</f>
        <v>0</v>
      </c>
    </row>
    <row r="156" spans="1:3" ht="13.5" hidden="1" thickBot="1" x14ac:dyDescent="0.25">
      <c r="B156" s="106">
        <f t="shared" si="0"/>
        <v>2031</v>
      </c>
      <c r="C156" s="107">
        <f>[2]С2.5!$P$11</f>
        <v>0</v>
      </c>
    </row>
    <row r="157" spans="1:3" ht="13.5" hidden="1" thickBot="1" x14ac:dyDescent="0.25">
      <c r="B157" s="106">
        <f t="shared" si="0"/>
        <v>2032</v>
      </c>
      <c r="C157" s="107">
        <f>[2]С2.5!$Q$11</f>
        <v>0</v>
      </c>
    </row>
    <row r="158" spans="1:3" ht="13.5" hidden="1" thickBot="1" x14ac:dyDescent="0.25">
      <c r="B158" s="106">
        <f t="shared" si="0"/>
        <v>2033</v>
      </c>
      <c r="C158" s="107">
        <f>[2]С2.5!$R$11</f>
        <v>0</v>
      </c>
    </row>
    <row r="159" spans="1:3" ht="13.5" hidden="1" thickBot="1" x14ac:dyDescent="0.25">
      <c r="B159" s="106">
        <f t="shared" si="0"/>
        <v>2034</v>
      </c>
      <c r="C159" s="107">
        <f>[2]С2.5!$S$11</f>
        <v>0</v>
      </c>
    </row>
    <row r="160" spans="1:3" ht="13.5" hidden="1" thickBot="1" x14ac:dyDescent="0.25">
      <c r="B160" s="106">
        <f t="shared" si="0"/>
        <v>2035</v>
      </c>
      <c r="C160" s="107">
        <f>[2]С2.5!$T$11</f>
        <v>0</v>
      </c>
    </row>
    <row r="161" spans="2:3" ht="13.5" hidden="1" thickBot="1" x14ac:dyDescent="0.25">
      <c r="B161" s="106">
        <f t="shared" si="0"/>
        <v>2036</v>
      </c>
      <c r="C161" s="107">
        <f>[2]С2.5!$U$11</f>
        <v>0</v>
      </c>
    </row>
    <row r="162" spans="2:3" ht="13.5" hidden="1" thickBot="1" x14ac:dyDescent="0.25">
      <c r="B162" s="106">
        <f t="shared" si="0"/>
        <v>2037</v>
      </c>
      <c r="C162" s="107">
        <f>[2]С2.5!$V$11</f>
        <v>0</v>
      </c>
    </row>
    <row r="163" spans="2:3" ht="13.5" hidden="1" thickBot="1" x14ac:dyDescent="0.25">
      <c r="B163" s="106">
        <f t="shared" si="0"/>
        <v>2038</v>
      </c>
      <c r="C163" s="107">
        <f>[2]С2.5!$W$11</f>
        <v>0</v>
      </c>
    </row>
    <row r="164" spans="2:3" ht="13.5" hidden="1" thickBot="1" x14ac:dyDescent="0.25">
      <c r="B164" s="106">
        <f t="shared" si="0"/>
        <v>2039</v>
      </c>
      <c r="C164" s="107">
        <f>[2]С2.5!$X$11</f>
        <v>0</v>
      </c>
    </row>
    <row r="165" spans="2:3" ht="13.5" hidden="1" thickBot="1" x14ac:dyDescent="0.25">
      <c r="B165" s="106">
        <f t="shared" si="0"/>
        <v>2040</v>
      </c>
      <c r="C165" s="107">
        <f>[2]С2.5!$Y$11</f>
        <v>0</v>
      </c>
    </row>
    <row r="166" spans="2:3" ht="13.5" hidden="1" thickBot="1" x14ac:dyDescent="0.25">
      <c r="B166" s="106">
        <f t="shared" si="0"/>
        <v>2041</v>
      </c>
      <c r="C166" s="107">
        <f>[2]С2.5!$Z$11</f>
        <v>0</v>
      </c>
    </row>
    <row r="167" spans="2:3" ht="13.5" hidden="1" thickBot="1" x14ac:dyDescent="0.25">
      <c r="B167" s="106">
        <f t="shared" si="0"/>
        <v>2042</v>
      </c>
      <c r="C167" s="107">
        <f>[2]С2.5!$AA$11</f>
        <v>0</v>
      </c>
    </row>
    <row r="168" spans="2:3" ht="13.5" hidden="1" thickBot="1" x14ac:dyDescent="0.25">
      <c r="B168" s="106">
        <f t="shared" si="0"/>
        <v>2043</v>
      </c>
      <c r="C168" s="107">
        <f>[2]С2.5!$AB$11</f>
        <v>0</v>
      </c>
    </row>
    <row r="169" spans="2:3" ht="13.5" hidden="1" thickBot="1" x14ac:dyDescent="0.25">
      <c r="B169" s="106">
        <f t="shared" si="0"/>
        <v>2044</v>
      </c>
      <c r="C169" s="107">
        <f>[2]С2.5!$AC$11</f>
        <v>0</v>
      </c>
    </row>
    <row r="170" spans="2:3" ht="13.5" hidden="1" thickBot="1" x14ac:dyDescent="0.25">
      <c r="B170" s="106">
        <f t="shared" si="0"/>
        <v>2045</v>
      </c>
      <c r="C170" s="107">
        <f>[2]С2.5!$AD$11</f>
        <v>0</v>
      </c>
    </row>
    <row r="171" spans="2:3" ht="13.5" hidden="1" thickBot="1" x14ac:dyDescent="0.25">
      <c r="B171" s="106">
        <f t="shared" si="0"/>
        <v>2046</v>
      </c>
      <c r="C171" s="107">
        <f>[2]С2.5!$AE$11</f>
        <v>0</v>
      </c>
    </row>
    <row r="172" spans="2:3" ht="13.5" hidden="1" thickBot="1" x14ac:dyDescent="0.25">
      <c r="B172" s="106">
        <f t="shared" si="0"/>
        <v>2047</v>
      </c>
      <c r="C172" s="107">
        <f>[2]С2.5!$AF$11</f>
        <v>0</v>
      </c>
    </row>
    <row r="173" spans="2:3" ht="13.5" hidden="1" thickBot="1" x14ac:dyDescent="0.25">
      <c r="B173" s="106">
        <f t="shared" si="0"/>
        <v>2048</v>
      </c>
      <c r="C173" s="107">
        <f>[2]С2.5!$AG$11</f>
        <v>0</v>
      </c>
    </row>
    <row r="174" spans="2:3" ht="13.5" hidden="1" thickBot="1" x14ac:dyDescent="0.25">
      <c r="B174" s="106">
        <f t="shared" si="0"/>
        <v>2049</v>
      </c>
      <c r="C174" s="107">
        <f>[2]С2.5!$AH$11</f>
        <v>0</v>
      </c>
    </row>
    <row r="175" spans="2:3" ht="13.5" hidden="1" thickBot="1" x14ac:dyDescent="0.25">
      <c r="B175" s="106">
        <f t="shared" si="0"/>
        <v>2050</v>
      </c>
      <c r="C175" s="107">
        <f>[2]С2.5!$AI$11</f>
        <v>0</v>
      </c>
    </row>
    <row r="176" spans="2:3" ht="13.5" hidden="1" thickBot="1" x14ac:dyDescent="0.25">
      <c r="B176" s="106">
        <f t="shared" si="0"/>
        <v>2051</v>
      </c>
      <c r="C176" s="107">
        <f>[2]С2.5!$AJ$11</f>
        <v>0</v>
      </c>
    </row>
    <row r="177" spans="2:3" ht="13.5" hidden="1" thickBot="1" x14ac:dyDescent="0.25">
      <c r="B177" s="106">
        <f t="shared" si="0"/>
        <v>2052</v>
      </c>
      <c r="C177" s="107">
        <f>[2]С2.5!$AK$11</f>
        <v>0</v>
      </c>
    </row>
    <row r="178" spans="2:3" ht="13.5" hidden="1" thickBot="1" x14ac:dyDescent="0.25">
      <c r="B178" s="106">
        <f t="shared" si="0"/>
        <v>2053</v>
      </c>
      <c r="C178" s="107">
        <f>[2]С2.5!$AL$11</f>
        <v>0</v>
      </c>
    </row>
    <row r="179" spans="2:3" ht="13.5" hidden="1" thickBot="1" x14ac:dyDescent="0.25">
      <c r="B179" s="106">
        <f t="shared" si="0"/>
        <v>2054</v>
      </c>
      <c r="C179" s="107">
        <f>[2]С2.5!$AM$11</f>
        <v>0</v>
      </c>
    </row>
    <row r="180" spans="2:3" ht="13.5" hidden="1" thickBot="1" x14ac:dyDescent="0.25">
      <c r="B180" s="106">
        <f t="shared" si="0"/>
        <v>2055</v>
      </c>
      <c r="C180" s="107">
        <f>[2]С2.5!$AN$11</f>
        <v>0</v>
      </c>
    </row>
    <row r="181" spans="2:3" ht="13.5" hidden="1" thickBot="1" x14ac:dyDescent="0.25">
      <c r="B181" s="106">
        <f t="shared" si="0"/>
        <v>2056</v>
      </c>
      <c r="C181" s="107">
        <f>[2]С2.5!$AO$11</f>
        <v>0</v>
      </c>
    </row>
    <row r="182" spans="2:3" ht="13.5" hidden="1" thickBot="1" x14ac:dyDescent="0.25">
      <c r="B182" s="106">
        <f t="shared" si="0"/>
        <v>2057</v>
      </c>
      <c r="C182" s="107">
        <f>[2]С2.5!$AP$11</f>
        <v>0</v>
      </c>
    </row>
    <row r="183" spans="2:3" ht="13.5" hidden="1" thickBot="1" x14ac:dyDescent="0.25">
      <c r="B183" s="106">
        <f t="shared" si="0"/>
        <v>2058</v>
      </c>
      <c r="C183" s="107">
        <f>[2]С2.5!$AQ$11</f>
        <v>0</v>
      </c>
    </row>
    <row r="184" spans="2:3" ht="13.5" hidden="1" thickBot="1" x14ac:dyDescent="0.25">
      <c r="B184" s="106">
        <f t="shared" si="0"/>
        <v>2059</v>
      </c>
      <c r="C184" s="107">
        <f>[2]С2.5!$AR$11</f>
        <v>0</v>
      </c>
    </row>
    <row r="185" spans="2:3" ht="13.5" hidden="1" thickBot="1" x14ac:dyDescent="0.25">
      <c r="B185" s="106">
        <f t="shared" si="0"/>
        <v>2060</v>
      </c>
      <c r="C185" s="107">
        <f>[2]С2.5!$AS$11</f>
        <v>0</v>
      </c>
    </row>
    <row r="186" spans="2:3" ht="13.5" hidden="1" thickBot="1" x14ac:dyDescent="0.25">
      <c r="B186" s="106">
        <f t="shared" si="0"/>
        <v>2061</v>
      </c>
      <c r="C186" s="107">
        <f>[2]С2.5!$AT$11</f>
        <v>0</v>
      </c>
    </row>
    <row r="187" spans="2:3" ht="13.5" hidden="1" thickBot="1" x14ac:dyDescent="0.25">
      <c r="B187" s="106">
        <f t="shared" si="0"/>
        <v>2062</v>
      </c>
      <c r="C187" s="107">
        <f>[2]С2.5!$AU$11</f>
        <v>0</v>
      </c>
    </row>
    <row r="188" spans="2:3" ht="13.5" hidden="1" thickBot="1" x14ac:dyDescent="0.25">
      <c r="B188" s="106">
        <f t="shared" si="0"/>
        <v>2063</v>
      </c>
      <c r="C188" s="107">
        <f>[2]С2.5!$AV$11</f>
        <v>0</v>
      </c>
    </row>
    <row r="189" spans="2:3" ht="13.5" hidden="1" thickBot="1" x14ac:dyDescent="0.25">
      <c r="B189" s="106">
        <f t="shared" si="0"/>
        <v>2064</v>
      </c>
      <c r="C189" s="107">
        <f>[2]С2.5!$AW$11</f>
        <v>0</v>
      </c>
    </row>
    <row r="190" spans="2:3" ht="13.5" hidden="1" thickBot="1" x14ac:dyDescent="0.25">
      <c r="B190" s="106">
        <f t="shared" si="0"/>
        <v>2065</v>
      </c>
      <c r="C190" s="107">
        <f>[2]С2.5!$AX$11</f>
        <v>0</v>
      </c>
    </row>
    <row r="191" spans="2:3" ht="13.5" hidden="1" thickBot="1" x14ac:dyDescent="0.25">
      <c r="B191" s="106">
        <f t="shared" si="0"/>
        <v>2066</v>
      </c>
      <c r="C191" s="107">
        <f>[2]С2.5!$AY$11</f>
        <v>0</v>
      </c>
    </row>
    <row r="192" spans="2:3" ht="13.5" hidden="1" thickBot="1" x14ac:dyDescent="0.25">
      <c r="B192" s="106">
        <f t="shared" si="0"/>
        <v>2067</v>
      </c>
      <c r="C192" s="107">
        <f>[2]С2.5!$AZ$11</f>
        <v>0</v>
      </c>
    </row>
    <row r="193" spans="2:3" ht="13.5" hidden="1" thickBot="1" x14ac:dyDescent="0.25">
      <c r="B193" s="106">
        <f t="shared" si="0"/>
        <v>2068</v>
      </c>
      <c r="C193" s="107">
        <f>[2]С2.5!$BA$11</f>
        <v>0</v>
      </c>
    </row>
    <row r="194" spans="2:3" ht="13.5" hidden="1" thickBot="1" x14ac:dyDescent="0.25">
      <c r="B194" s="106">
        <f t="shared" si="0"/>
        <v>2069</v>
      </c>
      <c r="C194" s="107">
        <f>[2]С2.5!$BB$11</f>
        <v>0</v>
      </c>
    </row>
    <row r="195" spans="2:3" ht="13.5" hidden="1" thickBot="1" x14ac:dyDescent="0.25">
      <c r="B195" s="106">
        <f t="shared" si="0"/>
        <v>2070</v>
      </c>
      <c r="C195" s="107">
        <f>[2]С2.5!$BC$11</f>
        <v>0</v>
      </c>
    </row>
    <row r="196" spans="2:3" ht="13.5" hidden="1" thickBot="1" x14ac:dyDescent="0.25">
      <c r="B196" s="106">
        <f t="shared" si="0"/>
        <v>2071</v>
      </c>
      <c r="C196" s="107">
        <f>[2]С2.5!$BD$11</f>
        <v>0</v>
      </c>
    </row>
    <row r="197" spans="2:3" ht="13.5" hidden="1" thickBot="1" x14ac:dyDescent="0.25">
      <c r="B197" s="106">
        <f t="shared" si="0"/>
        <v>2072</v>
      </c>
      <c r="C197" s="107">
        <f>[2]С2.5!$BE$11</f>
        <v>0</v>
      </c>
    </row>
    <row r="198" spans="2:3" ht="13.5" hidden="1" thickBot="1" x14ac:dyDescent="0.25">
      <c r="B198" s="106">
        <f t="shared" si="0"/>
        <v>2073</v>
      </c>
      <c r="C198" s="107">
        <f>[2]С2.5!$BF$11</f>
        <v>0</v>
      </c>
    </row>
    <row r="199" spans="2:3" ht="13.5" hidden="1" thickBot="1" x14ac:dyDescent="0.25">
      <c r="B199" s="106">
        <f t="shared" si="0"/>
        <v>2074</v>
      </c>
      <c r="C199" s="107">
        <f>[2]С2.5!$BG$11</f>
        <v>0</v>
      </c>
    </row>
    <row r="200" spans="2:3" ht="13.5" hidden="1" thickBot="1" x14ac:dyDescent="0.25">
      <c r="B200" s="106">
        <f t="shared" si="0"/>
        <v>2075</v>
      </c>
      <c r="C200" s="107">
        <f>[2]С2.5!$BH$11</f>
        <v>0</v>
      </c>
    </row>
    <row r="201" spans="2:3" ht="13.5" hidden="1" thickBot="1" x14ac:dyDescent="0.25">
      <c r="B201" s="106">
        <f t="shared" si="0"/>
        <v>2076</v>
      </c>
      <c r="C201" s="107">
        <f>[2]С2.5!$BI$11</f>
        <v>0</v>
      </c>
    </row>
    <row r="202" spans="2:3" ht="13.5" hidden="1" thickBot="1" x14ac:dyDescent="0.25">
      <c r="B202" s="106">
        <f t="shared" si="0"/>
        <v>2077</v>
      </c>
      <c r="C202" s="107">
        <f>[2]С2.5!$BJ$11</f>
        <v>0</v>
      </c>
    </row>
    <row r="203" spans="2:3" ht="13.5" hidden="1" thickBot="1" x14ac:dyDescent="0.25">
      <c r="B203" s="106">
        <f t="shared" si="0"/>
        <v>2078</v>
      </c>
      <c r="C203" s="107">
        <f>[2]С2.5!$BK$11</f>
        <v>0</v>
      </c>
    </row>
    <row r="204" spans="2:3" ht="13.5" hidden="1" thickBot="1" x14ac:dyDescent="0.25">
      <c r="B204" s="106">
        <f t="shared" si="0"/>
        <v>2079</v>
      </c>
      <c r="C204" s="107">
        <f>[2]С2.5!$BL$11</f>
        <v>0</v>
      </c>
    </row>
    <row r="205" spans="2:3" ht="13.5" hidden="1" thickBot="1" x14ac:dyDescent="0.25">
      <c r="B205" s="106">
        <f t="shared" si="0"/>
        <v>2080</v>
      </c>
      <c r="C205" s="107">
        <f>[2]С2.5!$BM$11</f>
        <v>0</v>
      </c>
    </row>
    <row r="206" spans="2:3" ht="13.5" hidden="1" thickBot="1" x14ac:dyDescent="0.25">
      <c r="B206" s="106">
        <f t="shared" si="0"/>
        <v>2081</v>
      </c>
      <c r="C206" s="107">
        <f>[2]С2.5!$BN$11</f>
        <v>0</v>
      </c>
    </row>
    <row r="207" spans="2:3" ht="13.5" hidden="1" thickBot="1" x14ac:dyDescent="0.25">
      <c r="B207" s="106">
        <f t="shared" si="0"/>
        <v>2082</v>
      </c>
      <c r="C207" s="107">
        <f>[2]С2.5!$BO$11</f>
        <v>0</v>
      </c>
    </row>
    <row r="208" spans="2:3" ht="13.5" hidden="1" thickBot="1" x14ac:dyDescent="0.25">
      <c r="B208" s="106">
        <f t="shared" si="0"/>
        <v>2083</v>
      </c>
      <c r="C208" s="107">
        <f>[2]С2.5!$BP$11</f>
        <v>0</v>
      </c>
    </row>
    <row r="209" spans="2:3" ht="13.5" hidden="1" thickBot="1" x14ac:dyDescent="0.25">
      <c r="B209" s="106">
        <f t="shared" si="0"/>
        <v>2084</v>
      </c>
      <c r="C209" s="107">
        <f>[2]С2.5!$BQ$11</f>
        <v>0</v>
      </c>
    </row>
    <row r="210" spans="2:3" ht="13.5" hidden="1" thickBot="1" x14ac:dyDescent="0.25">
      <c r="B210" s="106">
        <f t="shared" si="0"/>
        <v>2085</v>
      </c>
      <c r="C210" s="107">
        <f>[2]С2.5!$BR$11</f>
        <v>0</v>
      </c>
    </row>
    <row r="211" spans="2:3" ht="13.5" hidden="1" thickBot="1" x14ac:dyDescent="0.25">
      <c r="B211" s="106">
        <f t="shared" ref="B211:B224" si="1">B210+1</f>
        <v>2086</v>
      </c>
      <c r="C211" s="107">
        <f>[2]С2.5!$BS$11</f>
        <v>0</v>
      </c>
    </row>
    <row r="212" spans="2:3" ht="13.5" hidden="1" thickBot="1" x14ac:dyDescent="0.25">
      <c r="B212" s="106">
        <f t="shared" si="1"/>
        <v>2087</v>
      </c>
      <c r="C212" s="107">
        <f>[2]С2.5!$BT$11</f>
        <v>0</v>
      </c>
    </row>
    <row r="213" spans="2:3" ht="13.5" hidden="1" thickBot="1" x14ac:dyDescent="0.25">
      <c r="B213" s="106">
        <f t="shared" si="1"/>
        <v>2088</v>
      </c>
      <c r="C213" s="107">
        <f>[2]С2.5!$BU$11</f>
        <v>0</v>
      </c>
    </row>
    <row r="214" spans="2:3" ht="13.5" hidden="1" thickBot="1" x14ac:dyDescent="0.25">
      <c r="B214" s="106">
        <f t="shared" si="1"/>
        <v>2089</v>
      </c>
      <c r="C214" s="107">
        <f>[2]С2.5!$BV$11</f>
        <v>0</v>
      </c>
    </row>
    <row r="215" spans="2:3" ht="13.5" hidden="1" thickBot="1" x14ac:dyDescent="0.25">
      <c r="B215" s="106">
        <f t="shared" si="1"/>
        <v>2090</v>
      </c>
      <c r="C215" s="107">
        <f>[2]С2.5!$BW$11</f>
        <v>0</v>
      </c>
    </row>
    <row r="216" spans="2:3" ht="13.5" hidden="1" thickBot="1" x14ac:dyDescent="0.25">
      <c r="B216" s="106">
        <f t="shared" si="1"/>
        <v>2091</v>
      </c>
      <c r="C216" s="107">
        <f>[2]С2.5!$BX$11</f>
        <v>0</v>
      </c>
    </row>
    <row r="217" spans="2:3" ht="13.5" hidden="1" thickBot="1" x14ac:dyDescent="0.25">
      <c r="B217" s="106">
        <f t="shared" si="1"/>
        <v>2092</v>
      </c>
      <c r="C217" s="107">
        <f>[2]С2.5!$BY$11</f>
        <v>0</v>
      </c>
    </row>
    <row r="218" spans="2:3" ht="13.5" hidden="1" thickBot="1" x14ac:dyDescent="0.25">
      <c r="B218" s="106">
        <f t="shared" si="1"/>
        <v>2093</v>
      </c>
      <c r="C218" s="107">
        <f>[2]С2.5!$BZ$11</f>
        <v>0</v>
      </c>
    </row>
    <row r="219" spans="2:3" ht="13.5" hidden="1" thickBot="1" x14ac:dyDescent="0.25">
      <c r="B219" s="106">
        <f t="shared" si="1"/>
        <v>2094</v>
      </c>
      <c r="C219" s="107">
        <f>[2]С2.5!$CA$11</f>
        <v>0</v>
      </c>
    </row>
    <row r="220" spans="2:3" ht="13.5" hidden="1" thickBot="1" x14ac:dyDescent="0.25">
      <c r="B220" s="106">
        <f t="shared" si="1"/>
        <v>2095</v>
      </c>
      <c r="C220" s="107">
        <f>[2]С2.5!$CB$11</f>
        <v>0</v>
      </c>
    </row>
    <row r="221" spans="2:3" ht="13.5" hidden="1" thickBot="1" x14ac:dyDescent="0.25">
      <c r="B221" s="106">
        <f t="shared" si="1"/>
        <v>2096</v>
      </c>
      <c r="C221" s="107">
        <f>[2]С2.5!$CC$11</f>
        <v>0</v>
      </c>
    </row>
    <row r="222" spans="2:3" ht="13.5" hidden="1" thickBot="1" x14ac:dyDescent="0.25">
      <c r="B222" s="106">
        <f t="shared" si="1"/>
        <v>2097</v>
      </c>
      <c r="C222" s="107">
        <f>[2]С2.5!$CD$11</f>
        <v>0</v>
      </c>
    </row>
    <row r="223" spans="2:3" ht="13.5" hidden="1" thickBot="1" x14ac:dyDescent="0.25">
      <c r="B223" s="106">
        <f t="shared" si="1"/>
        <v>2098</v>
      </c>
      <c r="C223" s="107">
        <f>[2]С2.5!$CE$11</f>
        <v>0</v>
      </c>
    </row>
    <row r="224" spans="2:3" ht="13.5" hidden="1" thickBot="1" x14ac:dyDescent="0.25">
      <c r="B224" s="106">
        <f t="shared" si="1"/>
        <v>2099</v>
      </c>
      <c r="C224" s="107">
        <f>[2]С2.5!$CF$11</f>
        <v>0</v>
      </c>
    </row>
    <row r="225" spans="2:3" ht="13.5" hidden="1" thickBot="1" x14ac:dyDescent="0.25">
      <c r="B225" s="108">
        <f>B162+1</f>
        <v>2038</v>
      </c>
      <c r="C225" s="109" t="e">
        <f>[2]С2.5!#REF!</f>
        <v>#REF!</v>
      </c>
    </row>
    <row r="226" spans="2:3" x14ac:dyDescent="0.2">
      <c r="B226" s="110"/>
      <c r="C226" s="111"/>
    </row>
  </sheetData>
  <mergeCells count="9">
    <mergeCell ref="B1:C1"/>
    <mergeCell ref="A14:C14"/>
    <mergeCell ref="B27:C27"/>
    <mergeCell ref="B143:C143"/>
    <mergeCell ref="B45:C45"/>
    <mergeCell ref="B90:C90"/>
    <mergeCell ref="B101:C101"/>
    <mergeCell ref="B126:C126"/>
    <mergeCell ref="B129:C129"/>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5" r:id="rId4" name="Button 1">
              <controlPr defaultSize="0" print="0" autoFill="0" autoPict="0" macro="[2]!Лист29.PrintBlock">
                <anchor moveWithCells="1" sizeWithCells="1">
                  <from>
                    <xdr:col>3</xdr:col>
                    <xdr:colOff>47625</xdr:colOff>
                    <xdr:row>0</xdr:row>
                    <xdr:rowOff>104775</xdr:rowOff>
                  </from>
                  <to>
                    <xdr:col>4</xdr:col>
                    <xdr:colOff>1095375</xdr:colOff>
                    <xdr:row>0</xdr:row>
                    <xdr:rowOff>352425</xdr:rowOff>
                  </to>
                </anchor>
              </controlPr>
            </control>
          </mc:Choice>
        </mc:AlternateContent>
        <mc:AlternateContent xmlns:mc="http://schemas.openxmlformats.org/markup-compatibility/2006">
          <mc:Choice Requires="x14">
            <control shapeId="1026" r:id="rId5" name="Button 2">
              <controlPr defaultSize="0" print="0" autoFill="0" autoPict="0" macro="[2]!Лист29.PrintBlock">
                <anchor moveWithCells="1" sizeWithCells="1">
                  <from>
                    <xdr:col>3</xdr:col>
                    <xdr:colOff>47625</xdr:colOff>
                    <xdr:row>0</xdr:row>
                    <xdr:rowOff>104775</xdr:rowOff>
                  </from>
                  <to>
                    <xdr:col>4</xdr:col>
                    <xdr:colOff>1095375</xdr:colOff>
                    <xdr:row>0</xdr:row>
                    <xdr:rowOff>352425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13"/>
      <c r="B1" s="142" t="s">
        <v>225</v>
      </c>
      <c r="C1" s="142"/>
    </row>
    <row r="2" spans="1:3" x14ac:dyDescent="0.2">
      <c r="A2" s="1"/>
      <c r="B2" s="3" t="s">
        <v>2</v>
      </c>
      <c r="C2" s="4">
        <f ca="1">TODAY()</f>
        <v>44944</v>
      </c>
    </row>
    <row r="3" spans="1:3" x14ac:dyDescent="0.2">
      <c r="A3" s="1"/>
      <c r="B3" s="114" t="s">
        <v>3</v>
      </c>
    </row>
    <row r="4" spans="1:3" ht="25.5" x14ac:dyDescent="0.2">
      <c r="A4" s="7"/>
      <c r="B4" s="8" t="str">
        <f>[3]И1!D13</f>
        <v>Субъект Российской Федерации</v>
      </c>
      <c r="C4" s="9" t="str">
        <f>[3]И1!E13</f>
        <v>Новосибирская область</v>
      </c>
    </row>
    <row r="5" spans="1:3" ht="38.25" x14ac:dyDescent="0.2">
      <c r="A5" s="7"/>
      <c r="B5" s="8" t="str">
        <f>[3]И1!D14</f>
        <v>Тип муниципального образования (выберите из списка)</v>
      </c>
      <c r="C5" s="9" t="str">
        <f>[3]И1!E14</f>
        <v>деревня Березовка, Ордынский муниципальный район</v>
      </c>
    </row>
    <row r="6" spans="1:3" x14ac:dyDescent="0.2">
      <c r="A6" s="7"/>
      <c r="B6" s="8" t="str">
        <f>IF([3]И1!E15="","",[3]И1!D15)</f>
        <v/>
      </c>
      <c r="C6" s="9" t="str">
        <f>IF([3]И1!E15="","",[3]И1!E15)</f>
        <v/>
      </c>
    </row>
    <row r="7" spans="1:3" x14ac:dyDescent="0.2">
      <c r="A7" s="7"/>
      <c r="B7" s="8" t="str">
        <f>[3]И1!D16</f>
        <v>Код ОКТМО</v>
      </c>
      <c r="C7" s="10" t="str">
        <f>[3]И1!E16</f>
        <v>50642403101</v>
      </c>
    </row>
    <row r="8" spans="1:3" x14ac:dyDescent="0.2">
      <c r="A8" s="7"/>
      <c r="B8" s="11" t="str">
        <f>[3]И1!D17</f>
        <v>Система теплоснабжения</v>
      </c>
      <c r="C8" s="12">
        <f>[3]И1!E17</f>
        <v>0</v>
      </c>
    </row>
    <row r="9" spans="1:3" x14ac:dyDescent="0.2">
      <c r="A9" s="7"/>
      <c r="B9" s="8" t="str">
        <f>[3]И1!D8</f>
        <v>Период регулирования (i)-й</v>
      </c>
      <c r="C9" s="13">
        <f>[3]И1!E8</f>
        <v>2023</v>
      </c>
    </row>
    <row r="10" spans="1:3" x14ac:dyDescent="0.2">
      <c r="A10" s="7"/>
      <c r="B10" s="8" t="str">
        <f>[3]И1!D9</f>
        <v>Период регулирования (i-1)-й</v>
      </c>
      <c r="C10" s="13">
        <f>[3]И1!E9</f>
        <v>2022</v>
      </c>
    </row>
    <row r="11" spans="1:3" x14ac:dyDescent="0.2">
      <c r="A11" s="7"/>
      <c r="B11" s="8" t="str">
        <f>[3]И1!D10</f>
        <v>Период регулирования (i-2)-й</v>
      </c>
      <c r="C11" s="13">
        <f>[3]И1!E10</f>
        <v>2021</v>
      </c>
    </row>
    <row r="12" spans="1:3" x14ac:dyDescent="0.2">
      <c r="A12" s="7"/>
      <c r="B12" s="8" t="str">
        <f>[3]И1!D11</f>
        <v>Базовый год (б)</v>
      </c>
      <c r="C12" s="13">
        <f>[3]И1!E11</f>
        <v>2019</v>
      </c>
    </row>
    <row r="13" spans="1:3" ht="38.25" x14ac:dyDescent="0.2">
      <c r="A13" s="7"/>
      <c r="B13" s="8" t="str">
        <f>[3]И1!D18</f>
        <v>Вид топлива, использование которого преобладает в системе теплоснабжения</v>
      </c>
      <c r="C13" s="14" t="str">
        <f>[3]С1.1!E13</f>
        <v>уголь (вид угля не указан в топливном балансе)</v>
      </c>
    </row>
    <row r="14" spans="1:3" ht="31.7" customHeight="1" thickBot="1" x14ac:dyDescent="0.25">
      <c r="A14" s="147" t="s">
        <v>4</v>
      </c>
      <c r="B14" s="147"/>
      <c r="C14" s="147"/>
    </row>
    <row r="15" spans="1:3" x14ac:dyDescent="0.2">
      <c r="A15" s="15" t="s">
        <v>5</v>
      </c>
      <c r="B15" s="115" t="s">
        <v>6</v>
      </c>
      <c r="C15" s="116" t="s">
        <v>7</v>
      </c>
    </row>
    <row r="16" spans="1:3" x14ac:dyDescent="0.2">
      <c r="A16" s="18">
        <v>1</v>
      </c>
      <c r="B16" s="117">
        <v>2</v>
      </c>
      <c r="C16" s="118">
        <v>3</v>
      </c>
    </row>
    <row r="17" spans="1:3" x14ac:dyDescent="0.2">
      <c r="A17" s="21">
        <v>1</v>
      </c>
      <c r="B17" s="22" t="s">
        <v>8</v>
      </c>
      <c r="C17" s="23">
        <f>SUM(C18:C22)</f>
        <v>4278.2633835808574</v>
      </c>
    </row>
    <row r="18" spans="1:3" ht="42.75" x14ac:dyDescent="0.2">
      <c r="A18" s="21" t="s">
        <v>9</v>
      </c>
      <c r="B18" s="24" t="s">
        <v>10</v>
      </c>
      <c r="C18" s="25">
        <f>[3]С1!F12</f>
        <v>1134.7740071372189</v>
      </c>
    </row>
    <row r="19" spans="1:3" ht="42.75" x14ac:dyDescent="0.2">
      <c r="A19" s="21" t="s">
        <v>11</v>
      </c>
      <c r="B19" s="24" t="s">
        <v>12</v>
      </c>
      <c r="C19" s="25">
        <f>[3]С2!F12</f>
        <v>2106.4563180122805</v>
      </c>
    </row>
    <row r="20" spans="1:3" ht="30" x14ac:dyDescent="0.2">
      <c r="A20" s="21" t="s">
        <v>13</v>
      </c>
      <c r="B20" s="24" t="s">
        <v>14</v>
      </c>
      <c r="C20" s="25">
        <f>[3]С3!F12</f>
        <v>503.94083842199643</v>
      </c>
    </row>
    <row r="21" spans="1:3" ht="42.75" x14ac:dyDescent="0.2">
      <c r="A21" s="21" t="s">
        <v>15</v>
      </c>
      <c r="B21" s="24" t="s">
        <v>226</v>
      </c>
      <c r="C21" s="25">
        <f>[3]С4!F12</f>
        <v>449.20470268424725</v>
      </c>
    </row>
    <row r="22" spans="1:3" ht="30" x14ac:dyDescent="0.2">
      <c r="A22" s="21" t="s">
        <v>17</v>
      </c>
      <c r="B22" s="24" t="s">
        <v>227</v>
      </c>
      <c r="C22" s="25">
        <f>[3]С5!F12</f>
        <v>83.887517325114857</v>
      </c>
    </row>
    <row r="23" spans="1:3" ht="43.5" thickBot="1" x14ac:dyDescent="0.25">
      <c r="A23" s="26" t="s">
        <v>19</v>
      </c>
      <c r="B23" s="27" t="s">
        <v>228</v>
      </c>
      <c r="C23" s="28" t="str">
        <f>[3]С6!F12</f>
        <v>-</v>
      </c>
    </row>
    <row r="24" spans="1:3" ht="13.5" thickBot="1" x14ac:dyDescent="0.25">
      <c r="A24" s="1"/>
    </row>
    <row r="25" spans="1:3" x14ac:dyDescent="0.2">
      <c r="A25" s="15" t="s">
        <v>5</v>
      </c>
      <c r="B25" s="29" t="s">
        <v>6</v>
      </c>
      <c r="C25" s="16" t="s">
        <v>7</v>
      </c>
    </row>
    <row r="26" spans="1:3" x14ac:dyDescent="0.2">
      <c r="A26" s="18">
        <v>1</v>
      </c>
      <c r="B26" s="30">
        <v>2</v>
      </c>
      <c r="C26" s="31">
        <v>3</v>
      </c>
    </row>
    <row r="27" spans="1:3" ht="30" customHeight="1" x14ac:dyDescent="0.2">
      <c r="A27" s="21">
        <v>1</v>
      </c>
      <c r="B27" s="144" t="s">
        <v>21</v>
      </c>
      <c r="C27" s="144"/>
    </row>
    <row r="28" spans="1:3" x14ac:dyDescent="0.2">
      <c r="A28" s="21" t="s">
        <v>9</v>
      </c>
      <c r="B28" s="32" t="s">
        <v>229</v>
      </c>
      <c r="C28" s="33">
        <f>[3]С1.1!E16</f>
        <v>5100</v>
      </c>
    </row>
    <row r="29" spans="1:3" ht="42.75" x14ac:dyDescent="0.2">
      <c r="A29" s="21" t="s">
        <v>11</v>
      </c>
      <c r="B29" s="32" t="s">
        <v>230</v>
      </c>
      <c r="C29" s="33">
        <f>[3]С1.1!E27</f>
        <v>3051.2176603165599</v>
      </c>
    </row>
    <row r="30" spans="1:3" ht="17.25" x14ac:dyDescent="0.2">
      <c r="A30" s="21" t="s">
        <v>13</v>
      </c>
      <c r="B30" s="32" t="s">
        <v>30</v>
      </c>
      <c r="C30" s="35">
        <f>[3]С1.1!E19</f>
        <v>0.59499999999999997</v>
      </c>
    </row>
    <row r="31" spans="1:3" ht="17.25" x14ac:dyDescent="0.2">
      <c r="A31" s="21" t="s">
        <v>15</v>
      </c>
      <c r="B31" s="32" t="s">
        <v>31</v>
      </c>
      <c r="C31" s="35">
        <f>[3]С1.1!E20</f>
        <v>-0.113</v>
      </c>
    </row>
    <row r="32" spans="1:3" ht="30" x14ac:dyDescent="0.2">
      <c r="A32" s="21" t="s">
        <v>17</v>
      </c>
      <c r="B32" s="36" t="s">
        <v>231</v>
      </c>
      <c r="C32" s="119">
        <f>[3]С1!F13</f>
        <v>176.4</v>
      </c>
    </row>
    <row r="33" spans="1:3" x14ac:dyDescent="0.2">
      <c r="A33" s="21" t="s">
        <v>19</v>
      </c>
      <c r="B33" s="36" t="s">
        <v>33</v>
      </c>
      <c r="C33" s="38">
        <f>[3]С1!F16</f>
        <v>7000</v>
      </c>
    </row>
    <row r="34" spans="1:3" ht="14.25" x14ac:dyDescent="0.2">
      <c r="A34" s="21" t="s">
        <v>34</v>
      </c>
      <c r="B34" s="40" t="s">
        <v>232</v>
      </c>
      <c r="C34" s="41">
        <f>[3]С1!F17</f>
        <v>0.72857142857142854</v>
      </c>
    </row>
    <row r="35" spans="1:3" ht="15.75" x14ac:dyDescent="0.2">
      <c r="A35" s="120" t="s">
        <v>36</v>
      </c>
      <c r="B35" s="43" t="s">
        <v>37</v>
      </c>
      <c r="C35" s="41">
        <f>[3]С1!F20</f>
        <v>21.588411179999994</v>
      </c>
    </row>
    <row r="36" spans="1:3" ht="15.75" x14ac:dyDescent="0.2">
      <c r="A36" s="120" t="s">
        <v>38</v>
      </c>
      <c r="B36" s="44" t="s">
        <v>39</v>
      </c>
      <c r="C36" s="41">
        <f>[3]С1!F21</f>
        <v>20.818139999999996</v>
      </c>
    </row>
    <row r="37" spans="1:3" ht="14.25" x14ac:dyDescent="0.2">
      <c r="A37" s="120" t="s">
        <v>40</v>
      </c>
      <c r="B37" s="45" t="s">
        <v>41</v>
      </c>
      <c r="C37" s="41">
        <f>[3]С1!F22</f>
        <v>1.0369999999999999</v>
      </c>
    </row>
    <row r="38" spans="1:3" ht="53.25" thickBot="1" x14ac:dyDescent="0.25">
      <c r="A38" s="26" t="s">
        <v>42</v>
      </c>
      <c r="B38" s="46" t="s">
        <v>43</v>
      </c>
      <c r="C38" s="47">
        <f>[3]С1!F23</f>
        <v>1.0469999999999999</v>
      </c>
    </row>
    <row r="39" spans="1:3" ht="13.5" thickBot="1" x14ac:dyDescent="0.25">
      <c r="A39" s="48"/>
      <c r="B39" s="121"/>
      <c r="C39" s="122"/>
    </row>
    <row r="40" spans="1:3" ht="30" customHeight="1" x14ac:dyDescent="0.2">
      <c r="A40" s="50" t="s">
        <v>44</v>
      </c>
      <c r="B40" s="146" t="s">
        <v>45</v>
      </c>
      <c r="C40" s="146"/>
    </row>
    <row r="41" spans="1:3" ht="25.5" x14ac:dyDescent="0.2">
      <c r="A41" s="21" t="s">
        <v>46</v>
      </c>
      <c r="B41" s="36" t="s">
        <v>47</v>
      </c>
      <c r="C41" s="51" t="str">
        <f>[3]С2.1!E12</f>
        <v>V</v>
      </c>
    </row>
    <row r="42" spans="1:3" ht="25.5" x14ac:dyDescent="0.2">
      <c r="A42" s="21" t="s">
        <v>48</v>
      </c>
      <c r="B42" s="32" t="s">
        <v>49</v>
      </c>
      <c r="C42" s="51" t="str">
        <f>[3]С2.1!E13</f>
        <v>6 и менее баллов</v>
      </c>
    </row>
    <row r="43" spans="1:3" ht="25.5" x14ac:dyDescent="0.2">
      <c r="A43" s="21" t="s">
        <v>50</v>
      </c>
      <c r="B43" s="32" t="s">
        <v>233</v>
      </c>
      <c r="C43" s="51" t="str">
        <f>[3]С2.1!E14</f>
        <v>от 200 до 500</v>
      </c>
    </row>
    <row r="44" spans="1:3" ht="25.5" x14ac:dyDescent="0.2">
      <c r="A44" s="21" t="s">
        <v>52</v>
      </c>
      <c r="B44" s="32" t="s">
        <v>234</v>
      </c>
      <c r="C44" s="52" t="str">
        <f>[3]С2.1!E15</f>
        <v>нет</v>
      </c>
    </row>
    <row r="45" spans="1:3" ht="30" x14ac:dyDescent="0.2">
      <c r="A45" s="21" t="s">
        <v>54</v>
      </c>
      <c r="B45" s="32" t="s">
        <v>55</v>
      </c>
      <c r="C45" s="33">
        <f>[3]С2!F18</f>
        <v>32402.627334033532</v>
      </c>
    </row>
    <row r="46" spans="1:3" ht="30" x14ac:dyDescent="0.2">
      <c r="A46" s="21" t="s">
        <v>56</v>
      </c>
      <c r="B46" s="53" t="s">
        <v>57</v>
      </c>
      <c r="C46" s="33">
        <f>IF([3]С2!F19&gt;0,[3]С2!F19,[3]С2!F20)</f>
        <v>23441.524932855718</v>
      </c>
    </row>
    <row r="47" spans="1:3" ht="25.5" x14ac:dyDescent="0.2">
      <c r="A47" s="21" t="s">
        <v>58</v>
      </c>
      <c r="B47" s="54" t="s">
        <v>59</v>
      </c>
      <c r="C47" s="33">
        <f>[3]С2.1!E19</f>
        <v>-37</v>
      </c>
    </row>
    <row r="48" spans="1:3" ht="25.5" x14ac:dyDescent="0.2">
      <c r="A48" s="21" t="s">
        <v>60</v>
      </c>
      <c r="B48" s="54" t="s">
        <v>61</v>
      </c>
      <c r="C48" s="33" t="str">
        <f>[3]С2.1!E22</f>
        <v>нет</v>
      </c>
    </row>
    <row r="49" spans="1:3" ht="38.25" x14ac:dyDescent="0.2">
      <c r="A49" s="21" t="s">
        <v>62</v>
      </c>
      <c r="B49" s="55" t="s">
        <v>63</v>
      </c>
      <c r="C49" s="33">
        <f>[3]С2.2!E10</f>
        <v>1287</v>
      </c>
    </row>
    <row r="50" spans="1:3" ht="25.5" x14ac:dyDescent="0.2">
      <c r="A50" s="21" t="s">
        <v>64</v>
      </c>
      <c r="B50" s="56" t="s">
        <v>65</v>
      </c>
      <c r="C50" s="33">
        <f>[3]С2.2!E12</f>
        <v>5.97</v>
      </c>
    </row>
    <row r="51" spans="1:3" ht="52.5" x14ac:dyDescent="0.2">
      <c r="A51" s="21" t="s">
        <v>66</v>
      </c>
      <c r="B51" s="57" t="s">
        <v>67</v>
      </c>
      <c r="C51" s="33">
        <f>[3]С2.2!E13</f>
        <v>1</v>
      </c>
    </row>
    <row r="52" spans="1:3" ht="27.75" x14ac:dyDescent="0.2">
      <c r="A52" s="21" t="s">
        <v>68</v>
      </c>
      <c r="B52" s="56" t="s">
        <v>69</v>
      </c>
      <c r="C52" s="33">
        <f>[3]С2.2!E14</f>
        <v>12104</v>
      </c>
    </row>
    <row r="53" spans="1:3" ht="25.5" x14ac:dyDescent="0.2">
      <c r="A53" s="21" t="s">
        <v>70</v>
      </c>
      <c r="B53" s="57" t="s">
        <v>71</v>
      </c>
      <c r="C53" s="35">
        <f>[3]С2.2!E15</f>
        <v>4.8000000000000001E-2</v>
      </c>
    </row>
    <row r="54" spans="1:3" x14ac:dyDescent="0.2">
      <c r="A54" s="21" t="s">
        <v>72</v>
      </c>
      <c r="B54" s="57" t="s">
        <v>73</v>
      </c>
      <c r="C54" s="33">
        <f>[3]С2.2!E16</f>
        <v>1</v>
      </c>
    </row>
    <row r="55" spans="1:3" ht="15.75" x14ac:dyDescent="0.2">
      <c r="A55" s="21" t="s">
        <v>74</v>
      </c>
      <c r="B55" s="59" t="s">
        <v>75</v>
      </c>
      <c r="C55" s="33">
        <f>[3]С2!F21</f>
        <v>1</v>
      </c>
    </row>
    <row r="56" spans="1:3" ht="30" x14ac:dyDescent="0.2">
      <c r="A56" s="60" t="s">
        <v>76</v>
      </c>
      <c r="B56" s="32" t="s">
        <v>235</v>
      </c>
      <c r="C56" s="33">
        <f>[3]С2!F13</f>
        <v>169640.22915965237</v>
      </c>
    </row>
    <row r="57" spans="1:3" ht="30" x14ac:dyDescent="0.2">
      <c r="A57" s="60" t="s">
        <v>78</v>
      </c>
      <c r="B57" s="59" t="s">
        <v>236</v>
      </c>
      <c r="C57" s="33">
        <f>[3]С2!F14</f>
        <v>113455</v>
      </c>
    </row>
    <row r="58" spans="1:3" ht="15.75" x14ac:dyDescent="0.2">
      <c r="A58" s="60" t="s">
        <v>80</v>
      </c>
      <c r="B58" s="61" t="s">
        <v>81</v>
      </c>
      <c r="C58" s="41">
        <f>[3]С2!F15</f>
        <v>1.071</v>
      </c>
    </row>
    <row r="59" spans="1:3" ht="15.75" x14ac:dyDescent="0.2">
      <c r="A59" s="60" t="s">
        <v>82</v>
      </c>
      <c r="B59" s="61" t="s">
        <v>83</v>
      </c>
      <c r="C59" s="41">
        <f>[3]С2!F16</f>
        <v>1</v>
      </c>
    </row>
    <row r="60" spans="1:3" ht="17.25" x14ac:dyDescent="0.2">
      <c r="A60" s="60" t="s">
        <v>84</v>
      </c>
      <c r="B60" s="59" t="s">
        <v>85</v>
      </c>
      <c r="C60" s="33">
        <f>[3]С2!F17</f>
        <v>1.01</v>
      </c>
    </row>
    <row r="61" spans="1:3" s="66" customFormat="1" ht="14.25" x14ac:dyDescent="0.2">
      <c r="A61" s="60" t="s">
        <v>86</v>
      </c>
      <c r="B61" s="64" t="s">
        <v>87</v>
      </c>
      <c r="C61" s="65">
        <f>[3]С2!F33</f>
        <v>10</v>
      </c>
    </row>
    <row r="62" spans="1:3" ht="30" x14ac:dyDescent="0.2">
      <c r="A62" s="60" t="s">
        <v>88</v>
      </c>
      <c r="B62" s="67" t="s">
        <v>89</v>
      </c>
      <c r="C62" s="33">
        <f>[3]С2!F26</f>
        <v>1168.8344047018327</v>
      </c>
    </row>
    <row r="63" spans="1:3" ht="17.25" x14ac:dyDescent="0.2">
      <c r="A63" s="60" t="s">
        <v>90</v>
      </c>
      <c r="B63" s="53" t="s">
        <v>237</v>
      </c>
      <c r="C63" s="33">
        <f>[3]С2!F27</f>
        <v>0.201330388</v>
      </c>
    </row>
    <row r="64" spans="1:3" ht="17.25" x14ac:dyDescent="0.2">
      <c r="A64" s="60" t="s">
        <v>92</v>
      </c>
      <c r="B64" s="59" t="s">
        <v>238</v>
      </c>
      <c r="C64" s="65">
        <f>[3]С2!F28</f>
        <v>4200</v>
      </c>
    </row>
    <row r="65" spans="1:3" ht="42.75" x14ac:dyDescent="0.2">
      <c r="A65" s="60" t="s">
        <v>94</v>
      </c>
      <c r="B65" s="32" t="s">
        <v>239</v>
      </c>
      <c r="C65" s="33">
        <f>[3]С2!F22</f>
        <v>35717.748653137714</v>
      </c>
    </row>
    <row r="66" spans="1:3" ht="30" x14ac:dyDescent="0.2">
      <c r="A66" s="60" t="s">
        <v>96</v>
      </c>
      <c r="B66" s="61" t="s">
        <v>240</v>
      </c>
      <c r="C66" s="33">
        <f>[3]С2!F23</f>
        <v>1990</v>
      </c>
    </row>
    <row r="67" spans="1:3" ht="30" x14ac:dyDescent="0.2">
      <c r="A67" s="60" t="s">
        <v>98</v>
      </c>
      <c r="B67" s="53" t="s">
        <v>99</v>
      </c>
      <c r="C67" s="33">
        <f>[3]С2.1!E27</f>
        <v>14307.876789999998</v>
      </c>
    </row>
    <row r="68" spans="1:3" ht="38.25" x14ac:dyDescent="0.2">
      <c r="A68" s="60" t="s">
        <v>100</v>
      </c>
      <c r="B68" s="68" t="s">
        <v>101</v>
      </c>
      <c r="C68" s="52">
        <f>[3]С2.3!E21</f>
        <v>0</v>
      </c>
    </row>
    <row r="69" spans="1:3" ht="25.5" x14ac:dyDescent="0.2">
      <c r="A69" s="60" t="s">
        <v>102</v>
      </c>
      <c r="B69" s="69" t="s">
        <v>103</v>
      </c>
      <c r="C69" s="70">
        <f>[3]С2.3!E11</f>
        <v>9.89</v>
      </c>
    </row>
    <row r="70" spans="1:3" ht="25.5" x14ac:dyDescent="0.2">
      <c r="A70" s="60" t="s">
        <v>104</v>
      </c>
      <c r="B70" s="69" t="s">
        <v>105</v>
      </c>
      <c r="C70" s="65">
        <f>[3]С2.3!E13</f>
        <v>300</v>
      </c>
    </row>
    <row r="71" spans="1:3" ht="25.5" x14ac:dyDescent="0.2">
      <c r="A71" s="60" t="s">
        <v>106</v>
      </c>
      <c r="B71" s="68" t="s">
        <v>107</v>
      </c>
      <c r="C71" s="71">
        <f>IF([3]С2.3!E22&gt;0,[3]С2.3!E22,[3]С2.3!E14)</f>
        <v>61211</v>
      </c>
    </row>
    <row r="72" spans="1:3" ht="38.25" x14ac:dyDescent="0.2">
      <c r="A72" s="60" t="s">
        <v>108</v>
      </c>
      <c r="B72" s="68" t="s">
        <v>109</v>
      </c>
      <c r="C72" s="71">
        <f>IF([3]С2.3!E23&gt;0,[3]С2.3!E23,[3]С2.3!E15)</f>
        <v>45675</v>
      </c>
    </row>
    <row r="73" spans="1:3" ht="30" x14ac:dyDescent="0.2">
      <c r="A73" s="60" t="s">
        <v>110</v>
      </c>
      <c r="B73" s="53" t="s">
        <v>111</v>
      </c>
      <c r="C73" s="33">
        <f>[3]С2.1!E28</f>
        <v>9541.9567200000001</v>
      </c>
    </row>
    <row r="74" spans="1:3" ht="38.25" x14ac:dyDescent="0.2">
      <c r="A74" s="60" t="s">
        <v>112</v>
      </c>
      <c r="B74" s="68" t="s">
        <v>113</v>
      </c>
      <c r="C74" s="52">
        <f>[3]С2.3!E25</f>
        <v>0</v>
      </c>
    </row>
    <row r="75" spans="1:3" ht="25.5" x14ac:dyDescent="0.2">
      <c r="A75" s="60" t="s">
        <v>114</v>
      </c>
      <c r="B75" s="69" t="s">
        <v>115</v>
      </c>
      <c r="C75" s="70">
        <f>[3]С2.3!E12</f>
        <v>0.56000000000000005</v>
      </c>
    </row>
    <row r="76" spans="1:3" ht="25.5" x14ac:dyDescent="0.2">
      <c r="A76" s="60" t="s">
        <v>116</v>
      </c>
      <c r="B76" s="69" t="s">
        <v>105</v>
      </c>
      <c r="C76" s="65">
        <f>[3]С2.3!E13</f>
        <v>300</v>
      </c>
    </row>
    <row r="77" spans="1:3" ht="25.5" x14ac:dyDescent="0.2">
      <c r="A77" s="60" t="s">
        <v>117</v>
      </c>
      <c r="B77" s="72" t="s">
        <v>118</v>
      </c>
      <c r="C77" s="71">
        <f>IF([3]С2.3!E26&gt;0,[3]С2.3!E26,[3]С2.3!E16)</f>
        <v>65637</v>
      </c>
    </row>
    <row r="78" spans="1:3" ht="38.25" x14ac:dyDescent="0.2">
      <c r="A78" s="60" t="s">
        <v>119</v>
      </c>
      <c r="B78" s="72" t="s">
        <v>120</v>
      </c>
      <c r="C78" s="71">
        <f>IF([3]С2.3!E27&gt;0,[3]С2.3!E27,[3]С2.3!E17)</f>
        <v>31684</v>
      </c>
    </row>
    <row r="79" spans="1:3" ht="17.25" x14ac:dyDescent="0.2">
      <c r="A79" s="60" t="s">
        <v>123</v>
      </c>
      <c r="B79" s="32" t="s">
        <v>124</v>
      </c>
      <c r="C79" s="35">
        <f>[3]С2!F29</f>
        <v>0.128978033685065</v>
      </c>
    </row>
    <row r="80" spans="1:3" ht="30" x14ac:dyDescent="0.2">
      <c r="A80" s="60" t="s">
        <v>125</v>
      </c>
      <c r="B80" s="53" t="s">
        <v>126</v>
      </c>
      <c r="C80" s="73">
        <f>[3]С2!F30</f>
        <v>0.11668498168498169</v>
      </c>
    </row>
    <row r="81" spans="1:3" ht="17.25" x14ac:dyDescent="0.2">
      <c r="A81" s="60" t="s">
        <v>127</v>
      </c>
      <c r="B81" s="74" t="s">
        <v>128</v>
      </c>
      <c r="C81" s="35">
        <f>[3]С2!F31</f>
        <v>0.13880000000000001</v>
      </c>
    </row>
    <row r="82" spans="1:3" s="66" customFormat="1" ht="18" thickBot="1" x14ac:dyDescent="0.25">
      <c r="A82" s="75" t="s">
        <v>129</v>
      </c>
      <c r="B82" s="76" t="s">
        <v>130</v>
      </c>
      <c r="C82" s="77">
        <f>[3]С2!F32</f>
        <v>0.12640000000000001</v>
      </c>
    </row>
    <row r="83" spans="1:3" ht="13.5" thickBot="1" x14ac:dyDescent="0.25">
      <c r="A83" s="48"/>
      <c r="B83" s="49"/>
      <c r="C83" s="14"/>
    </row>
    <row r="84" spans="1:3" s="66" customFormat="1" ht="30" customHeight="1" x14ac:dyDescent="0.2">
      <c r="A84" s="78" t="s">
        <v>131</v>
      </c>
      <c r="B84" s="146" t="s">
        <v>132</v>
      </c>
      <c r="C84" s="146"/>
    </row>
    <row r="85" spans="1:3" s="66" customFormat="1" ht="30" x14ac:dyDescent="0.2">
      <c r="A85" s="79" t="s">
        <v>133</v>
      </c>
      <c r="B85" s="32" t="s">
        <v>134</v>
      </c>
      <c r="C85" s="33">
        <f>[3]С3!F14</f>
        <v>7000.4488806189811</v>
      </c>
    </row>
    <row r="86" spans="1:3" s="66" customFormat="1" ht="42.75" x14ac:dyDescent="0.2">
      <c r="A86" s="79" t="s">
        <v>135</v>
      </c>
      <c r="B86" s="53" t="s">
        <v>136</v>
      </c>
      <c r="C86" s="80">
        <f>[3]С3!F15</f>
        <v>0.2</v>
      </c>
    </row>
    <row r="87" spans="1:3" s="66" customFormat="1" ht="14.25" x14ac:dyDescent="0.2">
      <c r="A87" s="79" t="s">
        <v>137</v>
      </c>
      <c r="B87" s="81" t="s">
        <v>138</v>
      </c>
      <c r="C87" s="65">
        <f>[3]С3!F18</f>
        <v>15</v>
      </c>
    </row>
    <row r="88" spans="1:3" s="66" customFormat="1" ht="17.25" x14ac:dyDescent="0.2">
      <c r="A88" s="79" t="s">
        <v>139</v>
      </c>
      <c r="B88" s="32" t="s">
        <v>140</v>
      </c>
      <c r="C88" s="33">
        <f>[3]С3!F19</f>
        <v>3487.1555421534131</v>
      </c>
    </row>
    <row r="89" spans="1:3" s="66" customFormat="1" ht="55.5" x14ac:dyDescent="0.2">
      <c r="A89" s="79" t="s">
        <v>141</v>
      </c>
      <c r="B89" s="53" t="s">
        <v>142</v>
      </c>
      <c r="C89" s="82">
        <f>[3]С3!F20</f>
        <v>2.1999999999999999E-2</v>
      </c>
    </row>
    <row r="90" spans="1:3" s="66" customFormat="1" ht="14.25" x14ac:dyDescent="0.2">
      <c r="A90" s="79" t="s">
        <v>143</v>
      </c>
      <c r="B90" s="59" t="s">
        <v>87</v>
      </c>
      <c r="C90" s="65">
        <f>[3]С3!F21</f>
        <v>10</v>
      </c>
    </row>
    <row r="91" spans="1:3" s="66" customFormat="1" ht="17.25" x14ac:dyDescent="0.2">
      <c r="A91" s="79" t="s">
        <v>144</v>
      </c>
      <c r="B91" s="32" t="s">
        <v>145</v>
      </c>
      <c r="C91" s="33">
        <f>[3]С3!F22</f>
        <v>3.5065032141054981</v>
      </c>
    </row>
    <row r="92" spans="1:3" s="66" customFormat="1" ht="55.5" x14ac:dyDescent="0.2">
      <c r="A92" s="79" t="s">
        <v>146</v>
      </c>
      <c r="B92" s="53" t="s">
        <v>147</v>
      </c>
      <c r="C92" s="82">
        <f>[3]С3!F23</f>
        <v>3.0000000000000001E-3</v>
      </c>
    </row>
    <row r="93" spans="1:3" s="66" customFormat="1" ht="27.75" thickBot="1" x14ac:dyDescent="0.25">
      <c r="A93" s="83" t="s">
        <v>148</v>
      </c>
      <c r="B93" s="84" t="s">
        <v>241</v>
      </c>
      <c r="C93" s="85">
        <f>[3]С3!F24</f>
        <v>1168.8344047018327</v>
      </c>
    </row>
    <row r="94" spans="1:3" ht="13.5" thickBot="1" x14ac:dyDescent="0.25">
      <c r="A94" s="48"/>
      <c r="B94" s="49"/>
      <c r="C94" s="14"/>
    </row>
    <row r="95" spans="1:3" ht="30" customHeight="1" x14ac:dyDescent="0.2">
      <c r="A95" s="86" t="s">
        <v>149</v>
      </c>
      <c r="B95" s="146" t="s">
        <v>150</v>
      </c>
      <c r="C95" s="146"/>
    </row>
    <row r="96" spans="1:3" ht="30" x14ac:dyDescent="0.2">
      <c r="A96" s="60" t="s">
        <v>151</v>
      </c>
      <c r="B96" s="32" t="s">
        <v>242</v>
      </c>
      <c r="C96" s="33">
        <f>[3]С4!F16</f>
        <v>1652.5</v>
      </c>
    </row>
    <row r="97" spans="1:3" ht="30" x14ac:dyDescent="0.2">
      <c r="A97" s="60" t="s">
        <v>153</v>
      </c>
      <c r="B97" s="59" t="s">
        <v>243</v>
      </c>
      <c r="C97" s="33">
        <f>[3]С4!F17</f>
        <v>73547</v>
      </c>
    </row>
    <row r="98" spans="1:3" ht="33" x14ac:dyDescent="0.2">
      <c r="A98" s="60" t="s">
        <v>155</v>
      </c>
      <c r="B98" s="59" t="s">
        <v>156</v>
      </c>
      <c r="C98" s="41">
        <f>[3]С4!F18</f>
        <v>0.02</v>
      </c>
    </row>
    <row r="99" spans="1:3" ht="30" x14ac:dyDescent="0.2">
      <c r="A99" s="60" t="s">
        <v>157</v>
      </c>
      <c r="B99" s="59" t="s">
        <v>158</v>
      </c>
      <c r="C99" s="33">
        <f>[3]С4!F19</f>
        <v>12104</v>
      </c>
    </row>
    <row r="100" spans="1:3" ht="28.5" x14ac:dyDescent="0.2">
      <c r="A100" s="60" t="s">
        <v>159</v>
      </c>
      <c r="B100" s="59" t="s">
        <v>160</v>
      </c>
      <c r="C100" s="41">
        <f>[3]С4!F20</f>
        <v>1.4999999999999999E-2</v>
      </c>
    </row>
    <row r="101" spans="1:3" ht="30" x14ac:dyDescent="0.2">
      <c r="A101" s="60" t="s">
        <v>161</v>
      </c>
      <c r="B101" s="32" t="s">
        <v>244</v>
      </c>
      <c r="C101" s="33">
        <f>[3]С4!F21</f>
        <v>1933.1949342509995</v>
      </c>
    </row>
    <row r="102" spans="1:3" ht="24" customHeight="1" x14ac:dyDescent="0.2">
      <c r="A102" s="60" t="s">
        <v>163</v>
      </c>
      <c r="B102" s="53" t="s">
        <v>164</v>
      </c>
      <c r="C102" s="34">
        <f>IF([3]С4.2!F8="да",[3]С4.2!D21,[3]С4.2!D15)</f>
        <v>0</v>
      </c>
    </row>
    <row r="103" spans="1:3" ht="68.25" x14ac:dyDescent="0.2">
      <c r="A103" s="60" t="s">
        <v>165</v>
      </c>
      <c r="B103" s="53" t="s">
        <v>166</v>
      </c>
      <c r="C103" s="33">
        <f>[3]С4!F22</f>
        <v>3.6112641666666665</v>
      </c>
    </row>
    <row r="104" spans="1:3" ht="30" x14ac:dyDescent="0.2">
      <c r="A104" s="60" t="s">
        <v>167</v>
      </c>
      <c r="B104" s="59" t="s">
        <v>245</v>
      </c>
      <c r="C104" s="33">
        <f>[3]С4!F23</f>
        <v>180</v>
      </c>
    </row>
    <row r="105" spans="1:3" ht="14.25" x14ac:dyDescent="0.2">
      <c r="A105" s="60" t="s">
        <v>169</v>
      </c>
      <c r="B105" s="53" t="s">
        <v>170</v>
      </c>
      <c r="C105" s="33">
        <f>[3]С4!F24</f>
        <v>8497.1999999999989</v>
      </c>
    </row>
    <row r="106" spans="1:3" ht="14.25" x14ac:dyDescent="0.2">
      <c r="A106" s="60" t="s">
        <v>171</v>
      </c>
      <c r="B106" s="59" t="s">
        <v>172</v>
      </c>
      <c r="C106" s="41">
        <f>[3]С4!F25</f>
        <v>0.35</v>
      </c>
    </row>
    <row r="107" spans="1:3" ht="17.25" x14ac:dyDescent="0.2">
      <c r="A107" s="60" t="s">
        <v>173</v>
      </c>
      <c r="B107" s="32" t="s">
        <v>174</v>
      </c>
      <c r="C107" s="33">
        <f>[3]С4!F26</f>
        <v>85.855050000000006</v>
      </c>
    </row>
    <row r="108" spans="1:3" ht="25.5" x14ac:dyDescent="0.2">
      <c r="A108" s="60" t="s">
        <v>175</v>
      </c>
      <c r="B108" s="53" t="s">
        <v>101</v>
      </c>
      <c r="C108" s="34">
        <f>[3]С4.3!E16</f>
        <v>0</v>
      </c>
    </row>
    <row r="109" spans="1:3" ht="25.5" x14ac:dyDescent="0.2">
      <c r="A109" s="60" t="s">
        <v>176</v>
      </c>
      <c r="B109" s="53" t="s">
        <v>177</v>
      </c>
      <c r="C109" s="33">
        <f>[3]С4.3!E17</f>
        <v>21.07</v>
      </c>
    </row>
    <row r="110" spans="1:3" ht="38.25" x14ac:dyDescent="0.2">
      <c r="A110" s="60" t="s">
        <v>178</v>
      </c>
      <c r="B110" s="53" t="s">
        <v>113</v>
      </c>
      <c r="C110" s="34">
        <f>[3]С4.3!E18</f>
        <v>0</v>
      </c>
    </row>
    <row r="111" spans="1:3" x14ac:dyDescent="0.2">
      <c r="A111" s="60" t="s">
        <v>179</v>
      </c>
      <c r="B111" s="53" t="s">
        <v>180</v>
      </c>
      <c r="C111" s="33">
        <f>[3]С4.3!E19</f>
        <v>58.64</v>
      </c>
    </row>
    <row r="112" spans="1:3" x14ac:dyDescent="0.2">
      <c r="A112" s="60" t="s">
        <v>181</v>
      </c>
      <c r="B112" s="59" t="s">
        <v>182</v>
      </c>
      <c r="C112" s="33">
        <f>[3]С4.3!E11</f>
        <v>1871</v>
      </c>
    </row>
    <row r="113" spans="1:3" x14ac:dyDescent="0.2">
      <c r="A113" s="60" t="s">
        <v>183</v>
      </c>
      <c r="B113" s="59" t="s">
        <v>184</v>
      </c>
      <c r="C113" s="52">
        <f>[3]С4.3!E12</f>
        <v>1636</v>
      </c>
    </row>
    <row r="114" spans="1:3" x14ac:dyDescent="0.2">
      <c r="A114" s="60" t="s">
        <v>185</v>
      </c>
      <c r="B114" s="59" t="s">
        <v>186</v>
      </c>
      <c r="C114" s="52">
        <f>[3]С4.3!E13</f>
        <v>204</v>
      </c>
    </row>
    <row r="115" spans="1:3" ht="30" x14ac:dyDescent="0.2">
      <c r="A115" s="60" t="s">
        <v>187</v>
      </c>
      <c r="B115" s="32" t="s">
        <v>246</v>
      </c>
      <c r="C115" s="33">
        <f>[3]С4!F27</f>
        <v>1351.1912129385403</v>
      </c>
    </row>
    <row r="116" spans="1:3" ht="25.5" x14ac:dyDescent="0.2">
      <c r="A116" s="60" t="s">
        <v>189</v>
      </c>
      <c r="B116" s="53" t="s">
        <v>247</v>
      </c>
      <c r="C116" s="33">
        <f>[3]С4!F28</f>
        <v>1037.7812695380494</v>
      </c>
    </row>
    <row r="117" spans="1:3" ht="42.75" x14ac:dyDescent="0.2">
      <c r="A117" s="60" t="s">
        <v>191</v>
      </c>
      <c r="B117" s="53" t="s">
        <v>192</v>
      </c>
      <c r="C117" s="33">
        <f>[3]С4!F29</f>
        <v>313.40994340049093</v>
      </c>
    </row>
    <row r="118" spans="1:3" ht="30" x14ac:dyDescent="0.2">
      <c r="A118" s="60" t="s">
        <v>193</v>
      </c>
      <c r="B118" s="40" t="s">
        <v>194</v>
      </c>
      <c r="C118" s="33">
        <f>[3]С4!F30</f>
        <v>2408.798202640929</v>
      </c>
    </row>
    <row r="119" spans="1:3" ht="42.75" x14ac:dyDescent="0.2">
      <c r="A119" s="60" t="s">
        <v>248</v>
      </c>
      <c r="B119" s="90" t="s">
        <v>249</v>
      </c>
      <c r="C119" s="33">
        <f>[3]С4!F33</f>
        <v>1670.7125714260535</v>
      </c>
    </row>
    <row r="120" spans="1:3" ht="30" x14ac:dyDescent="0.2">
      <c r="A120" s="60" t="s">
        <v>250</v>
      </c>
      <c r="B120" s="123" t="s">
        <v>251</v>
      </c>
      <c r="C120" s="33">
        <f>[3]С4!F35</f>
        <v>17.040680999999999</v>
      </c>
    </row>
    <row r="121" spans="1:3" ht="14.25" x14ac:dyDescent="0.2">
      <c r="A121" s="60" t="s">
        <v>252</v>
      </c>
      <c r="B121" s="56" t="s">
        <v>253</v>
      </c>
      <c r="C121" s="33">
        <f>[3]С4!F36</f>
        <v>14319.9</v>
      </c>
    </row>
    <row r="122" spans="1:3" ht="28.5" thickBot="1" x14ac:dyDescent="0.25">
      <c r="A122" s="75" t="s">
        <v>254</v>
      </c>
      <c r="B122" s="124" t="s">
        <v>255</v>
      </c>
      <c r="C122" s="85">
        <f>[3]С4!F37</f>
        <v>1.19</v>
      </c>
    </row>
    <row r="123" spans="1:3" s="88" customFormat="1" ht="13.5" thickBot="1" x14ac:dyDescent="0.25">
      <c r="A123" s="48"/>
      <c r="B123" s="49"/>
      <c r="C123" s="14"/>
    </row>
    <row r="124" spans="1:3" s="66" customFormat="1" ht="30" customHeight="1" x14ac:dyDescent="0.2">
      <c r="A124" s="78" t="s">
        <v>195</v>
      </c>
      <c r="B124" s="146" t="s">
        <v>196</v>
      </c>
      <c r="C124" s="146"/>
    </row>
    <row r="125" spans="1:3" ht="16.5" thickBot="1" x14ac:dyDescent="0.25">
      <c r="A125" s="26" t="s">
        <v>197</v>
      </c>
      <c r="B125" s="87" t="s">
        <v>198</v>
      </c>
      <c r="C125" s="85">
        <f>[3]С5!F17</f>
        <v>0.02</v>
      </c>
    </row>
    <row r="126" spans="1:3" s="88" customFormat="1" ht="13.5" thickBot="1" x14ac:dyDescent="0.25">
      <c r="A126" s="48"/>
      <c r="B126" s="49"/>
      <c r="C126" s="14"/>
    </row>
    <row r="127" spans="1:3" ht="42.75" customHeight="1" x14ac:dyDescent="0.2">
      <c r="A127" s="86" t="s">
        <v>199</v>
      </c>
      <c r="B127" s="148" t="s">
        <v>200</v>
      </c>
      <c r="C127" s="148"/>
    </row>
    <row r="128" spans="1:3" ht="68.25" x14ac:dyDescent="0.2">
      <c r="A128" s="60" t="s">
        <v>201</v>
      </c>
      <c r="B128" s="89" t="s">
        <v>202</v>
      </c>
      <c r="C128" s="33" t="s">
        <v>256</v>
      </c>
    </row>
    <row r="129" spans="1:4" ht="42.75" hidden="1" x14ac:dyDescent="0.2">
      <c r="A129" s="60" t="s">
        <v>203</v>
      </c>
      <c r="B129" s="90" t="s">
        <v>204</v>
      </c>
      <c r="C129" s="91"/>
    </row>
    <row r="130" spans="1:4" ht="69" thickBot="1" x14ac:dyDescent="0.25">
      <c r="A130" s="75" t="s">
        <v>205</v>
      </c>
      <c r="B130" s="125" t="s">
        <v>206</v>
      </c>
      <c r="C130" s="126" t="s">
        <v>256</v>
      </c>
    </row>
    <row r="131" spans="1:4" ht="62.25" hidden="1" customHeight="1" x14ac:dyDescent="0.2">
      <c r="A131" s="127" t="s">
        <v>207</v>
      </c>
      <c r="B131" s="128" t="s">
        <v>208</v>
      </c>
      <c r="C131" s="129"/>
    </row>
    <row r="132" spans="1:4" ht="68.25" hidden="1" x14ac:dyDescent="0.2">
      <c r="A132" s="60" t="s">
        <v>209</v>
      </c>
      <c r="B132" s="90" t="s">
        <v>257</v>
      </c>
      <c r="C132" s="35"/>
    </row>
    <row r="133" spans="1:4" ht="69" hidden="1" thickBot="1" x14ac:dyDescent="0.25">
      <c r="A133" s="75" t="s">
        <v>211</v>
      </c>
      <c r="B133" s="93" t="s">
        <v>212</v>
      </c>
      <c r="C133" s="77"/>
    </row>
    <row r="134" spans="1:4" s="88" customFormat="1" ht="13.5" thickBot="1" x14ac:dyDescent="0.25">
      <c r="A134" s="48"/>
      <c r="B134" s="49"/>
      <c r="C134" s="14"/>
    </row>
    <row r="135" spans="1:4" ht="26.25" customHeight="1" x14ac:dyDescent="0.2">
      <c r="A135" s="86" t="s">
        <v>213</v>
      </c>
      <c r="B135" s="94" t="s">
        <v>214</v>
      </c>
      <c r="C135" s="95">
        <f>[3]С2!F37</f>
        <v>20.818139999999996</v>
      </c>
    </row>
    <row r="136" spans="1:4" ht="14.25" x14ac:dyDescent="0.2">
      <c r="A136" s="60" t="s">
        <v>215</v>
      </c>
      <c r="B136" s="130" t="s">
        <v>216</v>
      </c>
      <c r="C136" s="33">
        <f>[3]С2!F38</f>
        <v>7</v>
      </c>
    </row>
    <row r="137" spans="1:4" ht="17.25" x14ac:dyDescent="0.2">
      <c r="A137" s="60" t="s">
        <v>217</v>
      </c>
      <c r="B137" s="130" t="s">
        <v>218</v>
      </c>
      <c r="C137" s="33">
        <f>[3]С2!F40</f>
        <v>0.97</v>
      </c>
    </row>
    <row r="138" spans="1:4" ht="15" thickBot="1" x14ac:dyDescent="0.25">
      <c r="A138" s="75" t="s">
        <v>219</v>
      </c>
      <c r="B138" s="131" t="s">
        <v>220</v>
      </c>
      <c r="C138" s="47">
        <f>[3]С2!F42</f>
        <v>0.35</v>
      </c>
    </row>
    <row r="139" spans="1:4" s="88" customFormat="1" ht="13.5" thickBot="1" x14ac:dyDescent="0.25">
      <c r="A139" s="48"/>
      <c r="B139" s="49"/>
      <c r="C139" s="14"/>
    </row>
    <row r="140" spans="1:4" ht="30" x14ac:dyDescent="0.2">
      <c r="A140" s="86" t="s">
        <v>221</v>
      </c>
      <c r="B140" s="96" t="s">
        <v>258</v>
      </c>
      <c r="C140" s="132">
        <f>[3]С2!F35</f>
        <v>1.3822747209000001</v>
      </c>
      <c r="D140" s="88"/>
    </row>
    <row r="141" spans="1:4" ht="22.7" customHeight="1" thickBot="1" x14ac:dyDescent="0.25">
      <c r="A141" s="75" t="s">
        <v>223</v>
      </c>
      <c r="B141" s="145" t="s">
        <v>224</v>
      </c>
      <c r="C141" s="145"/>
      <c r="D141" s="88"/>
    </row>
    <row r="142" spans="1:4" ht="13.5" thickBot="1" x14ac:dyDescent="0.25">
      <c r="A142" s="99"/>
      <c r="B142" s="133" t="s">
        <v>0</v>
      </c>
      <c r="C142" s="134"/>
      <c r="D142" s="88"/>
    </row>
    <row r="143" spans="1:4" x14ac:dyDescent="0.2">
      <c r="A143" s="99"/>
      <c r="B143" s="135">
        <v>2020</v>
      </c>
      <c r="C143" s="136">
        <f>[3]С2.5!$E$11</f>
        <v>-2.9000000000000026E-2</v>
      </c>
      <c r="D143" s="88"/>
    </row>
    <row r="144" spans="1:4" x14ac:dyDescent="0.2">
      <c r="A144" s="99"/>
      <c r="B144" s="106">
        <f>B143+1</f>
        <v>2021</v>
      </c>
      <c r="C144" s="137">
        <f>[3]С2.5!$F$11</f>
        <v>0.245</v>
      </c>
      <c r="D144" s="88"/>
    </row>
    <row r="145" spans="1:4" x14ac:dyDescent="0.2">
      <c r="A145" s="99"/>
      <c r="B145" s="106">
        <f t="shared" ref="B145:B208" si="0">B144+1</f>
        <v>2022</v>
      </c>
      <c r="C145" s="137">
        <f>[3]С2.5!$G$11</f>
        <v>0.121</v>
      </c>
      <c r="D145" s="88"/>
    </row>
    <row r="146" spans="1:4" ht="13.5" thickBot="1" x14ac:dyDescent="0.25">
      <c r="A146" s="99"/>
      <c r="B146" s="108">
        <f t="shared" si="0"/>
        <v>2023</v>
      </c>
      <c r="C146" s="138">
        <f>[3]С2.5!$H$11</f>
        <v>0.02</v>
      </c>
      <c r="D146" s="88"/>
    </row>
    <row r="147" spans="1:4" hidden="1" x14ac:dyDescent="0.2">
      <c r="A147" s="99"/>
      <c r="B147" s="139">
        <f t="shared" si="0"/>
        <v>2024</v>
      </c>
      <c r="C147" s="140">
        <f>[3]С2.5!$I$11</f>
        <v>-2.93E-2</v>
      </c>
      <c r="D147" s="88"/>
    </row>
    <row r="148" spans="1:4" hidden="1" x14ac:dyDescent="0.2">
      <c r="A148" s="99"/>
      <c r="B148" s="106">
        <f t="shared" si="0"/>
        <v>2025</v>
      </c>
      <c r="C148" s="137">
        <f>[3]С2.5!$J$11</f>
        <v>0.21215960863291</v>
      </c>
      <c r="D148" s="88"/>
    </row>
    <row r="149" spans="1:4" hidden="1" x14ac:dyDescent="0.2">
      <c r="A149" s="99"/>
      <c r="B149" s="106">
        <f t="shared" si="0"/>
        <v>2026</v>
      </c>
      <c r="C149" s="137">
        <f>[3]С2.5!$K$11</f>
        <v>3.5813361771260002E-2</v>
      </c>
      <c r="D149" s="88"/>
    </row>
    <row r="150" spans="1:4" hidden="1" x14ac:dyDescent="0.2">
      <c r="A150" s="99"/>
      <c r="B150" s="106">
        <f t="shared" si="0"/>
        <v>2027</v>
      </c>
      <c r="C150" s="137">
        <f>[3]С2.5!$L$11</f>
        <v>3.2682303599220003E-2</v>
      </c>
      <c r="D150" s="88"/>
    </row>
    <row r="151" spans="1:4" hidden="1" x14ac:dyDescent="0.2">
      <c r="A151" s="99"/>
      <c r="B151" s="106">
        <f t="shared" si="0"/>
        <v>2028</v>
      </c>
      <c r="C151" s="137">
        <f>[3]С2.5!$M$11</f>
        <v>0</v>
      </c>
      <c r="D151" s="88"/>
    </row>
    <row r="152" spans="1:4" hidden="1" x14ac:dyDescent="0.2">
      <c r="A152" s="99"/>
      <c r="B152" s="106">
        <f t="shared" si="0"/>
        <v>2029</v>
      </c>
      <c r="C152" s="137">
        <f>[3]С2.5!$N$11</f>
        <v>0</v>
      </c>
      <c r="D152" s="88"/>
    </row>
    <row r="153" spans="1:4" hidden="1" x14ac:dyDescent="0.2">
      <c r="A153" s="99"/>
      <c r="B153" s="106">
        <f t="shared" si="0"/>
        <v>2030</v>
      </c>
      <c r="C153" s="137">
        <f>[3]С2.5!$O$11</f>
        <v>0</v>
      </c>
      <c r="D153" s="88"/>
    </row>
    <row r="154" spans="1:4" hidden="1" x14ac:dyDescent="0.2">
      <c r="A154" s="99"/>
      <c r="B154" s="106">
        <f t="shared" si="0"/>
        <v>2031</v>
      </c>
      <c r="C154" s="137">
        <f>[3]С2.5!$P$11</f>
        <v>0</v>
      </c>
      <c r="D154" s="88"/>
    </row>
    <row r="155" spans="1:4" hidden="1" x14ac:dyDescent="0.2">
      <c r="A155" s="88"/>
      <c r="B155" s="106">
        <f t="shared" si="0"/>
        <v>2032</v>
      </c>
      <c r="C155" s="137">
        <f>[3]С2.5!$Q$11</f>
        <v>0</v>
      </c>
      <c r="D155" s="88"/>
    </row>
    <row r="156" spans="1:4" hidden="1" x14ac:dyDescent="0.2">
      <c r="A156" s="88"/>
      <c r="B156" s="106">
        <f t="shared" si="0"/>
        <v>2033</v>
      </c>
      <c r="C156" s="137">
        <f>[3]С2.5!$R$11</f>
        <v>0</v>
      </c>
      <c r="D156" s="88"/>
    </row>
    <row r="157" spans="1:4" hidden="1" x14ac:dyDescent="0.2">
      <c r="B157" s="106">
        <f t="shared" si="0"/>
        <v>2034</v>
      </c>
      <c r="C157" s="137">
        <f>[3]С2.5!$S$11</f>
        <v>0</v>
      </c>
    </row>
    <row r="158" spans="1:4" hidden="1" x14ac:dyDescent="0.2">
      <c r="B158" s="106">
        <f t="shared" si="0"/>
        <v>2035</v>
      </c>
      <c r="C158" s="137">
        <f>[3]С2.5!$T$11</f>
        <v>0</v>
      </c>
    </row>
    <row r="159" spans="1:4" hidden="1" x14ac:dyDescent="0.2">
      <c r="B159" s="106">
        <f t="shared" si="0"/>
        <v>2036</v>
      </c>
      <c r="C159" s="137">
        <f>[3]С2.5!$U$11</f>
        <v>0</v>
      </c>
    </row>
    <row r="160" spans="1:4" hidden="1" x14ac:dyDescent="0.2">
      <c r="B160" s="106">
        <f t="shared" si="0"/>
        <v>2037</v>
      </c>
      <c r="C160" s="137">
        <f>[3]С2.5!$V$11</f>
        <v>0</v>
      </c>
    </row>
    <row r="161" spans="2:3" hidden="1" x14ac:dyDescent="0.2">
      <c r="B161" s="106">
        <f t="shared" si="0"/>
        <v>2038</v>
      </c>
      <c r="C161" s="137">
        <f>[3]С2.5!$W$11</f>
        <v>0</v>
      </c>
    </row>
    <row r="162" spans="2:3" hidden="1" x14ac:dyDescent="0.2">
      <c r="B162" s="106">
        <f t="shared" si="0"/>
        <v>2039</v>
      </c>
      <c r="C162" s="137">
        <f>[3]С2.5!$X$11</f>
        <v>0</v>
      </c>
    </row>
    <row r="163" spans="2:3" hidden="1" x14ac:dyDescent="0.2">
      <c r="B163" s="106">
        <f t="shared" si="0"/>
        <v>2040</v>
      </c>
      <c r="C163" s="137">
        <f>[3]С2.5!$Y$11</f>
        <v>0</v>
      </c>
    </row>
    <row r="164" spans="2:3" hidden="1" x14ac:dyDescent="0.2">
      <c r="B164" s="106">
        <f t="shared" si="0"/>
        <v>2041</v>
      </c>
      <c r="C164" s="137">
        <f>[3]С2.5!$Z$11</f>
        <v>0</v>
      </c>
    </row>
    <row r="165" spans="2:3" hidden="1" x14ac:dyDescent="0.2">
      <c r="B165" s="106">
        <f t="shared" si="0"/>
        <v>2042</v>
      </c>
      <c r="C165" s="137">
        <f>[3]С2.5!$AA$11</f>
        <v>0</v>
      </c>
    </row>
    <row r="166" spans="2:3" hidden="1" x14ac:dyDescent="0.2">
      <c r="B166" s="106">
        <f t="shared" si="0"/>
        <v>2043</v>
      </c>
      <c r="C166" s="137">
        <f>[3]С2.5!$AB$11</f>
        <v>0</v>
      </c>
    </row>
    <row r="167" spans="2:3" hidden="1" x14ac:dyDescent="0.2">
      <c r="B167" s="106">
        <f t="shared" si="0"/>
        <v>2044</v>
      </c>
      <c r="C167" s="137">
        <f>[3]С2.5!$AC$11</f>
        <v>0</v>
      </c>
    </row>
    <row r="168" spans="2:3" hidden="1" x14ac:dyDescent="0.2">
      <c r="B168" s="106">
        <f t="shared" si="0"/>
        <v>2045</v>
      </c>
      <c r="C168" s="137">
        <f>[3]С2.5!$AD$11</f>
        <v>0</v>
      </c>
    </row>
    <row r="169" spans="2:3" hidden="1" x14ac:dyDescent="0.2">
      <c r="B169" s="106">
        <f t="shared" si="0"/>
        <v>2046</v>
      </c>
      <c r="C169" s="137">
        <f>[3]С2.5!$AE$11</f>
        <v>0</v>
      </c>
    </row>
    <row r="170" spans="2:3" hidden="1" x14ac:dyDescent="0.2">
      <c r="B170" s="106">
        <f t="shared" si="0"/>
        <v>2047</v>
      </c>
      <c r="C170" s="137">
        <f>[3]С2.5!$AF$11</f>
        <v>0</v>
      </c>
    </row>
    <row r="171" spans="2:3" hidden="1" x14ac:dyDescent="0.2">
      <c r="B171" s="106">
        <f t="shared" si="0"/>
        <v>2048</v>
      </c>
      <c r="C171" s="137">
        <f>[3]С2.5!$AG$11</f>
        <v>0</v>
      </c>
    </row>
    <row r="172" spans="2:3" hidden="1" x14ac:dyDescent="0.2">
      <c r="B172" s="106">
        <f t="shared" si="0"/>
        <v>2049</v>
      </c>
      <c r="C172" s="137">
        <f>[3]С2.5!$AH$11</f>
        <v>0</v>
      </c>
    </row>
    <row r="173" spans="2:3" hidden="1" x14ac:dyDescent="0.2">
      <c r="B173" s="106">
        <f t="shared" si="0"/>
        <v>2050</v>
      </c>
      <c r="C173" s="137">
        <f>[3]С2.5!$AI$11</f>
        <v>0</v>
      </c>
    </row>
    <row r="174" spans="2:3" hidden="1" x14ac:dyDescent="0.2">
      <c r="B174" s="106">
        <f t="shared" si="0"/>
        <v>2051</v>
      </c>
      <c r="C174" s="137">
        <f>[3]С2.5!$AJ$11</f>
        <v>0</v>
      </c>
    </row>
    <row r="175" spans="2:3" hidden="1" x14ac:dyDescent="0.2">
      <c r="B175" s="106">
        <f t="shared" si="0"/>
        <v>2052</v>
      </c>
      <c r="C175" s="137">
        <f>[3]С2.5!$AK$11</f>
        <v>0</v>
      </c>
    </row>
    <row r="176" spans="2:3" hidden="1" x14ac:dyDescent="0.2">
      <c r="B176" s="106">
        <f t="shared" si="0"/>
        <v>2053</v>
      </c>
      <c r="C176" s="137">
        <f>[3]С2.5!$AL$11</f>
        <v>0</v>
      </c>
    </row>
    <row r="177" spans="2:3" hidden="1" x14ac:dyDescent="0.2">
      <c r="B177" s="106">
        <f t="shared" si="0"/>
        <v>2054</v>
      </c>
      <c r="C177" s="137">
        <f>[3]С2.5!$AM$11</f>
        <v>0</v>
      </c>
    </row>
    <row r="178" spans="2:3" hidden="1" x14ac:dyDescent="0.2">
      <c r="B178" s="106">
        <f t="shared" si="0"/>
        <v>2055</v>
      </c>
      <c r="C178" s="137">
        <f>[3]С2.5!$AN$11</f>
        <v>0</v>
      </c>
    </row>
    <row r="179" spans="2:3" hidden="1" x14ac:dyDescent="0.2">
      <c r="B179" s="106">
        <f t="shared" si="0"/>
        <v>2056</v>
      </c>
      <c r="C179" s="137">
        <f>[3]С2.5!$AO$11</f>
        <v>0</v>
      </c>
    </row>
    <row r="180" spans="2:3" hidden="1" x14ac:dyDescent="0.2">
      <c r="B180" s="106">
        <f t="shared" si="0"/>
        <v>2057</v>
      </c>
      <c r="C180" s="137">
        <f>[3]С2.5!$AP$11</f>
        <v>0</v>
      </c>
    </row>
    <row r="181" spans="2:3" hidden="1" x14ac:dyDescent="0.2">
      <c r="B181" s="106">
        <f t="shared" si="0"/>
        <v>2058</v>
      </c>
      <c r="C181" s="137">
        <f>[3]С2.5!$AQ$11</f>
        <v>0</v>
      </c>
    </row>
    <row r="182" spans="2:3" hidden="1" x14ac:dyDescent="0.2">
      <c r="B182" s="106">
        <f t="shared" si="0"/>
        <v>2059</v>
      </c>
      <c r="C182" s="137">
        <f>[3]С2.5!$AR$11</f>
        <v>0</v>
      </c>
    </row>
    <row r="183" spans="2:3" hidden="1" x14ac:dyDescent="0.2">
      <c r="B183" s="106">
        <f t="shared" si="0"/>
        <v>2060</v>
      </c>
      <c r="C183" s="137">
        <f>[3]С2.5!$AS$11</f>
        <v>0</v>
      </c>
    </row>
    <row r="184" spans="2:3" hidden="1" x14ac:dyDescent="0.2">
      <c r="B184" s="106">
        <f t="shared" si="0"/>
        <v>2061</v>
      </c>
      <c r="C184" s="137">
        <f>[3]С2.5!$AT$11</f>
        <v>0</v>
      </c>
    </row>
    <row r="185" spans="2:3" hidden="1" x14ac:dyDescent="0.2">
      <c r="B185" s="106">
        <f t="shared" si="0"/>
        <v>2062</v>
      </c>
      <c r="C185" s="137">
        <f>[3]С2.5!$AU$11</f>
        <v>0</v>
      </c>
    </row>
    <row r="186" spans="2:3" hidden="1" x14ac:dyDescent="0.2">
      <c r="B186" s="106">
        <f t="shared" si="0"/>
        <v>2063</v>
      </c>
      <c r="C186" s="137">
        <f>[3]С2.5!$AV$11</f>
        <v>0</v>
      </c>
    </row>
    <row r="187" spans="2:3" hidden="1" x14ac:dyDescent="0.2">
      <c r="B187" s="106">
        <f t="shared" si="0"/>
        <v>2064</v>
      </c>
      <c r="C187" s="137">
        <f>[3]С2.5!$AW$11</f>
        <v>0</v>
      </c>
    </row>
    <row r="188" spans="2:3" hidden="1" x14ac:dyDescent="0.2">
      <c r="B188" s="106">
        <f t="shared" si="0"/>
        <v>2065</v>
      </c>
      <c r="C188" s="137">
        <f>[3]С2.5!$AX$11</f>
        <v>0</v>
      </c>
    </row>
    <row r="189" spans="2:3" hidden="1" x14ac:dyDescent="0.2">
      <c r="B189" s="106">
        <f t="shared" si="0"/>
        <v>2066</v>
      </c>
      <c r="C189" s="137">
        <f>[3]С2.5!$AY$11</f>
        <v>0</v>
      </c>
    </row>
    <row r="190" spans="2:3" hidden="1" x14ac:dyDescent="0.2">
      <c r="B190" s="106">
        <f t="shared" si="0"/>
        <v>2067</v>
      </c>
      <c r="C190" s="137">
        <f>[3]С2.5!$AZ$11</f>
        <v>0</v>
      </c>
    </row>
    <row r="191" spans="2:3" hidden="1" x14ac:dyDescent="0.2">
      <c r="B191" s="106">
        <f t="shared" si="0"/>
        <v>2068</v>
      </c>
      <c r="C191" s="137">
        <f>[3]С2.5!$BA$11</f>
        <v>0</v>
      </c>
    </row>
    <row r="192" spans="2:3" hidden="1" x14ac:dyDescent="0.2">
      <c r="B192" s="106">
        <f t="shared" si="0"/>
        <v>2069</v>
      </c>
      <c r="C192" s="137">
        <f>[3]С2.5!$BB$11</f>
        <v>0</v>
      </c>
    </row>
    <row r="193" spans="2:3" hidden="1" x14ac:dyDescent="0.2">
      <c r="B193" s="106">
        <f t="shared" si="0"/>
        <v>2070</v>
      </c>
      <c r="C193" s="137">
        <f>[3]С2.5!$BC$11</f>
        <v>0</v>
      </c>
    </row>
    <row r="194" spans="2:3" hidden="1" x14ac:dyDescent="0.2">
      <c r="B194" s="106">
        <f t="shared" si="0"/>
        <v>2071</v>
      </c>
      <c r="C194" s="137">
        <f>[3]С2.5!$BD$11</f>
        <v>0</v>
      </c>
    </row>
    <row r="195" spans="2:3" hidden="1" x14ac:dyDescent="0.2">
      <c r="B195" s="106">
        <f t="shared" si="0"/>
        <v>2072</v>
      </c>
      <c r="C195" s="137">
        <f>[3]С2.5!$BE$11</f>
        <v>0</v>
      </c>
    </row>
    <row r="196" spans="2:3" hidden="1" x14ac:dyDescent="0.2">
      <c r="B196" s="106">
        <f t="shared" si="0"/>
        <v>2073</v>
      </c>
      <c r="C196" s="137">
        <f>[3]С2.5!$BF$11</f>
        <v>0</v>
      </c>
    </row>
    <row r="197" spans="2:3" hidden="1" x14ac:dyDescent="0.2">
      <c r="B197" s="106">
        <f t="shared" si="0"/>
        <v>2074</v>
      </c>
      <c r="C197" s="137">
        <f>[3]С2.5!$BG$11</f>
        <v>0</v>
      </c>
    </row>
    <row r="198" spans="2:3" hidden="1" x14ac:dyDescent="0.2">
      <c r="B198" s="106">
        <f t="shared" si="0"/>
        <v>2075</v>
      </c>
      <c r="C198" s="137">
        <f>[3]С2.5!$BH$11</f>
        <v>0</v>
      </c>
    </row>
    <row r="199" spans="2:3" hidden="1" x14ac:dyDescent="0.2">
      <c r="B199" s="106">
        <f t="shared" si="0"/>
        <v>2076</v>
      </c>
      <c r="C199" s="137">
        <f>[3]С2.5!$BI$11</f>
        <v>0</v>
      </c>
    </row>
    <row r="200" spans="2:3" hidden="1" x14ac:dyDescent="0.2">
      <c r="B200" s="106">
        <f t="shared" si="0"/>
        <v>2077</v>
      </c>
      <c r="C200" s="137">
        <f>[3]С2.5!$BJ$11</f>
        <v>0</v>
      </c>
    </row>
    <row r="201" spans="2:3" hidden="1" x14ac:dyDescent="0.2">
      <c r="B201" s="106">
        <f t="shared" si="0"/>
        <v>2078</v>
      </c>
      <c r="C201" s="137">
        <f>[3]С2.5!$BK$11</f>
        <v>0</v>
      </c>
    </row>
    <row r="202" spans="2:3" hidden="1" x14ac:dyDescent="0.2">
      <c r="B202" s="106">
        <f t="shared" si="0"/>
        <v>2079</v>
      </c>
      <c r="C202" s="137">
        <f>[3]С2.5!$BL$11</f>
        <v>0</v>
      </c>
    </row>
    <row r="203" spans="2:3" hidden="1" x14ac:dyDescent="0.2">
      <c r="B203" s="106">
        <f t="shared" si="0"/>
        <v>2080</v>
      </c>
      <c r="C203" s="137">
        <f>[3]С2.5!$BM$11</f>
        <v>0</v>
      </c>
    </row>
    <row r="204" spans="2:3" hidden="1" x14ac:dyDescent="0.2">
      <c r="B204" s="106">
        <f t="shared" si="0"/>
        <v>2081</v>
      </c>
      <c r="C204" s="137">
        <f>[3]С2.5!$BN$11</f>
        <v>0</v>
      </c>
    </row>
    <row r="205" spans="2:3" hidden="1" x14ac:dyDescent="0.2">
      <c r="B205" s="106">
        <f t="shared" si="0"/>
        <v>2082</v>
      </c>
      <c r="C205" s="137">
        <f>[3]С2.5!$BO$11</f>
        <v>0</v>
      </c>
    </row>
    <row r="206" spans="2:3" hidden="1" x14ac:dyDescent="0.2">
      <c r="B206" s="106">
        <f t="shared" si="0"/>
        <v>2083</v>
      </c>
      <c r="C206" s="137">
        <f>[3]С2.5!$BP$11</f>
        <v>0</v>
      </c>
    </row>
    <row r="207" spans="2:3" hidden="1" x14ac:dyDescent="0.2">
      <c r="B207" s="106">
        <f t="shared" si="0"/>
        <v>2084</v>
      </c>
      <c r="C207" s="137">
        <f>[3]С2.5!$BQ$11</f>
        <v>0</v>
      </c>
    </row>
    <row r="208" spans="2:3" hidden="1" x14ac:dyDescent="0.2">
      <c r="B208" s="106">
        <f t="shared" si="0"/>
        <v>2085</v>
      </c>
      <c r="C208" s="137">
        <f>[3]С2.5!$BR$11</f>
        <v>0</v>
      </c>
    </row>
    <row r="209" spans="2:3" hidden="1" x14ac:dyDescent="0.2">
      <c r="B209" s="106">
        <f t="shared" ref="B209:B223" si="1">B208+1</f>
        <v>2086</v>
      </c>
      <c r="C209" s="137">
        <f>[3]С2.5!$BS$11</f>
        <v>0</v>
      </c>
    </row>
    <row r="210" spans="2:3" hidden="1" x14ac:dyDescent="0.2">
      <c r="B210" s="106">
        <f t="shared" si="1"/>
        <v>2087</v>
      </c>
      <c r="C210" s="137">
        <f>[3]С2.5!$BT$11</f>
        <v>0</v>
      </c>
    </row>
    <row r="211" spans="2:3" hidden="1" x14ac:dyDescent="0.2">
      <c r="B211" s="106">
        <f t="shared" si="1"/>
        <v>2088</v>
      </c>
      <c r="C211" s="137">
        <f>[3]С2.5!$BU$11</f>
        <v>0</v>
      </c>
    </row>
    <row r="212" spans="2:3" hidden="1" x14ac:dyDescent="0.2">
      <c r="B212" s="106">
        <f t="shared" si="1"/>
        <v>2089</v>
      </c>
      <c r="C212" s="137">
        <f>[3]С2.5!$BV$11</f>
        <v>0</v>
      </c>
    </row>
    <row r="213" spans="2:3" hidden="1" x14ac:dyDescent="0.2">
      <c r="B213" s="106">
        <f t="shared" si="1"/>
        <v>2090</v>
      </c>
      <c r="C213" s="137">
        <f>[3]С2.5!$BW$11</f>
        <v>0</v>
      </c>
    </row>
    <row r="214" spans="2:3" hidden="1" x14ac:dyDescent="0.2">
      <c r="B214" s="106">
        <f t="shared" si="1"/>
        <v>2091</v>
      </c>
      <c r="C214" s="137">
        <f>[3]С2.5!$BX$11</f>
        <v>0</v>
      </c>
    </row>
    <row r="215" spans="2:3" hidden="1" x14ac:dyDescent="0.2">
      <c r="B215" s="106">
        <f t="shared" si="1"/>
        <v>2092</v>
      </c>
      <c r="C215" s="137">
        <f>[3]С2.5!$BY$11</f>
        <v>0</v>
      </c>
    </row>
    <row r="216" spans="2:3" hidden="1" x14ac:dyDescent="0.2">
      <c r="B216" s="106">
        <f t="shared" si="1"/>
        <v>2093</v>
      </c>
      <c r="C216" s="137">
        <f>[3]С2.5!$BZ$11</f>
        <v>0</v>
      </c>
    </row>
    <row r="217" spans="2:3" hidden="1" x14ac:dyDescent="0.2">
      <c r="B217" s="106">
        <f t="shared" si="1"/>
        <v>2094</v>
      </c>
      <c r="C217" s="137">
        <f>[3]С2.5!$CA$11</f>
        <v>0</v>
      </c>
    </row>
    <row r="218" spans="2:3" hidden="1" x14ac:dyDescent="0.2">
      <c r="B218" s="106">
        <f t="shared" si="1"/>
        <v>2095</v>
      </c>
      <c r="C218" s="137">
        <f>[3]С2.5!$CB$11</f>
        <v>0</v>
      </c>
    </row>
    <row r="219" spans="2:3" hidden="1" x14ac:dyDescent="0.2">
      <c r="B219" s="106">
        <f t="shared" si="1"/>
        <v>2096</v>
      </c>
      <c r="C219" s="137">
        <f>[3]С2.5!$CC$11</f>
        <v>0</v>
      </c>
    </row>
    <row r="220" spans="2:3" hidden="1" x14ac:dyDescent="0.2">
      <c r="B220" s="106">
        <f t="shared" si="1"/>
        <v>2097</v>
      </c>
      <c r="C220" s="137">
        <f>[3]С2.5!$CD$11</f>
        <v>0</v>
      </c>
    </row>
    <row r="221" spans="2:3" hidden="1" x14ac:dyDescent="0.2">
      <c r="B221" s="106">
        <f t="shared" si="1"/>
        <v>2098</v>
      </c>
      <c r="C221" s="137">
        <f>[3]С2.5!$CE$11</f>
        <v>0</v>
      </c>
    </row>
    <row r="222" spans="2:3" hidden="1" x14ac:dyDescent="0.2">
      <c r="B222" s="106">
        <f t="shared" si="1"/>
        <v>2099</v>
      </c>
      <c r="C222" s="137">
        <f>[3]С2.5!$CF$11</f>
        <v>0</v>
      </c>
    </row>
    <row r="223" spans="2:3" ht="13.5" hidden="1" thickBot="1" x14ac:dyDescent="0.25">
      <c r="B223" s="108">
        <f t="shared" si="1"/>
        <v>2100</v>
      </c>
      <c r="C223" s="138">
        <f>[3]С2.5!$CG$11</f>
        <v>0</v>
      </c>
    </row>
    <row r="224" spans="2:3" hidden="1" x14ac:dyDescent="0.2">
      <c r="C224" s="141"/>
    </row>
    <row r="225" spans="3:3" hidden="1" x14ac:dyDescent="0.2">
      <c r="C225" s="141"/>
    </row>
    <row r="226" spans="3:3" x14ac:dyDescent="0.2">
      <c r="C226" s="141"/>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2049" r:id="rId4" name="Button 1">
              <controlPr defaultSize="0" print="0" autoFill="0" autoPict="0" macro="[3]!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mc:AlternateContent xmlns:mc="http://schemas.openxmlformats.org/markup-compatibility/2006">
          <mc:Choice Requires="x14">
            <control shapeId="2050" r:id="rId5" name="Button 2">
              <controlPr defaultSize="0" print="0" autoFill="0" autoPict="0" macro="[3]!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7.28515625" style="2" customWidth="1"/>
    <col min="2" max="2" width="100.7109375" style="2" customWidth="1"/>
    <col min="3" max="3" width="20.85546875" style="112" customWidth="1"/>
    <col min="4" max="4" width="5.140625" style="2" customWidth="1"/>
    <col min="5" max="5" width="17.5703125" style="2" customWidth="1"/>
    <col min="6" max="158" width="9.140625" style="2"/>
    <col min="159" max="240" width="0" style="2" hidden="1" customWidth="1"/>
    <col min="241" max="249" width="9.140625" style="2"/>
    <col min="250" max="250" width="3.710937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710937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710937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710937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710937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710937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710937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710937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710937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710937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710937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710937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710937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710937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710937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710937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710937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710937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710937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710937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710937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710937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710937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710937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710937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710937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710937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710937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710937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710937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710937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710937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710937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710937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710937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710937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710937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710937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710937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710937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710937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710937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710937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710937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710937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710937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710937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710937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710937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710937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710937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710937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710937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710937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710937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710937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710937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710937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710937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710937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710937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710937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710937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2" t="s">
        <v>1</v>
      </c>
      <c r="C1" s="142"/>
    </row>
    <row r="2" spans="1:3" x14ac:dyDescent="0.2">
      <c r="A2" s="1"/>
      <c r="B2" s="3" t="s">
        <v>2</v>
      </c>
      <c r="C2" s="4">
        <f ca="1">TODAY()</f>
        <v>44944</v>
      </c>
    </row>
    <row r="3" spans="1:3" x14ac:dyDescent="0.2">
      <c r="A3" s="1"/>
      <c r="B3" s="5" t="s">
        <v>3</v>
      </c>
      <c r="C3" s="6"/>
    </row>
    <row r="4" spans="1:3" ht="25.5" x14ac:dyDescent="0.2">
      <c r="A4" s="7"/>
      <c r="B4" s="8" t="str">
        <f>[4]И1!D13</f>
        <v>Субъект Российской Федерации</v>
      </c>
      <c r="C4" s="9" t="str">
        <f>[4]И1!E13</f>
        <v>Новосибирская область</v>
      </c>
    </row>
    <row r="5" spans="1:3" ht="15.95" customHeight="1" x14ac:dyDescent="0.2">
      <c r="A5" s="7"/>
      <c r="B5" s="8" t="str">
        <f>[4]И1!D14</f>
        <v>Тип муниципального образования (выберите из списка)</v>
      </c>
      <c r="C5" s="9" t="str">
        <f>[4]И1!E14</f>
        <v>село Вагайцево, Ордынский муниципальный район</v>
      </c>
    </row>
    <row r="6" spans="1:3" x14ac:dyDescent="0.2">
      <c r="A6" s="7"/>
      <c r="B6" s="8" t="str">
        <f>IF([4]И1!E15="","",[4]И1!D15)</f>
        <v/>
      </c>
      <c r="C6" s="6" t="str">
        <f>IF([4]И1!E15="","",[4]И1!E15)</f>
        <v/>
      </c>
    </row>
    <row r="7" spans="1:3" x14ac:dyDescent="0.2">
      <c r="A7" s="7"/>
      <c r="B7" s="8" t="str">
        <f>[4]И1!D16</f>
        <v>Код ОКТМО</v>
      </c>
      <c r="C7" s="10" t="str">
        <f>[4]И1!E16</f>
        <v>50642401101</v>
      </c>
    </row>
    <row r="8" spans="1:3" x14ac:dyDescent="0.2">
      <c r="A8" s="7"/>
      <c r="B8" s="11" t="str">
        <f>[4]И1!D17</f>
        <v>Система теплоснабжения</v>
      </c>
      <c r="C8" s="12">
        <f>[4]И1!E17</f>
        <v>0</v>
      </c>
    </row>
    <row r="9" spans="1:3" x14ac:dyDescent="0.2">
      <c r="A9" s="7"/>
      <c r="B9" s="8" t="str">
        <f>[4]И1!D8</f>
        <v>Период регулирования (i)-й</v>
      </c>
      <c r="C9" s="13">
        <f>[4]И1!E8</f>
        <v>2023</v>
      </c>
    </row>
    <row r="10" spans="1:3" x14ac:dyDescent="0.2">
      <c r="A10" s="7"/>
      <c r="B10" s="8" t="str">
        <f>[4]И1!D9</f>
        <v>Период регулирования (i-1)-й</v>
      </c>
      <c r="C10" s="13">
        <f>[4]И1!E9</f>
        <v>2022</v>
      </c>
    </row>
    <row r="11" spans="1:3" x14ac:dyDescent="0.2">
      <c r="A11" s="7"/>
      <c r="B11" s="8" t="str">
        <f>[4]И1!D10</f>
        <v>Период регулирования (i-2)-й</v>
      </c>
      <c r="C11" s="13">
        <f>[4]И1!E10</f>
        <v>2021</v>
      </c>
    </row>
    <row r="12" spans="1:3" x14ac:dyDescent="0.2">
      <c r="A12" s="7"/>
      <c r="B12" s="8" t="str">
        <f>[4]И1!D11</f>
        <v>Базовый год (б)</v>
      </c>
      <c r="C12" s="13">
        <f>[4]И1!E11</f>
        <v>2019</v>
      </c>
    </row>
    <row r="13" spans="1:3" x14ac:dyDescent="0.2">
      <c r="A13" s="7"/>
      <c r="B13" s="8" t="str">
        <f>[4]И1!D18</f>
        <v>Вид топлива, использование которого преобладает в системе теплоснабжения</v>
      </c>
      <c r="C13" s="14" t="str">
        <f>[4]И1!E18</f>
        <v>Газ</v>
      </c>
    </row>
    <row r="14" spans="1:3" ht="26.25" customHeight="1" thickBot="1" x14ac:dyDescent="0.25">
      <c r="A14" s="143" t="s">
        <v>4</v>
      </c>
      <c r="B14" s="143"/>
      <c r="C14" s="143"/>
    </row>
    <row r="15" spans="1:3" x14ac:dyDescent="0.2">
      <c r="A15" s="15" t="s">
        <v>5</v>
      </c>
      <c r="B15" s="16" t="s">
        <v>6</v>
      </c>
      <c r="C15" s="17" t="s">
        <v>7</v>
      </c>
    </row>
    <row r="16" spans="1:3" x14ac:dyDescent="0.2">
      <c r="A16" s="18">
        <v>1</v>
      </c>
      <c r="B16" s="19">
        <v>2</v>
      </c>
      <c r="C16" s="20">
        <v>3</v>
      </c>
    </row>
    <row r="17" spans="1:3" x14ac:dyDescent="0.2">
      <c r="A17" s="21">
        <v>1</v>
      </c>
      <c r="B17" s="22" t="s">
        <v>8</v>
      </c>
      <c r="C17" s="23">
        <f>SUM(C18:C23)</f>
        <v>2943.8315562838475</v>
      </c>
    </row>
    <row r="18" spans="1:3" ht="42.75" x14ac:dyDescent="0.2">
      <c r="A18" s="21" t="s">
        <v>9</v>
      </c>
      <c r="B18" s="24" t="s">
        <v>10</v>
      </c>
      <c r="C18" s="25">
        <f>[4]С1!F12</f>
        <v>912.75572352910331</v>
      </c>
    </row>
    <row r="19" spans="1:3" ht="42.75" x14ac:dyDescent="0.2">
      <c r="A19" s="21" t="s">
        <v>11</v>
      </c>
      <c r="B19" s="24" t="s">
        <v>12</v>
      </c>
      <c r="C19" s="25">
        <f>[4]С2!F12</f>
        <v>1416.3895121306814</v>
      </c>
    </row>
    <row r="20" spans="1:3" ht="30" x14ac:dyDescent="0.2">
      <c r="A20" s="21" t="s">
        <v>13</v>
      </c>
      <c r="B20" s="24" t="s">
        <v>14</v>
      </c>
      <c r="C20" s="25">
        <f>[4]С3!F12</f>
        <v>338.69535278862691</v>
      </c>
    </row>
    <row r="21" spans="1:3" ht="42.75" x14ac:dyDescent="0.2">
      <c r="A21" s="21" t="s">
        <v>15</v>
      </c>
      <c r="B21" s="24" t="s">
        <v>16</v>
      </c>
      <c r="C21" s="25">
        <f>[4]С4!F12</f>
        <v>218.26878045732127</v>
      </c>
    </row>
    <row r="22" spans="1:3" ht="33" customHeight="1" x14ac:dyDescent="0.2">
      <c r="A22" s="21" t="s">
        <v>17</v>
      </c>
      <c r="B22" s="24" t="s">
        <v>18</v>
      </c>
      <c r="C22" s="25">
        <f>[4]С5!F12</f>
        <v>57.722187378114661</v>
      </c>
    </row>
    <row r="23" spans="1:3" ht="45.75" customHeight="1" thickBot="1" x14ac:dyDescent="0.25">
      <c r="A23" s="26" t="s">
        <v>19</v>
      </c>
      <c r="B23" s="27" t="s">
        <v>20</v>
      </c>
      <c r="C23" s="28">
        <f>[4]С6!F12</f>
        <v>0</v>
      </c>
    </row>
    <row r="24" spans="1:3" ht="13.5" thickBot="1" x14ac:dyDescent="0.25">
      <c r="A24" s="1"/>
      <c r="C24" s="6"/>
    </row>
    <row r="25" spans="1:3" x14ac:dyDescent="0.2">
      <c r="A25" s="15" t="s">
        <v>5</v>
      </c>
      <c r="B25" s="29" t="s">
        <v>6</v>
      </c>
      <c r="C25" s="16" t="s">
        <v>7</v>
      </c>
    </row>
    <row r="26" spans="1:3" x14ac:dyDescent="0.2">
      <c r="A26" s="18">
        <v>1</v>
      </c>
      <c r="B26" s="30">
        <v>2</v>
      </c>
      <c r="C26" s="31">
        <v>3</v>
      </c>
    </row>
    <row r="27" spans="1:3" ht="30" customHeight="1" x14ac:dyDescent="0.2">
      <c r="A27" s="21">
        <v>1</v>
      </c>
      <c r="B27" s="144" t="s">
        <v>21</v>
      </c>
      <c r="C27" s="144"/>
    </row>
    <row r="28" spans="1:3" x14ac:dyDescent="0.2">
      <c r="A28" s="21" t="s">
        <v>9</v>
      </c>
      <c r="B28" s="32" t="s">
        <v>22</v>
      </c>
      <c r="C28" s="33">
        <f>[4]С1.1!E16</f>
        <v>7900</v>
      </c>
    </row>
    <row r="29" spans="1:3" ht="42.75" x14ac:dyDescent="0.2">
      <c r="A29" s="21" t="s">
        <v>11</v>
      </c>
      <c r="B29" s="32" t="s">
        <v>23</v>
      </c>
      <c r="C29" s="33">
        <f>[4]С1.1!E32</f>
        <v>5591.16</v>
      </c>
    </row>
    <row r="30" spans="1:3" ht="38.25" x14ac:dyDescent="0.2">
      <c r="A30" s="21" t="s">
        <v>24</v>
      </c>
      <c r="B30" s="32" t="s">
        <v>25</v>
      </c>
      <c r="C30" s="34" t="str">
        <f>[4]С1.1!E25</f>
        <v>ООО "Газпром газораспределение Томск"</v>
      </c>
    </row>
    <row r="31" spans="1:3" ht="38.25" x14ac:dyDescent="0.2">
      <c r="A31" s="21" t="s">
        <v>26</v>
      </c>
      <c r="B31" s="32" t="str">
        <f>[4]С1.1!D26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3">
        <f>[4]С1.1!E26</f>
        <v>4475.5</v>
      </c>
    </row>
    <row r="32" spans="1:3" ht="25.5" x14ac:dyDescent="0.2">
      <c r="A32" s="21" t="s">
        <v>27</v>
      </c>
      <c r="B32" s="32" t="str">
        <f>[4]С1.1!D27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3">
        <f>[4]С1.1!E27</f>
        <v>952.13</v>
      </c>
    </row>
    <row r="33" spans="1:3" ht="25.5" x14ac:dyDescent="0.2">
      <c r="A33" s="21" t="s">
        <v>28</v>
      </c>
      <c r="B33" s="32" t="str">
        <f>[4]С1.1!D28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3">
        <f>[4]С1.1!E28</f>
        <v>132.9</v>
      </c>
    </row>
    <row r="34" spans="1:3" ht="38.25" x14ac:dyDescent="0.2">
      <c r="A34" s="21" t="s">
        <v>29</v>
      </c>
      <c r="B34" s="32" t="str">
        <f>[4]С1.1!D29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3">
        <f>[4]С1.1!E29</f>
        <v>30.63</v>
      </c>
    </row>
    <row r="35" spans="1:3" ht="17.25" x14ac:dyDescent="0.2">
      <c r="A35" s="21" t="s">
        <v>13</v>
      </c>
      <c r="B35" s="32" t="s">
        <v>30</v>
      </c>
      <c r="C35" s="35">
        <f>[4]С1.1!E20</f>
        <v>0.1392500000000001</v>
      </c>
    </row>
    <row r="36" spans="1:3" ht="17.25" x14ac:dyDescent="0.2">
      <c r="A36" s="21" t="s">
        <v>15</v>
      </c>
      <c r="B36" s="32" t="s">
        <v>31</v>
      </c>
      <c r="C36" s="35">
        <f>[4]С1.1!E21</f>
        <v>0</v>
      </c>
    </row>
    <row r="37" spans="1:3" ht="30" x14ac:dyDescent="0.2">
      <c r="A37" s="21" t="s">
        <v>17</v>
      </c>
      <c r="B37" s="36" t="s">
        <v>32</v>
      </c>
      <c r="C37" s="37">
        <f>[4]С1!F13</f>
        <v>156.1</v>
      </c>
    </row>
    <row r="38" spans="1:3" x14ac:dyDescent="0.2">
      <c r="A38" s="21" t="s">
        <v>19</v>
      </c>
      <c r="B38" s="36" t="s">
        <v>33</v>
      </c>
      <c r="C38" s="38">
        <f>[4]С1!F16</f>
        <v>7000</v>
      </c>
    </row>
    <row r="39" spans="1:3" ht="14.25" x14ac:dyDescent="0.2">
      <c r="A39" s="39" t="s">
        <v>34</v>
      </c>
      <c r="B39" s="40" t="s">
        <v>35</v>
      </c>
      <c r="C39" s="41">
        <f>[4]С1!F17</f>
        <v>1.1285714285714286</v>
      </c>
    </row>
    <row r="40" spans="1:3" ht="15.75" x14ac:dyDescent="0.2">
      <c r="A40" s="42" t="s">
        <v>36</v>
      </c>
      <c r="B40" s="43" t="s">
        <v>37</v>
      </c>
      <c r="C40" s="41">
        <f>[4]С1!F20</f>
        <v>22.307053372799995</v>
      </c>
    </row>
    <row r="41" spans="1:3" ht="15.75" x14ac:dyDescent="0.2">
      <c r="A41" s="42" t="s">
        <v>38</v>
      </c>
      <c r="B41" s="44" t="s">
        <v>39</v>
      </c>
      <c r="C41" s="41">
        <f>[4]С1!F21</f>
        <v>21.531904799999996</v>
      </c>
    </row>
    <row r="42" spans="1:3" ht="14.25" x14ac:dyDescent="0.2">
      <c r="A42" s="42" t="s">
        <v>40</v>
      </c>
      <c r="B42" s="45" t="s">
        <v>41</v>
      </c>
      <c r="C42" s="41">
        <f>[4]С1!F22</f>
        <v>1.036</v>
      </c>
    </row>
    <row r="43" spans="1:3" ht="53.25" thickBot="1" x14ac:dyDescent="0.25">
      <c r="A43" s="26" t="s">
        <v>42</v>
      </c>
      <c r="B43" s="46" t="s">
        <v>43</v>
      </c>
      <c r="C43" s="47" t="str">
        <f>[4]С1!F23</f>
        <v>-</v>
      </c>
    </row>
    <row r="44" spans="1:3" ht="13.5" thickBot="1" x14ac:dyDescent="0.25">
      <c r="A44" s="48"/>
      <c r="B44" s="49"/>
      <c r="C44" s="14"/>
    </row>
    <row r="45" spans="1:3" ht="30" customHeight="1" x14ac:dyDescent="0.2">
      <c r="A45" s="50" t="s">
        <v>44</v>
      </c>
      <c r="B45" s="146" t="s">
        <v>45</v>
      </c>
      <c r="C45" s="146"/>
    </row>
    <row r="46" spans="1:3" ht="25.5" x14ac:dyDescent="0.2">
      <c r="A46" s="21" t="s">
        <v>46</v>
      </c>
      <c r="B46" s="36" t="s">
        <v>47</v>
      </c>
      <c r="C46" s="51" t="str">
        <f>[4]С2.1!E12</f>
        <v>V</v>
      </c>
    </row>
    <row r="47" spans="1:3" ht="25.5" x14ac:dyDescent="0.2">
      <c r="A47" s="21" t="s">
        <v>48</v>
      </c>
      <c r="B47" s="32" t="s">
        <v>49</v>
      </c>
      <c r="C47" s="51" t="str">
        <f>[4]С2.1!E13</f>
        <v>6 и менее баллов</v>
      </c>
    </row>
    <row r="48" spans="1:3" ht="25.5" x14ac:dyDescent="0.2">
      <c r="A48" s="21" t="s">
        <v>50</v>
      </c>
      <c r="B48" s="32" t="s">
        <v>51</v>
      </c>
      <c r="C48" s="51" t="str">
        <f>[4]С2.1!E14</f>
        <v>от 200 до 500</v>
      </c>
    </row>
    <row r="49" spans="1:3" ht="25.5" x14ac:dyDescent="0.2">
      <c r="A49" s="21" t="s">
        <v>52</v>
      </c>
      <c r="B49" s="32" t="s">
        <v>53</v>
      </c>
      <c r="C49" s="52" t="str">
        <f>[4]С2.1!E15</f>
        <v>нет</v>
      </c>
    </row>
    <row r="50" spans="1:3" ht="30" x14ac:dyDescent="0.2">
      <c r="A50" s="21" t="s">
        <v>54</v>
      </c>
      <c r="B50" s="32" t="s">
        <v>55</v>
      </c>
      <c r="C50" s="33">
        <f>[4]С2!F18</f>
        <v>32402.627334033532</v>
      </c>
    </row>
    <row r="51" spans="1:3" ht="30" x14ac:dyDescent="0.2">
      <c r="A51" s="21" t="s">
        <v>56</v>
      </c>
      <c r="B51" s="53" t="s">
        <v>57</v>
      </c>
      <c r="C51" s="33">
        <f>IF([4]С2!F19&gt;0,[4]С2!F19,[4]С2!F20)</f>
        <v>23441.524932855718</v>
      </c>
    </row>
    <row r="52" spans="1:3" ht="25.5" x14ac:dyDescent="0.2">
      <c r="A52" s="21" t="s">
        <v>58</v>
      </c>
      <c r="B52" s="54" t="s">
        <v>59</v>
      </c>
      <c r="C52" s="33">
        <f>[4]С2.1!E20</f>
        <v>-37</v>
      </c>
    </row>
    <row r="53" spans="1:3" ht="25.5" x14ac:dyDescent="0.2">
      <c r="A53" s="21" t="s">
        <v>60</v>
      </c>
      <c r="B53" s="54" t="s">
        <v>61</v>
      </c>
      <c r="C53" s="33" t="str">
        <f>[4]С2.1!E23</f>
        <v>нет</v>
      </c>
    </row>
    <row r="54" spans="1:3" ht="38.25" x14ac:dyDescent="0.2">
      <c r="A54" s="21" t="s">
        <v>62</v>
      </c>
      <c r="B54" s="55" t="s">
        <v>63</v>
      </c>
      <c r="C54" s="33">
        <f>[4]С2.2!E10</f>
        <v>1287</v>
      </c>
    </row>
    <row r="55" spans="1:3" ht="25.5" x14ac:dyDescent="0.2">
      <c r="A55" s="21" t="s">
        <v>64</v>
      </c>
      <c r="B55" s="56" t="s">
        <v>65</v>
      </c>
      <c r="C55" s="33">
        <f>[4]С2.2!E12</f>
        <v>5.97</v>
      </c>
    </row>
    <row r="56" spans="1:3" ht="52.5" x14ac:dyDescent="0.2">
      <c r="A56" s="21" t="s">
        <v>66</v>
      </c>
      <c r="B56" s="57" t="s">
        <v>67</v>
      </c>
      <c r="C56" s="33">
        <f>[4]С2.2!E13</f>
        <v>1</v>
      </c>
    </row>
    <row r="57" spans="1:3" ht="27.75" x14ac:dyDescent="0.2">
      <c r="A57" s="21" t="s">
        <v>68</v>
      </c>
      <c r="B57" s="56" t="s">
        <v>69</v>
      </c>
      <c r="C57" s="33">
        <f>[4]С2.2!E14</f>
        <v>12104</v>
      </c>
    </row>
    <row r="58" spans="1:3" ht="25.5" x14ac:dyDescent="0.2">
      <c r="A58" s="21" t="s">
        <v>70</v>
      </c>
      <c r="B58" s="57" t="s">
        <v>71</v>
      </c>
      <c r="C58" s="35">
        <f>[4]С2.2!E15</f>
        <v>4.8000000000000001E-2</v>
      </c>
    </row>
    <row r="59" spans="1:3" x14ac:dyDescent="0.2">
      <c r="A59" s="21" t="s">
        <v>72</v>
      </c>
      <c r="B59" s="57" t="s">
        <v>73</v>
      </c>
      <c r="C59" s="58">
        <f>[4]С2.2!E16</f>
        <v>1</v>
      </c>
    </row>
    <row r="60" spans="1:3" ht="15.75" x14ac:dyDescent="0.2">
      <c r="A60" s="21" t="s">
        <v>74</v>
      </c>
      <c r="B60" s="59" t="s">
        <v>75</v>
      </c>
      <c r="C60" s="33">
        <f>[4]С2!F21</f>
        <v>1</v>
      </c>
    </row>
    <row r="61" spans="1:3" ht="30" x14ac:dyDescent="0.2">
      <c r="A61" s="60" t="s">
        <v>76</v>
      </c>
      <c r="B61" s="32" t="s">
        <v>77</v>
      </c>
      <c r="C61" s="33">
        <f>[4]С2!F13</f>
        <v>97038.307983185223</v>
      </c>
    </row>
    <row r="62" spans="1:3" ht="30" x14ac:dyDescent="0.2">
      <c r="A62" s="60" t="s">
        <v>78</v>
      </c>
      <c r="B62" s="61" t="s">
        <v>79</v>
      </c>
      <c r="C62" s="33">
        <f>[4]С2!F14</f>
        <v>64899</v>
      </c>
    </row>
    <row r="63" spans="1:3" ht="15.75" x14ac:dyDescent="0.2">
      <c r="A63" s="60" t="s">
        <v>80</v>
      </c>
      <c r="B63" s="61" t="s">
        <v>81</v>
      </c>
      <c r="C63" s="41">
        <f>[4]С2!F15</f>
        <v>1.071</v>
      </c>
    </row>
    <row r="64" spans="1:3" ht="15.75" x14ac:dyDescent="0.2">
      <c r="A64" s="60" t="s">
        <v>82</v>
      </c>
      <c r="B64" s="61" t="s">
        <v>83</v>
      </c>
      <c r="C64" s="62">
        <f>[4]С2!F16</f>
        <v>1</v>
      </c>
    </row>
    <row r="65" spans="1:3" ht="17.25" x14ac:dyDescent="0.2">
      <c r="A65" s="60" t="s">
        <v>84</v>
      </c>
      <c r="B65" s="61" t="s">
        <v>85</v>
      </c>
      <c r="C65" s="63">
        <f>[4]С2!F17</f>
        <v>1.01</v>
      </c>
    </row>
    <row r="66" spans="1:3" s="66" customFormat="1" ht="14.25" x14ac:dyDescent="0.2">
      <c r="A66" s="60" t="s">
        <v>86</v>
      </c>
      <c r="B66" s="64" t="s">
        <v>87</v>
      </c>
      <c r="C66" s="65">
        <f>[4]С2!F35</f>
        <v>10</v>
      </c>
    </row>
    <row r="67" spans="1:3" ht="30" x14ac:dyDescent="0.2">
      <c r="A67" s="60" t="s">
        <v>88</v>
      </c>
      <c r="B67" s="67" t="s">
        <v>89</v>
      </c>
      <c r="C67" s="33">
        <f>[4]С2!F28</f>
        <v>139.14695294069438</v>
      </c>
    </row>
    <row r="68" spans="1:3" ht="17.25" x14ac:dyDescent="0.2">
      <c r="A68" s="60" t="s">
        <v>90</v>
      </c>
      <c r="B68" s="53" t="s">
        <v>91</v>
      </c>
      <c r="C68" s="41">
        <f>[4]С2!F29</f>
        <v>0.201330388</v>
      </c>
    </row>
    <row r="69" spans="1:3" ht="17.25" x14ac:dyDescent="0.2">
      <c r="A69" s="60" t="s">
        <v>92</v>
      </c>
      <c r="B69" s="59" t="s">
        <v>93</v>
      </c>
      <c r="C69" s="65">
        <f>[4]С2!F30</f>
        <v>500</v>
      </c>
    </row>
    <row r="70" spans="1:3" ht="42.75" x14ac:dyDescent="0.2">
      <c r="A70" s="60" t="s">
        <v>94</v>
      </c>
      <c r="B70" s="32" t="s">
        <v>95</v>
      </c>
      <c r="C70" s="33">
        <f>[4]С2!F22</f>
        <v>36585.255753162281</v>
      </c>
    </row>
    <row r="71" spans="1:3" ht="30" x14ac:dyDescent="0.2">
      <c r="A71" s="60" t="s">
        <v>96</v>
      </c>
      <c r="B71" s="61" t="s">
        <v>97</v>
      </c>
      <c r="C71" s="33">
        <f>[4]С2!F23</f>
        <v>21</v>
      </c>
    </row>
    <row r="72" spans="1:3" ht="30" x14ac:dyDescent="0.2">
      <c r="A72" s="60" t="s">
        <v>98</v>
      </c>
      <c r="B72" s="53" t="s">
        <v>99</v>
      </c>
      <c r="C72" s="33">
        <f>[4]С2.1!E28</f>
        <v>14036.09995</v>
      </c>
    </row>
    <row r="73" spans="1:3" ht="38.25" x14ac:dyDescent="0.2">
      <c r="A73" s="60" t="s">
        <v>100</v>
      </c>
      <c r="B73" s="68" t="s">
        <v>101</v>
      </c>
      <c r="C73" s="52">
        <f>[4]С2.3!E21</f>
        <v>0</v>
      </c>
    </row>
    <row r="74" spans="1:3" ht="25.5" x14ac:dyDescent="0.2">
      <c r="A74" s="60" t="s">
        <v>102</v>
      </c>
      <c r="B74" s="69" t="s">
        <v>103</v>
      </c>
      <c r="C74" s="70">
        <f>[4]С2.3!E11</f>
        <v>5.45</v>
      </c>
    </row>
    <row r="75" spans="1:3" ht="25.5" x14ac:dyDescent="0.2">
      <c r="A75" s="60" t="s">
        <v>104</v>
      </c>
      <c r="B75" s="69" t="s">
        <v>105</v>
      </c>
      <c r="C75" s="65">
        <f>[4]С2.3!E13</f>
        <v>300</v>
      </c>
    </row>
    <row r="76" spans="1:3" ht="25.5" x14ac:dyDescent="0.2">
      <c r="A76" s="60" t="s">
        <v>106</v>
      </c>
      <c r="B76" s="68" t="s">
        <v>107</v>
      </c>
      <c r="C76" s="71">
        <f>IF([4]С2.3!E22&gt;0,[4]С2.3!E22,[4]С2.3!E14)</f>
        <v>61211</v>
      </c>
    </row>
    <row r="77" spans="1:3" ht="38.25" x14ac:dyDescent="0.2">
      <c r="A77" s="60" t="s">
        <v>108</v>
      </c>
      <c r="B77" s="68" t="s">
        <v>109</v>
      </c>
      <c r="C77" s="71">
        <f>IF([4]С2.3!E23&gt;0,[4]С2.3!E23,[4]С2.3!E15)</f>
        <v>45675</v>
      </c>
    </row>
    <row r="78" spans="1:3" ht="30" x14ac:dyDescent="0.2">
      <c r="A78" s="60" t="s">
        <v>110</v>
      </c>
      <c r="B78" s="53" t="s">
        <v>111</v>
      </c>
      <c r="C78" s="33">
        <f>[4]С2.1!E29</f>
        <v>9518.3274000000001</v>
      </c>
    </row>
    <row r="79" spans="1:3" ht="38.25" x14ac:dyDescent="0.2">
      <c r="A79" s="60" t="s">
        <v>112</v>
      </c>
      <c r="B79" s="68" t="s">
        <v>113</v>
      </c>
      <c r="C79" s="52">
        <f>[4]С2.3!E25</f>
        <v>0</v>
      </c>
    </row>
    <row r="80" spans="1:3" ht="25.5" x14ac:dyDescent="0.2">
      <c r="A80" s="60" t="s">
        <v>114</v>
      </c>
      <c r="B80" s="69" t="s">
        <v>115</v>
      </c>
      <c r="C80" s="70">
        <f>[4]С2.3!E12</f>
        <v>0.2</v>
      </c>
    </row>
    <row r="81" spans="1:3" ht="25.5" x14ac:dyDescent="0.2">
      <c r="A81" s="60" t="s">
        <v>116</v>
      </c>
      <c r="B81" s="69" t="s">
        <v>105</v>
      </c>
      <c r="C81" s="65">
        <f>[4]С2.3!E13</f>
        <v>300</v>
      </c>
    </row>
    <row r="82" spans="1:3" ht="25.5" x14ac:dyDescent="0.2">
      <c r="A82" s="60" t="s">
        <v>117</v>
      </c>
      <c r="B82" s="72" t="s">
        <v>118</v>
      </c>
      <c r="C82" s="71">
        <f>IF([4]С2.3!E26&gt;0,[4]С2.3!E26,[4]С2.3!E16)</f>
        <v>65637</v>
      </c>
    </row>
    <row r="83" spans="1:3" ht="38.25" x14ac:dyDescent="0.2">
      <c r="A83" s="60" t="s">
        <v>119</v>
      </c>
      <c r="B83" s="72" t="s">
        <v>120</v>
      </c>
      <c r="C83" s="71">
        <f>IF([4]С2.3!E27&gt;0,[4]С2.3!E27,[4]С2.3!E17)</f>
        <v>31684</v>
      </c>
    </row>
    <row r="84" spans="1:3" ht="30" x14ac:dyDescent="0.2">
      <c r="A84" s="60" t="s">
        <v>121</v>
      </c>
      <c r="B84" s="61" t="s">
        <v>122</v>
      </c>
      <c r="C84" s="71">
        <f>IF([4]С2.1!E19&gt;0,[4]С2.1!E19,[4]С2!F26)</f>
        <v>2892</v>
      </c>
    </row>
    <row r="85" spans="1:3" ht="17.25" x14ac:dyDescent="0.2">
      <c r="A85" s="60" t="s">
        <v>123</v>
      </c>
      <c r="B85" s="32" t="s">
        <v>124</v>
      </c>
      <c r="C85" s="35">
        <f>[4]С2!F31</f>
        <v>0.128978033685065</v>
      </c>
    </row>
    <row r="86" spans="1:3" ht="30" x14ac:dyDescent="0.2">
      <c r="A86" s="60" t="s">
        <v>125</v>
      </c>
      <c r="B86" s="53" t="s">
        <v>126</v>
      </c>
      <c r="C86" s="73">
        <f>[4]С2!F32</f>
        <v>0.11668498168498169</v>
      </c>
    </row>
    <row r="87" spans="1:3" ht="17.25" x14ac:dyDescent="0.2">
      <c r="A87" s="60" t="s">
        <v>127</v>
      </c>
      <c r="B87" s="74" t="s">
        <v>128</v>
      </c>
      <c r="C87" s="35">
        <f>[4]С2!F33</f>
        <v>0.13880000000000001</v>
      </c>
    </row>
    <row r="88" spans="1:3" s="66" customFormat="1" ht="18" thickBot="1" x14ac:dyDescent="0.25">
      <c r="A88" s="75" t="s">
        <v>129</v>
      </c>
      <c r="B88" s="76" t="s">
        <v>130</v>
      </c>
      <c r="C88" s="77">
        <f>[4]С2!F34</f>
        <v>0.12640000000000001</v>
      </c>
    </row>
    <row r="89" spans="1:3" ht="13.5" thickBot="1" x14ac:dyDescent="0.25">
      <c r="A89" s="48"/>
      <c r="B89" s="49"/>
      <c r="C89" s="14"/>
    </row>
    <row r="90" spans="1:3" s="66" customFormat="1" ht="30" customHeight="1" x14ac:dyDescent="0.2">
      <c r="A90" s="78" t="s">
        <v>131</v>
      </c>
      <c r="B90" s="146" t="s">
        <v>132</v>
      </c>
      <c r="C90" s="146"/>
    </row>
    <row r="91" spans="1:3" s="66" customFormat="1" ht="30" x14ac:dyDescent="0.2">
      <c r="A91" s="79" t="s">
        <v>133</v>
      </c>
      <c r="B91" s="32" t="s">
        <v>134</v>
      </c>
      <c r="C91" s="33">
        <f>[4]С3!F14</f>
        <v>4857.2878492227173</v>
      </c>
    </row>
    <row r="92" spans="1:3" s="66" customFormat="1" ht="42.75" x14ac:dyDescent="0.2">
      <c r="A92" s="79" t="s">
        <v>135</v>
      </c>
      <c r="B92" s="53" t="s">
        <v>136</v>
      </c>
      <c r="C92" s="80">
        <f>[4]С3!F15</f>
        <v>0.2</v>
      </c>
    </row>
    <row r="93" spans="1:3" s="66" customFormat="1" ht="14.25" x14ac:dyDescent="0.2">
      <c r="A93" s="79" t="s">
        <v>137</v>
      </c>
      <c r="B93" s="81" t="s">
        <v>138</v>
      </c>
      <c r="C93" s="65">
        <f>[4]С3!F18</f>
        <v>15</v>
      </c>
    </row>
    <row r="94" spans="1:3" s="66" customFormat="1" ht="17.25" x14ac:dyDescent="0.2">
      <c r="A94" s="79" t="s">
        <v>139</v>
      </c>
      <c r="B94" s="32" t="s">
        <v>140</v>
      </c>
      <c r="C94" s="33">
        <f>[4]С3!F19</f>
        <v>2435.0508023655884</v>
      </c>
    </row>
    <row r="95" spans="1:3" s="66" customFormat="1" ht="55.5" x14ac:dyDescent="0.2">
      <c r="A95" s="79" t="s">
        <v>141</v>
      </c>
      <c r="B95" s="53" t="s">
        <v>142</v>
      </c>
      <c r="C95" s="82">
        <f>[4]С3!F20</f>
        <v>2.1999999999999999E-2</v>
      </c>
    </row>
    <row r="96" spans="1:3" s="66" customFormat="1" ht="14.25" x14ac:dyDescent="0.2">
      <c r="A96" s="79" t="s">
        <v>143</v>
      </c>
      <c r="B96" s="59" t="s">
        <v>87</v>
      </c>
      <c r="C96" s="65">
        <f>[4]С3!F21</f>
        <v>10</v>
      </c>
    </row>
    <row r="97" spans="1:3" s="66" customFormat="1" ht="17.25" x14ac:dyDescent="0.2">
      <c r="A97" s="79" t="s">
        <v>144</v>
      </c>
      <c r="B97" s="32" t="s">
        <v>145</v>
      </c>
      <c r="C97" s="33">
        <f>[4]С3!F22</f>
        <v>0.41744085882208315</v>
      </c>
    </row>
    <row r="98" spans="1:3" s="66" customFormat="1" ht="55.5" x14ac:dyDescent="0.2">
      <c r="A98" s="79" t="s">
        <v>146</v>
      </c>
      <c r="B98" s="53" t="s">
        <v>147</v>
      </c>
      <c r="C98" s="82">
        <f>[4]С3!F23</f>
        <v>3.0000000000000001E-3</v>
      </c>
    </row>
    <row r="99" spans="1:3" s="66" customFormat="1" ht="30.75" thickBot="1" x14ac:dyDescent="0.25">
      <c r="A99" s="83" t="s">
        <v>148</v>
      </c>
      <c r="B99" s="84" t="s">
        <v>89</v>
      </c>
      <c r="C99" s="85">
        <f>[4]С3!F24</f>
        <v>139.14695294069438</v>
      </c>
    </row>
    <row r="100" spans="1:3" ht="13.5" thickBot="1" x14ac:dyDescent="0.25">
      <c r="A100" s="48"/>
      <c r="B100" s="49"/>
      <c r="C100" s="14"/>
    </row>
    <row r="101" spans="1:3" ht="30" customHeight="1" x14ac:dyDescent="0.2">
      <c r="A101" s="86" t="s">
        <v>149</v>
      </c>
      <c r="B101" s="146" t="s">
        <v>150</v>
      </c>
      <c r="C101" s="146"/>
    </row>
    <row r="102" spans="1:3" ht="30" x14ac:dyDescent="0.2">
      <c r="A102" s="60" t="s">
        <v>151</v>
      </c>
      <c r="B102" s="32" t="s">
        <v>152</v>
      </c>
      <c r="C102" s="33">
        <f>[4]С4!F16</f>
        <v>832.33500000000004</v>
      </c>
    </row>
    <row r="103" spans="1:3" ht="30" x14ac:dyDescent="0.2">
      <c r="A103" s="60" t="s">
        <v>153</v>
      </c>
      <c r="B103" s="59" t="s">
        <v>154</v>
      </c>
      <c r="C103" s="33">
        <f>[4]С4!F17</f>
        <v>43385</v>
      </c>
    </row>
    <row r="104" spans="1:3" ht="17.25" x14ac:dyDescent="0.2">
      <c r="A104" s="60" t="s">
        <v>155</v>
      </c>
      <c r="B104" s="59" t="s">
        <v>156</v>
      </c>
      <c r="C104" s="41">
        <f>[4]С4!F18</f>
        <v>1.4999999999999999E-2</v>
      </c>
    </row>
    <row r="105" spans="1:3" ht="30" x14ac:dyDescent="0.2">
      <c r="A105" s="60" t="s">
        <v>157</v>
      </c>
      <c r="B105" s="59" t="s">
        <v>158</v>
      </c>
      <c r="C105" s="33">
        <f>[4]С4!F19</f>
        <v>12104</v>
      </c>
    </row>
    <row r="106" spans="1:3" ht="28.5" x14ac:dyDescent="0.2">
      <c r="A106" s="60" t="s">
        <v>159</v>
      </c>
      <c r="B106" s="59" t="s">
        <v>160</v>
      </c>
      <c r="C106" s="41">
        <f>[4]С4!F20</f>
        <v>1.4999999999999999E-2</v>
      </c>
    </row>
    <row r="107" spans="1:3" ht="30" x14ac:dyDescent="0.2">
      <c r="A107" s="60" t="s">
        <v>161</v>
      </c>
      <c r="B107" s="32" t="s">
        <v>162</v>
      </c>
      <c r="C107" s="33">
        <f>[4]С4!F21</f>
        <v>1221.9019409821399</v>
      </c>
    </row>
    <row r="108" spans="1:3" ht="45.6" customHeight="1" x14ac:dyDescent="0.2">
      <c r="A108" s="60" t="s">
        <v>163</v>
      </c>
      <c r="B108" s="53" t="s">
        <v>164</v>
      </c>
      <c r="C108" s="34" t="str">
        <f>IF([4]С4.2!F8="да",[4]С4.2!D21,[4]С4.2!D15)</f>
        <v>АО "Новосибирскэнергосбыт"</v>
      </c>
    </row>
    <row r="109" spans="1:3" ht="68.25" customHeight="1" x14ac:dyDescent="0.2">
      <c r="A109" s="60" t="s">
        <v>165</v>
      </c>
      <c r="B109" s="53" t="s">
        <v>166</v>
      </c>
      <c r="C109" s="33">
        <f>[4]С4!F22</f>
        <v>3.6112641666666665</v>
      </c>
    </row>
    <row r="110" spans="1:3" ht="30" x14ac:dyDescent="0.2">
      <c r="A110" s="60" t="s">
        <v>167</v>
      </c>
      <c r="B110" s="59" t="s">
        <v>168</v>
      </c>
      <c r="C110" s="65">
        <f>[4]С4!F23</f>
        <v>110</v>
      </c>
    </row>
    <row r="111" spans="1:3" ht="14.25" x14ac:dyDescent="0.2">
      <c r="A111" s="60" t="s">
        <v>169</v>
      </c>
      <c r="B111" s="53" t="s">
        <v>170</v>
      </c>
      <c r="C111" s="33">
        <f>[4]С4!F24</f>
        <v>8497.1999999999989</v>
      </c>
    </row>
    <row r="112" spans="1:3" ht="14.25" x14ac:dyDescent="0.2">
      <c r="A112" s="60" t="s">
        <v>171</v>
      </c>
      <c r="B112" s="59" t="s">
        <v>172</v>
      </c>
      <c r="C112" s="41">
        <f>[4]С4!F25</f>
        <v>0.36199999999999999</v>
      </c>
    </row>
    <row r="113" spans="1:3" ht="17.25" x14ac:dyDescent="0.2">
      <c r="A113" s="60" t="s">
        <v>173</v>
      </c>
      <c r="B113" s="32" t="s">
        <v>174</v>
      </c>
      <c r="C113" s="33">
        <f>[4]С4!F26</f>
        <v>44.224820000000001</v>
      </c>
    </row>
    <row r="114" spans="1:3" ht="25.5" x14ac:dyDescent="0.2">
      <c r="A114" s="60" t="s">
        <v>175</v>
      </c>
      <c r="B114" s="53" t="s">
        <v>101</v>
      </c>
      <c r="C114" s="34">
        <f>[4]С4.3!E16</f>
        <v>0</v>
      </c>
    </row>
    <row r="115" spans="1:3" ht="25.5" x14ac:dyDescent="0.2">
      <c r="A115" s="60" t="s">
        <v>176</v>
      </c>
      <c r="B115" s="53" t="s">
        <v>177</v>
      </c>
      <c r="C115" s="33">
        <f>[4]С4.3!E17</f>
        <v>20.675000000000001</v>
      </c>
    </row>
    <row r="116" spans="1:3" ht="38.25" x14ac:dyDescent="0.2">
      <c r="A116" s="60" t="s">
        <v>178</v>
      </c>
      <c r="B116" s="53" t="s">
        <v>113</v>
      </c>
      <c r="C116" s="34">
        <f>[4]С4.3!E18</f>
        <v>0</v>
      </c>
    </row>
    <row r="117" spans="1:3" x14ac:dyDescent="0.2">
      <c r="A117" s="60" t="s">
        <v>179</v>
      </c>
      <c r="B117" s="53" t="s">
        <v>180</v>
      </c>
      <c r="C117" s="33">
        <f>[4]С4.3!E19</f>
        <v>58.64</v>
      </c>
    </row>
    <row r="118" spans="1:3" x14ac:dyDescent="0.2">
      <c r="A118" s="60" t="s">
        <v>181</v>
      </c>
      <c r="B118" s="59" t="s">
        <v>182</v>
      </c>
      <c r="C118" s="65">
        <f>[4]С4.3!E11</f>
        <v>1871</v>
      </c>
    </row>
    <row r="119" spans="1:3" x14ac:dyDescent="0.2">
      <c r="A119" s="60" t="s">
        <v>183</v>
      </c>
      <c r="B119" s="59" t="s">
        <v>184</v>
      </c>
      <c r="C119" s="52">
        <f>[4]С4.3!E12</f>
        <v>61</v>
      </c>
    </row>
    <row r="120" spans="1:3" x14ac:dyDescent="0.2">
      <c r="A120" s="60" t="s">
        <v>185</v>
      </c>
      <c r="B120" s="59" t="s">
        <v>186</v>
      </c>
      <c r="C120" s="52">
        <f>[4]С4.3!E13</f>
        <v>73</v>
      </c>
    </row>
    <row r="121" spans="1:3" ht="30" x14ac:dyDescent="0.2">
      <c r="A121" s="60" t="s">
        <v>187</v>
      </c>
      <c r="B121" s="32" t="s">
        <v>188</v>
      </c>
      <c r="C121" s="33">
        <f>[4]С4!F27</f>
        <v>946.59139764731083</v>
      </c>
    </row>
    <row r="122" spans="1:3" ht="25.5" x14ac:dyDescent="0.2">
      <c r="A122" s="60" t="s">
        <v>189</v>
      </c>
      <c r="B122" s="53" t="s">
        <v>190</v>
      </c>
      <c r="C122" s="33">
        <f>[4]С4!F28</f>
        <v>727.02872323142151</v>
      </c>
    </row>
    <row r="123" spans="1:3" ht="42.75" x14ac:dyDescent="0.2">
      <c r="A123" s="60" t="s">
        <v>191</v>
      </c>
      <c r="B123" s="53" t="s">
        <v>192</v>
      </c>
      <c r="C123" s="33">
        <f>[4]С4!F29</f>
        <v>219.56267441588932</v>
      </c>
    </row>
    <row r="124" spans="1:3" ht="30.75" thickBot="1" x14ac:dyDescent="0.25">
      <c r="A124" s="75" t="s">
        <v>193</v>
      </c>
      <c r="B124" s="87" t="s">
        <v>194</v>
      </c>
      <c r="C124" s="85">
        <f>[4]С4!F30</f>
        <v>490.64259664895303</v>
      </c>
    </row>
    <row r="125" spans="1:3" s="88" customFormat="1" ht="13.5" thickBot="1" x14ac:dyDescent="0.25">
      <c r="A125" s="48"/>
      <c r="B125" s="49"/>
      <c r="C125" s="14"/>
    </row>
    <row r="126" spans="1:3" s="66" customFormat="1" ht="30" customHeight="1" x14ac:dyDescent="0.2">
      <c r="A126" s="78" t="s">
        <v>195</v>
      </c>
      <c r="B126" s="146" t="s">
        <v>196</v>
      </c>
      <c r="C126" s="146"/>
    </row>
    <row r="127" spans="1:3" ht="30.6" customHeight="1" thickBot="1" x14ac:dyDescent="0.25">
      <c r="A127" s="26" t="s">
        <v>197</v>
      </c>
      <c r="B127" s="87" t="s">
        <v>198</v>
      </c>
      <c r="C127" s="85">
        <f>[4]С5!F17</f>
        <v>0.02</v>
      </c>
    </row>
    <row r="128" spans="1:3" s="88" customFormat="1" ht="13.5" thickBot="1" x14ac:dyDescent="0.25">
      <c r="A128" s="48"/>
      <c r="B128" s="49"/>
      <c r="C128" s="14"/>
    </row>
    <row r="129" spans="1:4" ht="42.75" customHeight="1" x14ac:dyDescent="0.2">
      <c r="A129" s="86" t="s">
        <v>199</v>
      </c>
      <c r="B129" s="146" t="s">
        <v>200</v>
      </c>
      <c r="C129" s="146"/>
    </row>
    <row r="130" spans="1:4" ht="68.25" x14ac:dyDescent="0.2">
      <c r="A130" s="60" t="s">
        <v>201</v>
      </c>
      <c r="B130" s="89" t="s">
        <v>202</v>
      </c>
      <c r="C130" s="33" t="str">
        <f>IF([4]С6.1!E11="нет",[4]С6!F13,"")</f>
        <v/>
      </c>
    </row>
    <row r="131" spans="1:4" ht="42.75" x14ac:dyDescent="0.2">
      <c r="A131" s="60" t="s">
        <v>203</v>
      </c>
      <c r="B131" s="90" t="s">
        <v>204</v>
      </c>
      <c r="C131" s="91" t="str">
        <f>IF([4]С6.1!E12="нет",[4]С6.1!E17,"")</f>
        <v/>
      </c>
    </row>
    <row r="132" spans="1:4" ht="68.25" x14ac:dyDescent="0.2">
      <c r="A132" s="60" t="s">
        <v>205</v>
      </c>
      <c r="B132" s="89" t="s">
        <v>206</v>
      </c>
      <c r="C132" s="92" t="str">
        <f>IF([4]С6.1!E18="нет",[4]С6!F19,"")</f>
        <v/>
      </c>
    </row>
    <row r="133" spans="1:4" ht="55.5" x14ac:dyDescent="0.2">
      <c r="A133" s="60" t="s">
        <v>207</v>
      </c>
      <c r="B133" s="90" t="s">
        <v>208</v>
      </c>
      <c r="C133" s="35" t="str">
        <f>IF([4]С6.1!E18="нет",[4]С6.1!E19,"")</f>
        <v/>
      </c>
    </row>
    <row r="134" spans="1:4" ht="61.5" customHeight="1" x14ac:dyDescent="0.2">
      <c r="A134" s="60" t="s">
        <v>209</v>
      </c>
      <c r="B134" s="90" t="s">
        <v>210</v>
      </c>
      <c r="C134" s="35" t="str">
        <f>IF([4]С6.1!E18="нет",[4]С6.1!E22,"")</f>
        <v/>
      </c>
    </row>
    <row r="135" spans="1:4" ht="69" thickBot="1" x14ac:dyDescent="0.25">
      <c r="A135" s="75" t="s">
        <v>211</v>
      </c>
      <c r="B135" s="93" t="s">
        <v>212</v>
      </c>
      <c r="C135" s="77" t="str">
        <f>IF([4]С6.1!E18="нет",[4]С6.1!E23,"")</f>
        <v/>
      </c>
    </row>
    <row r="136" spans="1:4" s="88" customFormat="1" ht="13.5" thickBot="1" x14ac:dyDescent="0.25">
      <c r="A136" s="48"/>
      <c r="B136" s="49"/>
      <c r="C136" s="14"/>
    </row>
    <row r="137" spans="1:4" ht="15.75" x14ac:dyDescent="0.2">
      <c r="A137" s="86" t="s">
        <v>213</v>
      </c>
      <c r="B137" s="94" t="s">
        <v>214</v>
      </c>
      <c r="C137" s="95">
        <f>[4]С2!F39</f>
        <v>21.531904799999996</v>
      </c>
    </row>
    <row r="138" spans="1:4" ht="14.25" x14ac:dyDescent="0.2">
      <c r="A138" s="60" t="s">
        <v>215</v>
      </c>
      <c r="B138" s="59" t="s">
        <v>216</v>
      </c>
      <c r="C138" s="33">
        <f>[4]С2!F40</f>
        <v>7</v>
      </c>
    </row>
    <row r="139" spans="1:4" ht="17.25" x14ac:dyDescent="0.2">
      <c r="A139" s="60" t="s">
        <v>217</v>
      </c>
      <c r="B139" s="59" t="s">
        <v>218</v>
      </c>
      <c r="C139" s="33">
        <f>[4]С2!F42</f>
        <v>0.97</v>
      </c>
    </row>
    <row r="140" spans="1:4" ht="15" thickBot="1" x14ac:dyDescent="0.25">
      <c r="A140" s="75" t="s">
        <v>219</v>
      </c>
      <c r="B140" s="76" t="s">
        <v>220</v>
      </c>
      <c r="C140" s="47">
        <f>[4]С2!F44</f>
        <v>0.36199999999999999</v>
      </c>
    </row>
    <row r="141" spans="1:4" s="88" customFormat="1" ht="13.5" thickBot="1" x14ac:dyDescent="0.25">
      <c r="A141" s="48"/>
      <c r="B141" s="49"/>
      <c r="C141" s="14"/>
    </row>
    <row r="142" spans="1:4" ht="17.25" x14ac:dyDescent="0.2">
      <c r="A142" s="86" t="s">
        <v>221</v>
      </c>
      <c r="B142" s="96" t="s">
        <v>222</v>
      </c>
      <c r="C142" s="97">
        <f>[4]С2!F37</f>
        <v>1.3822747209000001</v>
      </c>
      <c r="D142" s="88"/>
    </row>
    <row r="143" spans="1:4" ht="17.25" customHeight="1" thickBot="1" x14ac:dyDescent="0.25">
      <c r="A143" s="75" t="s">
        <v>223</v>
      </c>
      <c r="B143" s="145" t="s">
        <v>224</v>
      </c>
      <c r="C143" s="145"/>
      <c r="D143" s="88"/>
    </row>
    <row r="144" spans="1:4" x14ac:dyDescent="0.2">
      <c r="A144" s="99"/>
      <c r="B144" s="100" t="s">
        <v>0</v>
      </c>
      <c r="C144" s="101"/>
    </row>
    <row r="145" spans="1:3" x14ac:dyDescent="0.2">
      <c r="A145" s="99"/>
      <c r="B145" s="102">
        <v>2020</v>
      </c>
      <c r="C145" s="103">
        <f>[4]С2.5!$E$11</f>
        <v>-2.9000000000000026E-2</v>
      </c>
    </row>
    <row r="146" spans="1:3" x14ac:dyDescent="0.2">
      <c r="B146" s="102">
        <f>B145+1</f>
        <v>2021</v>
      </c>
      <c r="C146" s="104">
        <f>[4]С2.5!$F$11</f>
        <v>0.245</v>
      </c>
    </row>
    <row r="147" spans="1:3" x14ac:dyDescent="0.2">
      <c r="B147" s="102">
        <f t="shared" ref="B147:B210" si="0">B146+1</f>
        <v>2022</v>
      </c>
      <c r="C147" s="105">
        <f>[4]С2.5!$G$11</f>
        <v>0.121</v>
      </c>
    </row>
    <row r="148" spans="1:3" ht="13.5" thickBot="1" x14ac:dyDescent="0.25">
      <c r="B148" s="106">
        <f t="shared" si="0"/>
        <v>2023</v>
      </c>
      <c r="C148" s="107">
        <f>[4]С2.5!$H$11</f>
        <v>0.02</v>
      </c>
    </row>
    <row r="149" spans="1:3" ht="13.5" hidden="1" thickBot="1" x14ac:dyDescent="0.25">
      <c r="B149" s="106">
        <f t="shared" si="0"/>
        <v>2024</v>
      </c>
      <c r="C149" s="107">
        <f>[4]С2.5!$I$11</f>
        <v>0</v>
      </c>
    </row>
    <row r="150" spans="1:3" ht="13.5" hidden="1" thickBot="1" x14ac:dyDescent="0.25">
      <c r="B150" s="106">
        <f t="shared" si="0"/>
        <v>2025</v>
      </c>
      <c r="C150" s="107">
        <f>[4]С2.5!$J$11</f>
        <v>0</v>
      </c>
    </row>
    <row r="151" spans="1:3" ht="13.5" hidden="1" thickBot="1" x14ac:dyDescent="0.25">
      <c r="B151" s="106">
        <f t="shared" si="0"/>
        <v>2026</v>
      </c>
      <c r="C151" s="107">
        <f>[4]С2.5!$K$11</f>
        <v>0</v>
      </c>
    </row>
    <row r="152" spans="1:3" ht="13.5" hidden="1" thickBot="1" x14ac:dyDescent="0.25">
      <c r="B152" s="106">
        <f t="shared" si="0"/>
        <v>2027</v>
      </c>
      <c r="C152" s="107">
        <f>[4]С2.5!$L$11</f>
        <v>0</v>
      </c>
    </row>
    <row r="153" spans="1:3" ht="13.5" hidden="1" thickBot="1" x14ac:dyDescent="0.25">
      <c r="B153" s="106">
        <f t="shared" si="0"/>
        <v>2028</v>
      </c>
      <c r="C153" s="107">
        <f>[4]С2.5!$M$11</f>
        <v>0</v>
      </c>
    </row>
    <row r="154" spans="1:3" ht="13.5" hidden="1" thickBot="1" x14ac:dyDescent="0.25">
      <c r="B154" s="106">
        <f t="shared" si="0"/>
        <v>2029</v>
      </c>
      <c r="C154" s="107">
        <f>[4]С2.5!$N$11</f>
        <v>0</v>
      </c>
    </row>
    <row r="155" spans="1:3" ht="13.5" hidden="1" thickBot="1" x14ac:dyDescent="0.25">
      <c r="B155" s="106">
        <f t="shared" si="0"/>
        <v>2030</v>
      </c>
      <c r="C155" s="107">
        <f>[4]С2.5!$O$11</f>
        <v>0</v>
      </c>
    </row>
    <row r="156" spans="1:3" ht="13.5" hidden="1" thickBot="1" x14ac:dyDescent="0.25">
      <c r="B156" s="106">
        <f t="shared" si="0"/>
        <v>2031</v>
      </c>
      <c r="C156" s="107">
        <f>[4]С2.5!$P$11</f>
        <v>0</v>
      </c>
    </row>
    <row r="157" spans="1:3" ht="13.5" hidden="1" thickBot="1" x14ac:dyDescent="0.25">
      <c r="B157" s="106">
        <f t="shared" si="0"/>
        <v>2032</v>
      </c>
      <c r="C157" s="107">
        <f>[4]С2.5!$Q$11</f>
        <v>0</v>
      </c>
    </row>
    <row r="158" spans="1:3" ht="13.5" hidden="1" thickBot="1" x14ac:dyDescent="0.25">
      <c r="B158" s="106">
        <f t="shared" si="0"/>
        <v>2033</v>
      </c>
      <c r="C158" s="107">
        <f>[4]С2.5!$R$11</f>
        <v>0</v>
      </c>
    </row>
    <row r="159" spans="1:3" ht="13.5" hidden="1" thickBot="1" x14ac:dyDescent="0.25">
      <c r="B159" s="106">
        <f t="shared" si="0"/>
        <v>2034</v>
      </c>
      <c r="C159" s="107">
        <f>[4]С2.5!$S$11</f>
        <v>0</v>
      </c>
    </row>
    <row r="160" spans="1:3" ht="13.5" hidden="1" thickBot="1" x14ac:dyDescent="0.25">
      <c r="B160" s="106">
        <f t="shared" si="0"/>
        <v>2035</v>
      </c>
      <c r="C160" s="107">
        <f>[4]С2.5!$T$11</f>
        <v>0</v>
      </c>
    </row>
    <row r="161" spans="2:3" ht="13.5" hidden="1" thickBot="1" x14ac:dyDescent="0.25">
      <c r="B161" s="106">
        <f t="shared" si="0"/>
        <v>2036</v>
      </c>
      <c r="C161" s="107">
        <f>[4]С2.5!$U$11</f>
        <v>0</v>
      </c>
    </row>
    <row r="162" spans="2:3" ht="13.5" hidden="1" thickBot="1" x14ac:dyDescent="0.25">
      <c r="B162" s="106">
        <f t="shared" si="0"/>
        <v>2037</v>
      </c>
      <c r="C162" s="107">
        <f>[4]С2.5!$V$11</f>
        <v>0</v>
      </c>
    </row>
    <row r="163" spans="2:3" ht="13.5" hidden="1" thickBot="1" x14ac:dyDescent="0.25">
      <c r="B163" s="106">
        <f t="shared" si="0"/>
        <v>2038</v>
      </c>
      <c r="C163" s="107">
        <f>[4]С2.5!$W$11</f>
        <v>0</v>
      </c>
    </row>
    <row r="164" spans="2:3" ht="13.5" hidden="1" thickBot="1" x14ac:dyDescent="0.25">
      <c r="B164" s="106">
        <f t="shared" si="0"/>
        <v>2039</v>
      </c>
      <c r="C164" s="107">
        <f>[4]С2.5!$X$11</f>
        <v>0</v>
      </c>
    </row>
    <row r="165" spans="2:3" ht="13.5" hidden="1" thickBot="1" x14ac:dyDescent="0.25">
      <c r="B165" s="106">
        <f t="shared" si="0"/>
        <v>2040</v>
      </c>
      <c r="C165" s="107">
        <f>[4]С2.5!$Y$11</f>
        <v>0</v>
      </c>
    </row>
    <row r="166" spans="2:3" ht="13.5" hidden="1" thickBot="1" x14ac:dyDescent="0.25">
      <c r="B166" s="106">
        <f t="shared" si="0"/>
        <v>2041</v>
      </c>
      <c r="C166" s="107">
        <f>[4]С2.5!$Z$11</f>
        <v>0</v>
      </c>
    </row>
    <row r="167" spans="2:3" ht="13.5" hidden="1" thickBot="1" x14ac:dyDescent="0.25">
      <c r="B167" s="106">
        <f t="shared" si="0"/>
        <v>2042</v>
      </c>
      <c r="C167" s="107">
        <f>[4]С2.5!$AA$11</f>
        <v>0</v>
      </c>
    </row>
    <row r="168" spans="2:3" ht="13.5" hidden="1" thickBot="1" x14ac:dyDescent="0.25">
      <c r="B168" s="106">
        <f t="shared" si="0"/>
        <v>2043</v>
      </c>
      <c r="C168" s="107">
        <f>[4]С2.5!$AB$11</f>
        <v>0</v>
      </c>
    </row>
    <row r="169" spans="2:3" ht="13.5" hidden="1" thickBot="1" x14ac:dyDescent="0.25">
      <c r="B169" s="106">
        <f t="shared" si="0"/>
        <v>2044</v>
      </c>
      <c r="C169" s="107">
        <f>[4]С2.5!$AC$11</f>
        <v>0</v>
      </c>
    </row>
    <row r="170" spans="2:3" ht="13.5" hidden="1" thickBot="1" x14ac:dyDescent="0.25">
      <c r="B170" s="106">
        <f t="shared" si="0"/>
        <v>2045</v>
      </c>
      <c r="C170" s="107">
        <f>[4]С2.5!$AD$11</f>
        <v>0</v>
      </c>
    </row>
    <row r="171" spans="2:3" ht="13.5" hidden="1" thickBot="1" x14ac:dyDescent="0.25">
      <c r="B171" s="106">
        <f t="shared" si="0"/>
        <v>2046</v>
      </c>
      <c r="C171" s="107">
        <f>[4]С2.5!$AE$11</f>
        <v>0</v>
      </c>
    </row>
    <row r="172" spans="2:3" ht="13.5" hidden="1" thickBot="1" x14ac:dyDescent="0.25">
      <c r="B172" s="106">
        <f t="shared" si="0"/>
        <v>2047</v>
      </c>
      <c r="C172" s="107">
        <f>[4]С2.5!$AF$11</f>
        <v>0</v>
      </c>
    </row>
    <row r="173" spans="2:3" ht="13.5" hidden="1" thickBot="1" x14ac:dyDescent="0.25">
      <c r="B173" s="106">
        <f t="shared" si="0"/>
        <v>2048</v>
      </c>
      <c r="C173" s="107">
        <f>[4]С2.5!$AG$11</f>
        <v>0</v>
      </c>
    </row>
    <row r="174" spans="2:3" ht="13.5" hidden="1" thickBot="1" x14ac:dyDescent="0.25">
      <c r="B174" s="106">
        <f t="shared" si="0"/>
        <v>2049</v>
      </c>
      <c r="C174" s="107">
        <f>[4]С2.5!$AH$11</f>
        <v>0</v>
      </c>
    </row>
    <row r="175" spans="2:3" ht="13.5" hidden="1" thickBot="1" x14ac:dyDescent="0.25">
      <c r="B175" s="106">
        <f t="shared" si="0"/>
        <v>2050</v>
      </c>
      <c r="C175" s="107">
        <f>[4]С2.5!$AI$11</f>
        <v>0</v>
      </c>
    </row>
    <row r="176" spans="2:3" ht="13.5" hidden="1" thickBot="1" x14ac:dyDescent="0.25">
      <c r="B176" s="106">
        <f t="shared" si="0"/>
        <v>2051</v>
      </c>
      <c r="C176" s="107">
        <f>[4]С2.5!$AJ$11</f>
        <v>0</v>
      </c>
    </row>
    <row r="177" spans="2:3" ht="13.5" hidden="1" thickBot="1" x14ac:dyDescent="0.25">
      <c r="B177" s="106">
        <f t="shared" si="0"/>
        <v>2052</v>
      </c>
      <c r="C177" s="107">
        <f>[4]С2.5!$AK$11</f>
        <v>0</v>
      </c>
    </row>
    <row r="178" spans="2:3" ht="13.5" hidden="1" thickBot="1" x14ac:dyDescent="0.25">
      <c r="B178" s="106">
        <f t="shared" si="0"/>
        <v>2053</v>
      </c>
      <c r="C178" s="107">
        <f>[4]С2.5!$AL$11</f>
        <v>0</v>
      </c>
    </row>
    <row r="179" spans="2:3" ht="13.5" hidden="1" thickBot="1" x14ac:dyDescent="0.25">
      <c r="B179" s="106">
        <f t="shared" si="0"/>
        <v>2054</v>
      </c>
      <c r="C179" s="107">
        <f>[4]С2.5!$AM$11</f>
        <v>0</v>
      </c>
    </row>
    <row r="180" spans="2:3" ht="13.5" hidden="1" thickBot="1" x14ac:dyDescent="0.25">
      <c r="B180" s="106">
        <f t="shared" si="0"/>
        <v>2055</v>
      </c>
      <c r="C180" s="107">
        <f>[4]С2.5!$AN$11</f>
        <v>0</v>
      </c>
    </row>
    <row r="181" spans="2:3" ht="13.5" hidden="1" thickBot="1" x14ac:dyDescent="0.25">
      <c r="B181" s="106">
        <f t="shared" si="0"/>
        <v>2056</v>
      </c>
      <c r="C181" s="107">
        <f>[4]С2.5!$AO$11</f>
        <v>0</v>
      </c>
    </row>
    <row r="182" spans="2:3" ht="13.5" hidden="1" thickBot="1" x14ac:dyDescent="0.25">
      <c r="B182" s="106">
        <f t="shared" si="0"/>
        <v>2057</v>
      </c>
      <c r="C182" s="107">
        <f>[4]С2.5!$AP$11</f>
        <v>0</v>
      </c>
    </row>
    <row r="183" spans="2:3" ht="13.5" hidden="1" thickBot="1" x14ac:dyDescent="0.25">
      <c r="B183" s="106">
        <f t="shared" si="0"/>
        <v>2058</v>
      </c>
      <c r="C183" s="107">
        <f>[4]С2.5!$AQ$11</f>
        <v>0</v>
      </c>
    </row>
    <row r="184" spans="2:3" ht="13.5" hidden="1" thickBot="1" x14ac:dyDescent="0.25">
      <c r="B184" s="106">
        <f t="shared" si="0"/>
        <v>2059</v>
      </c>
      <c r="C184" s="107">
        <f>[4]С2.5!$AR$11</f>
        <v>0</v>
      </c>
    </row>
    <row r="185" spans="2:3" ht="13.5" hidden="1" thickBot="1" x14ac:dyDescent="0.25">
      <c r="B185" s="106">
        <f t="shared" si="0"/>
        <v>2060</v>
      </c>
      <c r="C185" s="107">
        <f>[4]С2.5!$AS$11</f>
        <v>0</v>
      </c>
    </row>
    <row r="186" spans="2:3" ht="13.5" hidden="1" thickBot="1" x14ac:dyDescent="0.25">
      <c r="B186" s="106">
        <f t="shared" si="0"/>
        <v>2061</v>
      </c>
      <c r="C186" s="107">
        <f>[4]С2.5!$AT$11</f>
        <v>0</v>
      </c>
    </row>
    <row r="187" spans="2:3" ht="13.5" hidden="1" thickBot="1" x14ac:dyDescent="0.25">
      <c r="B187" s="106">
        <f t="shared" si="0"/>
        <v>2062</v>
      </c>
      <c r="C187" s="107">
        <f>[4]С2.5!$AU$11</f>
        <v>0</v>
      </c>
    </row>
    <row r="188" spans="2:3" ht="13.5" hidden="1" thickBot="1" x14ac:dyDescent="0.25">
      <c r="B188" s="106">
        <f t="shared" si="0"/>
        <v>2063</v>
      </c>
      <c r="C188" s="107">
        <f>[4]С2.5!$AV$11</f>
        <v>0</v>
      </c>
    </row>
    <row r="189" spans="2:3" ht="13.5" hidden="1" thickBot="1" x14ac:dyDescent="0.25">
      <c r="B189" s="106">
        <f t="shared" si="0"/>
        <v>2064</v>
      </c>
      <c r="C189" s="107">
        <f>[4]С2.5!$AW$11</f>
        <v>0</v>
      </c>
    </row>
    <row r="190" spans="2:3" ht="13.5" hidden="1" thickBot="1" x14ac:dyDescent="0.25">
      <c r="B190" s="106">
        <f t="shared" si="0"/>
        <v>2065</v>
      </c>
      <c r="C190" s="107">
        <f>[4]С2.5!$AX$11</f>
        <v>0</v>
      </c>
    </row>
    <row r="191" spans="2:3" ht="13.5" hidden="1" thickBot="1" x14ac:dyDescent="0.25">
      <c r="B191" s="106">
        <f t="shared" si="0"/>
        <v>2066</v>
      </c>
      <c r="C191" s="107">
        <f>[4]С2.5!$AY$11</f>
        <v>0</v>
      </c>
    </row>
    <row r="192" spans="2:3" ht="13.5" hidden="1" thickBot="1" x14ac:dyDescent="0.25">
      <c r="B192" s="106">
        <f t="shared" si="0"/>
        <v>2067</v>
      </c>
      <c r="C192" s="107">
        <f>[4]С2.5!$AZ$11</f>
        <v>0</v>
      </c>
    </row>
    <row r="193" spans="2:3" ht="13.5" hidden="1" thickBot="1" x14ac:dyDescent="0.25">
      <c r="B193" s="106">
        <f t="shared" si="0"/>
        <v>2068</v>
      </c>
      <c r="C193" s="107">
        <f>[4]С2.5!$BA$11</f>
        <v>0</v>
      </c>
    </row>
    <row r="194" spans="2:3" ht="13.5" hidden="1" thickBot="1" x14ac:dyDescent="0.25">
      <c r="B194" s="106">
        <f t="shared" si="0"/>
        <v>2069</v>
      </c>
      <c r="C194" s="107">
        <f>[4]С2.5!$BB$11</f>
        <v>0</v>
      </c>
    </row>
    <row r="195" spans="2:3" ht="13.5" hidden="1" thickBot="1" x14ac:dyDescent="0.25">
      <c r="B195" s="106">
        <f t="shared" si="0"/>
        <v>2070</v>
      </c>
      <c r="C195" s="107">
        <f>[4]С2.5!$BC$11</f>
        <v>0</v>
      </c>
    </row>
    <row r="196" spans="2:3" ht="13.5" hidden="1" thickBot="1" x14ac:dyDescent="0.25">
      <c r="B196" s="106">
        <f t="shared" si="0"/>
        <v>2071</v>
      </c>
      <c r="C196" s="107">
        <f>[4]С2.5!$BD$11</f>
        <v>0</v>
      </c>
    </row>
    <row r="197" spans="2:3" ht="13.5" hidden="1" thickBot="1" x14ac:dyDescent="0.25">
      <c r="B197" s="106">
        <f t="shared" si="0"/>
        <v>2072</v>
      </c>
      <c r="C197" s="107">
        <f>[4]С2.5!$BE$11</f>
        <v>0</v>
      </c>
    </row>
    <row r="198" spans="2:3" ht="13.5" hidden="1" thickBot="1" x14ac:dyDescent="0.25">
      <c r="B198" s="106">
        <f t="shared" si="0"/>
        <v>2073</v>
      </c>
      <c r="C198" s="107">
        <f>[4]С2.5!$BF$11</f>
        <v>0</v>
      </c>
    </row>
    <row r="199" spans="2:3" ht="13.5" hidden="1" thickBot="1" x14ac:dyDescent="0.25">
      <c r="B199" s="106">
        <f t="shared" si="0"/>
        <v>2074</v>
      </c>
      <c r="C199" s="107">
        <f>[4]С2.5!$BG$11</f>
        <v>0</v>
      </c>
    </row>
    <row r="200" spans="2:3" ht="13.5" hidden="1" thickBot="1" x14ac:dyDescent="0.25">
      <c r="B200" s="106">
        <f t="shared" si="0"/>
        <v>2075</v>
      </c>
      <c r="C200" s="107">
        <f>[4]С2.5!$BH$11</f>
        <v>0</v>
      </c>
    </row>
    <row r="201" spans="2:3" ht="13.5" hidden="1" thickBot="1" x14ac:dyDescent="0.25">
      <c r="B201" s="106">
        <f t="shared" si="0"/>
        <v>2076</v>
      </c>
      <c r="C201" s="107">
        <f>[4]С2.5!$BI$11</f>
        <v>0</v>
      </c>
    </row>
    <row r="202" spans="2:3" ht="13.5" hidden="1" thickBot="1" x14ac:dyDescent="0.25">
      <c r="B202" s="106">
        <f t="shared" si="0"/>
        <v>2077</v>
      </c>
      <c r="C202" s="107">
        <f>[4]С2.5!$BJ$11</f>
        <v>0</v>
      </c>
    </row>
    <row r="203" spans="2:3" ht="13.5" hidden="1" thickBot="1" x14ac:dyDescent="0.25">
      <c r="B203" s="106">
        <f t="shared" si="0"/>
        <v>2078</v>
      </c>
      <c r="C203" s="107">
        <f>[4]С2.5!$BK$11</f>
        <v>0</v>
      </c>
    </row>
    <row r="204" spans="2:3" ht="13.5" hidden="1" thickBot="1" x14ac:dyDescent="0.25">
      <c r="B204" s="106">
        <f t="shared" si="0"/>
        <v>2079</v>
      </c>
      <c r="C204" s="107">
        <f>[4]С2.5!$BL$11</f>
        <v>0</v>
      </c>
    </row>
    <row r="205" spans="2:3" ht="13.5" hidden="1" thickBot="1" x14ac:dyDescent="0.25">
      <c r="B205" s="106">
        <f t="shared" si="0"/>
        <v>2080</v>
      </c>
      <c r="C205" s="107">
        <f>[4]С2.5!$BM$11</f>
        <v>0</v>
      </c>
    </row>
    <row r="206" spans="2:3" ht="13.5" hidden="1" thickBot="1" x14ac:dyDescent="0.25">
      <c r="B206" s="106">
        <f t="shared" si="0"/>
        <v>2081</v>
      </c>
      <c r="C206" s="107">
        <f>[4]С2.5!$BN$11</f>
        <v>0</v>
      </c>
    </row>
    <row r="207" spans="2:3" ht="13.5" hidden="1" thickBot="1" x14ac:dyDescent="0.25">
      <c r="B207" s="106">
        <f t="shared" si="0"/>
        <v>2082</v>
      </c>
      <c r="C207" s="107">
        <f>[4]С2.5!$BO$11</f>
        <v>0</v>
      </c>
    </row>
    <row r="208" spans="2:3" ht="13.5" hidden="1" thickBot="1" x14ac:dyDescent="0.25">
      <c r="B208" s="106">
        <f t="shared" si="0"/>
        <v>2083</v>
      </c>
      <c r="C208" s="107">
        <f>[4]С2.5!$BP$11</f>
        <v>0</v>
      </c>
    </row>
    <row r="209" spans="2:3" ht="13.5" hidden="1" thickBot="1" x14ac:dyDescent="0.25">
      <c r="B209" s="106">
        <f t="shared" si="0"/>
        <v>2084</v>
      </c>
      <c r="C209" s="107">
        <f>[4]С2.5!$BQ$11</f>
        <v>0</v>
      </c>
    </row>
    <row r="210" spans="2:3" ht="13.5" hidden="1" thickBot="1" x14ac:dyDescent="0.25">
      <c r="B210" s="106">
        <f t="shared" si="0"/>
        <v>2085</v>
      </c>
      <c r="C210" s="107">
        <f>[4]С2.5!$BR$11</f>
        <v>0</v>
      </c>
    </row>
    <row r="211" spans="2:3" ht="13.5" hidden="1" thickBot="1" x14ac:dyDescent="0.25">
      <c r="B211" s="106">
        <f t="shared" ref="B211:B224" si="1">B210+1</f>
        <v>2086</v>
      </c>
      <c r="C211" s="107">
        <f>[4]С2.5!$BS$11</f>
        <v>0</v>
      </c>
    </row>
    <row r="212" spans="2:3" ht="13.5" hidden="1" thickBot="1" x14ac:dyDescent="0.25">
      <c r="B212" s="106">
        <f t="shared" si="1"/>
        <v>2087</v>
      </c>
      <c r="C212" s="107">
        <f>[4]С2.5!$BT$11</f>
        <v>0</v>
      </c>
    </row>
    <row r="213" spans="2:3" ht="13.5" hidden="1" thickBot="1" x14ac:dyDescent="0.25">
      <c r="B213" s="106">
        <f t="shared" si="1"/>
        <v>2088</v>
      </c>
      <c r="C213" s="107">
        <f>[4]С2.5!$BU$11</f>
        <v>0</v>
      </c>
    </row>
    <row r="214" spans="2:3" ht="13.5" hidden="1" thickBot="1" x14ac:dyDescent="0.25">
      <c r="B214" s="106">
        <f t="shared" si="1"/>
        <v>2089</v>
      </c>
      <c r="C214" s="107">
        <f>[4]С2.5!$BV$11</f>
        <v>0</v>
      </c>
    </row>
    <row r="215" spans="2:3" ht="13.5" hidden="1" thickBot="1" x14ac:dyDescent="0.25">
      <c r="B215" s="106">
        <f t="shared" si="1"/>
        <v>2090</v>
      </c>
      <c r="C215" s="107">
        <f>[4]С2.5!$BW$11</f>
        <v>0</v>
      </c>
    </row>
    <row r="216" spans="2:3" ht="13.5" hidden="1" thickBot="1" x14ac:dyDescent="0.25">
      <c r="B216" s="106">
        <f t="shared" si="1"/>
        <v>2091</v>
      </c>
      <c r="C216" s="107">
        <f>[4]С2.5!$BX$11</f>
        <v>0</v>
      </c>
    </row>
    <row r="217" spans="2:3" ht="13.5" hidden="1" thickBot="1" x14ac:dyDescent="0.25">
      <c r="B217" s="106">
        <f t="shared" si="1"/>
        <v>2092</v>
      </c>
      <c r="C217" s="107">
        <f>[4]С2.5!$BY$11</f>
        <v>0</v>
      </c>
    </row>
    <row r="218" spans="2:3" ht="13.5" hidden="1" thickBot="1" x14ac:dyDescent="0.25">
      <c r="B218" s="106">
        <f t="shared" si="1"/>
        <v>2093</v>
      </c>
      <c r="C218" s="107">
        <f>[4]С2.5!$BZ$11</f>
        <v>0</v>
      </c>
    </row>
    <row r="219" spans="2:3" ht="13.5" hidden="1" thickBot="1" x14ac:dyDescent="0.25">
      <c r="B219" s="106">
        <f t="shared" si="1"/>
        <v>2094</v>
      </c>
      <c r="C219" s="107">
        <f>[4]С2.5!$CA$11</f>
        <v>0</v>
      </c>
    </row>
    <row r="220" spans="2:3" ht="13.5" hidden="1" thickBot="1" x14ac:dyDescent="0.25">
      <c r="B220" s="106">
        <f t="shared" si="1"/>
        <v>2095</v>
      </c>
      <c r="C220" s="107">
        <f>[4]С2.5!$CB$11</f>
        <v>0</v>
      </c>
    </row>
    <row r="221" spans="2:3" ht="13.5" hidden="1" thickBot="1" x14ac:dyDescent="0.25">
      <c r="B221" s="106">
        <f t="shared" si="1"/>
        <v>2096</v>
      </c>
      <c r="C221" s="107">
        <f>[4]С2.5!$CC$11</f>
        <v>0</v>
      </c>
    </row>
    <row r="222" spans="2:3" ht="13.5" hidden="1" thickBot="1" x14ac:dyDescent="0.25">
      <c r="B222" s="106">
        <f t="shared" si="1"/>
        <v>2097</v>
      </c>
      <c r="C222" s="107">
        <f>[4]С2.5!$CD$11</f>
        <v>0</v>
      </c>
    </row>
    <row r="223" spans="2:3" ht="13.5" hidden="1" thickBot="1" x14ac:dyDescent="0.25">
      <c r="B223" s="106">
        <f t="shared" si="1"/>
        <v>2098</v>
      </c>
      <c r="C223" s="107">
        <f>[4]С2.5!$CE$11</f>
        <v>0</v>
      </c>
    </row>
    <row r="224" spans="2:3" ht="13.5" hidden="1" thickBot="1" x14ac:dyDescent="0.25">
      <c r="B224" s="106">
        <f t="shared" si="1"/>
        <v>2099</v>
      </c>
      <c r="C224" s="107">
        <f>[4]С2.5!$CF$11</f>
        <v>0</v>
      </c>
    </row>
    <row r="225" spans="2:3" ht="13.5" hidden="1" thickBot="1" x14ac:dyDescent="0.25">
      <c r="B225" s="108">
        <f>B162+1</f>
        <v>2038</v>
      </c>
      <c r="C225" s="109" t="e">
        <f>[4]С2.5!#REF!</f>
        <v>#REF!</v>
      </c>
    </row>
    <row r="226" spans="2:3" x14ac:dyDescent="0.2">
      <c r="B226" s="110"/>
      <c r="C226" s="111"/>
    </row>
  </sheetData>
  <mergeCells count="9">
    <mergeCell ref="B1:C1"/>
    <mergeCell ref="A14:C14"/>
    <mergeCell ref="B27:C27"/>
    <mergeCell ref="B143:C143"/>
    <mergeCell ref="B45:C45"/>
    <mergeCell ref="B90:C90"/>
    <mergeCell ref="B101:C101"/>
    <mergeCell ref="B126:C126"/>
    <mergeCell ref="B129:C129"/>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3073" r:id="rId4" name="Button 1">
              <controlPr defaultSize="0" print="0" autoFill="0" autoPict="0" macro="[4]!Лист29.PrintBlock">
                <anchor moveWithCells="1" sizeWithCells="1">
                  <from>
                    <xdr:col>3</xdr:col>
                    <xdr:colOff>47625</xdr:colOff>
                    <xdr:row>0</xdr:row>
                    <xdr:rowOff>104775</xdr:rowOff>
                  </from>
                  <to>
                    <xdr:col>4</xdr:col>
                    <xdr:colOff>1095375</xdr:colOff>
                    <xdr:row>0</xdr:row>
                    <xdr:rowOff>352425</xdr:rowOff>
                  </to>
                </anchor>
              </controlPr>
            </control>
          </mc:Choice>
        </mc:AlternateContent>
        <mc:AlternateContent xmlns:mc="http://schemas.openxmlformats.org/markup-compatibility/2006">
          <mc:Choice Requires="x14">
            <control shapeId="3074" r:id="rId5" name="Button 2">
              <controlPr defaultSize="0" print="0" autoFill="0" autoPict="0" macro="[4]!Лист29.PrintBlock">
                <anchor moveWithCells="1" sizeWithCells="1">
                  <from>
                    <xdr:col>3</xdr:col>
                    <xdr:colOff>47625</xdr:colOff>
                    <xdr:row>0</xdr:row>
                    <xdr:rowOff>104775</xdr:rowOff>
                  </from>
                  <to>
                    <xdr:col>4</xdr:col>
                    <xdr:colOff>1095375</xdr:colOff>
                    <xdr:row>0</xdr:row>
                    <xdr:rowOff>352425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13"/>
      <c r="B1" s="142" t="s">
        <v>225</v>
      </c>
      <c r="C1" s="142"/>
    </row>
    <row r="2" spans="1:3" x14ac:dyDescent="0.2">
      <c r="A2" s="1"/>
      <c r="B2" s="3" t="s">
        <v>2</v>
      </c>
      <c r="C2" s="4">
        <f ca="1">TODAY()</f>
        <v>44944</v>
      </c>
    </row>
    <row r="3" spans="1:3" x14ac:dyDescent="0.2">
      <c r="A3" s="1"/>
      <c r="B3" s="114" t="s">
        <v>3</v>
      </c>
    </row>
    <row r="4" spans="1:3" ht="25.5" x14ac:dyDescent="0.2">
      <c r="A4" s="7"/>
      <c r="B4" s="8" t="str">
        <f>[5]И1!D13</f>
        <v>Субъект Российской Федерации</v>
      </c>
      <c r="C4" s="9" t="str">
        <f>[5]И1!E13</f>
        <v>Новосибирская область</v>
      </c>
    </row>
    <row r="5" spans="1:3" ht="38.25" x14ac:dyDescent="0.2">
      <c r="A5" s="7"/>
      <c r="B5" s="8" t="str">
        <f>[5]И1!D14</f>
        <v>Тип муниципального образования (выберите из списка)</v>
      </c>
      <c r="C5" s="9" t="str">
        <f>[5]И1!E14</f>
        <v>село Верх-Алеус, Ордынский муниципальный район</v>
      </c>
    </row>
    <row r="6" spans="1:3" x14ac:dyDescent="0.2">
      <c r="A6" s="7"/>
      <c r="B6" s="8" t="str">
        <f>IF([5]И1!E15="","",[5]И1!D15)</f>
        <v/>
      </c>
      <c r="C6" s="9" t="str">
        <f>IF([5]И1!E15="","",[5]И1!E15)</f>
        <v/>
      </c>
    </row>
    <row r="7" spans="1:3" x14ac:dyDescent="0.2">
      <c r="A7" s="7"/>
      <c r="B7" s="8" t="str">
        <f>[5]И1!D16</f>
        <v>Код ОКТМО</v>
      </c>
      <c r="C7" s="10" t="str">
        <f>[5]И1!E16</f>
        <v>50642402101</v>
      </c>
    </row>
    <row r="8" spans="1:3" x14ac:dyDescent="0.2">
      <c r="A8" s="7"/>
      <c r="B8" s="11" t="str">
        <f>[5]И1!D17</f>
        <v>Система теплоснабжения</v>
      </c>
      <c r="C8" s="12">
        <f>[5]И1!E17</f>
        <v>0</v>
      </c>
    </row>
    <row r="9" spans="1:3" x14ac:dyDescent="0.2">
      <c r="A9" s="7"/>
      <c r="B9" s="8" t="str">
        <f>[5]И1!D8</f>
        <v>Период регулирования (i)-й</v>
      </c>
      <c r="C9" s="13">
        <f>[5]И1!E8</f>
        <v>2023</v>
      </c>
    </row>
    <row r="10" spans="1:3" x14ac:dyDescent="0.2">
      <c r="A10" s="7"/>
      <c r="B10" s="8" t="str">
        <f>[5]И1!D9</f>
        <v>Период регулирования (i-1)-й</v>
      </c>
      <c r="C10" s="13">
        <f>[5]И1!E9</f>
        <v>2022</v>
      </c>
    </row>
    <row r="11" spans="1:3" x14ac:dyDescent="0.2">
      <c r="A11" s="7"/>
      <c r="B11" s="8" t="str">
        <f>[5]И1!D10</f>
        <v>Период регулирования (i-2)-й</v>
      </c>
      <c r="C11" s="13">
        <f>[5]И1!E10</f>
        <v>2021</v>
      </c>
    </row>
    <row r="12" spans="1:3" x14ac:dyDescent="0.2">
      <c r="A12" s="7"/>
      <c r="B12" s="8" t="str">
        <f>[5]И1!D11</f>
        <v>Базовый год (б)</v>
      </c>
      <c r="C12" s="13">
        <f>[5]И1!E11</f>
        <v>2019</v>
      </c>
    </row>
    <row r="13" spans="1:3" ht="38.25" x14ac:dyDescent="0.2">
      <c r="A13" s="7"/>
      <c r="B13" s="8" t="str">
        <f>[5]И1!D18</f>
        <v>Вид топлива, использование которого преобладает в системе теплоснабжения</v>
      </c>
      <c r="C13" s="14" t="str">
        <f>[5]С1.1!E13</f>
        <v>уголь (вид угля не указан в топливном балансе)</v>
      </c>
    </row>
    <row r="14" spans="1:3" ht="31.7" customHeight="1" thickBot="1" x14ac:dyDescent="0.25">
      <c r="A14" s="147" t="s">
        <v>4</v>
      </c>
      <c r="B14" s="147"/>
      <c r="C14" s="147"/>
    </row>
    <row r="15" spans="1:3" x14ac:dyDescent="0.2">
      <c r="A15" s="15" t="s">
        <v>5</v>
      </c>
      <c r="B15" s="115" t="s">
        <v>6</v>
      </c>
      <c r="C15" s="116" t="s">
        <v>7</v>
      </c>
    </row>
    <row r="16" spans="1:3" x14ac:dyDescent="0.2">
      <c r="A16" s="18">
        <v>1</v>
      </c>
      <c r="B16" s="117">
        <v>2</v>
      </c>
      <c r="C16" s="118">
        <v>3</v>
      </c>
    </row>
    <row r="17" spans="1:3" x14ac:dyDescent="0.2">
      <c r="A17" s="21">
        <v>1</v>
      </c>
      <c r="B17" s="22" t="s">
        <v>8</v>
      </c>
      <c r="C17" s="23">
        <f>SUM(C18:C22)</f>
        <v>4278.0173195500583</v>
      </c>
    </row>
    <row r="18" spans="1:3" ht="42.75" x14ac:dyDescent="0.2">
      <c r="A18" s="21" t="s">
        <v>9</v>
      </c>
      <c r="B18" s="24" t="s">
        <v>10</v>
      </c>
      <c r="C18" s="25">
        <f>[5]С1!F12</f>
        <v>1134.7740071372189</v>
      </c>
    </row>
    <row r="19" spans="1:3" ht="42.75" x14ac:dyDescent="0.2">
      <c r="A19" s="21" t="s">
        <v>11</v>
      </c>
      <c r="B19" s="24" t="s">
        <v>12</v>
      </c>
      <c r="C19" s="25">
        <f>[5]С2!F12</f>
        <v>2106.4563180122805</v>
      </c>
    </row>
    <row r="20" spans="1:3" ht="30" x14ac:dyDescent="0.2">
      <c r="A20" s="21" t="s">
        <v>13</v>
      </c>
      <c r="B20" s="24" t="s">
        <v>14</v>
      </c>
      <c r="C20" s="25">
        <f>[5]С3!F12</f>
        <v>503.94083842199643</v>
      </c>
    </row>
    <row r="21" spans="1:3" ht="42.75" x14ac:dyDescent="0.2">
      <c r="A21" s="21" t="s">
        <v>15</v>
      </c>
      <c r="B21" s="24" t="s">
        <v>226</v>
      </c>
      <c r="C21" s="25">
        <f>[5]С4!F12</f>
        <v>448.96346343836552</v>
      </c>
    </row>
    <row r="22" spans="1:3" ht="30" x14ac:dyDescent="0.2">
      <c r="A22" s="21" t="s">
        <v>17</v>
      </c>
      <c r="B22" s="24" t="s">
        <v>227</v>
      </c>
      <c r="C22" s="25">
        <f>[5]С5!F12</f>
        <v>83.882692540197226</v>
      </c>
    </row>
    <row r="23" spans="1:3" ht="43.5" thickBot="1" x14ac:dyDescent="0.25">
      <c r="A23" s="26" t="s">
        <v>19</v>
      </c>
      <c r="B23" s="27" t="s">
        <v>228</v>
      </c>
      <c r="C23" s="28" t="str">
        <f>[5]С6!F12</f>
        <v>-</v>
      </c>
    </row>
    <row r="24" spans="1:3" ht="13.5" thickBot="1" x14ac:dyDescent="0.25">
      <c r="A24" s="1"/>
    </row>
    <row r="25" spans="1:3" x14ac:dyDescent="0.2">
      <c r="A25" s="15" t="s">
        <v>5</v>
      </c>
      <c r="B25" s="29" t="s">
        <v>6</v>
      </c>
      <c r="C25" s="16" t="s">
        <v>7</v>
      </c>
    </row>
    <row r="26" spans="1:3" x14ac:dyDescent="0.2">
      <c r="A26" s="18">
        <v>1</v>
      </c>
      <c r="B26" s="30">
        <v>2</v>
      </c>
      <c r="C26" s="31">
        <v>3</v>
      </c>
    </row>
    <row r="27" spans="1:3" ht="30" customHeight="1" x14ac:dyDescent="0.2">
      <c r="A27" s="21">
        <v>1</v>
      </c>
      <c r="B27" s="144" t="s">
        <v>21</v>
      </c>
      <c r="C27" s="144"/>
    </row>
    <row r="28" spans="1:3" x14ac:dyDescent="0.2">
      <c r="A28" s="21" t="s">
        <v>9</v>
      </c>
      <c r="B28" s="32" t="s">
        <v>229</v>
      </c>
      <c r="C28" s="33">
        <f>[5]С1.1!E16</f>
        <v>5100</v>
      </c>
    </row>
    <row r="29" spans="1:3" ht="42.75" x14ac:dyDescent="0.2">
      <c r="A29" s="21" t="s">
        <v>11</v>
      </c>
      <c r="B29" s="32" t="s">
        <v>230</v>
      </c>
      <c r="C29" s="33">
        <f>[5]С1.1!E27</f>
        <v>3051.2176603165599</v>
      </c>
    </row>
    <row r="30" spans="1:3" ht="17.25" x14ac:dyDescent="0.2">
      <c r="A30" s="21" t="s">
        <v>13</v>
      </c>
      <c r="B30" s="32" t="s">
        <v>30</v>
      </c>
      <c r="C30" s="35">
        <f>[5]С1.1!E19</f>
        <v>0.59499999999999997</v>
      </c>
    </row>
    <row r="31" spans="1:3" ht="17.25" x14ac:dyDescent="0.2">
      <c r="A31" s="21" t="s">
        <v>15</v>
      </c>
      <c r="B31" s="32" t="s">
        <v>31</v>
      </c>
      <c r="C31" s="35">
        <f>[5]С1.1!E20</f>
        <v>-0.113</v>
      </c>
    </row>
    <row r="32" spans="1:3" ht="30" x14ac:dyDescent="0.2">
      <c r="A32" s="21" t="s">
        <v>17</v>
      </c>
      <c r="B32" s="36" t="s">
        <v>231</v>
      </c>
      <c r="C32" s="119">
        <f>[5]С1!F13</f>
        <v>176.4</v>
      </c>
    </row>
    <row r="33" spans="1:3" x14ac:dyDescent="0.2">
      <c r="A33" s="21" t="s">
        <v>19</v>
      </c>
      <c r="B33" s="36" t="s">
        <v>33</v>
      </c>
      <c r="C33" s="38">
        <f>[5]С1!F16</f>
        <v>7000</v>
      </c>
    </row>
    <row r="34" spans="1:3" ht="14.25" x14ac:dyDescent="0.2">
      <c r="A34" s="21" t="s">
        <v>34</v>
      </c>
      <c r="B34" s="40" t="s">
        <v>232</v>
      </c>
      <c r="C34" s="41">
        <f>[5]С1!F17</f>
        <v>0.72857142857142854</v>
      </c>
    </row>
    <row r="35" spans="1:3" ht="15.75" x14ac:dyDescent="0.2">
      <c r="A35" s="120" t="s">
        <v>36</v>
      </c>
      <c r="B35" s="43" t="s">
        <v>37</v>
      </c>
      <c r="C35" s="41">
        <f>[5]С1!F20</f>
        <v>21.588411179999994</v>
      </c>
    </row>
    <row r="36" spans="1:3" ht="15.75" x14ac:dyDescent="0.2">
      <c r="A36" s="120" t="s">
        <v>38</v>
      </c>
      <c r="B36" s="44" t="s">
        <v>39</v>
      </c>
      <c r="C36" s="41">
        <f>[5]С1!F21</f>
        <v>20.818139999999996</v>
      </c>
    </row>
    <row r="37" spans="1:3" ht="14.25" x14ac:dyDescent="0.2">
      <c r="A37" s="120" t="s">
        <v>40</v>
      </c>
      <c r="B37" s="45" t="s">
        <v>41</v>
      </c>
      <c r="C37" s="41">
        <f>[5]С1!F22</f>
        <v>1.0369999999999999</v>
      </c>
    </row>
    <row r="38" spans="1:3" ht="53.25" thickBot="1" x14ac:dyDescent="0.25">
      <c r="A38" s="26" t="s">
        <v>42</v>
      </c>
      <c r="B38" s="46" t="s">
        <v>43</v>
      </c>
      <c r="C38" s="47">
        <f>[5]С1!F23</f>
        <v>1.0469999999999999</v>
      </c>
    </row>
    <row r="39" spans="1:3" ht="13.5" thickBot="1" x14ac:dyDescent="0.25">
      <c r="A39" s="48"/>
      <c r="B39" s="121"/>
      <c r="C39" s="122"/>
    </row>
    <row r="40" spans="1:3" ht="30" customHeight="1" x14ac:dyDescent="0.2">
      <c r="A40" s="50" t="s">
        <v>44</v>
      </c>
      <c r="B40" s="146" t="s">
        <v>45</v>
      </c>
      <c r="C40" s="146"/>
    </row>
    <row r="41" spans="1:3" ht="25.5" x14ac:dyDescent="0.2">
      <c r="A41" s="21" t="s">
        <v>46</v>
      </c>
      <c r="B41" s="36" t="s">
        <v>47</v>
      </c>
      <c r="C41" s="51" t="str">
        <f>[5]С2.1!E12</f>
        <v>V</v>
      </c>
    </row>
    <row r="42" spans="1:3" ht="25.5" x14ac:dyDescent="0.2">
      <c r="A42" s="21" t="s">
        <v>48</v>
      </c>
      <c r="B42" s="32" t="s">
        <v>49</v>
      </c>
      <c r="C42" s="51" t="str">
        <f>[5]С2.1!E13</f>
        <v>6 и менее баллов</v>
      </c>
    </row>
    <row r="43" spans="1:3" ht="25.5" x14ac:dyDescent="0.2">
      <c r="A43" s="21" t="s">
        <v>50</v>
      </c>
      <c r="B43" s="32" t="s">
        <v>233</v>
      </c>
      <c r="C43" s="51" t="str">
        <f>[5]С2.1!E14</f>
        <v>от 200 до 500</v>
      </c>
    </row>
    <row r="44" spans="1:3" ht="25.5" x14ac:dyDescent="0.2">
      <c r="A44" s="21" t="s">
        <v>52</v>
      </c>
      <c r="B44" s="32" t="s">
        <v>234</v>
      </c>
      <c r="C44" s="52" t="str">
        <f>[5]С2.1!E15</f>
        <v>нет</v>
      </c>
    </row>
    <row r="45" spans="1:3" ht="30" x14ac:dyDescent="0.2">
      <c r="A45" s="21" t="s">
        <v>54</v>
      </c>
      <c r="B45" s="32" t="s">
        <v>55</v>
      </c>
      <c r="C45" s="33">
        <f>[5]С2!F18</f>
        <v>32402.627334033532</v>
      </c>
    </row>
    <row r="46" spans="1:3" ht="30" x14ac:dyDescent="0.2">
      <c r="A46" s="21" t="s">
        <v>56</v>
      </c>
      <c r="B46" s="53" t="s">
        <v>57</v>
      </c>
      <c r="C46" s="33">
        <f>IF([5]С2!F19&gt;0,[5]С2!F19,[5]С2!F20)</f>
        <v>23441.524932855718</v>
      </c>
    </row>
    <row r="47" spans="1:3" ht="25.5" x14ac:dyDescent="0.2">
      <c r="A47" s="21" t="s">
        <v>58</v>
      </c>
      <c r="B47" s="54" t="s">
        <v>59</v>
      </c>
      <c r="C47" s="33">
        <f>[5]С2.1!E19</f>
        <v>-37</v>
      </c>
    </row>
    <row r="48" spans="1:3" ht="25.5" x14ac:dyDescent="0.2">
      <c r="A48" s="21" t="s">
        <v>60</v>
      </c>
      <c r="B48" s="54" t="s">
        <v>61</v>
      </c>
      <c r="C48" s="33" t="str">
        <f>[5]С2.1!E22</f>
        <v>нет</v>
      </c>
    </row>
    <row r="49" spans="1:3" ht="38.25" x14ac:dyDescent="0.2">
      <c r="A49" s="21" t="s">
        <v>62</v>
      </c>
      <c r="B49" s="55" t="s">
        <v>63</v>
      </c>
      <c r="C49" s="33">
        <f>[5]С2.2!E10</f>
        <v>1287</v>
      </c>
    </row>
    <row r="50" spans="1:3" ht="25.5" x14ac:dyDescent="0.2">
      <c r="A50" s="21" t="s">
        <v>64</v>
      </c>
      <c r="B50" s="56" t="s">
        <v>65</v>
      </c>
      <c r="C50" s="33">
        <f>[5]С2.2!E12</f>
        <v>5.97</v>
      </c>
    </row>
    <row r="51" spans="1:3" ht="52.5" x14ac:dyDescent="0.2">
      <c r="A51" s="21" t="s">
        <v>66</v>
      </c>
      <c r="B51" s="57" t="s">
        <v>67</v>
      </c>
      <c r="C51" s="33">
        <f>[5]С2.2!E13</f>
        <v>1</v>
      </c>
    </row>
    <row r="52" spans="1:3" ht="27.75" x14ac:dyDescent="0.2">
      <c r="A52" s="21" t="s">
        <v>68</v>
      </c>
      <c r="B52" s="56" t="s">
        <v>69</v>
      </c>
      <c r="C52" s="33">
        <f>[5]С2.2!E14</f>
        <v>12104</v>
      </c>
    </row>
    <row r="53" spans="1:3" ht="25.5" x14ac:dyDescent="0.2">
      <c r="A53" s="21" t="s">
        <v>70</v>
      </c>
      <c r="B53" s="57" t="s">
        <v>71</v>
      </c>
      <c r="C53" s="35">
        <f>[5]С2.2!E15</f>
        <v>4.8000000000000001E-2</v>
      </c>
    </row>
    <row r="54" spans="1:3" x14ac:dyDescent="0.2">
      <c r="A54" s="21" t="s">
        <v>72</v>
      </c>
      <c r="B54" s="57" t="s">
        <v>73</v>
      </c>
      <c r="C54" s="33">
        <f>[5]С2.2!E16</f>
        <v>1</v>
      </c>
    </row>
    <row r="55" spans="1:3" ht="15.75" x14ac:dyDescent="0.2">
      <c r="A55" s="21" t="s">
        <v>74</v>
      </c>
      <c r="B55" s="59" t="s">
        <v>75</v>
      </c>
      <c r="C55" s="33">
        <f>[5]С2!F21</f>
        <v>1</v>
      </c>
    </row>
    <row r="56" spans="1:3" ht="30" x14ac:dyDescent="0.2">
      <c r="A56" s="60" t="s">
        <v>76</v>
      </c>
      <c r="B56" s="32" t="s">
        <v>235</v>
      </c>
      <c r="C56" s="33">
        <f>[5]С2!F13</f>
        <v>169640.22915965237</v>
      </c>
    </row>
    <row r="57" spans="1:3" ht="30" x14ac:dyDescent="0.2">
      <c r="A57" s="60" t="s">
        <v>78</v>
      </c>
      <c r="B57" s="59" t="s">
        <v>236</v>
      </c>
      <c r="C57" s="33">
        <f>[5]С2!F14</f>
        <v>113455</v>
      </c>
    </row>
    <row r="58" spans="1:3" ht="15.75" x14ac:dyDescent="0.2">
      <c r="A58" s="60" t="s">
        <v>80</v>
      </c>
      <c r="B58" s="61" t="s">
        <v>81</v>
      </c>
      <c r="C58" s="41">
        <f>[5]С2!F15</f>
        <v>1.071</v>
      </c>
    </row>
    <row r="59" spans="1:3" ht="15.75" x14ac:dyDescent="0.2">
      <c r="A59" s="60" t="s">
        <v>82</v>
      </c>
      <c r="B59" s="61" t="s">
        <v>83</v>
      </c>
      <c r="C59" s="41">
        <f>[5]С2!F16</f>
        <v>1</v>
      </c>
    </row>
    <row r="60" spans="1:3" ht="17.25" x14ac:dyDescent="0.2">
      <c r="A60" s="60" t="s">
        <v>84</v>
      </c>
      <c r="B60" s="59" t="s">
        <v>85</v>
      </c>
      <c r="C60" s="33">
        <f>[5]С2!F17</f>
        <v>1.01</v>
      </c>
    </row>
    <row r="61" spans="1:3" s="66" customFormat="1" ht="14.25" x14ac:dyDescent="0.2">
      <c r="A61" s="60" t="s">
        <v>86</v>
      </c>
      <c r="B61" s="64" t="s">
        <v>87</v>
      </c>
      <c r="C61" s="65">
        <f>[5]С2!F33</f>
        <v>10</v>
      </c>
    </row>
    <row r="62" spans="1:3" ht="30" x14ac:dyDescent="0.2">
      <c r="A62" s="60" t="s">
        <v>88</v>
      </c>
      <c r="B62" s="67" t="s">
        <v>89</v>
      </c>
      <c r="C62" s="33">
        <f>[5]С2!F26</f>
        <v>1168.8344047018327</v>
      </c>
    </row>
    <row r="63" spans="1:3" ht="17.25" x14ac:dyDescent="0.2">
      <c r="A63" s="60" t="s">
        <v>90</v>
      </c>
      <c r="B63" s="53" t="s">
        <v>237</v>
      </c>
      <c r="C63" s="33">
        <f>[5]С2!F27</f>
        <v>0.201330388</v>
      </c>
    </row>
    <row r="64" spans="1:3" ht="17.25" x14ac:dyDescent="0.2">
      <c r="A64" s="60" t="s">
        <v>92</v>
      </c>
      <c r="B64" s="59" t="s">
        <v>238</v>
      </c>
      <c r="C64" s="65">
        <f>[5]С2!F28</f>
        <v>4200</v>
      </c>
    </row>
    <row r="65" spans="1:3" ht="42.75" x14ac:dyDescent="0.2">
      <c r="A65" s="60" t="s">
        <v>94</v>
      </c>
      <c r="B65" s="32" t="s">
        <v>239</v>
      </c>
      <c r="C65" s="33">
        <f>[5]С2!F22</f>
        <v>35717.748653137714</v>
      </c>
    </row>
    <row r="66" spans="1:3" ht="30" x14ac:dyDescent="0.2">
      <c r="A66" s="60" t="s">
        <v>96</v>
      </c>
      <c r="B66" s="61" t="s">
        <v>240</v>
      </c>
      <c r="C66" s="33">
        <f>[5]С2!F23</f>
        <v>1990</v>
      </c>
    </row>
    <row r="67" spans="1:3" ht="30" x14ac:dyDescent="0.2">
      <c r="A67" s="60" t="s">
        <v>98</v>
      </c>
      <c r="B67" s="53" t="s">
        <v>99</v>
      </c>
      <c r="C67" s="33">
        <f>[5]С2.1!E27</f>
        <v>14307.876789999998</v>
      </c>
    </row>
    <row r="68" spans="1:3" ht="38.25" x14ac:dyDescent="0.2">
      <c r="A68" s="60" t="s">
        <v>100</v>
      </c>
      <c r="B68" s="68" t="s">
        <v>101</v>
      </c>
      <c r="C68" s="52">
        <f>[5]С2.3!E21</f>
        <v>0</v>
      </c>
    </row>
    <row r="69" spans="1:3" ht="25.5" x14ac:dyDescent="0.2">
      <c r="A69" s="60" t="s">
        <v>102</v>
      </c>
      <c r="B69" s="69" t="s">
        <v>103</v>
      </c>
      <c r="C69" s="70">
        <f>[5]С2.3!E11</f>
        <v>9.89</v>
      </c>
    </row>
    <row r="70" spans="1:3" ht="25.5" x14ac:dyDescent="0.2">
      <c r="A70" s="60" t="s">
        <v>104</v>
      </c>
      <c r="B70" s="69" t="s">
        <v>105</v>
      </c>
      <c r="C70" s="65">
        <f>[5]С2.3!E13</f>
        <v>300</v>
      </c>
    </row>
    <row r="71" spans="1:3" ht="25.5" x14ac:dyDescent="0.2">
      <c r="A71" s="60" t="s">
        <v>106</v>
      </c>
      <c r="B71" s="68" t="s">
        <v>107</v>
      </c>
      <c r="C71" s="71">
        <f>IF([5]С2.3!E22&gt;0,[5]С2.3!E22,[5]С2.3!E14)</f>
        <v>61211</v>
      </c>
    </row>
    <row r="72" spans="1:3" ht="38.25" x14ac:dyDescent="0.2">
      <c r="A72" s="60" t="s">
        <v>108</v>
      </c>
      <c r="B72" s="68" t="s">
        <v>109</v>
      </c>
      <c r="C72" s="71">
        <f>IF([5]С2.3!E23&gt;0,[5]С2.3!E23,[5]С2.3!E15)</f>
        <v>45675</v>
      </c>
    </row>
    <row r="73" spans="1:3" ht="30" x14ac:dyDescent="0.2">
      <c r="A73" s="60" t="s">
        <v>110</v>
      </c>
      <c r="B73" s="53" t="s">
        <v>111</v>
      </c>
      <c r="C73" s="33">
        <f>[5]С2.1!E28</f>
        <v>9541.9567200000001</v>
      </c>
    </row>
    <row r="74" spans="1:3" ht="38.25" x14ac:dyDescent="0.2">
      <c r="A74" s="60" t="s">
        <v>112</v>
      </c>
      <c r="B74" s="68" t="s">
        <v>113</v>
      </c>
      <c r="C74" s="52">
        <f>[5]С2.3!E25</f>
        <v>0</v>
      </c>
    </row>
    <row r="75" spans="1:3" ht="25.5" x14ac:dyDescent="0.2">
      <c r="A75" s="60" t="s">
        <v>114</v>
      </c>
      <c r="B75" s="69" t="s">
        <v>115</v>
      </c>
      <c r="C75" s="70">
        <f>[5]С2.3!E12</f>
        <v>0.56000000000000005</v>
      </c>
    </row>
    <row r="76" spans="1:3" ht="25.5" x14ac:dyDescent="0.2">
      <c r="A76" s="60" t="s">
        <v>116</v>
      </c>
      <c r="B76" s="69" t="s">
        <v>105</v>
      </c>
      <c r="C76" s="65">
        <f>[5]С2.3!E13</f>
        <v>300</v>
      </c>
    </row>
    <row r="77" spans="1:3" ht="25.5" x14ac:dyDescent="0.2">
      <c r="A77" s="60" t="s">
        <v>117</v>
      </c>
      <c r="B77" s="72" t="s">
        <v>118</v>
      </c>
      <c r="C77" s="71">
        <f>IF([5]С2.3!E26&gt;0,[5]С2.3!E26,[5]С2.3!E16)</f>
        <v>65637</v>
      </c>
    </row>
    <row r="78" spans="1:3" ht="38.25" x14ac:dyDescent="0.2">
      <c r="A78" s="60" t="s">
        <v>119</v>
      </c>
      <c r="B78" s="72" t="s">
        <v>120</v>
      </c>
      <c r="C78" s="71">
        <f>IF([5]С2.3!E27&gt;0,[5]С2.3!E27,[5]С2.3!E17)</f>
        <v>31684</v>
      </c>
    </row>
    <row r="79" spans="1:3" ht="17.25" x14ac:dyDescent="0.2">
      <c r="A79" s="60" t="s">
        <v>123</v>
      </c>
      <c r="B79" s="32" t="s">
        <v>124</v>
      </c>
      <c r="C79" s="35">
        <f>[5]С2!F29</f>
        <v>0.128978033685065</v>
      </c>
    </row>
    <row r="80" spans="1:3" ht="30" x14ac:dyDescent="0.2">
      <c r="A80" s="60" t="s">
        <v>125</v>
      </c>
      <c r="B80" s="53" t="s">
        <v>126</v>
      </c>
      <c r="C80" s="73">
        <f>[5]С2!F30</f>
        <v>0.11668498168498169</v>
      </c>
    </row>
    <row r="81" spans="1:3" ht="17.25" x14ac:dyDescent="0.2">
      <c r="A81" s="60" t="s">
        <v>127</v>
      </c>
      <c r="B81" s="74" t="s">
        <v>128</v>
      </c>
      <c r="C81" s="35">
        <f>[5]С2!F31</f>
        <v>0.13880000000000001</v>
      </c>
    </row>
    <row r="82" spans="1:3" s="66" customFormat="1" ht="18" thickBot="1" x14ac:dyDescent="0.25">
      <c r="A82" s="75" t="s">
        <v>129</v>
      </c>
      <c r="B82" s="76" t="s">
        <v>130</v>
      </c>
      <c r="C82" s="77">
        <f>[5]С2!F32</f>
        <v>0.12640000000000001</v>
      </c>
    </row>
    <row r="83" spans="1:3" ht="13.5" thickBot="1" x14ac:dyDescent="0.25">
      <c r="A83" s="48"/>
      <c r="B83" s="49"/>
      <c r="C83" s="14"/>
    </row>
    <row r="84" spans="1:3" s="66" customFormat="1" ht="30" customHeight="1" x14ac:dyDescent="0.2">
      <c r="A84" s="78" t="s">
        <v>131</v>
      </c>
      <c r="B84" s="146" t="s">
        <v>132</v>
      </c>
      <c r="C84" s="146"/>
    </row>
    <row r="85" spans="1:3" s="66" customFormat="1" ht="30" x14ac:dyDescent="0.2">
      <c r="A85" s="79" t="s">
        <v>133</v>
      </c>
      <c r="B85" s="32" t="s">
        <v>134</v>
      </c>
      <c r="C85" s="33">
        <f>[5]С3!F14</f>
        <v>7000.4488806189811</v>
      </c>
    </row>
    <row r="86" spans="1:3" s="66" customFormat="1" ht="42.75" x14ac:dyDescent="0.2">
      <c r="A86" s="79" t="s">
        <v>135</v>
      </c>
      <c r="B86" s="53" t="s">
        <v>136</v>
      </c>
      <c r="C86" s="80">
        <f>[5]С3!F15</f>
        <v>0.2</v>
      </c>
    </row>
    <row r="87" spans="1:3" s="66" customFormat="1" ht="14.25" x14ac:dyDescent="0.2">
      <c r="A87" s="79" t="s">
        <v>137</v>
      </c>
      <c r="B87" s="81" t="s">
        <v>138</v>
      </c>
      <c r="C87" s="65">
        <f>[5]С3!F18</f>
        <v>15</v>
      </c>
    </row>
    <row r="88" spans="1:3" s="66" customFormat="1" ht="17.25" x14ac:dyDescent="0.2">
      <c r="A88" s="79" t="s">
        <v>139</v>
      </c>
      <c r="B88" s="32" t="s">
        <v>140</v>
      </c>
      <c r="C88" s="33">
        <f>[5]С3!F19</f>
        <v>3487.1555421534131</v>
      </c>
    </row>
    <row r="89" spans="1:3" s="66" customFormat="1" ht="55.5" x14ac:dyDescent="0.2">
      <c r="A89" s="79" t="s">
        <v>141</v>
      </c>
      <c r="B89" s="53" t="s">
        <v>142</v>
      </c>
      <c r="C89" s="82">
        <f>[5]С3!F20</f>
        <v>2.1999999999999999E-2</v>
      </c>
    </row>
    <row r="90" spans="1:3" s="66" customFormat="1" ht="14.25" x14ac:dyDescent="0.2">
      <c r="A90" s="79" t="s">
        <v>143</v>
      </c>
      <c r="B90" s="59" t="s">
        <v>87</v>
      </c>
      <c r="C90" s="65">
        <f>[5]С3!F21</f>
        <v>10</v>
      </c>
    </row>
    <row r="91" spans="1:3" s="66" customFormat="1" ht="17.25" x14ac:dyDescent="0.2">
      <c r="A91" s="79" t="s">
        <v>144</v>
      </c>
      <c r="B91" s="32" t="s">
        <v>145</v>
      </c>
      <c r="C91" s="33">
        <f>[5]С3!F22</f>
        <v>3.5065032141054981</v>
      </c>
    </row>
    <row r="92" spans="1:3" s="66" customFormat="1" ht="55.5" x14ac:dyDescent="0.2">
      <c r="A92" s="79" t="s">
        <v>146</v>
      </c>
      <c r="B92" s="53" t="s">
        <v>147</v>
      </c>
      <c r="C92" s="82">
        <f>[5]С3!F23</f>
        <v>3.0000000000000001E-3</v>
      </c>
    </row>
    <row r="93" spans="1:3" s="66" customFormat="1" ht="27.75" thickBot="1" x14ac:dyDescent="0.25">
      <c r="A93" s="83" t="s">
        <v>148</v>
      </c>
      <c r="B93" s="84" t="s">
        <v>241</v>
      </c>
      <c r="C93" s="85">
        <f>[5]С3!F24</f>
        <v>1168.8344047018327</v>
      </c>
    </row>
    <row r="94" spans="1:3" ht="13.5" thickBot="1" x14ac:dyDescent="0.25">
      <c r="A94" s="48"/>
      <c r="B94" s="49"/>
      <c r="C94" s="14"/>
    </row>
    <row r="95" spans="1:3" ht="30" customHeight="1" x14ac:dyDescent="0.2">
      <c r="A95" s="86" t="s">
        <v>149</v>
      </c>
      <c r="B95" s="146" t="s">
        <v>150</v>
      </c>
      <c r="C95" s="146"/>
    </row>
    <row r="96" spans="1:3" ht="30" x14ac:dyDescent="0.2">
      <c r="A96" s="60" t="s">
        <v>151</v>
      </c>
      <c r="B96" s="32" t="s">
        <v>242</v>
      </c>
      <c r="C96" s="33">
        <f>[5]С4!F16</f>
        <v>1652.5</v>
      </c>
    </row>
    <row r="97" spans="1:3" ht="30" x14ac:dyDescent="0.2">
      <c r="A97" s="60" t="s">
        <v>153</v>
      </c>
      <c r="B97" s="59" t="s">
        <v>243</v>
      </c>
      <c r="C97" s="33">
        <f>[5]С4!F17</f>
        <v>73547</v>
      </c>
    </row>
    <row r="98" spans="1:3" ht="33" x14ac:dyDescent="0.2">
      <c r="A98" s="60" t="s">
        <v>155</v>
      </c>
      <c r="B98" s="59" t="s">
        <v>156</v>
      </c>
      <c r="C98" s="41">
        <f>[5]С4!F18</f>
        <v>0.02</v>
      </c>
    </row>
    <row r="99" spans="1:3" ht="30" x14ac:dyDescent="0.2">
      <c r="A99" s="60" t="s">
        <v>157</v>
      </c>
      <c r="B99" s="59" t="s">
        <v>158</v>
      </c>
      <c r="C99" s="33">
        <f>[5]С4!F19</f>
        <v>12104</v>
      </c>
    </row>
    <row r="100" spans="1:3" ht="28.5" x14ac:dyDescent="0.2">
      <c r="A100" s="60" t="s">
        <v>159</v>
      </c>
      <c r="B100" s="59" t="s">
        <v>160</v>
      </c>
      <c r="C100" s="41">
        <f>[5]С4!F20</f>
        <v>1.4999999999999999E-2</v>
      </c>
    </row>
    <row r="101" spans="1:3" ht="30" x14ac:dyDescent="0.2">
      <c r="A101" s="60" t="s">
        <v>161</v>
      </c>
      <c r="B101" s="32" t="s">
        <v>244</v>
      </c>
      <c r="C101" s="33">
        <f>[5]С4!F21</f>
        <v>1933.1949342509995</v>
      </c>
    </row>
    <row r="102" spans="1:3" ht="24" customHeight="1" x14ac:dyDescent="0.2">
      <c r="A102" s="60" t="s">
        <v>163</v>
      </c>
      <c r="B102" s="53" t="s">
        <v>164</v>
      </c>
      <c r="C102" s="34">
        <f>IF([5]С4.2!F8="да",[5]С4.2!D21,[5]С4.2!D15)</f>
        <v>0</v>
      </c>
    </row>
    <row r="103" spans="1:3" ht="68.25" x14ac:dyDescent="0.2">
      <c r="A103" s="60" t="s">
        <v>165</v>
      </c>
      <c r="B103" s="53" t="s">
        <v>166</v>
      </c>
      <c r="C103" s="33">
        <f>[5]С4!F22</f>
        <v>3.6112641666666665</v>
      </c>
    </row>
    <row r="104" spans="1:3" ht="30" x14ac:dyDescent="0.2">
      <c r="A104" s="60" t="s">
        <v>167</v>
      </c>
      <c r="B104" s="59" t="s">
        <v>245</v>
      </c>
      <c r="C104" s="33">
        <f>[5]С4!F23</f>
        <v>180</v>
      </c>
    </row>
    <row r="105" spans="1:3" ht="14.25" x14ac:dyDescent="0.2">
      <c r="A105" s="60" t="s">
        <v>169</v>
      </c>
      <c r="B105" s="53" t="s">
        <v>170</v>
      </c>
      <c r="C105" s="33">
        <f>[5]С4!F24</f>
        <v>8497.1999999999989</v>
      </c>
    </row>
    <row r="106" spans="1:3" ht="14.25" x14ac:dyDescent="0.2">
      <c r="A106" s="60" t="s">
        <v>171</v>
      </c>
      <c r="B106" s="59" t="s">
        <v>172</v>
      </c>
      <c r="C106" s="41">
        <f>[5]С4!F25</f>
        <v>0.35</v>
      </c>
    </row>
    <row r="107" spans="1:3" ht="17.25" x14ac:dyDescent="0.2">
      <c r="A107" s="60" t="s">
        <v>173</v>
      </c>
      <c r="B107" s="32" t="s">
        <v>174</v>
      </c>
      <c r="C107" s="33">
        <f>[5]С4!F26</f>
        <v>82.394810000000007</v>
      </c>
    </row>
    <row r="108" spans="1:3" ht="25.5" x14ac:dyDescent="0.2">
      <c r="A108" s="60" t="s">
        <v>175</v>
      </c>
      <c r="B108" s="53" t="s">
        <v>101</v>
      </c>
      <c r="C108" s="34">
        <f>[5]С4.3!E16</f>
        <v>0</v>
      </c>
    </row>
    <row r="109" spans="1:3" ht="25.5" x14ac:dyDescent="0.2">
      <c r="A109" s="60" t="s">
        <v>176</v>
      </c>
      <c r="B109" s="53" t="s">
        <v>177</v>
      </c>
      <c r="C109" s="33">
        <f>[5]С4.3!E17</f>
        <v>20.083333333333336</v>
      </c>
    </row>
    <row r="110" spans="1:3" ht="38.25" x14ac:dyDescent="0.2">
      <c r="A110" s="60" t="s">
        <v>178</v>
      </c>
      <c r="B110" s="53" t="s">
        <v>113</v>
      </c>
      <c r="C110" s="34">
        <f>[5]С4.3!E18</f>
        <v>0</v>
      </c>
    </row>
    <row r="111" spans="1:3" x14ac:dyDescent="0.2">
      <c r="A111" s="60" t="s">
        <v>179</v>
      </c>
      <c r="B111" s="53" t="s">
        <v>180</v>
      </c>
      <c r="C111" s="33">
        <f>[5]С4.3!E19</f>
        <v>58.64</v>
      </c>
    </row>
    <row r="112" spans="1:3" x14ac:dyDescent="0.2">
      <c r="A112" s="60" t="s">
        <v>181</v>
      </c>
      <c r="B112" s="59" t="s">
        <v>182</v>
      </c>
      <c r="C112" s="33">
        <f>[5]С4.3!E11</f>
        <v>1871</v>
      </c>
    </row>
    <row r="113" spans="1:3" x14ac:dyDescent="0.2">
      <c r="A113" s="60" t="s">
        <v>183</v>
      </c>
      <c r="B113" s="59" t="s">
        <v>184</v>
      </c>
      <c r="C113" s="52">
        <f>[5]С4.3!E12</f>
        <v>1636</v>
      </c>
    </row>
    <row r="114" spans="1:3" x14ac:dyDescent="0.2">
      <c r="A114" s="60" t="s">
        <v>185</v>
      </c>
      <c r="B114" s="59" t="s">
        <v>186</v>
      </c>
      <c r="C114" s="52">
        <f>[5]С4.3!E13</f>
        <v>204</v>
      </c>
    </row>
    <row r="115" spans="1:3" ht="30" x14ac:dyDescent="0.2">
      <c r="A115" s="60" t="s">
        <v>187</v>
      </c>
      <c r="B115" s="32" t="s">
        <v>246</v>
      </c>
      <c r="C115" s="33">
        <f>[5]С4!F27</f>
        <v>1351.1912129385403</v>
      </c>
    </row>
    <row r="116" spans="1:3" ht="25.5" x14ac:dyDescent="0.2">
      <c r="A116" s="60" t="s">
        <v>189</v>
      </c>
      <c r="B116" s="53" t="s">
        <v>247</v>
      </c>
      <c r="C116" s="33">
        <f>[5]С4!F28</f>
        <v>1037.7812695380494</v>
      </c>
    </row>
    <row r="117" spans="1:3" ht="42.75" x14ac:dyDescent="0.2">
      <c r="A117" s="60" t="s">
        <v>191</v>
      </c>
      <c r="B117" s="53" t="s">
        <v>192</v>
      </c>
      <c r="C117" s="33">
        <f>[5]С4!F29</f>
        <v>313.40994340049093</v>
      </c>
    </row>
    <row r="118" spans="1:3" ht="30" x14ac:dyDescent="0.2">
      <c r="A118" s="60" t="s">
        <v>193</v>
      </c>
      <c r="B118" s="40" t="s">
        <v>194</v>
      </c>
      <c r="C118" s="33">
        <f>[5]С4!F30</f>
        <v>2408.5590525269167</v>
      </c>
    </row>
    <row r="119" spans="1:3" ht="42.75" x14ac:dyDescent="0.2">
      <c r="A119" s="60" t="s">
        <v>248</v>
      </c>
      <c r="B119" s="90" t="s">
        <v>249</v>
      </c>
      <c r="C119" s="33">
        <f>[5]С4!F33</f>
        <v>1670.7125714260535</v>
      </c>
    </row>
    <row r="120" spans="1:3" ht="30" x14ac:dyDescent="0.2">
      <c r="A120" s="60" t="s">
        <v>250</v>
      </c>
      <c r="B120" s="123" t="s">
        <v>251</v>
      </c>
      <c r="C120" s="33">
        <f>[5]С4!F35</f>
        <v>17.040680999999999</v>
      </c>
    </row>
    <row r="121" spans="1:3" ht="14.25" x14ac:dyDescent="0.2">
      <c r="A121" s="60" t="s">
        <v>252</v>
      </c>
      <c r="B121" s="56" t="s">
        <v>253</v>
      </c>
      <c r="C121" s="33">
        <f>[5]С4!F36</f>
        <v>14319.9</v>
      </c>
    </row>
    <row r="122" spans="1:3" ht="28.5" thickBot="1" x14ac:dyDescent="0.25">
      <c r="A122" s="75" t="s">
        <v>254</v>
      </c>
      <c r="B122" s="124" t="s">
        <v>255</v>
      </c>
      <c r="C122" s="85">
        <f>[5]С4!F37</f>
        <v>1.19</v>
      </c>
    </row>
    <row r="123" spans="1:3" s="88" customFormat="1" ht="13.5" thickBot="1" x14ac:dyDescent="0.25">
      <c r="A123" s="48"/>
      <c r="B123" s="49"/>
      <c r="C123" s="14"/>
    </row>
    <row r="124" spans="1:3" s="66" customFormat="1" ht="30" customHeight="1" x14ac:dyDescent="0.2">
      <c r="A124" s="78" t="s">
        <v>195</v>
      </c>
      <c r="B124" s="146" t="s">
        <v>196</v>
      </c>
      <c r="C124" s="146"/>
    </row>
    <row r="125" spans="1:3" ht="16.5" thickBot="1" x14ac:dyDescent="0.25">
      <c r="A125" s="26" t="s">
        <v>197</v>
      </c>
      <c r="B125" s="87" t="s">
        <v>198</v>
      </c>
      <c r="C125" s="85">
        <f>[5]С5!F17</f>
        <v>0.02</v>
      </c>
    </row>
    <row r="126" spans="1:3" s="88" customFormat="1" ht="13.5" thickBot="1" x14ac:dyDescent="0.25">
      <c r="A126" s="48"/>
      <c r="B126" s="49"/>
      <c r="C126" s="14"/>
    </row>
    <row r="127" spans="1:3" ht="42.75" customHeight="1" x14ac:dyDescent="0.2">
      <c r="A127" s="86" t="s">
        <v>199</v>
      </c>
      <c r="B127" s="148" t="s">
        <v>200</v>
      </c>
      <c r="C127" s="148"/>
    </row>
    <row r="128" spans="1:3" ht="68.25" x14ac:dyDescent="0.2">
      <c r="A128" s="60" t="s">
        <v>201</v>
      </c>
      <c r="B128" s="89" t="s">
        <v>202</v>
      </c>
      <c r="C128" s="33" t="s">
        <v>256</v>
      </c>
    </row>
    <row r="129" spans="1:4" ht="42.75" hidden="1" x14ac:dyDescent="0.2">
      <c r="A129" s="60" t="s">
        <v>203</v>
      </c>
      <c r="B129" s="90" t="s">
        <v>204</v>
      </c>
      <c r="C129" s="91"/>
    </row>
    <row r="130" spans="1:4" ht="69" thickBot="1" x14ac:dyDescent="0.25">
      <c r="A130" s="75" t="s">
        <v>205</v>
      </c>
      <c r="B130" s="125" t="s">
        <v>206</v>
      </c>
      <c r="C130" s="126" t="s">
        <v>256</v>
      </c>
    </row>
    <row r="131" spans="1:4" ht="62.25" hidden="1" customHeight="1" x14ac:dyDescent="0.2">
      <c r="A131" s="127" t="s">
        <v>207</v>
      </c>
      <c r="B131" s="128" t="s">
        <v>208</v>
      </c>
      <c r="C131" s="129"/>
    </row>
    <row r="132" spans="1:4" ht="68.25" hidden="1" x14ac:dyDescent="0.2">
      <c r="A132" s="60" t="s">
        <v>209</v>
      </c>
      <c r="B132" s="90" t="s">
        <v>257</v>
      </c>
      <c r="C132" s="35"/>
    </row>
    <row r="133" spans="1:4" ht="69" hidden="1" thickBot="1" x14ac:dyDescent="0.25">
      <c r="A133" s="75" t="s">
        <v>211</v>
      </c>
      <c r="B133" s="93" t="s">
        <v>212</v>
      </c>
      <c r="C133" s="77"/>
    </row>
    <row r="134" spans="1:4" s="88" customFormat="1" ht="13.5" thickBot="1" x14ac:dyDescent="0.25">
      <c r="A134" s="48"/>
      <c r="B134" s="49"/>
      <c r="C134" s="14"/>
    </row>
    <row r="135" spans="1:4" ht="26.25" customHeight="1" x14ac:dyDescent="0.2">
      <c r="A135" s="86" t="s">
        <v>213</v>
      </c>
      <c r="B135" s="94" t="s">
        <v>214</v>
      </c>
      <c r="C135" s="95">
        <f>[5]С2!F37</f>
        <v>20.818139999999996</v>
      </c>
    </row>
    <row r="136" spans="1:4" ht="14.25" x14ac:dyDescent="0.2">
      <c r="A136" s="60" t="s">
        <v>215</v>
      </c>
      <c r="B136" s="130" t="s">
        <v>216</v>
      </c>
      <c r="C136" s="33">
        <f>[5]С2!F38</f>
        <v>7</v>
      </c>
    </row>
    <row r="137" spans="1:4" ht="17.25" x14ac:dyDescent="0.2">
      <c r="A137" s="60" t="s">
        <v>217</v>
      </c>
      <c r="B137" s="130" t="s">
        <v>218</v>
      </c>
      <c r="C137" s="33">
        <f>[5]С2!F40</f>
        <v>0.97</v>
      </c>
    </row>
    <row r="138" spans="1:4" ht="15" thickBot="1" x14ac:dyDescent="0.25">
      <c r="A138" s="75" t="s">
        <v>219</v>
      </c>
      <c r="B138" s="131" t="s">
        <v>220</v>
      </c>
      <c r="C138" s="47">
        <f>[5]С2!F42</f>
        <v>0.35</v>
      </c>
    </row>
    <row r="139" spans="1:4" s="88" customFormat="1" ht="13.5" thickBot="1" x14ac:dyDescent="0.25">
      <c r="A139" s="48"/>
      <c r="B139" s="49"/>
      <c r="C139" s="14"/>
    </row>
    <row r="140" spans="1:4" ht="30" x14ac:dyDescent="0.2">
      <c r="A140" s="86" t="s">
        <v>221</v>
      </c>
      <c r="B140" s="96" t="s">
        <v>258</v>
      </c>
      <c r="C140" s="132">
        <f>[5]С2!F35</f>
        <v>1.3822747209000001</v>
      </c>
      <c r="D140" s="88"/>
    </row>
    <row r="141" spans="1:4" ht="22.7" customHeight="1" thickBot="1" x14ac:dyDescent="0.25">
      <c r="A141" s="75" t="s">
        <v>223</v>
      </c>
      <c r="B141" s="145" t="s">
        <v>224</v>
      </c>
      <c r="C141" s="145"/>
      <c r="D141" s="88"/>
    </row>
    <row r="142" spans="1:4" ht="13.5" thickBot="1" x14ac:dyDescent="0.25">
      <c r="A142" s="99"/>
      <c r="B142" s="133" t="s">
        <v>0</v>
      </c>
      <c r="C142" s="134"/>
      <c r="D142" s="88"/>
    </row>
    <row r="143" spans="1:4" x14ac:dyDescent="0.2">
      <c r="A143" s="99"/>
      <c r="B143" s="135">
        <v>2020</v>
      </c>
      <c r="C143" s="136">
        <f>[5]С2.5!$E$11</f>
        <v>-2.9000000000000026E-2</v>
      </c>
      <c r="D143" s="88"/>
    </row>
    <row r="144" spans="1:4" x14ac:dyDescent="0.2">
      <c r="A144" s="99"/>
      <c r="B144" s="106">
        <f>B143+1</f>
        <v>2021</v>
      </c>
      <c r="C144" s="137">
        <f>[5]С2.5!$F$11</f>
        <v>0.245</v>
      </c>
      <c r="D144" s="88"/>
    </row>
    <row r="145" spans="1:4" x14ac:dyDescent="0.2">
      <c r="A145" s="99"/>
      <c r="B145" s="106">
        <f t="shared" ref="B145:B208" si="0">B144+1</f>
        <v>2022</v>
      </c>
      <c r="C145" s="137">
        <f>[5]С2.5!$G$11</f>
        <v>0.121</v>
      </c>
      <c r="D145" s="88"/>
    </row>
    <row r="146" spans="1:4" ht="13.5" thickBot="1" x14ac:dyDescent="0.25">
      <c r="A146" s="99"/>
      <c r="B146" s="108">
        <f t="shared" si="0"/>
        <v>2023</v>
      </c>
      <c r="C146" s="138">
        <f>[5]С2.5!$H$11</f>
        <v>0.02</v>
      </c>
      <c r="D146" s="88"/>
    </row>
    <row r="147" spans="1:4" hidden="1" x14ac:dyDescent="0.2">
      <c r="A147" s="99"/>
      <c r="B147" s="139">
        <f t="shared" si="0"/>
        <v>2024</v>
      </c>
      <c r="C147" s="140">
        <f>[5]С2.5!$I$11</f>
        <v>-2.93E-2</v>
      </c>
      <c r="D147" s="88"/>
    </row>
    <row r="148" spans="1:4" hidden="1" x14ac:dyDescent="0.2">
      <c r="A148" s="99"/>
      <c r="B148" s="106">
        <f t="shared" si="0"/>
        <v>2025</v>
      </c>
      <c r="C148" s="137">
        <f>[5]С2.5!$J$11</f>
        <v>0.21215960863291</v>
      </c>
      <c r="D148" s="88"/>
    </row>
    <row r="149" spans="1:4" hidden="1" x14ac:dyDescent="0.2">
      <c r="A149" s="99"/>
      <c r="B149" s="106">
        <f t="shared" si="0"/>
        <v>2026</v>
      </c>
      <c r="C149" s="137">
        <f>[5]С2.5!$K$11</f>
        <v>3.5813361771260002E-2</v>
      </c>
      <c r="D149" s="88"/>
    </row>
    <row r="150" spans="1:4" hidden="1" x14ac:dyDescent="0.2">
      <c r="A150" s="99"/>
      <c r="B150" s="106">
        <f t="shared" si="0"/>
        <v>2027</v>
      </c>
      <c r="C150" s="137">
        <f>[5]С2.5!$L$11</f>
        <v>3.2682303599220003E-2</v>
      </c>
      <c r="D150" s="88"/>
    </row>
    <row r="151" spans="1:4" hidden="1" x14ac:dyDescent="0.2">
      <c r="A151" s="99"/>
      <c r="B151" s="106">
        <f t="shared" si="0"/>
        <v>2028</v>
      </c>
      <c r="C151" s="137">
        <f>[5]С2.5!$M$11</f>
        <v>0</v>
      </c>
      <c r="D151" s="88"/>
    </row>
    <row r="152" spans="1:4" hidden="1" x14ac:dyDescent="0.2">
      <c r="A152" s="99"/>
      <c r="B152" s="106">
        <f t="shared" si="0"/>
        <v>2029</v>
      </c>
      <c r="C152" s="137">
        <f>[5]С2.5!$N$11</f>
        <v>0</v>
      </c>
      <c r="D152" s="88"/>
    </row>
    <row r="153" spans="1:4" hidden="1" x14ac:dyDescent="0.2">
      <c r="A153" s="99"/>
      <c r="B153" s="106">
        <f t="shared" si="0"/>
        <v>2030</v>
      </c>
      <c r="C153" s="137">
        <f>[5]С2.5!$O$11</f>
        <v>0</v>
      </c>
      <c r="D153" s="88"/>
    </row>
    <row r="154" spans="1:4" hidden="1" x14ac:dyDescent="0.2">
      <c r="A154" s="99"/>
      <c r="B154" s="106">
        <f t="shared" si="0"/>
        <v>2031</v>
      </c>
      <c r="C154" s="137">
        <f>[5]С2.5!$P$11</f>
        <v>0</v>
      </c>
      <c r="D154" s="88"/>
    </row>
    <row r="155" spans="1:4" hidden="1" x14ac:dyDescent="0.2">
      <c r="A155" s="88"/>
      <c r="B155" s="106">
        <f t="shared" si="0"/>
        <v>2032</v>
      </c>
      <c r="C155" s="137">
        <f>[5]С2.5!$Q$11</f>
        <v>0</v>
      </c>
      <c r="D155" s="88"/>
    </row>
    <row r="156" spans="1:4" hidden="1" x14ac:dyDescent="0.2">
      <c r="A156" s="88"/>
      <c r="B156" s="106">
        <f t="shared" si="0"/>
        <v>2033</v>
      </c>
      <c r="C156" s="137">
        <f>[5]С2.5!$R$11</f>
        <v>0</v>
      </c>
      <c r="D156" s="88"/>
    </row>
    <row r="157" spans="1:4" hidden="1" x14ac:dyDescent="0.2">
      <c r="B157" s="106">
        <f t="shared" si="0"/>
        <v>2034</v>
      </c>
      <c r="C157" s="137">
        <f>[5]С2.5!$S$11</f>
        <v>0</v>
      </c>
    </row>
    <row r="158" spans="1:4" hidden="1" x14ac:dyDescent="0.2">
      <c r="B158" s="106">
        <f t="shared" si="0"/>
        <v>2035</v>
      </c>
      <c r="C158" s="137">
        <f>[5]С2.5!$T$11</f>
        <v>0</v>
      </c>
    </row>
    <row r="159" spans="1:4" hidden="1" x14ac:dyDescent="0.2">
      <c r="B159" s="106">
        <f t="shared" si="0"/>
        <v>2036</v>
      </c>
      <c r="C159" s="137">
        <f>[5]С2.5!$U$11</f>
        <v>0</v>
      </c>
    </row>
    <row r="160" spans="1:4" hidden="1" x14ac:dyDescent="0.2">
      <c r="B160" s="106">
        <f t="shared" si="0"/>
        <v>2037</v>
      </c>
      <c r="C160" s="137">
        <f>[5]С2.5!$V$11</f>
        <v>0</v>
      </c>
    </row>
    <row r="161" spans="2:3" hidden="1" x14ac:dyDescent="0.2">
      <c r="B161" s="106">
        <f t="shared" si="0"/>
        <v>2038</v>
      </c>
      <c r="C161" s="137">
        <f>[5]С2.5!$W$11</f>
        <v>0</v>
      </c>
    </row>
    <row r="162" spans="2:3" hidden="1" x14ac:dyDescent="0.2">
      <c r="B162" s="106">
        <f t="shared" si="0"/>
        <v>2039</v>
      </c>
      <c r="C162" s="137">
        <f>[5]С2.5!$X$11</f>
        <v>0</v>
      </c>
    </row>
    <row r="163" spans="2:3" hidden="1" x14ac:dyDescent="0.2">
      <c r="B163" s="106">
        <f t="shared" si="0"/>
        <v>2040</v>
      </c>
      <c r="C163" s="137">
        <f>[5]С2.5!$Y$11</f>
        <v>0</v>
      </c>
    </row>
    <row r="164" spans="2:3" hidden="1" x14ac:dyDescent="0.2">
      <c r="B164" s="106">
        <f t="shared" si="0"/>
        <v>2041</v>
      </c>
      <c r="C164" s="137">
        <f>[5]С2.5!$Z$11</f>
        <v>0</v>
      </c>
    </row>
    <row r="165" spans="2:3" hidden="1" x14ac:dyDescent="0.2">
      <c r="B165" s="106">
        <f t="shared" si="0"/>
        <v>2042</v>
      </c>
      <c r="C165" s="137">
        <f>[5]С2.5!$AA$11</f>
        <v>0</v>
      </c>
    </row>
    <row r="166" spans="2:3" hidden="1" x14ac:dyDescent="0.2">
      <c r="B166" s="106">
        <f t="shared" si="0"/>
        <v>2043</v>
      </c>
      <c r="C166" s="137">
        <f>[5]С2.5!$AB$11</f>
        <v>0</v>
      </c>
    </row>
    <row r="167" spans="2:3" hidden="1" x14ac:dyDescent="0.2">
      <c r="B167" s="106">
        <f t="shared" si="0"/>
        <v>2044</v>
      </c>
      <c r="C167" s="137">
        <f>[5]С2.5!$AC$11</f>
        <v>0</v>
      </c>
    </row>
    <row r="168" spans="2:3" hidden="1" x14ac:dyDescent="0.2">
      <c r="B168" s="106">
        <f t="shared" si="0"/>
        <v>2045</v>
      </c>
      <c r="C168" s="137">
        <f>[5]С2.5!$AD$11</f>
        <v>0</v>
      </c>
    </row>
    <row r="169" spans="2:3" hidden="1" x14ac:dyDescent="0.2">
      <c r="B169" s="106">
        <f t="shared" si="0"/>
        <v>2046</v>
      </c>
      <c r="C169" s="137">
        <f>[5]С2.5!$AE$11</f>
        <v>0</v>
      </c>
    </row>
    <row r="170" spans="2:3" hidden="1" x14ac:dyDescent="0.2">
      <c r="B170" s="106">
        <f t="shared" si="0"/>
        <v>2047</v>
      </c>
      <c r="C170" s="137">
        <f>[5]С2.5!$AF$11</f>
        <v>0</v>
      </c>
    </row>
    <row r="171" spans="2:3" hidden="1" x14ac:dyDescent="0.2">
      <c r="B171" s="106">
        <f t="shared" si="0"/>
        <v>2048</v>
      </c>
      <c r="C171" s="137">
        <f>[5]С2.5!$AG$11</f>
        <v>0</v>
      </c>
    </row>
    <row r="172" spans="2:3" hidden="1" x14ac:dyDescent="0.2">
      <c r="B172" s="106">
        <f t="shared" si="0"/>
        <v>2049</v>
      </c>
      <c r="C172" s="137">
        <f>[5]С2.5!$AH$11</f>
        <v>0</v>
      </c>
    </row>
    <row r="173" spans="2:3" hidden="1" x14ac:dyDescent="0.2">
      <c r="B173" s="106">
        <f t="shared" si="0"/>
        <v>2050</v>
      </c>
      <c r="C173" s="137">
        <f>[5]С2.5!$AI$11</f>
        <v>0</v>
      </c>
    </row>
    <row r="174" spans="2:3" hidden="1" x14ac:dyDescent="0.2">
      <c r="B174" s="106">
        <f t="shared" si="0"/>
        <v>2051</v>
      </c>
      <c r="C174" s="137">
        <f>[5]С2.5!$AJ$11</f>
        <v>0</v>
      </c>
    </row>
    <row r="175" spans="2:3" hidden="1" x14ac:dyDescent="0.2">
      <c r="B175" s="106">
        <f t="shared" si="0"/>
        <v>2052</v>
      </c>
      <c r="C175" s="137">
        <f>[5]С2.5!$AK$11</f>
        <v>0</v>
      </c>
    </row>
    <row r="176" spans="2:3" hidden="1" x14ac:dyDescent="0.2">
      <c r="B176" s="106">
        <f t="shared" si="0"/>
        <v>2053</v>
      </c>
      <c r="C176" s="137">
        <f>[5]С2.5!$AL$11</f>
        <v>0</v>
      </c>
    </row>
    <row r="177" spans="2:3" hidden="1" x14ac:dyDescent="0.2">
      <c r="B177" s="106">
        <f t="shared" si="0"/>
        <v>2054</v>
      </c>
      <c r="C177" s="137">
        <f>[5]С2.5!$AM$11</f>
        <v>0</v>
      </c>
    </row>
    <row r="178" spans="2:3" hidden="1" x14ac:dyDescent="0.2">
      <c r="B178" s="106">
        <f t="shared" si="0"/>
        <v>2055</v>
      </c>
      <c r="C178" s="137">
        <f>[5]С2.5!$AN$11</f>
        <v>0</v>
      </c>
    </row>
    <row r="179" spans="2:3" hidden="1" x14ac:dyDescent="0.2">
      <c r="B179" s="106">
        <f t="shared" si="0"/>
        <v>2056</v>
      </c>
      <c r="C179" s="137">
        <f>[5]С2.5!$AO$11</f>
        <v>0</v>
      </c>
    </row>
    <row r="180" spans="2:3" hidden="1" x14ac:dyDescent="0.2">
      <c r="B180" s="106">
        <f t="shared" si="0"/>
        <v>2057</v>
      </c>
      <c r="C180" s="137">
        <f>[5]С2.5!$AP$11</f>
        <v>0</v>
      </c>
    </row>
    <row r="181" spans="2:3" hidden="1" x14ac:dyDescent="0.2">
      <c r="B181" s="106">
        <f t="shared" si="0"/>
        <v>2058</v>
      </c>
      <c r="C181" s="137">
        <f>[5]С2.5!$AQ$11</f>
        <v>0</v>
      </c>
    </row>
    <row r="182" spans="2:3" hidden="1" x14ac:dyDescent="0.2">
      <c r="B182" s="106">
        <f t="shared" si="0"/>
        <v>2059</v>
      </c>
      <c r="C182" s="137">
        <f>[5]С2.5!$AR$11</f>
        <v>0</v>
      </c>
    </row>
    <row r="183" spans="2:3" hidden="1" x14ac:dyDescent="0.2">
      <c r="B183" s="106">
        <f t="shared" si="0"/>
        <v>2060</v>
      </c>
      <c r="C183" s="137">
        <f>[5]С2.5!$AS$11</f>
        <v>0</v>
      </c>
    </row>
    <row r="184" spans="2:3" hidden="1" x14ac:dyDescent="0.2">
      <c r="B184" s="106">
        <f t="shared" si="0"/>
        <v>2061</v>
      </c>
      <c r="C184" s="137">
        <f>[5]С2.5!$AT$11</f>
        <v>0</v>
      </c>
    </row>
    <row r="185" spans="2:3" hidden="1" x14ac:dyDescent="0.2">
      <c r="B185" s="106">
        <f t="shared" si="0"/>
        <v>2062</v>
      </c>
      <c r="C185" s="137">
        <f>[5]С2.5!$AU$11</f>
        <v>0</v>
      </c>
    </row>
    <row r="186" spans="2:3" hidden="1" x14ac:dyDescent="0.2">
      <c r="B186" s="106">
        <f t="shared" si="0"/>
        <v>2063</v>
      </c>
      <c r="C186" s="137">
        <f>[5]С2.5!$AV$11</f>
        <v>0</v>
      </c>
    </row>
    <row r="187" spans="2:3" hidden="1" x14ac:dyDescent="0.2">
      <c r="B187" s="106">
        <f t="shared" si="0"/>
        <v>2064</v>
      </c>
      <c r="C187" s="137">
        <f>[5]С2.5!$AW$11</f>
        <v>0</v>
      </c>
    </row>
    <row r="188" spans="2:3" hidden="1" x14ac:dyDescent="0.2">
      <c r="B188" s="106">
        <f t="shared" si="0"/>
        <v>2065</v>
      </c>
      <c r="C188" s="137">
        <f>[5]С2.5!$AX$11</f>
        <v>0</v>
      </c>
    </row>
    <row r="189" spans="2:3" hidden="1" x14ac:dyDescent="0.2">
      <c r="B189" s="106">
        <f t="shared" si="0"/>
        <v>2066</v>
      </c>
      <c r="C189" s="137">
        <f>[5]С2.5!$AY$11</f>
        <v>0</v>
      </c>
    </row>
    <row r="190" spans="2:3" hidden="1" x14ac:dyDescent="0.2">
      <c r="B190" s="106">
        <f t="shared" si="0"/>
        <v>2067</v>
      </c>
      <c r="C190" s="137">
        <f>[5]С2.5!$AZ$11</f>
        <v>0</v>
      </c>
    </row>
    <row r="191" spans="2:3" hidden="1" x14ac:dyDescent="0.2">
      <c r="B191" s="106">
        <f t="shared" si="0"/>
        <v>2068</v>
      </c>
      <c r="C191" s="137">
        <f>[5]С2.5!$BA$11</f>
        <v>0</v>
      </c>
    </row>
    <row r="192" spans="2:3" hidden="1" x14ac:dyDescent="0.2">
      <c r="B192" s="106">
        <f t="shared" si="0"/>
        <v>2069</v>
      </c>
      <c r="C192" s="137">
        <f>[5]С2.5!$BB$11</f>
        <v>0</v>
      </c>
    </row>
    <row r="193" spans="2:3" hidden="1" x14ac:dyDescent="0.2">
      <c r="B193" s="106">
        <f t="shared" si="0"/>
        <v>2070</v>
      </c>
      <c r="C193" s="137">
        <f>[5]С2.5!$BC$11</f>
        <v>0</v>
      </c>
    </row>
    <row r="194" spans="2:3" hidden="1" x14ac:dyDescent="0.2">
      <c r="B194" s="106">
        <f t="shared" si="0"/>
        <v>2071</v>
      </c>
      <c r="C194" s="137">
        <f>[5]С2.5!$BD$11</f>
        <v>0</v>
      </c>
    </row>
    <row r="195" spans="2:3" hidden="1" x14ac:dyDescent="0.2">
      <c r="B195" s="106">
        <f t="shared" si="0"/>
        <v>2072</v>
      </c>
      <c r="C195" s="137">
        <f>[5]С2.5!$BE$11</f>
        <v>0</v>
      </c>
    </row>
    <row r="196" spans="2:3" hidden="1" x14ac:dyDescent="0.2">
      <c r="B196" s="106">
        <f t="shared" si="0"/>
        <v>2073</v>
      </c>
      <c r="C196" s="137">
        <f>[5]С2.5!$BF$11</f>
        <v>0</v>
      </c>
    </row>
    <row r="197" spans="2:3" hidden="1" x14ac:dyDescent="0.2">
      <c r="B197" s="106">
        <f t="shared" si="0"/>
        <v>2074</v>
      </c>
      <c r="C197" s="137">
        <f>[5]С2.5!$BG$11</f>
        <v>0</v>
      </c>
    </row>
    <row r="198" spans="2:3" hidden="1" x14ac:dyDescent="0.2">
      <c r="B198" s="106">
        <f t="shared" si="0"/>
        <v>2075</v>
      </c>
      <c r="C198" s="137">
        <f>[5]С2.5!$BH$11</f>
        <v>0</v>
      </c>
    </row>
    <row r="199" spans="2:3" hidden="1" x14ac:dyDescent="0.2">
      <c r="B199" s="106">
        <f t="shared" si="0"/>
        <v>2076</v>
      </c>
      <c r="C199" s="137">
        <f>[5]С2.5!$BI$11</f>
        <v>0</v>
      </c>
    </row>
    <row r="200" spans="2:3" hidden="1" x14ac:dyDescent="0.2">
      <c r="B200" s="106">
        <f t="shared" si="0"/>
        <v>2077</v>
      </c>
      <c r="C200" s="137">
        <f>[5]С2.5!$BJ$11</f>
        <v>0</v>
      </c>
    </row>
    <row r="201" spans="2:3" hidden="1" x14ac:dyDescent="0.2">
      <c r="B201" s="106">
        <f t="shared" si="0"/>
        <v>2078</v>
      </c>
      <c r="C201" s="137">
        <f>[5]С2.5!$BK$11</f>
        <v>0</v>
      </c>
    </row>
    <row r="202" spans="2:3" hidden="1" x14ac:dyDescent="0.2">
      <c r="B202" s="106">
        <f t="shared" si="0"/>
        <v>2079</v>
      </c>
      <c r="C202" s="137">
        <f>[5]С2.5!$BL$11</f>
        <v>0</v>
      </c>
    </row>
    <row r="203" spans="2:3" hidden="1" x14ac:dyDescent="0.2">
      <c r="B203" s="106">
        <f t="shared" si="0"/>
        <v>2080</v>
      </c>
      <c r="C203" s="137">
        <f>[5]С2.5!$BM$11</f>
        <v>0</v>
      </c>
    </row>
    <row r="204" spans="2:3" hidden="1" x14ac:dyDescent="0.2">
      <c r="B204" s="106">
        <f t="shared" si="0"/>
        <v>2081</v>
      </c>
      <c r="C204" s="137">
        <f>[5]С2.5!$BN$11</f>
        <v>0</v>
      </c>
    </row>
    <row r="205" spans="2:3" hidden="1" x14ac:dyDescent="0.2">
      <c r="B205" s="106">
        <f t="shared" si="0"/>
        <v>2082</v>
      </c>
      <c r="C205" s="137">
        <f>[5]С2.5!$BO$11</f>
        <v>0</v>
      </c>
    </row>
    <row r="206" spans="2:3" hidden="1" x14ac:dyDescent="0.2">
      <c r="B206" s="106">
        <f t="shared" si="0"/>
        <v>2083</v>
      </c>
      <c r="C206" s="137">
        <f>[5]С2.5!$BP$11</f>
        <v>0</v>
      </c>
    </row>
    <row r="207" spans="2:3" hidden="1" x14ac:dyDescent="0.2">
      <c r="B207" s="106">
        <f t="shared" si="0"/>
        <v>2084</v>
      </c>
      <c r="C207" s="137">
        <f>[5]С2.5!$BQ$11</f>
        <v>0</v>
      </c>
    </row>
    <row r="208" spans="2:3" hidden="1" x14ac:dyDescent="0.2">
      <c r="B208" s="106">
        <f t="shared" si="0"/>
        <v>2085</v>
      </c>
      <c r="C208" s="137">
        <f>[5]С2.5!$BR$11</f>
        <v>0</v>
      </c>
    </row>
    <row r="209" spans="2:3" hidden="1" x14ac:dyDescent="0.2">
      <c r="B209" s="106">
        <f t="shared" ref="B209:B223" si="1">B208+1</f>
        <v>2086</v>
      </c>
      <c r="C209" s="137">
        <f>[5]С2.5!$BS$11</f>
        <v>0</v>
      </c>
    </row>
    <row r="210" spans="2:3" hidden="1" x14ac:dyDescent="0.2">
      <c r="B210" s="106">
        <f t="shared" si="1"/>
        <v>2087</v>
      </c>
      <c r="C210" s="137">
        <f>[5]С2.5!$BT$11</f>
        <v>0</v>
      </c>
    </row>
    <row r="211" spans="2:3" hidden="1" x14ac:dyDescent="0.2">
      <c r="B211" s="106">
        <f t="shared" si="1"/>
        <v>2088</v>
      </c>
      <c r="C211" s="137">
        <f>[5]С2.5!$BU$11</f>
        <v>0</v>
      </c>
    </row>
    <row r="212" spans="2:3" hidden="1" x14ac:dyDescent="0.2">
      <c r="B212" s="106">
        <f t="shared" si="1"/>
        <v>2089</v>
      </c>
      <c r="C212" s="137">
        <f>[5]С2.5!$BV$11</f>
        <v>0</v>
      </c>
    </row>
    <row r="213" spans="2:3" hidden="1" x14ac:dyDescent="0.2">
      <c r="B213" s="106">
        <f t="shared" si="1"/>
        <v>2090</v>
      </c>
      <c r="C213" s="137">
        <f>[5]С2.5!$BW$11</f>
        <v>0</v>
      </c>
    </row>
    <row r="214" spans="2:3" hidden="1" x14ac:dyDescent="0.2">
      <c r="B214" s="106">
        <f t="shared" si="1"/>
        <v>2091</v>
      </c>
      <c r="C214" s="137">
        <f>[5]С2.5!$BX$11</f>
        <v>0</v>
      </c>
    </row>
    <row r="215" spans="2:3" hidden="1" x14ac:dyDescent="0.2">
      <c r="B215" s="106">
        <f t="shared" si="1"/>
        <v>2092</v>
      </c>
      <c r="C215" s="137">
        <f>[5]С2.5!$BY$11</f>
        <v>0</v>
      </c>
    </row>
    <row r="216" spans="2:3" hidden="1" x14ac:dyDescent="0.2">
      <c r="B216" s="106">
        <f t="shared" si="1"/>
        <v>2093</v>
      </c>
      <c r="C216" s="137">
        <f>[5]С2.5!$BZ$11</f>
        <v>0</v>
      </c>
    </row>
    <row r="217" spans="2:3" hidden="1" x14ac:dyDescent="0.2">
      <c r="B217" s="106">
        <f t="shared" si="1"/>
        <v>2094</v>
      </c>
      <c r="C217" s="137">
        <f>[5]С2.5!$CA$11</f>
        <v>0</v>
      </c>
    </row>
    <row r="218" spans="2:3" hidden="1" x14ac:dyDescent="0.2">
      <c r="B218" s="106">
        <f t="shared" si="1"/>
        <v>2095</v>
      </c>
      <c r="C218" s="137">
        <f>[5]С2.5!$CB$11</f>
        <v>0</v>
      </c>
    </row>
    <row r="219" spans="2:3" hidden="1" x14ac:dyDescent="0.2">
      <c r="B219" s="106">
        <f t="shared" si="1"/>
        <v>2096</v>
      </c>
      <c r="C219" s="137">
        <f>[5]С2.5!$CC$11</f>
        <v>0</v>
      </c>
    </row>
    <row r="220" spans="2:3" hidden="1" x14ac:dyDescent="0.2">
      <c r="B220" s="106">
        <f t="shared" si="1"/>
        <v>2097</v>
      </c>
      <c r="C220" s="137">
        <f>[5]С2.5!$CD$11</f>
        <v>0</v>
      </c>
    </row>
    <row r="221" spans="2:3" hidden="1" x14ac:dyDescent="0.2">
      <c r="B221" s="106">
        <f t="shared" si="1"/>
        <v>2098</v>
      </c>
      <c r="C221" s="137">
        <f>[5]С2.5!$CE$11</f>
        <v>0</v>
      </c>
    </row>
    <row r="222" spans="2:3" hidden="1" x14ac:dyDescent="0.2">
      <c r="B222" s="106">
        <f t="shared" si="1"/>
        <v>2099</v>
      </c>
      <c r="C222" s="137">
        <f>[5]С2.5!$CF$11</f>
        <v>0</v>
      </c>
    </row>
    <row r="223" spans="2:3" ht="13.5" hidden="1" thickBot="1" x14ac:dyDescent="0.25">
      <c r="B223" s="108">
        <f t="shared" si="1"/>
        <v>2100</v>
      </c>
      <c r="C223" s="138">
        <f>[5]С2.5!$CG$11</f>
        <v>0</v>
      </c>
    </row>
    <row r="224" spans="2:3" hidden="1" x14ac:dyDescent="0.2">
      <c r="C224" s="141"/>
    </row>
    <row r="225" spans="3:3" hidden="1" x14ac:dyDescent="0.2">
      <c r="C225" s="141"/>
    </row>
    <row r="226" spans="3:3" x14ac:dyDescent="0.2">
      <c r="C226" s="141"/>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4097" r:id="rId4" name="Button 1">
              <controlPr defaultSize="0" print="0" autoFill="0" autoPict="0" macro="[5]!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7.28515625" style="2" customWidth="1"/>
    <col min="2" max="2" width="100.7109375" style="2" customWidth="1"/>
    <col min="3" max="3" width="20.85546875" style="112" customWidth="1"/>
    <col min="4" max="4" width="5.140625" style="2" customWidth="1"/>
    <col min="5" max="5" width="17.5703125" style="2" customWidth="1"/>
    <col min="6" max="158" width="9.140625" style="2"/>
    <col min="159" max="240" width="0" style="2" hidden="1" customWidth="1"/>
    <col min="241" max="249" width="9.140625" style="2"/>
    <col min="250" max="250" width="3.710937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710937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710937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710937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710937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710937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710937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710937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710937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710937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710937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710937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710937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710937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710937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710937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710937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710937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710937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710937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710937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710937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710937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710937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710937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710937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710937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710937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710937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710937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710937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710937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710937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710937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710937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710937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710937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710937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710937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710937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710937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710937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710937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710937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710937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710937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710937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710937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710937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710937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710937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710937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710937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710937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710937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710937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710937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710937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710937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710937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710937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710937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710937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2" t="s">
        <v>1</v>
      </c>
      <c r="C1" s="142"/>
    </row>
    <row r="2" spans="1:3" x14ac:dyDescent="0.2">
      <c r="A2" s="1"/>
      <c r="B2" s="3" t="s">
        <v>2</v>
      </c>
      <c r="C2" s="4">
        <f ca="1">TODAY()</f>
        <v>44944</v>
      </c>
    </row>
    <row r="3" spans="1:3" x14ac:dyDescent="0.2">
      <c r="A3" s="1"/>
      <c r="B3" s="5" t="s">
        <v>3</v>
      </c>
      <c r="C3" s="6"/>
    </row>
    <row r="4" spans="1:3" ht="25.5" x14ac:dyDescent="0.2">
      <c r="A4" s="7"/>
      <c r="B4" s="8" t="str">
        <f>[6]И1!D13</f>
        <v>Субъект Российской Федерации</v>
      </c>
      <c r="C4" s="9" t="str">
        <f>[6]И1!E13</f>
        <v>Новосибирская область</v>
      </c>
    </row>
    <row r="5" spans="1:3" ht="15.95" customHeight="1" x14ac:dyDescent="0.2">
      <c r="A5" s="7"/>
      <c r="B5" s="8" t="str">
        <f>[6]И1!D14</f>
        <v>Тип муниципального образования (выберите из списка)</v>
      </c>
      <c r="C5" s="9" t="str">
        <f>[6]И1!E14</f>
        <v>село Верх-Ирмень, Ордынский муниципальный район</v>
      </c>
    </row>
    <row r="6" spans="1:3" x14ac:dyDescent="0.2">
      <c r="A6" s="7"/>
      <c r="B6" s="8" t="str">
        <f>IF([6]И1!E15="","",[6]И1!D15)</f>
        <v/>
      </c>
      <c r="C6" s="6" t="str">
        <f>IF([6]И1!E15="","",[6]И1!E15)</f>
        <v/>
      </c>
    </row>
    <row r="7" spans="1:3" x14ac:dyDescent="0.2">
      <c r="A7" s="7"/>
      <c r="B7" s="8" t="str">
        <f>[6]И1!D16</f>
        <v>Код ОКТМО</v>
      </c>
      <c r="C7" s="10" t="str">
        <f>[6]И1!E16</f>
        <v>50642404101</v>
      </c>
    </row>
    <row r="8" spans="1:3" x14ac:dyDescent="0.2">
      <c r="A8" s="7"/>
      <c r="B8" s="11" t="str">
        <f>[6]И1!D17</f>
        <v>Система теплоснабжения</v>
      </c>
      <c r="C8" s="12">
        <f>[6]И1!E17</f>
        <v>0</v>
      </c>
    </row>
    <row r="9" spans="1:3" x14ac:dyDescent="0.2">
      <c r="A9" s="7"/>
      <c r="B9" s="8" t="str">
        <f>[6]И1!D8</f>
        <v>Период регулирования (i)-й</v>
      </c>
      <c r="C9" s="13">
        <f>[6]И1!E8</f>
        <v>2023</v>
      </c>
    </row>
    <row r="10" spans="1:3" x14ac:dyDescent="0.2">
      <c r="A10" s="7"/>
      <c r="B10" s="8" t="str">
        <f>[6]И1!D9</f>
        <v>Период регулирования (i-1)-й</v>
      </c>
      <c r="C10" s="13">
        <f>[6]И1!E9</f>
        <v>2022</v>
      </c>
    </row>
    <row r="11" spans="1:3" x14ac:dyDescent="0.2">
      <c r="A11" s="7"/>
      <c r="B11" s="8" t="str">
        <f>[6]И1!D10</f>
        <v>Период регулирования (i-2)-й</v>
      </c>
      <c r="C11" s="13">
        <f>[6]И1!E10</f>
        <v>2021</v>
      </c>
    </row>
    <row r="12" spans="1:3" x14ac:dyDescent="0.2">
      <c r="A12" s="7"/>
      <c r="B12" s="8" t="str">
        <f>[6]И1!D11</f>
        <v>Базовый год (б)</v>
      </c>
      <c r="C12" s="13">
        <f>[6]И1!E11</f>
        <v>2019</v>
      </c>
    </row>
    <row r="13" spans="1:3" x14ac:dyDescent="0.2">
      <c r="A13" s="7"/>
      <c r="B13" s="8" t="str">
        <f>[6]И1!D18</f>
        <v>Вид топлива, использование которого преобладает в системе теплоснабжения</v>
      </c>
      <c r="C13" s="14" t="str">
        <f>[6]И1!E18</f>
        <v>Газ</v>
      </c>
    </row>
    <row r="14" spans="1:3" ht="26.25" customHeight="1" thickBot="1" x14ac:dyDescent="0.25">
      <c r="A14" s="143" t="s">
        <v>4</v>
      </c>
      <c r="B14" s="143"/>
      <c r="C14" s="143"/>
    </row>
    <row r="15" spans="1:3" x14ac:dyDescent="0.2">
      <c r="A15" s="15" t="s">
        <v>5</v>
      </c>
      <c r="B15" s="16" t="s">
        <v>6</v>
      </c>
      <c r="C15" s="17" t="s">
        <v>7</v>
      </c>
    </row>
    <row r="16" spans="1:3" x14ac:dyDescent="0.2">
      <c r="A16" s="18">
        <v>1</v>
      </c>
      <c r="B16" s="19">
        <v>2</v>
      </c>
      <c r="C16" s="20">
        <v>3</v>
      </c>
    </row>
    <row r="17" spans="1:3" x14ac:dyDescent="0.2">
      <c r="A17" s="21">
        <v>1</v>
      </c>
      <c r="B17" s="22" t="s">
        <v>8</v>
      </c>
      <c r="C17" s="23">
        <f>SUM(C18:C23)</f>
        <v>2943.2218384954408</v>
      </c>
    </row>
    <row r="18" spans="1:3" ht="42.75" x14ac:dyDescent="0.2">
      <c r="A18" s="21" t="s">
        <v>9</v>
      </c>
      <c r="B18" s="24" t="s">
        <v>10</v>
      </c>
      <c r="C18" s="25">
        <f>[6]С1!F12</f>
        <v>912.75572352910331</v>
      </c>
    </row>
    <row r="19" spans="1:3" ht="42.75" x14ac:dyDescent="0.2">
      <c r="A19" s="21" t="s">
        <v>11</v>
      </c>
      <c r="B19" s="24" t="s">
        <v>12</v>
      </c>
      <c r="C19" s="25">
        <f>[6]С2!F12</f>
        <v>1416.3895121306814</v>
      </c>
    </row>
    <row r="20" spans="1:3" ht="30" x14ac:dyDescent="0.2">
      <c r="A20" s="21" t="s">
        <v>13</v>
      </c>
      <c r="B20" s="24" t="s">
        <v>14</v>
      </c>
      <c r="C20" s="25">
        <f>[6]С3!F12</f>
        <v>338.69535278862691</v>
      </c>
    </row>
    <row r="21" spans="1:3" ht="42.75" x14ac:dyDescent="0.2">
      <c r="A21" s="21" t="s">
        <v>15</v>
      </c>
      <c r="B21" s="24" t="s">
        <v>16</v>
      </c>
      <c r="C21" s="25">
        <f>[6]С4!F12</f>
        <v>217.67101791966761</v>
      </c>
    </row>
    <row r="22" spans="1:3" ht="33" customHeight="1" x14ac:dyDescent="0.2">
      <c r="A22" s="21" t="s">
        <v>17</v>
      </c>
      <c r="B22" s="24" t="s">
        <v>18</v>
      </c>
      <c r="C22" s="25">
        <f>[6]С5!F12</f>
        <v>57.710232127361586</v>
      </c>
    </row>
    <row r="23" spans="1:3" ht="45.75" customHeight="1" thickBot="1" x14ac:dyDescent="0.25">
      <c r="A23" s="26" t="s">
        <v>19</v>
      </c>
      <c r="B23" s="98" t="s">
        <v>20</v>
      </c>
      <c r="C23" s="28">
        <f>[6]С6!F12</f>
        <v>0</v>
      </c>
    </row>
    <row r="24" spans="1:3" ht="13.5" thickBot="1" x14ac:dyDescent="0.25">
      <c r="A24" s="1"/>
      <c r="C24" s="6"/>
    </row>
    <row r="25" spans="1:3" x14ac:dyDescent="0.2">
      <c r="A25" s="15" t="s">
        <v>5</v>
      </c>
      <c r="B25" s="29" t="s">
        <v>6</v>
      </c>
      <c r="C25" s="16" t="s">
        <v>7</v>
      </c>
    </row>
    <row r="26" spans="1:3" x14ac:dyDescent="0.2">
      <c r="A26" s="18">
        <v>1</v>
      </c>
      <c r="B26" s="30">
        <v>2</v>
      </c>
      <c r="C26" s="31">
        <v>3</v>
      </c>
    </row>
    <row r="27" spans="1:3" ht="30" customHeight="1" x14ac:dyDescent="0.2">
      <c r="A27" s="21">
        <v>1</v>
      </c>
      <c r="B27" s="144" t="s">
        <v>21</v>
      </c>
      <c r="C27" s="144"/>
    </row>
    <row r="28" spans="1:3" x14ac:dyDescent="0.2">
      <c r="A28" s="21" t="s">
        <v>9</v>
      </c>
      <c r="B28" s="32" t="s">
        <v>22</v>
      </c>
      <c r="C28" s="33">
        <f>[6]С1.1!E16</f>
        <v>7900</v>
      </c>
    </row>
    <row r="29" spans="1:3" ht="42.75" x14ac:dyDescent="0.2">
      <c r="A29" s="21" t="s">
        <v>11</v>
      </c>
      <c r="B29" s="32" t="s">
        <v>23</v>
      </c>
      <c r="C29" s="33">
        <f>[6]С1.1!E32</f>
        <v>5591.16</v>
      </c>
    </row>
    <row r="30" spans="1:3" ht="38.25" x14ac:dyDescent="0.2">
      <c r="A30" s="21" t="s">
        <v>24</v>
      </c>
      <c r="B30" s="32" t="s">
        <v>25</v>
      </c>
      <c r="C30" s="34" t="str">
        <f>[6]С1.1!E25</f>
        <v>ООО "Газпром газораспределение Томск"</v>
      </c>
    </row>
    <row r="31" spans="1:3" ht="38.25" x14ac:dyDescent="0.2">
      <c r="A31" s="21" t="s">
        <v>26</v>
      </c>
      <c r="B31" s="32" t="str">
        <f>[6]С1.1!D26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3">
        <f>[6]С1.1!E26</f>
        <v>4475.5</v>
      </c>
    </row>
    <row r="32" spans="1:3" ht="25.5" x14ac:dyDescent="0.2">
      <c r="A32" s="21" t="s">
        <v>27</v>
      </c>
      <c r="B32" s="32" t="str">
        <f>[6]С1.1!D27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3">
        <f>[6]С1.1!E27</f>
        <v>952.13</v>
      </c>
    </row>
    <row r="33" spans="1:3" ht="25.5" x14ac:dyDescent="0.2">
      <c r="A33" s="21" t="s">
        <v>28</v>
      </c>
      <c r="B33" s="32" t="str">
        <f>[6]С1.1!D28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3">
        <f>[6]С1.1!E28</f>
        <v>132.9</v>
      </c>
    </row>
    <row r="34" spans="1:3" ht="38.25" x14ac:dyDescent="0.2">
      <c r="A34" s="21" t="s">
        <v>29</v>
      </c>
      <c r="B34" s="32" t="str">
        <f>[6]С1.1!D29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3">
        <f>[6]С1.1!E29</f>
        <v>30.63</v>
      </c>
    </row>
    <row r="35" spans="1:3" ht="17.25" x14ac:dyDescent="0.2">
      <c r="A35" s="21" t="s">
        <v>13</v>
      </c>
      <c r="B35" s="32" t="s">
        <v>30</v>
      </c>
      <c r="C35" s="35">
        <f>[6]С1.1!E20</f>
        <v>0.1392500000000001</v>
      </c>
    </row>
    <row r="36" spans="1:3" ht="17.25" x14ac:dyDescent="0.2">
      <c r="A36" s="21" t="s">
        <v>15</v>
      </c>
      <c r="B36" s="32" t="s">
        <v>31</v>
      </c>
      <c r="C36" s="35">
        <f>[6]С1.1!E21</f>
        <v>0</v>
      </c>
    </row>
    <row r="37" spans="1:3" ht="30" x14ac:dyDescent="0.2">
      <c r="A37" s="21" t="s">
        <v>17</v>
      </c>
      <c r="B37" s="36" t="s">
        <v>32</v>
      </c>
      <c r="C37" s="37">
        <f>[6]С1!F13</f>
        <v>156.1</v>
      </c>
    </row>
    <row r="38" spans="1:3" x14ac:dyDescent="0.2">
      <c r="A38" s="21" t="s">
        <v>19</v>
      </c>
      <c r="B38" s="36" t="s">
        <v>33</v>
      </c>
      <c r="C38" s="38">
        <f>[6]С1!F16</f>
        <v>7000</v>
      </c>
    </row>
    <row r="39" spans="1:3" ht="14.25" x14ac:dyDescent="0.2">
      <c r="A39" s="39" t="s">
        <v>34</v>
      </c>
      <c r="B39" s="40" t="s">
        <v>35</v>
      </c>
      <c r="C39" s="41">
        <f>[6]С1!F17</f>
        <v>1.1285714285714286</v>
      </c>
    </row>
    <row r="40" spans="1:3" ht="15.75" x14ac:dyDescent="0.2">
      <c r="A40" s="42" t="s">
        <v>36</v>
      </c>
      <c r="B40" s="43" t="s">
        <v>37</v>
      </c>
      <c r="C40" s="41">
        <f>[6]С1!F20</f>
        <v>22.307053372799995</v>
      </c>
    </row>
    <row r="41" spans="1:3" ht="15.75" x14ac:dyDescent="0.2">
      <c r="A41" s="42" t="s">
        <v>38</v>
      </c>
      <c r="B41" s="44" t="s">
        <v>39</v>
      </c>
      <c r="C41" s="41">
        <f>[6]С1!F21</f>
        <v>21.531904799999996</v>
      </c>
    </row>
    <row r="42" spans="1:3" ht="14.25" x14ac:dyDescent="0.2">
      <c r="A42" s="42" t="s">
        <v>40</v>
      </c>
      <c r="B42" s="45" t="s">
        <v>41</v>
      </c>
      <c r="C42" s="41">
        <f>[6]С1!F22</f>
        <v>1.036</v>
      </c>
    </row>
    <row r="43" spans="1:3" ht="53.25" thickBot="1" x14ac:dyDescent="0.25">
      <c r="A43" s="26" t="s">
        <v>42</v>
      </c>
      <c r="B43" s="46" t="s">
        <v>43</v>
      </c>
      <c r="C43" s="47" t="str">
        <f>[6]С1!F23</f>
        <v>-</v>
      </c>
    </row>
    <row r="44" spans="1:3" ht="13.5" thickBot="1" x14ac:dyDescent="0.25">
      <c r="A44" s="48"/>
      <c r="B44" s="49"/>
      <c r="C44" s="14"/>
    </row>
    <row r="45" spans="1:3" ht="30" customHeight="1" x14ac:dyDescent="0.2">
      <c r="A45" s="50" t="s">
        <v>44</v>
      </c>
      <c r="B45" s="146" t="s">
        <v>45</v>
      </c>
      <c r="C45" s="146"/>
    </row>
    <row r="46" spans="1:3" ht="25.5" x14ac:dyDescent="0.2">
      <c r="A46" s="21" t="s">
        <v>46</v>
      </c>
      <c r="B46" s="36" t="s">
        <v>47</v>
      </c>
      <c r="C46" s="51" t="str">
        <f>[6]С2.1!E12</f>
        <v>V</v>
      </c>
    </row>
    <row r="47" spans="1:3" ht="25.5" x14ac:dyDescent="0.2">
      <c r="A47" s="21" t="s">
        <v>48</v>
      </c>
      <c r="B47" s="32" t="s">
        <v>49</v>
      </c>
      <c r="C47" s="51" t="str">
        <f>[6]С2.1!E13</f>
        <v>6 и менее баллов</v>
      </c>
    </row>
    <row r="48" spans="1:3" ht="25.5" x14ac:dyDescent="0.2">
      <c r="A48" s="21" t="s">
        <v>50</v>
      </c>
      <c r="B48" s="32" t="s">
        <v>51</v>
      </c>
      <c r="C48" s="51" t="str">
        <f>[6]С2.1!E14</f>
        <v>от 200 до 500</v>
      </c>
    </row>
    <row r="49" spans="1:3" ht="25.5" x14ac:dyDescent="0.2">
      <c r="A49" s="21" t="s">
        <v>52</v>
      </c>
      <c r="B49" s="32" t="s">
        <v>53</v>
      </c>
      <c r="C49" s="52" t="str">
        <f>[6]С2.1!E15</f>
        <v>нет</v>
      </c>
    </row>
    <row r="50" spans="1:3" ht="30" x14ac:dyDescent="0.2">
      <c r="A50" s="21" t="s">
        <v>54</v>
      </c>
      <c r="B50" s="32" t="s">
        <v>55</v>
      </c>
      <c r="C50" s="33">
        <f>[6]С2!F18</f>
        <v>32402.627334033532</v>
      </c>
    </row>
    <row r="51" spans="1:3" ht="30" x14ac:dyDescent="0.2">
      <c r="A51" s="21" t="s">
        <v>56</v>
      </c>
      <c r="B51" s="53" t="s">
        <v>57</v>
      </c>
      <c r="C51" s="33">
        <f>IF([6]С2!F19&gt;0,[6]С2!F19,[6]С2!F20)</f>
        <v>23441.524932855718</v>
      </c>
    </row>
    <row r="52" spans="1:3" ht="25.5" x14ac:dyDescent="0.2">
      <c r="A52" s="21" t="s">
        <v>58</v>
      </c>
      <c r="B52" s="54" t="s">
        <v>59</v>
      </c>
      <c r="C52" s="33">
        <f>[6]С2.1!E20</f>
        <v>-37</v>
      </c>
    </row>
    <row r="53" spans="1:3" ht="25.5" x14ac:dyDescent="0.2">
      <c r="A53" s="21" t="s">
        <v>60</v>
      </c>
      <c r="B53" s="54" t="s">
        <v>61</v>
      </c>
      <c r="C53" s="33" t="str">
        <f>[6]С2.1!E23</f>
        <v>нет</v>
      </c>
    </row>
    <row r="54" spans="1:3" ht="38.25" x14ac:dyDescent="0.2">
      <c r="A54" s="21" t="s">
        <v>62</v>
      </c>
      <c r="B54" s="55" t="s">
        <v>63</v>
      </c>
      <c r="C54" s="33">
        <f>[6]С2.2!E10</f>
        <v>1287</v>
      </c>
    </row>
    <row r="55" spans="1:3" ht="25.5" x14ac:dyDescent="0.2">
      <c r="A55" s="21" t="s">
        <v>64</v>
      </c>
      <c r="B55" s="56" t="s">
        <v>65</v>
      </c>
      <c r="C55" s="33">
        <f>[6]С2.2!E12</f>
        <v>5.97</v>
      </c>
    </row>
    <row r="56" spans="1:3" ht="52.5" x14ac:dyDescent="0.2">
      <c r="A56" s="21" t="s">
        <v>66</v>
      </c>
      <c r="B56" s="57" t="s">
        <v>67</v>
      </c>
      <c r="C56" s="33">
        <f>[6]С2.2!E13</f>
        <v>1</v>
      </c>
    </row>
    <row r="57" spans="1:3" ht="27.75" x14ac:dyDescent="0.2">
      <c r="A57" s="21" t="s">
        <v>68</v>
      </c>
      <c r="B57" s="56" t="s">
        <v>69</v>
      </c>
      <c r="C57" s="33">
        <f>[6]С2.2!E14</f>
        <v>12104</v>
      </c>
    </row>
    <row r="58" spans="1:3" ht="25.5" x14ac:dyDescent="0.2">
      <c r="A58" s="21" t="s">
        <v>70</v>
      </c>
      <c r="B58" s="57" t="s">
        <v>71</v>
      </c>
      <c r="C58" s="35">
        <f>[6]С2.2!E15</f>
        <v>4.8000000000000001E-2</v>
      </c>
    </row>
    <row r="59" spans="1:3" x14ac:dyDescent="0.2">
      <c r="A59" s="21" t="s">
        <v>72</v>
      </c>
      <c r="B59" s="57" t="s">
        <v>73</v>
      </c>
      <c r="C59" s="58">
        <f>[6]С2.2!E16</f>
        <v>1</v>
      </c>
    </row>
    <row r="60" spans="1:3" ht="15.75" x14ac:dyDescent="0.2">
      <c r="A60" s="21" t="s">
        <v>74</v>
      </c>
      <c r="B60" s="59" t="s">
        <v>75</v>
      </c>
      <c r="C60" s="33">
        <f>[6]С2!F21</f>
        <v>1</v>
      </c>
    </row>
    <row r="61" spans="1:3" ht="30" x14ac:dyDescent="0.2">
      <c r="A61" s="60" t="s">
        <v>76</v>
      </c>
      <c r="B61" s="32" t="s">
        <v>77</v>
      </c>
      <c r="C61" s="33">
        <f>[6]С2!F13</f>
        <v>97038.307983185223</v>
      </c>
    </row>
    <row r="62" spans="1:3" ht="30" x14ac:dyDescent="0.2">
      <c r="A62" s="60" t="s">
        <v>78</v>
      </c>
      <c r="B62" s="61" t="s">
        <v>79</v>
      </c>
      <c r="C62" s="33">
        <f>[6]С2!F14</f>
        <v>64899</v>
      </c>
    </row>
    <row r="63" spans="1:3" ht="15.75" x14ac:dyDescent="0.2">
      <c r="A63" s="60" t="s">
        <v>80</v>
      </c>
      <c r="B63" s="61" t="s">
        <v>81</v>
      </c>
      <c r="C63" s="41">
        <f>[6]С2!F15</f>
        <v>1.071</v>
      </c>
    </row>
    <row r="64" spans="1:3" ht="15.75" x14ac:dyDescent="0.2">
      <c r="A64" s="60" t="s">
        <v>82</v>
      </c>
      <c r="B64" s="61" t="s">
        <v>83</v>
      </c>
      <c r="C64" s="62">
        <f>[6]С2!F16</f>
        <v>1</v>
      </c>
    </row>
    <row r="65" spans="1:3" ht="17.25" x14ac:dyDescent="0.2">
      <c r="A65" s="60" t="s">
        <v>84</v>
      </c>
      <c r="B65" s="61" t="s">
        <v>85</v>
      </c>
      <c r="C65" s="63">
        <f>[6]С2!F17</f>
        <v>1.01</v>
      </c>
    </row>
    <row r="66" spans="1:3" s="66" customFormat="1" ht="14.25" x14ac:dyDescent="0.2">
      <c r="A66" s="60" t="s">
        <v>86</v>
      </c>
      <c r="B66" s="64" t="s">
        <v>87</v>
      </c>
      <c r="C66" s="65">
        <f>[6]С2!F35</f>
        <v>10</v>
      </c>
    </row>
    <row r="67" spans="1:3" ht="30" x14ac:dyDescent="0.2">
      <c r="A67" s="60" t="s">
        <v>88</v>
      </c>
      <c r="B67" s="67" t="s">
        <v>89</v>
      </c>
      <c r="C67" s="33">
        <f>[6]С2!F28</f>
        <v>139.14695294069438</v>
      </c>
    </row>
    <row r="68" spans="1:3" ht="17.25" x14ac:dyDescent="0.2">
      <c r="A68" s="60" t="s">
        <v>90</v>
      </c>
      <c r="B68" s="53" t="s">
        <v>91</v>
      </c>
      <c r="C68" s="41">
        <f>[6]С2!F29</f>
        <v>0.201330388</v>
      </c>
    </row>
    <row r="69" spans="1:3" ht="17.25" x14ac:dyDescent="0.2">
      <c r="A69" s="60" t="s">
        <v>92</v>
      </c>
      <c r="B69" s="59" t="s">
        <v>93</v>
      </c>
      <c r="C69" s="65">
        <f>[6]С2!F30</f>
        <v>500</v>
      </c>
    </row>
    <row r="70" spans="1:3" ht="42.75" x14ac:dyDescent="0.2">
      <c r="A70" s="60" t="s">
        <v>94</v>
      </c>
      <c r="B70" s="32" t="s">
        <v>95</v>
      </c>
      <c r="C70" s="33">
        <f>[6]С2!F22</f>
        <v>36585.255753162281</v>
      </c>
    </row>
    <row r="71" spans="1:3" ht="30" x14ac:dyDescent="0.2">
      <c r="A71" s="60" t="s">
        <v>96</v>
      </c>
      <c r="B71" s="61" t="s">
        <v>97</v>
      </c>
      <c r="C71" s="33">
        <f>[6]С2!F23</f>
        <v>21</v>
      </c>
    </row>
    <row r="72" spans="1:3" ht="30" x14ac:dyDescent="0.2">
      <c r="A72" s="60" t="s">
        <v>98</v>
      </c>
      <c r="B72" s="53" t="s">
        <v>99</v>
      </c>
      <c r="C72" s="33">
        <f>[6]С2.1!E28</f>
        <v>14036.09995</v>
      </c>
    </row>
    <row r="73" spans="1:3" ht="38.25" x14ac:dyDescent="0.2">
      <c r="A73" s="60" t="s">
        <v>100</v>
      </c>
      <c r="B73" s="68" t="s">
        <v>101</v>
      </c>
      <c r="C73" s="52">
        <f>[6]С2.3!E21</f>
        <v>0</v>
      </c>
    </row>
    <row r="74" spans="1:3" ht="25.5" x14ac:dyDescent="0.2">
      <c r="A74" s="60" t="s">
        <v>102</v>
      </c>
      <c r="B74" s="69" t="s">
        <v>103</v>
      </c>
      <c r="C74" s="70">
        <f>[6]С2.3!E11</f>
        <v>5.45</v>
      </c>
    </row>
    <row r="75" spans="1:3" ht="25.5" x14ac:dyDescent="0.2">
      <c r="A75" s="60" t="s">
        <v>104</v>
      </c>
      <c r="B75" s="69" t="s">
        <v>105</v>
      </c>
      <c r="C75" s="65">
        <f>[6]С2.3!E13</f>
        <v>300</v>
      </c>
    </row>
    <row r="76" spans="1:3" ht="25.5" x14ac:dyDescent="0.2">
      <c r="A76" s="60" t="s">
        <v>106</v>
      </c>
      <c r="B76" s="68" t="s">
        <v>107</v>
      </c>
      <c r="C76" s="71">
        <f>IF([6]С2.3!E22&gt;0,[6]С2.3!E22,[6]С2.3!E14)</f>
        <v>61211</v>
      </c>
    </row>
    <row r="77" spans="1:3" ht="38.25" x14ac:dyDescent="0.2">
      <c r="A77" s="60" t="s">
        <v>108</v>
      </c>
      <c r="B77" s="68" t="s">
        <v>109</v>
      </c>
      <c r="C77" s="71">
        <f>IF([6]С2.3!E23&gt;0,[6]С2.3!E23,[6]С2.3!E15)</f>
        <v>45675</v>
      </c>
    </row>
    <row r="78" spans="1:3" ht="30" x14ac:dyDescent="0.2">
      <c r="A78" s="60" t="s">
        <v>110</v>
      </c>
      <c r="B78" s="53" t="s">
        <v>111</v>
      </c>
      <c r="C78" s="33">
        <f>[6]С2.1!E29</f>
        <v>9518.3274000000001</v>
      </c>
    </row>
    <row r="79" spans="1:3" ht="38.25" x14ac:dyDescent="0.2">
      <c r="A79" s="60" t="s">
        <v>112</v>
      </c>
      <c r="B79" s="68" t="s">
        <v>113</v>
      </c>
      <c r="C79" s="52">
        <f>[6]С2.3!E25</f>
        <v>0</v>
      </c>
    </row>
    <row r="80" spans="1:3" ht="25.5" x14ac:dyDescent="0.2">
      <c r="A80" s="60" t="s">
        <v>114</v>
      </c>
      <c r="B80" s="69" t="s">
        <v>115</v>
      </c>
      <c r="C80" s="70">
        <f>[6]С2.3!E12</f>
        <v>0.2</v>
      </c>
    </row>
    <row r="81" spans="1:3" ht="25.5" x14ac:dyDescent="0.2">
      <c r="A81" s="60" t="s">
        <v>116</v>
      </c>
      <c r="B81" s="69" t="s">
        <v>105</v>
      </c>
      <c r="C81" s="65">
        <f>[6]С2.3!E13</f>
        <v>300</v>
      </c>
    </row>
    <row r="82" spans="1:3" ht="25.5" x14ac:dyDescent="0.2">
      <c r="A82" s="60" t="s">
        <v>117</v>
      </c>
      <c r="B82" s="72" t="s">
        <v>118</v>
      </c>
      <c r="C82" s="71">
        <f>IF([6]С2.3!E26&gt;0,[6]С2.3!E26,[6]С2.3!E16)</f>
        <v>65637</v>
      </c>
    </row>
    <row r="83" spans="1:3" ht="38.25" x14ac:dyDescent="0.2">
      <c r="A83" s="60" t="s">
        <v>119</v>
      </c>
      <c r="B83" s="72" t="s">
        <v>120</v>
      </c>
      <c r="C83" s="71">
        <f>IF([6]С2.3!E27&gt;0,[6]С2.3!E27,[6]С2.3!E17)</f>
        <v>31684</v>
      </c>
    </row>
    <row r="84" spans="1:3" ht="30" x14ac:dyDescent="0.2">
      <c r="A84" s="60" t="s">
        <v>121</v>
      </c>
      <c r="B84" s="61" t="s">
        <v>122</v>
      </c>
      <c r="C84" s="71">
        <f>IF([6]С2.1!E19&gt;0,[6]С2.1!E19,[6]С2!F26)</f>
        <v>2892</v>
      </c>
    </row>
    <row r="85" spans="1:3" ht="17.25" x14ac:dyDescent="0.2">
      <c r="A85" s="60" t="s">
        <v>123</v>
      </c>
      <c r="B85" s="32" t="s">
        <v>124</v>
      </c>
      <c r="C85" s="35">
        <f>[6]С2!F31</f>
        <v>0.128978033685065</v>
      </c>
    </row>
    <row r="86" spans="1:3" ht="30" x14ac:dyDescent="0.2">
      <c r="A86" s="60" t="s">
        <v>125</v>
      </c>
      <c r="B86" s="53" t="s">
        <v>126</v>
      </c>
      <c r="C86" s="73">
        <f>[6]С2!F32</f>
        <v>0.11668498168498169</v>
      </c>
    </row>
    <row r="87" spans="1:3" ht="17.25" x14ac:dyDescent="0.2">
      <c r="A87" s="60" t="s">
        <v>127</v>
      </c>
      <c r="B87" s="74" t="s">
        <v>128</v>
      </c>
      <c r="C87" s="35">
        <f>[6]С2!F33</f>
        <v>0.13880000000000001</v>
      </c>
    </row>
    <row r="88" spans="1:3" s="66" customFormat="1" ht="18" thickBot="1" x14ac:dyDescent="0.25">
      <c r="A88" s="75" t="s">
        <v>129</v>
      </c>
      <c r="B88" s="76" t="s">
        <v>130</v>
      </c>
      <c r="C88" s="77">
        <f>[6]С2!F34</f>
        <v>0.12640000000000001</v>
      </c>
    </row>
    <row r="89" spans="1:3" ht="13.5" thickBot="1" x14ac:dyDescent="0.25">
      <c r="A89" s="48"/>
      <c r="B89" s="49"/>
      <c r="C89" s="14"/>
    </row>
    <row r="90" spans="1:3" s="66" customFormat="1" ht="30" customHeight="1" x14ac:dyDescent="0.2">
      <c r="A90" s="78" t="s">
        <v>131</v>
      </c>
      <c r="B90" s="146" t="s">
        <v>132</v>
      </c>
      <c r="C90" s="146"/>
    </row>
    <row r="91" spans="1:3" s="66" customFormat="1" ht="30" x14ac:dyDescent="0.2">
      <c r="A91" s="79" t="s">
        <v>133</v>
      </c>
      <c r="B91" s="32" t="s">
        <v>134</v>
      </c>
      <c r="C91" s="33">
        <f>[6]С3!F14</f>
        <v>4857.2878492227173</v>
      </c>
    </row>
    <row r="92" spans="1:3" s="66" customFormat="1" ht="42.75" x14ac:dyDescent="0.2">
      <c r="A92" s="79" t="s">
        <v>135</v>
      </c>
      <c r="B92" s="53" t="s">
        <v>136</v>
      </c>
      <c r="C92" s="80">
        <f>[6]С3!F15</f>
        <v>0.2</v>
      </c>
    </row>
    <row r="93" spans="1:3" s="66" customFormat="1" ht="14.25" x14ac:dyDescent="0.2">
      <c r="A93" s="79" t="s">
        <v>137</v>
      </c>
      <c r="B93" s="81" t="s">
        <v>138</v>
      </c>
      <c r="C93" s="65">
        <f>[6]С3!F18</f>
        <v>15</v>
      </c>
    </row>
    <row r="94" spans="1:3" s="66" customFormat="1" ht="17.25" x14ac:dyDescent="0.2">
      <c r="A94" s="79" t="s">
        <v>139</v>
      </c>
      <c r="B94" s="32" t="s">
        <v>140</v>
      </c>
      <c r="C94" s="33">
        <f>[6]С3!F19</f>
        <v>2435.0508023655884</v>
      </c>
    </row>
    <row r="95" spans="1:3" s="66" customFormat="1" ht="55.5" x14ac:dyDescent="0.2">
      <c r="A95" s="79" t="s">
        <v>141</v>
      </c>
      <c r="B95" s="53" t="s">
        <v>142</v>
      </c>
      <c r="C95" s="82">
        <f>[6]С3!F20</f>
        <v>2.1999999999999999E-2</v>
      </c>
    </row>
    <row r="96" spans="1:3" s="66" customFormat="1" ht="14.25" x14ac:dyDescent="0.2">
      <c r="A96" s="79" t="s">
        <v>143</v>
      </c>
      <c r="B96" s="59" t="s">
        <v>87</v>
      </c>
      <c r="C96" s="65">
        <f>[6]С3!F21</f>
        <v>10</v>
      </c>
    </row>
    <row r="97" spans="1:3" s="66" customFormat="1" ht="17.25" x14ac:dyDescent="0.2">
      <c r="A97" s="79" t="s">
        <v>144</v>
      </c>
      <c r="B97" s="32" t="s">
        <v>145</v>
      </c>
      <c r="C97" s="33">
        <f>[6]С3!F22</f>
        <v>0.41744085882208315</v>
      </c>
    </row>
    <row r="98" spans="1:3" s="66" customFormat="1" ht="55.5" x14ac:dyDescent="0.2">
      <c r="A98" s="79" t="s">
        <v>146</v>
      </c>
      <c r="B98" s="53" t="s">
        <v>147</v>
      </c>
      <c r="C98" s="82">
        <f>[6]С3!F23</f>
        <v>3.0000000000000001E-3</v>
      </c>
    </row>
    <row r="99" spans="1:3" s="66" customFormat="1" ht="30.75" thickBot="1" x14ac:dyDescent="0.25">
      <c r="A99" s="83" t="s">
        <v>148</v>
      </c>
      <c r="B99" s="84" t="s">
        <v>89</v>
      </c>
      <c r="C99" s="85">
        <f>[6]С3!F24</f>
        <v>139.14695294069438</v>
      </c>
    </row>
    <row r="100" spans="1:3" ht="13.5" thickBot="1" x14ac:dyDescent="0.25">
      <c r="A100" s="48"/>
      <c r="B100" s="49"/>
      <c r="C100" s="14"/>
    </row>
    <row r="101" spans="1:3" ht="30" customHeight="1" x14ac:dyDescent="0.2">
      <c r="A101" s="86" t="s">
        <v>149</v>
      </c>
      <c r="B101" s="146" t="s">
        <v>150</v>
      </c>
      <c r="C101" s="146"/>
    </row>
    <row r="102" spans="1:3" ht="30" x14ac:dyDescent="0.2">
      <c r="A102" s="60" t="s">
        <v>151</v>
      </c>
      <c r="B102" s="32" t="s">
        <v>152</v>
      </c>
      <c r="C102" s="33">
        <f>[6]С4!F16</f>
        <v>832.33500000000004</v>
      </c>
    </row>
    <row r="103" spans="1:3" ht="30" x14ac:dyDescent="0.2">
      <c r="A103" s="60" t="s">
        <v>153</v>
      </c>
      <c r="B103" s="59" t="s">
        <v>154</v>
      </c>
      <c r="C103" s="33">
        <f>[6]С4!F17</f>
        <v>43385</v>
      </c>
    </row>
    <row r="104" spans="1:3" ht="17.25" x14ac:dyDescent="0.2">
      <c r="A104" s="60" t="s">
        <v>155</v>
      </c>
      <c r="B104" s="59" t="s">
        <v>156</v>
      </c>
      <c r="C104" s="41">
        <f>[6]С4!F18</f>
        <v>1.4999999999999999E-2</v>
      </c>
    </row>
    <row r="105" spans="1:3" ht="30" x14ac:dyDescent="0.2">
      <c r="A105" s="60" t="s">
        <v>157</v>
      </c>
      <c r="B105" s="59" t="s">
        <v>158</v>
      </c>
      <c r="C105" s="33">
        <f>[6]С4!F19</f>
        <v>12104</v>
      </c>
    </row>
    <row r="106" spans="1:3" ht="28.5" x14ac:dyDescent="0.2">
      <c r="A106" s="60" t="s">
        <v>159</v>
      </c>
      <c r="B106" s="59" t="s">
        <v>160</v>
      </c>
      <c r="C106" s="41">
        <f>[6]С4!F20</f>
        <v>1.4999999999999999E-2</v>
      </c>
    </row>
    <row r="107" spans="1:3" ht="30" x14ac:dyDescent="0.2">
      <c r="A107" s="60" t="s">
        <v>161</v>
      </c>
      <c r="B107" s="32" t="s">
        <v>162</v>
      </c>
      <c r="C107" s="33">
        <f>[6]С4!F21</f>
        <v>1221.9019409821399</v>
      </c>
    </row>
    <row r="108" spans="1:3" ht="45.6" customHeight="1" x14ac:dyDescent="0.2">
      <c r="A108" s="60" t="s">
        <v>163</v>
      </c>
      <c r="B108" s="53" t="s">
        <v>164</v>
      </c>
      <c r="C108" s="34" t="str">
        <f>IF([6]С4.2!F8="да",[6]С4.2!D21,[6]С4.2!D15)</f>
        <v>АО "Новосибирскэнергосбыт"</v>
      </c>
    </row>
    <row r="109" spans="1:3" ht="68.25" customHeight="1" x14ac:dyDescent="0.2">
      <c r="A109" s="60" t="s">
        <v>165</v>
      </c>
      <c r="B109" s="53" t="s">
        <v>166</v>
      </c>
      <c r="C109" s="33">
        <f>[6]С4!F22</f>
        <v>3.6112641666666665</v>
      </c>
    </row>
    <row r="110" spans="1:3" ht="30" x14ac:dyDescent="0.2">
      <c r="A110" s="60" t="s">
        <v>167</v>
      </c>
      <c r="B110" s="59" t="s">
        <v>168</v>
      </c>
      <c r="C110" s="65">
        <f>[6]С4!F23</f>
        <v>110</v>
      </c>
    </row>
    <row r="111" spans="1:3" ht="14.25" x14ac:dyDescent="0.2">
      <c r="A111" s="60" t="s">
        <v>169</v>
      </c>
      <c r="B111" s="53" t="s">
        <v>170</v>
      </c>
      <c r="C111" s="33">
        <f>[6]С4!F24</f>
        <v>8497.1999999999989</v>
      </c>
    </row>
    <row r="112" spans="1:3" ht="14.25" x14ac:dyDescent="0.2">
      <c r="A112" s="60" t="s">
        <v>171</v>
      </c>
      <c r="B112" s="59" t="s">
        <v>172</v>
      </c>
      <c r="C112" s="41">
        <f>[6]С4!F25</f>
        <v>0.36199999999999999</v>
      </c>
    </row>
    <row r="113" spans="1:3" ht="17.25" x14ac:dyDescent="0.2">
      <c r="A113" s="60" t="s">
        <v>173</v>
      </c>
      <c r="B113" s="32" t="s">
        <v>174</v>
      </c>
      <c r="C113" s="33">
        <f>[6]С4!F26</f>
        <v>35.35678333333334</v>
      </c>
    </row>
    <row r="114" spans="1:3" ht="25.5" x14ac:dyDescent="0.2">
      <c r="A114" s="60" t="s">
        <v>175</v>
      </c>
      <c r="B114" s="53" t="s">
        <v>101</v>
      </c>
      <c r="C114" s="34">
        <f>[6]С4.3!E16</f>
        <v>0</v>
      </c>
    </row>
    <row r="115" spans="1:3" ht="25.5" x14ac:dyDescent="0.2">
      <c r="A115" s="60" t="s">
        <v>176</v>
      </c>
      <c r="B115" s="53" t="s">
        <v>177</v>
      </c>
      <c r="C115" s="33">
        <f>[6]С4.3!E17</f>
        <v>17.583333333333336</v>
      </c>
    </row>
    <row r="116" spans="1:3" ht="38.25" x14ac:dyDescent="0.2">
      <c r="A116" s="60" t="s">
        <v>178</v>
      </c>
      <c r="B116" s="53" t="s">
        <v>113</v>
      </c>
      <c r="C116" s="34">
        <f>[6]С4.3!E18</f>
        <v>0</v>
      </c>
    </row>
    <row r="117" spans="1:3" x14ac:dyDescent="0.2">
      <c r="A117" s="60" t="s">
        <v>179</v>
      </c>
      <c r="B117" s="53" t="s">
        <v>180</v>
      </c>
      <c r="C117" s="33">
        <f>[6]С4.3!E19</f>
        <v>18.983333333333334</v>
      </c>
    </row>
    <row r="118" spans="1:3" x14ac:dyDescent="0.2">
      <c r="A118" s="60" t="s">
        <v>181</v>
      </c>
      <c r="B118" s="59" t="s">
        <v>182</v>
      </c>
      <c r="C118" s="65">
        <f>[6]С4.3!E11</f>
        <v>1871</v>
      </c>
    </row>
    <row r="119" spans="1:3" x14ac:dyDescent="0.2">
      <c r="A119" s="60" t="s">
        <v>183</v>
      </c>
      <c r="B119" s="59" t="s">
        <v>184</v>
      </c>
      <c r="C119" s="52">
        <f>[6]С4.3!E12</f>
        <v>61</v>
      </c>
    </row>
    <row r="120" spans="1:3" x14ac:dyDescent="0.2">
      <c r="A120" s="60" t="s">
        <v>185</v>
      </c>
      <c r="B120" s="59" t="s">
        <v>186</v>
      </c>
      <c r="C120" s="52">
        <f>[6]С4.3!E13</f>
        <v>73</v>
      </c>
    </row>
    <row r="121" spans="1:3" ht="30" x14ac:dyDescent="0.2">
      <c r="A121" s="60" t="s">
        <v>187</v>
      </c>
      <c r="B121" s="32" t="s">
        <v>188</v>
      </c>
      <c r="C121" s="33">
        <f>[6]С4!F27</f>
        <v>946.59139764731083</v>
      </c>
    </row>
    <row r="122" spans="1:3" ht="25.5" x14ac:dyDescent="0.2">
      <c r="A122" s="60" t="s">
        <v>189</v>
      </c>
      <c r="B122" s="53" t="s">
        <v>190</v>
      </c>
      <c r="C122" s="33">
        <f>[6]С4!F28</f>
        <v>727.02872323142151</v>
      </c>
    </row>
    <row r="123" spans="1:3" ht="42.75" x14ac:dyDescent="0.2">
      <c r="A123" s="60" t="s">
        <v>191</v>
      </c>
      <c r="B123" s="53" t="s">
        <v>192</v>
      </c>
      <c r="C123" s="33">
        <f>[6]С4!F29</f>
        <v>219.56267441588932</v>
      </c>
    </row>
    <row r="124" spans="1:3" ht="30.75" thickBot="1" x14ac:dyDescent="0.25">
      <c r="A124" s="75" t="s">
        <v>193</v>
      </c>
      <c r="B124" s="87" t="s">
        <v>194</v>
      </c>
      <c r="C124" s="85">
        <f>[6]С4!F30</f>
        <v>490.02969350353561</v>
      </c>
    </row>
    <row r="125" spans="1:3" s="88" customFormat="1" ht="13.5" thickBot="1" x14ac:dyDescent="0.25">
      <c r="A125" s="48"/>
      <c r="B125" s="49"/>
      <c r="C125" s="14"/>
    </row>
    <row r="126" spans="1:3" s="66" customFormat="1" ht="30" customHeight="1" x14ac:dyDescent="0.2">
      <c r="A126" s="78" t="s">
        <v>195</v>
      </c>
      <c r="B126" s="146" t="s">
        <v>196</v>
      </c>
      <c r="C126" s="146"/>
    </row>
    <row r="127" spans="1:3" ht="30.6" customHeight="1" thickBot="1" x14ac:dyDescent="0.25">
      <c r="A127" s="26" t="s">
        <v>197</v>
      </c>
      <c r="B127" s="87" t="s">
        <v>198</v>
      </c>
      <c r="C127" s="85">
        <f>[6]С5!F17</f>
        <v>0.02</v>
      </c>
    </row>
    <row r="128" spans="1:3" s="88" customFormat="1" ht="13.5" thickBot="1" x14ac:dyDescent="0.25">
      <c r="A128" s="48"/>
      <c r="B128" s="49"/>
      <c r="C128" s="14"/>
    </row>
    <row r="129" spans="1:4" ht="42.75" customHeight="1" x14ac:dyDescent="0.2">
      <c r="A129" s="86" t="s">
        <v>199</v>
      </c>
      <c r="B129" s="146" t="s">
        <v>200</v>
      </c>
      <c r="C129" s="146"/>
    </row>
    <row r="130" spans="1:4" ht="68.25" x14ac:dyDescent="0.2">
      <c r="A130" s="60" t="s">
        <v>201</v>
      </c>
      <c r="B130" s="89" t="s">
        <v>202</v>
      </c>
      <c r="C130" s="33" t="str">
        <f>IF([6]С6.1!E11="нет",[6]С6!F13,"")</f>
        <v/>
      </c>
    </row>
    <row r="131" spans="1:4" ht="42.75" x14ac:dyDescent="0.2">
      <c r="A131" s="60" t="s">
        <v>203</v>
      </c>
      <c r="B131" s="90" t="s">
        <v>204</v>
      </c>
      <c r="C131" s="91" t="str">
        <f>IF([6]С6.1!E12="нет",[6]С6.1!E17,"")</f>
        <v/>
      </c>
    </row>
    <row r="132" spans="1:4" ht="68.25" x14ac:dyDescent="0.2">
      <c r="A132" s="60" t="s">
        <v>205</v>
      </c>
      <c r="B132" s="89" t="s">
        <v>206</v>
      </c>
      <c r="C132" s="92" t="str">
        <f>IF([6]С6.1!E18="нет",[6]С6!F19,"")</f>
        <v/>
      </c>
    </row>
    <row r="133" spans="1:4" ht="55.5" x14ac:dyDescent="0.2">
      <c r="A133" s="60" t="s">
        <v>207</v>
      </c>
      <c r="B133" s="90" t="s">
        <v>208</v>
      </c>
      <c r="C133" s="35" t="str">
        <f>IF([6]С6.1!E18="нет",[6]С6.1!E19,"")</f>
        <v/>
      </c>
    </row>
    <row r="134" spans="1:4" ht="61.5" customHeight="1" x14ac:dyDescent="0.2">
      <c r="A134" s="60" t="s">
        <v>209</v>
      </c>
      <c r="B134" s="90" t="s">
        <v>210</v>
      </c>
      <c r="C134" s="35" t="str">
        <f>IF([6]С6.1!E18="нет",[6]С6.1!E22,"")</f>
        <v/>
      </c>
    </row>
    <row r="135" spans="1:4" ht="69" thickBot="1" x14ac:dyDescent="0.25">
      <c r="A135" s="75" t="s">
        <v>211</v>
      </c>
      <c r="B135" s="93" t="s">
        <v>212</v>
      </c>
      <c r="C135" s="77" t="str">
        <f>IF([6]С6.1!E18="нет",[6]С6.1!E23,"")</f>
        <v/>
      </c>
    </row>
    <row r="136" spans="1:4" s="88" customFormat="1" ht="13.5" thickBot="1" x14ac:dyDescent="0.25">
      <c r="A136" s="48"/>
      <c r="B136" s="49"/>
      <c r="C136" s="14"/>
    </row>
    <row r="137" spans="1:4" ht="15.75" x14ac:dyDescent="0.2">
      <c r="A137" s="86" t="s">
        <v>213</v>
      </c>
      <c r="B137" s="94" t="s">
        <v>214</v>
      </c>
      <c r="C137" s="95">
        <f>[6]С2!F39</f>
        <v>21.531904799999996</v>
      </c>
    </row>
    <row r="138" spans="1:4" ht="14.25" x14ac:dyDescent="0.2">
      <c r="A138" s="60" t="s">
        <v>215</v>
      </c>
      <c r="B138" s="59" t="s">
        <v>216</v>
      </c>
      <c r="C138" s="33">
        <f>[6]С2!F40</f>
        <v>7</v>
      </c>
    </row>
    <row r="139" spans="1:4" ht="17.25" x14ac:dyDescent="0.2">
      <c r="A139" s="60" t="s">
        <v>217</v>
      </c>
      <c r="B139" s="59" t="s">
        <v>218</v>
      </c>
      <c r="C139" s="33">
        <f>[6]С2!F42</f>
        <v>0.97</v>
      </c>
    </row>
    <row r="140" spans="1:4" ht="15" thickBot="1" x14ac:dyDescent="0.25">
      <c r="A140" s="75" t="s">
        <v>219</v>
      </c>
      <c r="B140" s="76" t="s">
        <v>220</v>
      </c>
      <c r="C140" s="47">
        <f>[6]С2!F44</f>
        <v>0.36199999999999999</v>
      </c>
    </row>
    <row r="141" spans="1:4" s="88" customFormat="1" ht="13.5" thickBot="1" x14ac:dyDescent="0.25">
      <c r="A141" s="48"/>
      <c r="B141" s="49"/>
      <c r="C141" s="14"/>
    </row>
    <row r="142" spans="1:4" ht="17.25" x14ac:dyDescent="0.2">
      <c r="A142" s="86" t="s">
        <v>221</v>
      </c>
      <c r="B142" s="96" t="s">
        <v>222</v>
      </c>
      <c r="C142" s="97">
        <f>[6]С2!F37</f>
        <v>1.3822747209000001</v>
      </c>
      <c r="D142" s="88"/>
    </row>
    <row r="143" spans="1:4" ht="17.25" customHeight="1" thickBot="1" x14ac:dyDescent="0.25">
      <c r="A143" s="75" t="s">
        <v>223</v>
      </c>
      <c r="B143" s="145" t="s">
        <v>224</v>
      </c>
      <c r="C143" s="145"/>
      <c r="D143" s="88"/>
    </row>
    <row r="144" spans="1:4" x14ac:dyDescent="0.2">
      <c r="A144" s="99"/>
      <c r="B144" s="100" t="s">
        <v>0</v>
      </c>
      <c r="C144" s="101"/>
    </row>
    <row r="145" spans="1:3" x14ac:dyDescent="0.2">
      <c r="A145" s="99"/>
      <c r="B145" s="102">
        <v>2020</v>
      </c>
      <c r="C145" s="103">
        <f>[6]С2.5!$E$11</f>
        <v>-2.9000000000000026E-2</v>
      </c>
    </row>
    <row r="146" spans="1:3" x14ac:dyDescent="0.2">
      <c r="B146" s="102">
        <f>B145+1</f>
        <v>2021</v>
      </c>
      <c r="C146" s="104">
        <f>[6]С2.5!$F$11</f>
        <v>0.245</v>
      </c>
    </row>
    <row r="147" spans="1:3" x14ac:dyDescent="0.2">
      <c r="B147" s="102">
        <f t="shared" ref="B147:B210" si="0">B146+1</f>
        <v>2022</v>
      </c>
      <c r="C147" s="105">
        <f>[6]С2.5!$G$11</f>
        <v>0.121</v>
      </c>
    </row>
    <row r="148" spans="1:3" ht="13.5" thickBot="1" x14ac:dyDescent="0.25">
      <c r="B148" s="106">
        <f t="shared" si="0"/>
        <v>2023</v>
      </c>
      <c r="C148" s="107">
        <f>[6]С2.5!$H$11</f>
        <v>0.02</v>
      </c>
    </row>
    <row r="149" spans="1:3" ht="13.5" hidden="1" thickBot="1" x14ac:dyDescent="0.25">
      <c r="B149" s="106">
        <f t="shared" si="0"/>
        <v>2024</v>
      </c>
      <c r="C149" s="107">
        <f>[6]С2.5!$I$11</f>
        <v>0</v>
      </c>
    </row>
    <row r="150" spans="1:3" ht="13.5" hidden="1" thickBot="1" x14ac:dyDescent="0.25">
      <c r="B150" s="106">
        <f t="shared" si="0"/>
        <v>2025</v>
      </c>
      <c r="C150" s="107">
        <f>[6]С2.5!$J$11</f>
        <v>0</v>
      </c>
    </row>
    <row r="151" spans="1:3" ht="13.5" hidden="1" thickBot="1" x14ac:dyDescent="0.25">
      <c r="B151" s="106">
        <f t="shared" si="0"/>
        <v>2026</v>
      </c>
      <c r="C151" s="107">
        <f>[6]С2.5!$K$11</f>
        <v>0</v>
      </c>
    </row>
    <row r="152" spans="1:3" ht="13.5" hidden="1" thickBot="1" x14ac:dyDescent="0.25">
      <c r="B152" s="106">
        <f t="shared" si="0"/>
        <v>2027</v>
      </c>
      <c r="C152" s="107">
        <f>[6]С2.5!$L$11</f>
        <v>0</v>
      </c>
    </row>
    <row r="153" spans="1:3" ht="13.5" hidden="1" thickBot="1" x14ac:dyDescent="0.25">
      <c r="B153" s="106">
        <f t="shared" si="0"/>
        <v>2028</v>
      </c>
      <c r="C153" s="107">
        <f>[6]С2.5!$M$11</f>
        <v>0</v>
      </c>
    </row>
    <row r="154" spans="1:3" ht="13.5" hidden="1" thickBot="1" x14ac:dyDescent="0.25">
      <c r="B154" s="106">
        <f t="shared" si="0"/>
        <v>2029</v>
      </c>
      <c r="C154" s="107">
        <f>[6]С2.5!$N$11</f>
        <v>0</v>
      </c>
    </row>
    <row r="155" spans="1:3" ht="13.5" hidden="1" thickBot="1" x14ac:dyDescent="0.25">
      <c r="B155" s="106">
        <f t="shared" si="0"/>
        <v>2030</v>
      </c>
      <c r="C155" s="107">
        <f>[6]С2.5!$O$11</f>
        <v>0</v>
      </c>
    </row>
    <row r="156" spans="1:3" ht="13.5" hidden="1" thickBot="1" x14ac:dyDescent="0.25">
      <c r="B156" s="106">
        <f t="shared" si="0"/>
        <v>2031</v>
      </c>
      <c r="C156" s="107">
        <f>[6]С2.5!$P$11</f>
        <v>0</v>
      </c>
    </row>
    <row r="157" spans="1:3" ht="13.5" hidden="1" thickBot="1" x14ac:dyDescent="0.25">
      <c r="B157" s="106">
        <f t="shared" si="0"/>
        <v>2032</v>
      </c>
      <c r="C157" s="107">
        <f>[6]С2.5!$Q$11</f>
        <v>0</v>
      </c>
    </row>
    <row r="158" spans="1:3" ht="13.5" hidden="1" thickBot="1" x14ac:dyDescent="0.25">
      <c r="B158" s="106">
        <f t="shared" si="0"/>
        <v>2033</v>
      </c>
      <c r="C158" s="107">
        <f>[6]С2.5!$R$11</f>
        <v>0</v>
      </c>
    </row>
    <row r="159" spans="1:3" ht="13.5" hidden="1" thickBot="1" x14ac:dyDescent="0.25">
      <c r="B159" s="106">
        <f t="shared" si="0"/>
        <v>2034</v>
      </c>
      <c r="C159" s="107">
        <f>[6]С2.5!$S$11</f>
        <v>0</v>
      </c>
    </row>
    <row r="160" spans="1:3" ht="13.5" hidden="1" thickBot="1" x14ac:dyDescent="0.25">
      <c r="B160" s="106">
        <f t="shared" si="0"/>
        <v>2035</v>
      </c>
      <c r="C160" s="107">
        <f>[6]С2.5!$T$11</f>
        <v>0</v>
      </c>
    </row>
    <row r="161" spans="2:3" ht="13.5" hidden="1" thickBot="1" x14ac:dyDescent="0.25">
      <c r="B161" s="106">
        <f t="shared" si="0"/>
        <v>2036</v>
      </c>
      <c r="C161" s="107">
        <f>[6]С2.5!$U$11</f>
        <v>0</v>
      </c>
    </row>
    <row r="162" spans="2:3" ht="13.5" hidden="1" thickBot="1" x14ac:dyDescent="0.25">
      <c r="B162" s="106">
        <f t="shared" si="0"/>
        <v>2037</v>
      </c>
      <c r="C162" s="107">
        <f>[6]С2.5!$V$11</f>
        <v>0</v>
      </c>
    </row>
    <row r="163" spans="2:3" ht="13.5" hidden="1" thickBot="1" x14ac:dyDescent="0.25">
      <c r="B163" s="106">
        <f t="shared" si="0"/>
        <v>2038</v>
      </c>
      <c r="C163" s="107">
        <f>[6]С2.5!$W$11</f>
        <v>0</v>
      </c>
    </row>
    <row r="164" spans="2:3" ht="13.5" hidden="1" thickBot="1" x14ac:dyDescent="0.25">
      <c r="B164" s="106">
        <f t="shared" si="0"/>
        <v>2039</v>
      </c>
      <c r="C164" s="107">
        <f>[6]С2.5!$X$11</f>
        <v>0</v>
      </c>
    </row>
    <row r="165" spans="2:3" ht="13.5" hidden="1" thickBot="1" x14ac:dyDescent="0.25">
      <c r="B165" s="106">
        <f t="shared" si="0"/>
        <v>2040</v>
      </c>
      <c r="C165" s="107">
        <f>[6]С2.5!$Y$11</f>
        <v>0</v>
      </c>
    </row>
    <row r="166" spans="2:3" ht="13.5" hidden="1" thickBot="1" x14ac:dyDescent="0.25">
      <c r="B166" s="106">
        <f t="shared" si="0"/>
        <v>2041</v>
      </c>
      <c r="C166" s="107">
        <f>[6]С2.5!$Z$11</f>
        <v>0</v>
      </c>
    </row>
    <row r="167" spans="2:3" ht="13.5" hidden="1" thickBot="1" x14ac:dyDescent="0.25">
      <c r="B167" s="106">
        <f t="shared" si="0"/>
        <v>2042</v>
      </c>
      <c r="C167" s="107">
        <f>[6]С2.5!$AA$11</f>
        <v>0</v>
      </c>
    </row>
    <row r="168" spans="2:3" ht="13.5" hidden="1" thickBot="1" x14ac:dyDescent="0.25">
      <c r="B168" s="106">
        <f t="shared" si="0"/>
        <v>2043</v>
      </c>
      <c r="C168" s="107">
        <f>[6]С2.5!$AB$11</f>
        <v>0</v>
      </c>
    </row>
    <row r="169" spans="2:3" ht="13.5" hidden="1" thickBot="1" x14ac:dyDescent="0.25">
      <c r="B169" s="106">
        <f t="shared" si="0"/>
        <v>2044</v>
      </c>
      <c r="C169" s="107">
        <f>[6]С2.5!$AC$11</f>
        <v>0</v>
      </c>
    </row>
    <row r="170" spans="2:3" ht="13.5" hidden="1" thickBot="1" x14ac:dyDescent="0.25">
      <c r="B170" s="106">
        <f t="shared" si="0"/>
        <v>2045</v>
      </c>
      <c r="C170" s="107">
        <f>[6]С2.5!$AD$11</f>
        <v>0</v>
      </c>
    </row>
    <row r="171" spans="2:3" ht="13.5" hidden="1" thickBot="1" x14ac:dyDescent="0.25">
      <c r="B171" s="106">
        <f t="shared" si="0"/>
        <v>2046</v>
      </c>
      <c r="C171" s="107">
        <f>[6]С2.5!$AE$11</f>
        <v>0</v>
      </c>
    </row>
    <row r="172" spans="2:3" ht="13.5" hidden="1" thickBot="1" x14ac:dyDescent="0.25">
      <c r="B172" s="106">
        <f t="shared" si="0"/>
        <v>2047</v>
      </c>
      <c r="C172" s="107">
        <f>[6]С2.5!$AF$11</f>
        <v>0</v>
      </c>
    </row>
    <row r="173" spans="2:3" ht="13.5" hidden="1" thickBot="1" x14ac:dyDescent="0.25">
      <c r="B173" s="106">
        <f t="shared" si="0"/>
        <v>2048</v>
      </c>
      <c r="C173" s="107">
        <f>[6]С2.5!$AG$11</f>
        <v>0</v>
      </c>
    </row>
    <row r="174" spans="2:3" ht="13.5" hidden="1" thickBot="1" x14ac:dyDescent="0.25">
      <c r="B174" s="106">
        <f t="shared" si="0"/>
        <v>2049</v>
      </c>
      <c r="C174" s="107">
        <f>[6]С2.5!$AH$11</f>
        <v>0</v>
      </c>
    </row>
    <row r="175" spans="2:3" ht="13.5" hidden="1" thickBot="1" x14ac:dyDescent="0.25">
      <c r="B175" s="106">
        <f t="shared" si="0"/>
        <v>2050</v>
      </c>
      <c r="C175" s="107">
        <f>[6]С2.5!$AI$11</f>
        <v>0</v>
      </c>
    </row>
    <row r="176" spans="2:3" ht="13.5" hidden="1" thickBot="1" x14ac:dyDescent="0.25">
      <c r="B176" s="106">
        <f t="shared" si="0"/>
        <v>2051</v>
      </c>
      <c r="C176" s="107">
        <f>[6]С2.5!$AJ$11</f>
        <v>0</v>
      </c>
    </row>
    <row r="177" spans="2:3" ht="13.5" hidden="1" thickBot="1" x14ac:dyDescent="0.25">
      <c r="B177" s="106">
        <f t="shared" si="0"/>
        <v>2052</v>
      </c>
      <c r="C177" s="107">
        <f>[6]С2.5!$AK$11</f>
        <v>0</v>
      </c>
    </row>
    <row r="178" spans="2:3" ht="13.5" hidden="1" thickBot="1" x14ac:dyDescent="0.25">
      <c r="B178" s="106">
        <f t="shared" si="0"/>
        <v>2053</v>
      </c>
      <c r="C178" s="107">
        <f>[6]С2.5!$AL$11</f>
        <v>0</v>
      </c>
    </row>
    <row r="179" spans="2:3" ht="13.5" hidden="1" thickBot="1" x14ac:dyDescent="0.25">
      <c r="B179" s="106">
        <f t="shared" si="0"/>
        <v>2054</v>
      </c>
      <c r="C179" s="107">
        <f>[6]С2.5!$AM$11</f>
        <v>0</v>
      </c>
    </row>
    <row r="180" spans="2:3" ht="13.5" hidden="1" thickBot="1" x14ac:dyDescent="0.25">
      <c r="B180" s="106">
        <f t="shared" si="0"/>
        <v>2055</v>
      </c>
      <c r="C180" s="107">
        <f>[6]С2.5!$AN$11</f>
        <v>0</v>
      </c>
    </row>
    <row r="181" spans="2:3" ht="13.5" hidden="1" thickBot="1" x14ac:dyDescent="0.25">
      <c r="B181" s="106">
        <f t="shared" si="0"/>
        <v>2056</v>
      </c>
      <c r="C181" s="107">
        <f>[6]С2.5!$AO$11</f>
        <v>0</v>
      </c>
    </row>
    <row r="182" spans="2:3" ht="13.5" hidden="1" thickBot="1" x14ac:dyDescent="0.25">
      <c r="B182" s="106">
        <f t="shared" si="0"/>
        <v>2057</v>
      </c>
      <c r="C182" s="107">
        <f>[6]С2.5!$AP$11</f>
        <v>0</v>
      </c>
    </row>
    <row r="183" spans="2:3" ht="13.5" hidden="1" thickBot="1" x14ac:dyDescent="0.25">
      <c r="B183" s="106">
        <f t="shared" si="0"/>
        <v>2058</v>
      </c>
      <c r="C183" s="107">
        <f>[6]С2.5!$AQ$11</f>
        <v>0</v>
      </c>
    </row>
    <row r="184" spans="2:3" ht="13.5" hidden="1" thickBot="1" x14ac:dyDescent="0.25">
      <c r="B184" s="106">
        <f t="shared" si="0"/>
        <v>2059</v>
      </c>
      <c r="C184" s="107">
        <f>[6]С2.5!$AR$11</f>
        <v>0</v>
      </c>
    </row>
    <row r="185" spans="2:3" ht="13.5" hidden="1" thickBot="1" x14ac:dyDescent="0.25">
      <c r="B185" s="106">
        <f t="shared" si="0"/>
        <v>2060</v>
      </c>
      <c r="C185" s="107">
        <f>[6]С2.5!$AS$11</f>
        <v>0</v>
      </c>
    </row>
    <row r="186" spans="2:3" ht="13.5" hidden="1" thickBot="1" x14ac:dyDescent="0.25">
      <c r="B186" s="106">
        <f t="shared" si="0"/>
        <v>2061</v>
      </c>
      <c r="C186" s="107">
        <f>[6]С2.5!$AT$11</f>
        <v>0</v>
      </c>
    </row>
    <row r="187" spans="2:3" ht="13.5" hidden="1" thickBot="1" x14ac:dyDescent="0.25">
      <c r="B187" s="106">
        <f t="shared" si="0"/>
        <v>2062</v>
      </c>
      <c r="C187" s="107">
        <f>[6]С2.5!$AU$11</f>
        <v>0</v>
      </c>
    </row>
    <row r="188" spans="2:3" ht="13.5" hidden="1" thickBot="1" x14ac:dyDescent="0.25">
      <c r="B188" s="106">
        <f t="shared" si="0"/>
        <v>2063</v>
      </c>
      <c r="C188" s="107">
        <f>[6]С2.5!$AV$11</f>
        <v>0</v>
      </c>
    </row>
    <row r="189" spans="2:3" ht="13.5" hidden="1" thickBot="1" x14ac:dyDescent="0.25">
      <c r="B189" s="106">
        <f t="shared" si="0"/>
        <v>2064</v>
      </c>
      <c r="C189" s="107">
        <f>[6]С2.5!$AW$11</f>
        <v>0</v>
      </c>
    </row>
    <row r="190" spans="2:3" ht="13.5" hidden="1" thickBot="1" x14ac:dyDescent="0.25">
      <c r="B190" s="106">
        <f t="shared" si="0"/>
        <v>2065</v>
      </c>
      <c r="C190" s="107">
        <f>[6]С2.5!$AX$11</f>
        <v>0</v>
      </c>
    </row>
    <row r="191" spans="2:3" ht="13.5" hidden="1" thickBot="1" x14ac:dyDescent="0.25">
      <c r="B191" s="106">
        <f t="shared" si="0"/>
        <v>2066</v>
      </c>
      <c r="C191" s="107">
        <f>[6]С2.5!$AY$11</f>
        <v>0</v>
      </c>
    </row>
    <row r="192" spans="2:3" ht="13.5" hidden="1" thickBot="1" x14ac:dyDescent="0.25">
      <c r="B192" s="106">
        <f t="shared" si="0"/>
        <v>2067</v>
      </c>
      <c r="C192" s="107">
        <f>[6]С2.5!$AZ$11</f>
        <v>0</v>
      </c>
    </row>
    <row r="193" spans="2:3" ht="13.5" hidden="1" thickBot="1" x14ac:dyDescent="0.25">
      <c r="B193" s="106">
        <f t="shared" si="0"/>
        <v>2068</v>
      </c>
      <c r="C193" s="107">
        <f>[6]С2.5!$BA$11</f>
        <v>0</v>
      </c>
    </row>
    <row r="194" spans="2:3" ht="13.5" hidden="1" thickBot="1" x14ac:dyDescent="0.25">
      <c r="B194" s="106">
        <f t="shared" si="0"/>
        <v>2069</v>
      </c>
      <c r="C194" s="107">
        <f>[6]С2.5!$BB$11</f>
        <v>0</v>
      </c>
    </row>
    <row r="195" spans="2:3" ht="13.5" hidden="1" thickBot="1" x14ac:dyDescent="0.25">
      <c r="B195" s="106">
        <f t="shared" si="0"/>
        <v>2070</v>
      </c>
      <c r="C195" s="107">
        <f>[6]С2.5!$BC$11</f>
        <v>0</v>
      </c>
    </row>
    <row r="196" spans="2:3" ht="13.5" hidden="1" thickBot="1" x14ac:dyDescent="0.25">
      <c r="B196" s="106">
        <f t="shared" si="0"/>
        <v>2071</v>
      </c>
      <c r="C196" s="107">
        <f>[6]С2.5!$BD$11</f>
        <v>0</v>
      </c>
    </row>
    <row r="197" spans="2:3" ht="13.5" hidden="1" thickBot="1" x14ac:dyDescent="0.25">
      <c r="B197" s="106">
        <f t="shared" si="0"/>
        <v>2072</v>
      </c>
      <c r="C197" s="107">
        <f>[6]С2.5!$BE$11</f>
        <v>0</v>
      </c>
    </row>
    <row r="198" spans="2:3" ht="13.5" hidden="1" thickBot="1" x14ac:dyDescent="0.25">
      <c r="B198" s="106">
        <f t="shared" si="0"/>
        <v>2073</v>
      </c>
      <c r="C198" s="107">
        <f>[6]С2.5!$BF$11</f>
        <v>0</v>
      </c>
    </row>
    <row r="199" spans="2:3" ht="13.5" hidden="1" thickBot="1" x14ac:dyDescent="0.25">
      <c r="B199" s="106">
        <f t="shared" si="0"/>
        <v>2074</v>
      </c>
      <c r="C199" s="107">
        <f>[6]С2.5!$BG$11</f>
        <v>0</v>
      </c>
    </row>
    <row r="200" spans="2:3" ht="13.5" hidden="1" thickBot="1" x14ac:dyDescent="0.25">
      <c r="B200" s="106">
        <f t="shared" si="0"/>
        <v>2075</v>
      </c>
      <c r="C200" s="107">
        <f>[6]С2.5!$BH$11</f>
        <v>0</v>
      </c>
    </row>
    <row r="201" spans="2:3" ht="13.5" hidden="1" thickBot="1" x14ac:dyDescent="0.25">
      <c r="B201" s="106">
        <f t="shared" si="0"/>
        <v>2076</v>
      </c>
      <c r="C201" s="107">
        <f>[6]С2.5!$BI$11</f>
        <v>0</v>
      </c>
    </row>
    <row r="202" spans="2:3" ht="13.5" hidden="1" thickBot="1" x14ac:dyDescent="0.25">
      <c r="B202" s="106">
        <f t="shared" si="0"/>
        <v>2077</v>
      </c>
      <c r="C202" s="107">
        <f>[6]С2.5!$BJ$11</f>
        <v>0</v>
      </c>
    </row>
    <row r="203" spans="2:3" ht="13.5" hidden="1" thickBot="1" x14ac:dyDescent="0.25">
      <c r="B203" s="106">
        <f t="shared" si="0"/>
        <v>2078</v>
      </c>
      <c r="C203" s="107">
        <f>[6]С2.5!$BK$11</f>
        <v>0</v>
      </c>
    </row>
    <row r="204" spans="2:3" ht="13.5" hidden="1" thickBot="1" x14ac:dyDescent="0.25">
      <c r="B204" s="106">
        <f t="shared" si="0"/>
        <v>2079</v>
      </c>
      <c r="C204" s="107">
        <f>[6]С2.5!$BL$11</f>
        <v>0</v>
      </c>
    </row>
    <row r="205" spans="2:3" ht="13.5" hidden="1" thickBot="1" x14ac:dyDescent="0.25">
      <c r="B205" s="106">
        <f t="shared" si="0"/>
        <v>2080</v>
      </c>
      <c r="C205" s="107">
        <f>[6]С2.5!$BM$11</f>
        <v>0</v>
      </c>
    </row>
    <row r="206" spans="2:3" ht="13.5" hidden="1" thickBot="1" x14ac:dyDescent="0.25">
      <c r="B206" s="106">
        <f t="shared" si="0"/>
        <v>2081</v>
      </c>
      <c r="C206" s="107">
        <f>[6]С2.5!$BN$11</f>
        <v>0</v>
      </c>
    </row>
    <row r="207" spans="2:3" ht="13.5" hidden="1" thickBot="1" x14ac:dyDescent="0.25">
      <c r="B207" s="106">
        <f t="shared" si="0"/>
        <v>2082</v>
      </c>
      <c r="C207" s="107">
        <f>[6]С2.5!$BO$11</f>
        <v>0</v>
      </c>
    </row>
    <row r="208" spans="2:3" ht="13.5" hidden="1" thickBot="1" x14ac:dyDescent="0.25">
      <c r="B208" s="106">
        <f t="shared" si="0"/>
        <v>2083</v>
      </c>
      <c r="C208" s="107">
        <f>[6]С2.5!$BP$11</f>
        <v>0</v>
      </c>
    </row>
    <row r="209" spans="2:3" ht="13.5" hidden="1" thickBot="1" x14ac:dyDescent="0.25">
      <c r="B209" s="106">
        <f t="shared" si="0"/>
        <v>2084</v>
      </c>
      <c r="C209" s="107">
        <f>[6]С2.5!$BQ$11</f>
        <v>0</v>
      </c>
    </row>
    <row r="210" spans="2:3" ht="13.5" hidden="1" thickBot="1" x14ac:dyDescent="0.25">
      <c r="B210" s="106">
        <f t="shared" si="0"/>
        <v>2085</v>
      </c>
      <c r="C210" s="107">
        <f>[6]С2.5!$BR$11</f>
        <v>0</v>
      </c>
    </row>
    <row r="211" spans="2:3" ht="13.5" hidden="1" thickBot="1" x14ac:dyDescent="0.25">
      <c r="B211" s="106">
        <f t="shared" ref="B211:B224" si="1">B210+1</f>
        <v>2086</v>
      </c>
      <c r="C211" s="107">
        <f>[6]С2.5!$BS$11</f>
        <v>0</v>
      </c>
    </row>
    <row r="212" spans="2:3" ht="13.5" hidden="1" thickBot="1" x14ac:dyDescent="0.25">
      <c r="B212" s="106">
        <f t="shared" si="1"/>
        <v>2087</v>
      </c>
      <c r="C212" s="107">
        <f>[6]С2.5!$BT$11</f>
        <v>0</v>
      </c>
    </row>
    <row r="213" spans="2:3" ht="13.5" hidden="1" thickBot="1" x14ac:dyDescent="0.25">
      <c r="B213" s="106">
        <f t="shared" si="1"/>
        <v>2088</v>
      </c>
      <c r="C213" s="107">
        <f>[6]С2.5!$BU$11</f>
        <v>0</v>
      </c>
    </row>
    <row r="214" spans="2:3" ht="13.5" hidden="1" thickBot="1" x14ac:dyDescent="0.25">
      <c r="B214" s="106">
        <f t="shared" si="1"/>
        <v>2089</v>
      </c>
      <c r="C214" s="107">
        <f>[6]С2.5!$BV$11</f>
        <v>0</v>
      </c>
    </row>
    <row r="215" spans="2:3" ht="13.5" hidden="1" thickBot="1" x14ac:dyDescent="0.25">
      <c r="B215" s="106">
        <f t="shared" si="1"/>
        <v>2090</v>
      </c>
      <c r="C215" s="107">
        <f>[6]С2.5!$BW$11</f>
        <v>0</v>
      </c>
    </row>
    <row r="216" spans="2:3" ht="13.5" hidden="1" thickBot="1" x14ac:dyDescent="0.25">
      <c r="B216" s="106">
        <f t="shared" si="1"/>
        <v>2091</v>
      </c>
      <c r="C216" s="107">
        <f>[6]С2.5!$BX$11</f>
        <v>0</v>
      </c>
    </row>
    <row r="217" spans="2:3" ht="13.5" hidden="1" thickBot="1" x14ac:dyDescent="0.25">
      <c r="B217" s="106">
        <f t="shared" si="1"/>
        <v>2092</v>
      </c>
      <c r="C217" s="107">
        <f>[6]С2.5!$BY$11</f>
        <v>0</v>
      </c>
    </row>
    <row r="218" spans="2:3" ht="13.5" hidden="1" thickBot="1" x14ac:dyDescent="0.25">
      <c r="B218" s="106">
        <f t="shared" si="1"/>
        <v>2093</v>
      </c>
      <c r="C218" s="107">
        <f>[6]С2.5!$BZ$11</f>
        <v>0</v>
      </c>
    </row>
    <row r="219" spans="2:3" ht="13.5" hidden="1" thickBot="1" x14ac:dyDescent="0.25">
      <c r="B219" s="106">
        <f t="shared" si="1"/>
        <v>2094</v>
      </c>
      <c r="C219" s="107">
        <f>[6]С2.5!$CA$11</f>
        <v>0</v>
      </c>
    </row>
    <row r="220" spans="2:3" ht="13.5" hidden="1" thickBot="1" x14ac:dyDescent="0.25">
      <c r="B220" s="106">
        <f t="shared" si="1"/>
        <v>2095</v>
      </c>
      <c r="C220" s="107">
        <f>[6]С2.5!$CB$11</f>
        <v>0</v>
      </c>
    </row>
    <row r="221" spans="2:3" ht="13.5" hidden="1" thickBot="1" x14ac:dyDescent="0.25">
      <c r="B221" s="106">
        <f t="shared" si="1"/>
        <v>2096</v>
      </c>
      <c r="C221" s="107">
        <f>[6]С2.5!$CC$11</f>
        <v>0</v>
      </c>
    </row>
    <row r="222" spans="2:3" ht="13.5" hidden="1" thickBot="1" x14ac:dyDescent="0.25">
      <c r="B222" s="106">
        <f t="shared" si="1"/>
        <v>2097</v>
      </c>
      <c r="C222" s="107">
        <f>[6]С2.5!$CD$11</f>
        <v>0</v>
      </c>
    </row>
    <row r="223" spans="2:3" ht="13.5" hidden="1" thickBot="1" x14ac:dyDescent="0.25">
      <c r="B223" s="106">
        <f t="shared" si="1"/>
        <v>2098</v>
      </c>
      <c r="C223" s="107">
        <f>[6]С2.5!$CE$11</f>
        <v>0</v>
      </c>
    </row>
    <row r="224" spans="2:3" ht="13.5" hidden="1" thickBot="1" x14ac:dyDescent="0.25">
      <c r="B224" s="106">
        <f t="shared" si="1"/>
        <v>2099</v>
      </c>
      <c r="C224" s="107">
        <f>[6]С2.5!$CF$11</f>
        <v>0</v>
      </c>
    </row>
    <row r="225" spans="2:3" ht="13.5" hidden="1" thickBot="1" x14ac:dyDescent="0.25">
      <c r="B225" s="108">
        <f>B162+1</f>
        <v>2038</v>
      </c>
      <c r="C225" s="109" t="e">
        <f>[6]С2.5!#REF!</f>
        <v>#REF!</v>
      </c>
    </row>
    <row r="226" spans="2:3" x14ac:dyDescent="0.2">
      <c r="B226" s="110"/>
      <c r="C226" s="111"/>
    </row>
  </sheetData>
  <mergeCells count="9">
    <mergeCell ref="B1:C1"/>
    <mergeCell ref="A14:C14"/>
    <mergeCell ref="B27:C27"/>
    <mergeCell ref="B143:C143"/>
    <mergeCell ref="B45:C45"/>
    <mergeCell ref="B90:C90"/>
    <mergeCell ref="B101:C101"/>
    <mergeCell ref="B126:C126"/>
    <mergeCell ref="B129:C129"/>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5121" r:id="rId4" name="Button 1">
              <controlPr defaultSize="0" print="0" autoFill="0" autoPict="0" macro="[6]!Лист29.PrintBlock">
                <anchor moveWithCells="1" sizeWithCells="1">
                  <from>
                    <xdr:col>3</xdr:col>
                    <xdr:colOff>47625</xdr:colOff>
                    <xdr:row>0</xdr:row>
                    <xdr:rowOff>104775</xdr:rowOff>
                  </from>
                  <to>
                    <xdr:col>4</xdr:col>
                    <xdr:colOff>1095375</xdr:colOff>
                    <xdr:row>0</xdr:row>
                    <xdr:rowOff>352425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13"/>
      <c r="B1" s="142" t="s">
        <v>225</v>
      </c>
      <c r="C1" s="142"/>
    </row>
    <row r="2" spans="1:3" x14ac:dyDescent="0.2">
      <c r="A2" s="1"/>
      <c r="B2" s="3" t="s">
        <v>2</v>
      </c>
      <c r="C2" s="4">
        <f ca="1">TODAY()</f>
        <v>44944</v>
      </c>
    </row>
    <row r="3" spans="1:3" x14ac:dyDescent="0.2">
      <c r="A3" s="1"/>
      <c r="B3" s="114" t="s">
        <v>3</v>
      </c>
    </row>
    <row r="4" spans="1:3" ht="25.5" x14ac:dyDescent="0.2">
      <c r="A4" s="7"/>
      <c r="B4" s="8" t="str">
        <f>[7]И1!D13</f>
        <v>Субъект Российской Федерации</v>
      </c>
      <c r="C4" s="9" t="str">
        <f>[7]И1!E13</f>
        <v>Новосибирская область</v>
      </c>
    </row>
    <row r="5" spans="1:3" ht="38.25" x14ac:dyDescent="0.2">
      <c r="A5" s="7"/>
      <c r="B5" s="8" t="str">
        <f>[7]И1!D14</f>
        <v>Тип муниципального образования (выберите из списка)</v>
      </c>
      <c r="C5" s="9" t="str">
        <f>[7]И1!E14</f>
        <v>деревня Верх-Чик, Ордынский муниципальный район</v>
      </c>
    </row>
    <row r="6" spans="1:3" x14ac:dyDescent="0.2">
      <c r="A6" s="7"/>
      <c r="B6" s="8" t="str">
        <f>IF([7]И1!E15="","",[7]И1!D15)</f>
        <v/>
      </c>
      <c r="C6" s="9" t="str">
        <f>IF([7]И1!E15="","",[7]И1!E15)</f>
        <v/>
      </c>
    </row>
    <row r="7" spans="1:3" x14ac:dyDescent="0.2">
      <c r="A7" s="7"/>
      <c r="B7" s="8" t="str">
        <f>[7]И1!D16</f>
        <v>Код ОКТМО</v>
      </c>
      <c r="C7" s="10" t="str">
        <f>[7]И1!E16</f>
        <v>50642405101</v>
      </c>
    </row>
    <row r="8" spans="1:3" x14ac:dyDescent="0.2">
      <c r="A8" s="7"/>
      <c r="B8" s="11" t="str">
        <f>[7]И1!D17</f>
        <v>Система теплоснабжения</v>
      </c>
      <c r="C8" s="12">
        <f>[7]И1!E17</f>
        <v>0</v>
      </c>
    </row>
    <row r="9" spans="1:3" x14ac:dyDescent="0.2">
      <c r="A9" s="7"/>
      <c r="B9" s="8" t="str">
        <f>[7]И1!D8</f>
        <v>Период регулирования (i)-й</v>
      </c>
      <c r="C9" s="13">
        <f>[7]И1!E8</f>
        <v>2023</v>
      </c>
    </row>
    <row r="10" spans="1:3" x14ac:dyDescent="0.2">
      <c r="A10" s="7"/>
      <c r="B10" s="8" t="str">
        <f>[7]И1!D9</f>
        <v>Период регулирования (i-1)-й</v>
      </c>
      <c r="C10" s="13">
        <f>[7]И1!E9</f>
        <v>2022</v>
      </c>
    </row>
    <row r="11" spans="1:3" x14ac:dyDescent="0.2">
      <c r="A11" s="7"/>
      <c r="B11" s="8" t="str">
        <f>[7]И1!D10</f>
        <v>Период регулирования (i-2)-й</v>
      </c>
      <c r="C11" s="13">
        <f>[7]И1!E10</f>
        <v>2021</v>
      </c>
    </row>
    <row r="12" spans="1:3" x14ac:dyDescent="0.2">
      <c r="A12" s="7"/>
      <c r="B12" s="8" t="str">
        <f>[7]И1!D11</f>
        <v>Базовый год (б)</v>
      </c>
      <c r="C12" s="13">
        <f>[7]И1!E11</f>
        <v>2019</v>
      </c>
    </row>
    <row r="13" spans="1:3" ht="38.25" x14ac:dyDescent="0.2">
      <c r="A13" s="7"/>
      <c r="B13" s="8" t="str">
        <f>[7]И1!D18</f>
        <v>Вид топлива, использование которого преобладает в системе теплоснабжения</v>
      </c>
      <c r="C13" s="14" t="str">
        <f>[7]С1.1!E13</f>
        <v>уголь (вид угля не указан в топливном балансе)</v>
      </c>
    </row>
    <row r="14" spans="1:3" ht="31.7" customHeight="1" thickBot="1" x14ac:dyDescent="0.25">
      <c r="A14" s="147" t="s">
        <v>4</v>
      </c>
      <c r="B14" s="147"/>
      <c r="C14" s="147"/>
    </row>
    <row r="15" spans="1:3" x14ac:dyDescent="0.2">
      <c r="A15" s="15" t="s">
        <v>5</v>
      </c>
      <c r="B15" s="115" t="s">
        <v>6</v>
      </c>
      <c r="C15" s="116" t="s">
        <v>7</v>
      </c>
    </row>
    <row r="16" spans="1:3" x14ac:dyDescent="0.2">
      <c r="A16" s="18">
        <v>1</v>
      </c>
      <c r="B16" s="117">
        <v>2</v>
      </c>
      <c r="C16" s="118">
        <v>3</v>
      </c>
    </row>
    <row r="17" spans="1:3" x14ac:dyDescent="0.2">
      <c r="A17" s="21">
        <v>1</v>
      </c>
      <c r="B17" s="22" t="s">
        <v>8</v>
      </c>
      <c r="C17" s="23">
        <f>SUM(C18:C22)</f>
        <v>4294.7900162714786</v>
      </c>
    </row>
    <row r="18" spans="1:3" ht="42.75" x14ac:dyDescent="0.2">
      <c r="A18" s="21" t="s">
        <v>9</v>
      </c>
      <c r="B18" s="24" t="s">
        <v>10</v>
      </c>
      <c r="C18" s="25">
        <f>[7]С1!F12</f>
        <v>1151.8021760407769</v>
      </c>
    </row>
    <row r="19" spans="1:3" ht="42.75" x14ac:dyDescent="0.2">
      <c r="A19" s="21" t="s">
        <v>11</v>
      </c>
      <c r="B19" s="24" t="s">
        <v>12</v>
      </c>
      <c r="C19" s="25">
        <f>[7]С2!F12</f>
        <v>2106.4563180122805</v>
      </c>
    </row>
    <row r="20" spans="1:3" ht="30" x14ac:dyDescent="0.2">
      <c r="A20" s="21" t="s">
        <v>13</v>
      </c>
      <c r="B20" s="24" t="s">
        <v>14</v>
      </c>
      <c r="C20" s="25">
        <f>[7]С3!F12</f>
        <v>503.94083842199643</v>
      </c>
    </row>
    <row r="21" spans="1:3" ht="42.75" x14ac:dyDescent="0.2">
      <c r="A21" s="21" t="s">
        <v>15</v>
      </c>
      <c r="B21" s="24" t="s">
        <v>226</v>
      </c>
      <c r="C21" s="25">
        <f>[7]С4!F12</f>
        <v>448.37911484992526</v>
      </c>
    </row>
    <row r="22" spans="1:3" ht="30" x14ac:dyDescent="0.2">
      <c r="A22" s="21" t="s">
        <v>17</v>
      </c>
      <c r="B22" s="24" t="s">
        <v>227</v>
      </c>
      <c r="C22" s="25">
        <f>[7]С5!F12</f>
        <v>84.211568946499582</v>
      </c>
    </row>
    <row r="23" spans="1:3" ht="43.5" thickBot="1" x14ac:dyDescent="0.25">
      <c r="A23" s="26" t="s">
        <v>19</v>
      </c>
      <c r="B23" s="98" t="s">
        <v>228</v>
      </c>
      <c r="C23" s="28" t="str">
        <f>[7]С6!F12</f>
        <v>-</v>
      </c>
    </row>
    <row r="24" spans="1:3" ht="13.5" thickBot="1" x14ac:dyDescent="0.25">
      <c r="A24" s="1"/>
    </row>
    <row r="25" spans="1:3" x14ac:dyDescent="0.2">
      <c r="A25" s="15" t="s">
        <v>5</v>
      </c>
      <c r="B25" s="29" t="s">
        <v>6</v>
      </c>
      <c r="C25" s="16" t="s">
        <v>7</v>
      </c>
    </row>
    <row r="26" spans="1:3" x14ac:dyDescent="0.2">
      <c r="A26" s="18">
        <v>1</v>
      </c>
      <c r="B26" s="30">
        <v>2</v>
      </c>
      <c r="C26" s="31">
        <v>3</v>
      </c>
    </row>
    <row r="27" spans="1:3" ht="30" customHeight="1" x14ac:dyDescent="0.2">
      <c r="A27" s="21">
        <v>1</v>
      </c>
      <c r="B27" s="144" t="s">
        <v>21</v>
      </c>
      <c r="C27" s="144"/>
    </row>
    <row r="28" spans="1:3" x14ac:dyDescent="0.2">
      <c r="A28" s="21" t="s">
        <v>9</v>
      </c>
      <c r="B28" s="32" t="s">
        <v>229</v>
      </c>
      <c r="C28" s="33">
        <f>[7]С1.1!E16</f>
        <v>5100</v>
      </c>
    </row>
    <row r="29" spans="1:3" ht="42.75" x14ac:dyDescent="0.2">
      <c r="A29" s="21" t="s">
        <v>11</v>
      </c>
      <c r="B29" s="32" t="s">
        <v>230</v>
      </c>
      <c r="C29" s="33">
        <f>[7]С1.1!E27</f>
        <v>3097.0035607289806</v>
      </c>
    </row>
    <row r="30" spans="1:3" ht="17.25" x14ac:dyDescent="0.2">
      <c r="A30" s="21" t="s">
        <v>13</v>
      </c>
      <c r="B30" s="32" t="s">
        <v>30</v>
      </c>
      <c r="C30" s="35">
        <f>[7]С1.1!E19</f>
        <v>0.59499999999999997</v>
      </c>
    </row>
    <row r="31" spans="1:3" ht="17.25" x14ac:dyDescent="0.2">
      <c r="A31" s="21" t="s">
        <v>15</v>
      </c>
      <c r="B31" s="32" t="s">
        <v>31</v>
      </c>
      <c r="C31" s="35">
        <f>[7]С1.1!E20</f>
        <v>-0.113</v>
      </c>
    </row>
    <row r="32" spans="1:3" ht="30" x14ac:dyDescent="0.2">
      <c r="A32" s="21" t="s">
        <v>17</v>
      </c>
      <c r="B32" s="36" t="s">
        <v>231</v>
      </c>
      <c r="C32" s="119">
        <f>[7]С1!F13</f>
        <v>176.4</v>
      </c>
    </row>
    <row r="33" spans="1:3" x14ac:dyDescent="0.2">
      <c r="A33" s="21" t="s">
        <v>19</v>
      </c>
      <c r="B33" s="36" t="s">
        <v>33</v>
      </c>
      <c r="C33" s="38">
        <f>[7]С1!F16</f>
        <v>7000</v>
      </c>
    </row>
    <row r="34" spans="1:3" ht="14.25" x14ac:dyDescent="0.2">
      <c r="A34" s="21" t="s">
        <v>34</v>
      </c>
      <c r="B34" s="40" t="s">
        <v>232</v>
      </c>
      <c r="C34" s="41">
        <f>[7]С1!F17</f>
        <v>0.72857142857142854</v>
      </c>
    </row>
    <row r="35" spans="1:3" ht="15.75" x14ac:dyDescent="0.2">
      <c r="A35" s="120" t="s">
        <v>36</v>
      </c>
      <c r="B35" s="43" t="s">
        <v>37</v>
      </c>
      <c r="C35" s="41">
        <f>[7]С1!F20</f>
        <v>21.588411179999994</v>
      </c>
    </row>
    <row r="36" spans="1:3" ht="15.75" x14ac:dyDescent="0.2">
      <c r="A36" s="120" t="s">
        <v>38</v>
      </c>
      <c r="B36" s="44" t="s">
        <v>39</v>
      </c>
      <c r="C36" s="41">
        <f>[7]С1!F21</f>
        <v>20.818139999999996</v>
      </c>
    </row>
    <row r="37" spans="1:3" ht="14.25" x14ac:dyDescent="0.2">
      <c r="A37" s="120" t="s">
        <v>40</v>
      </c>
      <c r="B37" s="45" t="s">
        <v>41</v>
      </c>
      <c r="C37" s="41">
        <f>[7]С1!F22</f>
        <v>1.0369999999999999</v>
      </c>
    </row>
    <row r="38" spans="1:3" ht="53.25" thickBot="1" x14ac:dyDescent="0.25">
      <c r="A38" s="26" t="s">
        <v>42</v>
      </c>
      <c r="B38" s="46" t="s">
        <v>43</v>
      </c>
      <c r="C38" s="47">
        <f>[7]С1!F23</f>
        <v>1.0469999999999999</v>
      </c>
    </row>
    <row r="39" spans="1:3" ht="13.5" thickBot="1" x14ac:dyDescent="0.25">
      <c r="A39" s="48"/>
      <c r="B39" s="121"/>
      <c r="C39" s="122"/>
    </row>
    <row r="40" spans="1:3" ht="30" customHeight="1" x14ac:dyDescent="0.2">
      <c r="A40" s="50" t="s">
        <v>44</v>
      </c>
      <c r="B40" s="146" t="s">
        <v>45</v>
      </c>
      <c r="C40" s="146"/>
    </row>
    <row r="41" spans="1:3" ht="25.5" x14ac:dyDescent="0.2">
      <c r="A41" s="21" t="s">
        <v>46</v>
      </c>
      <c r="B41" s="36" t="s">
        <v>47</v>
      </c>
      <c r="C41" s="51" t="str">
        <f>[7]С2.1!E12</f>
        <v>V</v>
      </c>
    </row>
    <row r="42" spans="1:3" ht="25.5" x14ac:dyDescent="0.2">
      <c r="A42" s="21" t="s">
        <v>48</v>
      </c>
      <c r="B42" s="32" t="s">
        <v>49</v>
      </c>
      <c r="C42" s="51" t="str">
        <f>[7]С2.1!E13</f>
        <v>6 и менее баллов</v>
      </c>
    </row>
    <row r="43" spans="1:3" ht="25.5" x14ac:dyDescent="0.2">
      <c r="A43" s="21" t="s">
        <v>50</v>
      </c>
      <c r="B43" s="32" t="s">
        <v>233</v>
      </c>
      <c r="C43" s="51" t="str">
        <f>[7]С2.1!E14</f>
        <v>от 200 до 500</v>
      </c>
    </row>
    <row r="44" spans="1:3" ht="25.5" x14ac:dyDescent="0.2">
      <c r="A44" s="21" t="s">
        <v>52</v>
      </c>
      <c r="B44" s="32" t="s">
        <v>234</v>
      </c>
      <c r="C44" s="52" t="str">
        <f>[7]С2.1!E15</f>
        <v>нет</v>
      </c>
    </row>
    <row r="45" spans="1:3" ht="30" x14ac:dyDescent="0.2">
      <c r="A45" s="21" t="s">
        <v>54</v>
      </c>
      <c r="B45" s="32" t="s">
        <v>55</v>
      </c>
      <c r="C45" s="33">
        <f>[7]С2!F18</f>
        <v>32402.627334033532</v>
      </c>
    </row>
    <row r="46" spans="1:3" ht="30" x14ac:dyDescent="0.2">
      <c r="A46" s="21" t="s">
        <v>56</v>
      </c>
      <c r="B46" s="53" t="s">
        <v>57</v>
      </c>
      <c r="C46" s="33">
        <f>IF([7]С2!F19&gt;0,[7]С2!F19,[7]С2!F20)</f>
        <v>23441.524932855718</v>
      </c>
    </row>
    <row r="47" spans="1:3" ht="25.5" x14ac:dyDescent="0.2">
      <c r="A47" s="21" t="s">
        <v>58</v>
      </c>
      <c r="B47" s="54" t="s">
        <v>59</v>
      </c>
      <c r="C47" s="33">
        <f>[7]С2.1!E19</f>
        <v>-37</v>
      </c>
    </row>
    <row r="48" spans="1:3" ht="25.5" x14ac:dyDescent="0.2">
      <c r="A48" s="21" t="s">
        <v>60</v>
      </c>
      <c r="B48" s="54" t="s">
        <v>61</v>
      </c>
      <c r="C48" s="33" t="str">
        <f>[7]С2.1!E22</f>
        <v>нет</v>
      </c>
    </row>
    <row r="49" spans="1:3" ht="38.25" x14ac:dyDescent="0.2">
      <c r="A49" s="21" t="s">
        <v>62</v>
      </c>
      <c r="B49" s="55" t="s">
        <v>63</v>
      </c>
      <c r="C49" s="33">
        <f>[7]С2.2!E10</f>
        <v>1287</v>
      </c>
    </row>
    <row r="50" spans="1:3" ht="25.5" x14ac:dyDescent="0.2">
      <c r="A50" s="21" t="s">
        <v>64</v>
      </c>
      <c r="B50" s="56" t="s">
        <v>65</v>
      </c>
      <c r="C50" s="33">
        <f>[7]С2.2!E12</f>
        <v>5.97</v>
      </c>
    </row>
    <row r="51" spans="1:3" ht="52.5" x14ac:dyDescent="0.2">
      <c r="A51" s="21" t="s">
        <v>66</v>
      </c>
      <c r="B51" s="57" t="s">
        <v>67</v>
      </c>
      <c r="C51" s="33">
        <f>[7]С2.2!E13</f>
        <v>1</v>
      </c>
    </row>
    <row r="52" spans="1:3" ht="27.75" x14ac:dyDescent="0.2">
      <c r="A52" s="21" t="s">
        <v>68</v>
      </c>
      <c r="B52" s="56" t="s">
        <v>69</v>
      </c>
      <c r="C52" s="33">
        <f>[7]С2.2!E14</f>
        <v>12104</v>
      </c>
    </row>
    <row r="53" spans="1:3" ht="25.5" x14ac:dyDescent="0.2">
      <c r="A53" s="21" t="s">
        <v>70</v>
      </c>
      <c r="B53" s="57" t="s">
        <v>71</v>
      </c>
      <c r="C53" s="35">
        <f>[7]С2.2!E15</f>
        <v>4.8000000000000001E-2</v>
      </c>
    </row>
    <row r="54" spans="1:3" x14ac:dyDescent="0.2">
      <c r="A54" s="21" t="s">
        <v>72</v>
      </c>
      <c r="B54" s="57" t="s">
        <v>73</v>
      </c>
      <c r="C54" s="33">
        <f>[7]С2.2!E16</f>
        <v>1</v>
      </c>
    </row>
    <row r="55" spans="1:3" ht="15.75" x14ac:dyDescent="0.2">
      <c r="A55" s="21" t="s">
        <v>74</v>
      </c>
      <c r="B55" s="59" t="s">
        <v>75</v>
      </c>
      <c r="C55" s="33">
        <f>[7]С2!F21</f>
        <v>1</v>
      </c>
    </row>
    <row r="56" spans="1:3" ht="30" x14ac:dyDescent="0.2">
      <c r="A56" s="60" t="s">
        <v>76</v>
      </c>
      <c r="B56" s="32" t="s">
        <v>235</v>
      </c>
      <c r="C56" s="33">
        <f>[7]С2!F13</f>
        <v>169640.22915965237</v>
      </c>
    </row>
    <row r="57" spans="1:3" ht="30" x14ac:dyDescent="0.2">
      <c r="A57" s="60" t="s">
        <v>78</v>
      </c>
      <c r="B57" s="59" t="s">
        <v>236</v>
      </c>
      <c r="C57" s="33">
        <f>[7]С2!F14</f>
        <v>113455</v>
      </c>
    </row>
    <row r="58" spans="1:3" ht="15.75" x14ac:dyDescent="0.2">
      <c r="A58" s="60" t="s">
        <v>80</v>
      </c>
      <c r="B58" s="61" t="s">
        <v>81</v>
      </c>
      <c r="C58" s="41">
        <f>[7]С2!F15</f>
        <v>1.071</v>
      </c>
    </row>
    <row r="59" spans="1:3" ht="15.75" x14ac:dyDescent="0.2">
      <c r="A59" s="60" t="s">
        <v>82</v>
      </c>
      <c r="B59" s="61" t="s">
        <v>83</v>
      </c>
      <c r="C59" s="41">
        <f>[7]С2!F16</f>
        <v>1</v>
      </c>
    </row>
    <row r="60" spans="1:3" ht="17.25" x14ac:dyDescent="0.2">
      <c r="A60" s="60" t="s">
        <v>84</v>
      </c>
      <c r="B60" s="59" t="s">
        <v>85</v>
      </c>
      <c r="C60" s="33">
        <f>[7]С2!F17</f>
        <v>1.01</v>
      </c>
    </row>
    <row r="61" spans="1:3" s="66" customFormat="1" ht="14.25" x14ac:dyDescent="0.2">
      <c r="A61" s="60" t="s">
        <v>86</v>
      </c>
      <c r="B61" s="64" t="s">
        <v>87</v>
      </c>
      <c r="C61" s="65">
        <f>[7]С2!F33</f>
        <v>10</v>
      </c>
    </row>
    <row r="62" spans="1:3" ht="30" x14ac:dyDescent="0.2">
      <c r="A62" s="60" t="s">
        <v>88</v>
      </c>
      <c r="B62" s="67" t="s">
        <v>89</v>
      </c>
      <c r="C62" s="33">
        <f>[7]С2!F26</f>
        <v>1168.8344047018327</v>
      </c>
    </row>
    <row r="63" spans="1:3" ht="17.25" x14ac:dyDescent="0.2">
      <c r="A63" s="60" t="s">
        <v>90</v>
      </c>
      <c r="B63" s="53" t="s">
        <v>237</v>
      </c>
      <c r="C63" s="33">
        <f>[7]С2!F27</f>
        <v>0.201330388</v>
      </c>
    </row>
    <row r="64" spans="1:3" ht="17.25" x14ac:dyDescent="0.2">
      <c r="A64" s="60" t="s">
        <v>92</v>
      </c>
      <c r="B64" s="59" t="s">
        <v>238</v>
      </c>
      <c r="C64" s="65">
        <f>[7]С2!F28</f>
        <v>4200</v>
      </c>
    </row>
    <row r="65" spans="1:3" ht="42.75" x14ac:dyDescent="0.2">
      <c r="A65" s="60" t="s">
        <v>94</v>
      </c>
      <c r="B65" s="32" t="s">
        <v>239</v>
      </c>
      <c r="C65" s="33">
        <f>[7]С2!F22</f>
        <v>35717.748653137714</v>
      </c>
    </row>
    <row r="66" spans="1:3" ht="30" x14ac:dyDescent="0.2">
      <c r="A66" s="60" t="s">
        <v>96</v>
      </c>
      <c r="B66" s="61" t="s">
        <v>240</v>
      </c>
      <c r="C66" s="33">
        <f>[7]С2!F23</f>
        <v>1990</v>
      </c>
    </row>
    <row r="67" spans="1:3" ht="30" x14ac:dyDescent="0.2">
      <c r="A67" s="60" t="s">
        <v>98</v>
      </c>
      <c r="B67" s="53" t="s">
        <v>99</v>
      </c>
      <c r="C67" s="33">
        <f>[7]С2.1!E27</f>
        <v>14307.876789999998</v>
      </c>
    </row>
    <row r="68" spans="1:3" ht="38.25" x14ac:dyDescent="0.2">
      <c r="A68" s="60" t="s">
        <v>100</v>
      </c>
      <c r="B68" s="68" t="s">
        <v>101</v>
      </c>
      <c r="C68" s="52">
        <f>[7]С2.3!E21</f>
        <v>0</v>
      </c>
    </row>
    <row r="69" spans="1:3" ht="25.5" x14ac:dyDescent="0.2">
      <c r="A69" s="60" t="s">
        <v>102</v>
      </c>
      <c r="B69" s="69" t="s">
        <v>103</v>
      </c>
      <c r="C69" s="70">
        <f>[7]С2.3!E11</f>
        <v>9.89</v>
      </c>
    </row>
    <row r="70" spans="1:3" ht="25.5" x14ac:dyDescent="0.2">
      <c r="A70" s="60" t="s">
        <v>104</v>
      </c>
      <c r="B70" s="69" t="s">
        <v>105</v>
      </c>
      <c r="C70" s="65">
        <f>[7]С2.3!E13</f>
        <v>300</v>
      </c>
    </row>
    <row r="71" spans="1:3" ht="25.5" x14ac:dyDescent="0.2">
      <c r="A71" s="60" t="s">
        <v>106</v>
      </c>
      <c r="B71" s="68" t="s">
        <v>107</v>
      </c>
      <c r="C71" s="71">
        <f>IF([7]С2.3!E22&gt;0,[7]С2.3!E22,[7]С2.3!E14)</f>
        <v>61211</v>
      </c>
    </row>
    <row r="72" spans="1:3" ht="38.25" x14ac:dyDescent="0.2">
      <c r="A72" s="60" t="s">
        <v>108</v>
      </c>
      <c r="B72" s="68" t="s">
        <v>109</v>
      </c>
      <c r="C72" s="71">
        <f>IF([7]С2.3!E23&gt;0,[7]С2.3!E23,[7]С2.3!E15)</f>
        <v>45675</v>
      </c>
    </row>
    <row r="73" spans="1:3" ht="30" x14ac:dyDescent="0.2">
      <c r="A73" s="60" t="s">
        <v>110</v>
      </c>
      <c r="B73" s="53" t="s">
        <v>111</v>
      </c>
      <c r="C73" s="33">
        <f>[7]С2.1!E28</f>
        <v>9541.9567200000001</v>
      </c>
    </row>
    <row r="74" spans="1:3" ht="38.25" x14ac:dyDescent="0.2">
      <c r="A74" s="60" t="s">
        <v>112</v>
      </c>
      <c r="B74" s="68" t="s">
        <v>113</v>
      </c>
      <c r="C74" s="52">
        <f>[7]С2.3!E25</f>
        <v>0</v>
      </c>
    </row>
    <row r="75" spans="1:3" ht="25.5" x14ac:dyDescent="0.2">
      <c r="A75" s="60" t="s">
        <v>114</v>
      </c>
      <c r="B75" s="69" t="s">
        <v>115</v>
      </c>
      <c r="C75" s="70">
        <f>[7]С2.3!E12</f>
        <v>0.56000000000000005</v>
      </c>
    </row>
    <row r="76" spans="1:3" ht="25.5" x14ac:dyDescent="0.2">
      <c r="A76" s="60" t="s">
        <v>116</v>
      </c>
      <c r="B76" s="69" t="s">
        <v>105</v>
      </c>
      <c r="C76" s="65">
        <f>[7]С2.3!E13</f>
        <v>300</v>
      </c>
    </row>
    <row r="77" spans="1:3" ht="25.5" x14ac:dyDescent="0.2">
      <c r="A77" s="60" t="s">
        <v>117</v>
      </c>
      <c r="B77" s="72" t="s">
        <v>118</v>
      </c>
      <c r="C77" s="71">
        <f>IF([7]С2.3!E26&gt;0,[7]С2.3!E26,[7]С2.3!E16)</f>
        <v>65637</v>
      </c>
    </row>
    <row r="78" spans="1:3" ht="38.25" x14ac:dyDescent="0.2">
      <c r="A78" s="60" t="s">
        <v>119</v>
      </c>
      <c r="B78" s="72" t="s">
        <v>120</v>
      </c>
      <c r="C78" s="71">
        <f>IF([7]С2.3!E27&gt;0,[7]С2.3!E27,[7]С2.3!E17)</f>
        <v>31684</v>
      </c>
    </row>
    <row r="79" spans="1:3" ht="17.25" x14ac:dyDescent="0.2">
      <c r="A79" s="60" t="s">
        <v>123</v>
      </c>
      <c r="B79" s="32" t="s">
        <v>124</v>
      </c>
      <c r="C79" s="35">
        <f>[7]С2!F29</f>
        <v>0.128978033685065</v>
      </c>
    </row>
    <row r="80" spans="1:3" ht="30" x14ac:dyDescent="0.2">
      <c r="A80" s="60" t="s">
        <v>125</v>
      </c>
      <c r="B80" s="53" t="s">
        <v>126</v>
      </c>
      <c r="C80" s="73">
        <f>[7]С2!F30</f>
        <v>0.11668498168498169</v>
      </c>
    </row>
    <row r="81" spans="1:3" ht="17.25" x14ac:dyDescent="0.2">
      <c r="A81" s="60" t="s">
        <v>127</v>
      </c>
      <c r="B81" s="74" t="s">
        <v>128</v>
      </c>
      <c r="C81" s="35">
        <f>[7]С2!F31</f>
        <v>0.13880000000000001</v>
      </c>
    </row>
    <row r="82" spans="1:3" s="66" customFormat="1" ht="18" thickBot="1" x14ac:dyDescent="0.25">
      <c r="A82" s="75" t="s">
        <v>129</v>
      </c>
      <c r="B82" s="76" t="s">
        <v>130</v>
      </c>
      <c r="C82" s="77">
        <f>[7]С2!F32</f>
        <v>0.12640000000000001</v>
      </c>
    </row>
    <row r="83" spans="1:3" ht="13.5" thickBot="1" x14ac:dyDescent="0.25">
      <c r="A83" s="48"/>
      <c r="B83" s="49"/>
      <c r="C83" s="14"/>
    </row>
    <row r="84" spans="1:3" s="66" customFormat="1" ht="30" customHeight="1" x14ac:dyDescent="0.2">
      <c r="A84" s="78" t="s">
        <v>131</v>
      </c>
      <c r="B84" s="146" t="s">
        <v>132</v>
      </c>
      <c r="C84" s="146"/>
    </row>
    <row r="85" spans="1:3" s="66" customFormat="1" ht="30" x14ac:dyDescent="0.2">
      <c r="A85" s="79" t="s">
        <v>133</v>
      </c>
      <c r="B85" s="32" t="s">
        <v>134</v>
      </c>
      <c r="C85" s="33">
        <f>[7]С3!F14</f>
        <v>7000.4488806189811</v>
      </c>
    </row>
    <row r="86" spans="1:3" s="66" customFormat="1" ht="42.75" x14ac:dyDescent="0.2">
      <c r="A86" s="79" t="s">
        <v>135</v>
      </c>
      <c r="B86" s="53" t="s">
        <v>136</v>
      </c>
      <c r="C86" s="80">
        <f>[7]С3!F15</f>
        <v>0.2</v>
      </c>
    </row>
    <row r="87" spans="1:3" s="66" customFormat="1" ht="14.25" x14ac:dyDescent="0.2">
      <c r="A87" s="79" t="s">
        <v>137</v>
      </c>
      <c r="B87" s="81" t="s">
        <v>138</v>
      </c>
      <c r="C87" s="65">
        <f>[7]С3!F18</f>
        <v>15</v>
      </c>
    </row>
    <row r="88" spans="1:3" s="66" customFormat="1" ht="17.25" x14ac:dyDescent="0.2">
      <c r="A88" s="79" t="s">
        <v>139</v>
      </c>
      <c r="B88" s="32" t="s">
        <v>140</v>
      </c>
      <c r="C88" s="33">
        <f>[7]С3!F19</f>
        <v>3487.1555421534131</v>
      </c>
    </row>
    <row r="89" spans="1:3" s="66" customFormat="1" ht="55.5" x14ac:dyDescent="0.2">
      <c r="A89" s="79" t="s">
        <v>141</v>
      </c>
      <c r="B89" s="53" t="s">
        <v>142</v>
      </c>
      <c r="C89" s="82">
        <f>[7]С3!F20</f>
        <v>2.1999999999999999E-2</v>
      </c>
    </row>
    <row r="90" spans="1:3" s="66" customFormat="1" ht="14.25" x14ac:dyDescent="0.2">
      <c r="A90" s="79" t="s">
        <v>143</v>
      </c>
      <c r="B90" s="59" t="s">
        <v>87</v>
      </c>
      <c r="C90" s="65">
        <f>[7]С3!F21</f>
        <v>10</v>
      </c>
    </row>
    <row r="91" spans="1:3" s="66" customFormat="1" ht="17.25" x14ac:dyDescent="0.2">
      <c r="A91" s="79" t="s">
        <v>144</v>
      </c>
      <c r="B91" s="32" t="s">
        <v>145</v>
      </c>
      <c r="C91" s="33">
        <f>[7]С3!F22</f>
        <v>3.5065032141054981</v>
      </c>
    </row>
    <row r="92" spans="1:3" s="66" customFormat="1" ht="55.5" x14ac:dyDescent="0.2">
      <c r="A92" s="79" t="s">
        <v>146</v>
      </c>
      <c r="B92" s="53" t="s">
        <v>147</v>
      </c>
      <c r="C92" s="82">
        <f>[7]С3!F23</f>
        <v>3.0000000000000001E-3</v>
      </c>
    </row>
    <row r="93" spans="1:3" s="66" customFormat="1" ht="27.75" thickBot="1" x14ac:dyDescent="0.25">
      <c r="A93" s="83" t="s">
        <v>148</v>
      </c>
      <c r="B93" s="84" t="s">
        <v>241</v>
      </c>
      <c r="C93" s="85">
        <f>[7]С3!F24</f>
        <v>1168.8344047018327</v>
      </c>
    </row>
    <row r="94" spans="1:3" ht="13.5" thickBot="1" x14ac:dyDescent="0.25">
      <c r="A94" s="48"/>
      <c r="B94" s="49"/>
      <c r="C94" s="14"/>
    </row>
    <row r="95" spans="1:3" ht="30" customHeight="1" x14ac:dyDescent="0.2">
      <c r="A95" s="86" t="s">
        <v>149</v>
      </c>
      <c r="B95" s="146" t="s">
        <v>150</v>
      </c>
      <c r="C95" s="146"/>
    </row>
    <row r="96" spans="1:3" ht="30" x14ac:dyDescent="0.2">
      <c r="A96" s="60" t="s">
        <v>151</v>
      </c>
      <c r="B96" s="32" t="s">
        <v>242</v>
      </c>
      <c r="C96" s="33">
        <f>[7]С4!F16</f>
        <v>1652.5</v>
      </c>
    </row>
    <row r="97" spans="1:3" ht="30" x14ac:dyDescent="0.2">
      <c r="A97" s="60" t="s">
        <v>153</v>
      </c>
      <c r="B97" s="59" t="s">
        <v>243</v>
      </c>
      <c r="C97" s="33">
        <f>[7]С4!F17</f>
        <v>73547</v>
      </c>
    </row>
    <row r="98" spans="1:3" ht="33" x14ac:dyDescent="0.2">
      <c r="A98" s="60" t="s">
        <v>155</v>
      </c>
      <c r="B98" s="59" t="s">
        <v>156</v>
      </c>
      <c r="C98" s="41">
        <f>[7]С4!F18</f>
        <v>0.02</v>
      </c>
    </row>
    <row r="99" spans="1:3" ht="30" x14ac:dyDescent="0.2">
      <c r="A99" s="60" t="s">
        <v>157</v>
      </c>
      <c r="B99" s="59" t="s">
        <v>158</v>
      </c>
      <c r="C99" s="33">
        <f>[7]С4!F19</f>
        <v>12104</v>
      </c>
    </row>
    <row r="100" spans="1:3" ht="28.5" x14ac:dyDescent="0.2">
      <c r="A100" s="60" t="s">
        <v>159</v>
      </c>
      <c r="B100" s="59" t="s">
        <v>160</v>
      </c>
      <c r="C100" s="41">
        <f>[7]С4!F20</f>
        <v>1.4999999999999999E-2</v>
      </c>
    </row>
    <row r="101" spans="1:3" ht="30" x14ac:dyDescent="0.2">
      <c r="A101" s="60" t="s">
        <v>161</v>
      </c>
      <c r="B101" s="32" t="s">
        <v>244</v>
      </c>
      <c r="C101" s="33">
        <f>[7]С4!F21</f>
        <v>1933.1949342509995</v>
      </c>
    </row>
    <row r="102" spans="1:3" ht="24" customHeight="1" x14ac:dyDescent="0.2">
      <c r="A102" s="60" t="s">
        <v>163</v>
      </c>
      <c r="B102" s="53" t="s">
        <v>164</v>
      </c>
      <c r="C102" s="34">
        <f>IF([7]С4.2!F8="да",[7]С4.2!D21,[7]С4.2!D15)</f>
        <v>0</v>
      </c>
    </row>
    <row r="103" spans="1:3" ht="68.25" x14ac:dyDescent="0.2">
      <c r="A103" s="60" t="s">
        <v>165</v>
      </c>
      <c r="B103" s="53" t="s">
        <v>166</v>
      </c>
      <c r="C103" s="33">
        <f>[7]С4!F22</f>
        <v>3.6112641666666665</v>
      </c>
    </row>
    <row r="104" spans="1:3" ht="30" x14ac:dyDescent="0.2">
      <c r="A104" s="60" t="s">
        <v>167</v>
      </c>
      <c r="B104" s="59" t="s">
        <v>245</v>
      </c>
      <c r="C104" s="33">
        <f>[7]С4!F23</f>
        <v>180</v>
      </c>
    </row>
    <row r="105" spans="1:3" ht="14.25" x14ac:dyDescent="0.2">
      <c r="A105" s="60" t="s">
        <v>169</v>
      </c>
      <c r="B105" s="53" t="s">
        <v>170</v>
      </c>
      <c r="C105" s="33">
        <f>[7]С4!F24</f>
        <v>8497.1999999999989</v>
      </c>
    </row>
    <row r="106" spans="1:3" ht="14.25" x14ac:dyDescent="0.2">
      <c r="A106" s="60" t="s">
        <v>171</v>
      </c>
      <c r="B106" s="59" t="s">
        <v>172</v>
      </c>
      <c r="C106" s="41">
        <f>[7]С4!F25</f>
        <v>0.35</v>
      </c>
    </row>
    <row r="107" spans="1:3" ht="17.25" x14ac:dyDescent="0.2">
      <c r="A107" s="60" t="s">
        <v>173</v>
      </c>
      <c r="B107" s="32" t="s">
        <v>174</v>
      </c>
      <c r="C107" s="33">
        <f>[7]С4!F26</f>
        <v>56.915974999999996</v>
      </c>
    </row>
    <row r="108" spans="1:3" ht="25.5" x14ac:dyDescent="0.2">
      <c r="A108" s="60" t="s">
        <v>175</v>
      </c>
      <c r="B108" s="53" t="s">
        <v>101</v>
      </c>
      <c r="C108" s="34">
        <f>[7]С4.3!E16</f>
        <v>0</v>
      </c>
    </row>
    <row r="109" spans="1:3" ht="25.5" x14ac:dyDescent="0.2">
      <c r="A109" s="60" t="s">
        <v>176</v>
      </c>
      <c r="B109" s="53" t="s">
        <v>177</v>
      </c>
      <c r="C109" s="33">
        <f>[7]С4.3!E17</f>
        <v>15.125</v>
      </c>
    </row>
    <row r="110" spans="1:3" ht="38.25" x14ac:dyDescent="0.2">
      <c r="A110" s="60" t="s">
        <v>178</v>
      </c>
      <c r="B110" s="53" t="s">
        <v>113</v>
      </c>
      <c r="C110" s="34">
        <f>[7]С4.3!E18</f>
        <v>0</v>
      </c>
    </row>
    <row r="111" spans="1:3" x14ac:dyDescent="0.2">
      <c r="A111" s="60" t="s">
        <v>179</v>
      </c>
      <c r="B111" s="53" t="s">
        <v>180</v>
      </c>
      <c r="C111" s="33">
        <f>[7]С4.3!E19</f>
        <v>18.983333333333334</v>
      </c>
    </row>
    <row r="112" spans="1:3" x14ac:dyDescent="0.2">
      <c r="A112" s="60" t="s">
        <v>181</v>
      </c>
      <c r="B112" s="59" t="s">
        <v>182</v>
      </c>
      <c r="C112" s="33">
        <f>[7]С4.3!E11</f>
        <v>1871</v>
      </c>
    </row>
    <row r="113" spans="1:3" x14ac:dyDescent="0.2">
      <c r="A113" s="60" t="s">
        <v>183</v>
      </c>
      <c r="B113" s="59" t="s">
        <v>184</v>
      </c>
      <c r="C113" s="52">
        <f>[7]С4.3!E12</f>
        <v>1636</v>
      </c>
    </row>
    <row r="114" spans="1:3" x14ac:dyDescent="0.2">
      <c r="A114" s="60" t="s">
        <v>185</v>
      </c>
      <c r="B114" s="59" t="s">
        <v>186</v>
      </c>
      <c r="C114" s="52">
        <f>[7]С4.3!E13</f>
        <v>204</v>
      </c>
    </row>
    <row r="115" spans="1:3" ht="30" x14ac:dyDescent="0.2">
      <c r="A115" s="60" t="s">
        <v>187</v>
      </c>
      <c r="B115" s="32" t="s">
        <v>246</v>
      </c>
      <c r="C115" s="33">
        <f>[7]С4!F27</f>
        <v>1351.1912129385403</v>
      </c>
    </row>
    <row r="116" spans="1:3" ht="25.5" x14ac:dyDescent="0.2">
      <c r="A116" s="60" t="s">
        <v>189</v>
      </c>
      <c r="B116" s="53" t="s">
        <v>247</v>
      </c>
      <c r="C116" s="33">
        <f>[7]С4!F28</f>
        <v>1037.7812695380494</v>
      </c>
    </row>
    <row r="117" spans="1:3" ht="42.75" x14ac:dyDescent="0.2">
      <c r="A117" s="60" t="s">
        <v>191</v>
      </c>
      <c r="B117" s="53" t="s">
        <v>192</v>
      </c>
      <c r="C117" s="33">
        <f>[7]С4!F29</f>
        <v>313.40994340049093</v>
      </c>
    </row>
    <row r="118" spans="1:3" ht="30" x14ac:dyDescent="0.2">
      <c r="A118" s="60" t="s">
        <v>193</v>
      </c>
      <c r="B118" s="40" t="s">
        <v>194</v>
      </c>
      <c r="C118" s="33">
        <f>[7]С4!F30</f>
        <v>2431.6127513424467</v>
      </c>
    </row>
    <row r="119" spans="1:3" ht="42.75" x14ac:dyDescent="0.2">
      <c r="A119" s="60" t="s">
        <v>248</v>
      </c>
      <c r="B119" s="90" t="s">
        <v>249</v>
      </c>
      <c r="C119" s="33">
        <f>[7]С4!F33</f>
        <v>1695.5272077185077</v>
      </c>
    </row>
    <row r="120" spans="1:3" ht="30" x14ac:dyDescent="0.2">
      <c r="A120" s="60" t="s">
        <v>250</v>
      </c>
      <c r="B120" s="123" t="s">
        <v>251</v>
      </c>
      <c r="C120" s="33">
        <f>[7]С4!F35</f>
        <v>17.040680999999999</v>
      </c>
    </row>
    <row r="121" spans="1:3" ht="14.25" x14ac:dyDescent="0.2">
      <c r="A121" s="60" t="s">
        <v>252</v>
      </c>
      <c r="B121" s="56" t="s">
        <v>253</v>
      </c>
      <c r="C121" s="33">
        <f>[7]С4!F36</f>
        <v>14319.9</v>
      </c>
    </row>
    <row r="122" spans="1:3" ht="28.5" thickBot="1" x14ac:dyDescent="0.25">
      <c r="A122" s="75" t="s">
        <v>254</v>
      </c>
      <c r="B122" s="124" t="s">
        <v>255</v>
      </c>
      <c r="C122" s="85">
        <f>[7]С4!F37</f>
        <v>1.19</v>
      </c>
    </row>
    <row r="123" spans="1:3" s="88" customFormat="1" ht="13.5" thickBot="1" x14ac:dyDescent="0.25">
      <c r="A123" s="48"/>
      <c r="B123" s="49"/>
      <c r="C123" s="14"/>
    </row>
    <row r="124" spans="1:3" s="66" customFormat="1" ht="30" customHeight="1" x14ac:dyDescent="0.2">
      <c r="A124" s="78" t="s">
        <v>195</v>
      </c>
      <c r="B124" s="146" t="s">
        <v>196</v>
      </c>
      <c r="C124" s="146"/>
    </row>
    <row r="125" spans="1:3" ht="16.5" thickBot="1" x14ac:dyDescent="0.25">
      <c r="A125" s="26" t="s">
        <v>197</v>
      </c>
      <c r="B125" s="87" t="s">
        <v>198</v>
      </c>
      <c r="C125" s="85">
        <f>[7]С5!F17</f>
        <v>0.02</v>
      </c>
    </row>
    <row r="126" spans="1:3" s="88" customFormat="1" ht="13.5" thickBot="1" x14ac:dyDescent="0.25">
      <c r="A126" s="48"/>
      <c r="B126" s="49"/>
      <c r="C126" s="14"/>
    </row>
    <row r="127" spans="1:3" ht="42.75" customHeight="1" x14ac:dyDescent="0.2">
      <c r="A127" s="86" t="s">
        <v>199</v>
      </c>
      <c r="B127" s="148" t="s">
        <v>200</v>
      </c>
      <c r="C127" s="148"/>
    </row>
    <row r="128" spans="1:3" ht="68.25" x14ac:dyDescent="0.2">
      <c r="A128" s="60" t="s">
        <v>201</v>
      </c>
      <c r="B128" s="89" t="s">
        <v>202</v>
      </c>
      <c r="C128" s="33" t="s">
        <v>256</v>
      </c>
    </row>
    <row r="129" spans="1:4" ht="42.75" hidden="1" x14ac:dyDescent="0.2">
      <c r="A129" s="60" t="s">
        <v>203</v>
      </c>
      <c r="B129" s="90" t="s">
        <v>204</v>
      </c>
      <c r="C129" s="91"/>
    </row>
    <row r="130" spans="1:4" ht="69" thickBot="1" x14ac:dyDescent="0.25">
      <c r="A130" s="75" t="s">
        <v>205</v>
      </c>
      <c r="B130" s="125" t="s">
        <v>206</v>
      </c>
      <c r="C130" s="126" t="s">
        <v>256</v>
      </c>
    </row>
    <row r="131" spans="1:4" ht="62.25" hidden="1" customHeight="1" x14ac:dyDescent="0.2">
      <c r="A131" s="127" t="s">
        <v>207</v>
      </c>
      <c r="B131" s="128" t="s">
        <v>208</v>
      </c>
      <c r="C131" s="129"/>
    </row>
    <row r="132" spans="1:4" ht="68.25" hidden="1" x14ac:dyDescent="0.2">
      <c r="A132" s="60" t="s">
        <v>209</v>
      </c>
      <c r="B132" s="90" t="s">
        <v>257</v>
      </c>
      <c r="C132" s="35"/>
    </row>
    <row r="133" spans="1:4" ht="69" hidden="1" thickBot="1" x14ac:dyDescent="0.25">
      <c r="A133" s="75" t="s">
        <v>211</v>
      </c>
      <c r="B133" s="93" t="s">
        <v>212</v>
      </c>
      <c r="C133" s="77"/>
    </row>
    <row r="134" spans="1:4" s="88" customFormat="1" ht="13.5" thickBot="1" x14ac:dyDescent="0.25">
      <c r="A134" s="48"/>
      <c r="B134" s="49"/>
      <c r="C134" s="14"/>
    </row>
    <row r="135" spans="1:4" ht="26.25" customHeight="1" x14ac:dyDescent="0.2">
      <c r="A135" s="86" t="s">
        <v>213</v>
      </c>
      <c r="B135" s="94" t="s">
        <v>214</v>
      </c>
      <c r="C135" s="95">
        <f>[7]С2!F37</f>
        <v>20.818139999999996</v>
      </c>
    </row>
    <row r="136" spans="1:4" ht="14.25" x14ac:dyDescent="0.2">
      <c r="A136" s="60" t="s">
        <v>215</v>
      </c>
      <c r="B136" s="130" t="s">
        <v>216</v>
      </c>
      <c r="C136" s="33">
        <f>[7]С2!F38</f>
        <v>7</v>
      </c>
    </row>
    <row r="137" spans="1:4" ht="17.25" x14ac:dyDescent="0.2">
      <c r="A137" s="60" t="s">
        <v>217</v>
      </c>
      <c r="B137" s="130" t="s">
        <v>218</v>
      </c>
      <c r="C137" s="33">
        <f>[7]С2!F40</f>
        <v>0.97</v>
      </c>
    </row>
    <row r="138" spans="1:4" ht="15" thickBot="1" x14ac:dyDescent="0.25">
      <c r="A138" s="75" t="s">
        <v>219</v>
      </c>
      <c r="B138" s="131" t="s">
        <v>220</v>
      </c>
      <c r="C138" s="47">
        <f>[7]С2!F42</f>
        <v>0.35</v>
      </c>
    </row>
    <row r="139" spans="1:4" s="88" customFormat="1" ht="13.5" thickBot="1" x14ac:dyDescent="0.25">
      <c r="A139" s="48"/>
      <c r="B139" s="49"/>
      <c r="C139" s="14"/>
    </row>
    <row r="140" spans="1:4" ht="30" x14ac:dyDescent="0.2">
      <c r="A140" s="86" t="s">
        <v>221</v>
      </c>
      <c r="B140" s="96" t="s">
        <v>258</v>
      </c>
      <c r="C140" s="132">
        <f>[7]С2!F35</f>
        <v>1.3822747209000001</v>
      </c>
      <c r="D140" s="88"/>
    </row>
    <row r="141" spans="1:4" ht="22.7" customHeight="1" thickBot="1" x14ac:dyDescent="0.25">
      <c r="A141" s="75" t="s">
        <v>223</v>
      </c>
      <c r="B141" s="145" t="s">
        <v>224</v>
      </c>
      <c r="C141" s="145"/>
      <c r="D141" s="88"/>
    </row>
    <row r="142" spans="1:4" ht="13.5" thickBot="1" x14ac:dyDescent="0.25">
      <c r="A142" s="99"/>
      <c r="B142" s="133" t="s">
        <v>0</v>
      </c>
      <c r="C142" s="134"/>
      <c r="D142" s="88"/>
    </row>
    <row r="143" spans="1:4" x14ac:dyDescent="0.2">
      <c r="A143" s="99"/>
      <c r="B143" s="135">
        <v>2020</v>
      </c>
      <c r="C143" s="136">
        <f>[7]С2.5!$E$11</f>
        <v>-2.9000000000000026E-2</v>
      </c>
      <c r="D143" s="88"/>
    </row>
    <row r="144" spans="1:4" x14ac:dyDescent="0.2">
      <c r="A144" s="99"/>
      <c r="B144" s="106">
        <f>B143+1</f>
        <v>2021</v>
      </c>
      <c r="C144" s="137">
        <f>[7]С2.5!$F$11</f>
        <v>0.245</v>
      </c>
      <c r="D144" s="88"/>
    </row>
    <row r="145" spans="1:4" x14ac:dyDescent="0.2">
      <c r="A145" s="99"/>
      <c r="B145" s="106">
        <f t="shared" ref="B145:B208" si="0">B144+1</f>
        <v>2022</v>
      </c>
      <c r="C145" s="137">
        <f>[7]С2.5!$G$11</f>
        <v>0.121</v>
      </c>
      <c r="D145" s="88"/>
    </row>
    <row r="146" spans="1:4" ht="13.5" thickBot="1" x14ac:dyDescent="0.25">
      <c r="A146" s="99"/>
      <c r="B146" s="108">
        <f t="shared" si="0"/>
        <v>2023</v>
      </c>
      <c r="C146" s="138">
        <f>[7]С2.5!$H$11</f>
        <v>0.02</v>
      </c>
      <c r="D146" s="88"/>
    </row>
    <row r="147" spans="1:4" hidden="1" x14ac:dyDescent="0.2">
      <c r="A147" s="99"/>
      <c r="B147" s="139">
        <f t="shared" si="0"/>
        <v>2024</v>
      </c>
      <c r="C147" s="140">
        <f>[7]С2.5!$I$11</f>
        <v>-2.93E-2</v>
      </c>
      <c r="D147" s="88"/>
    </row>
    <row r="148" spans="1:4" hidden="1" x14ac:dyDescent="0.2">
      <c r="A148" s="99"/>
      <c r="B148" s="106">
        <f t="shared" si="0"/>
        <v>2025</v>
      </c>
      <c r="C148" s="137">
        <f>[7]С2.5!$J$11</f>
        <v>0.21215960863291</v>
      </c>
      <c r="D148" s="88"/>
    </row>
    <row r="149" spans="1:4" hidden="1" x14ac:dyDescent="0.2">
      <c r="A149" s="99"/>
      <c r="B149" s="106">
        <f t="shared" si="0"/>
        <v>2026</v>
      </c>
      <c r="C149" s="137">
        <f>[7]С2.5!$K$11</f>
        <v>3.5813361771260002E-2</v>
      </c>
      <c r="D149" s="88"/>
    </row>
    <row r="150" spans="1:4" hidden="1" x14ac:dyDescent="0.2">
      <c r="A150" s="99"/>
      <c r="B150" s="106">
        <f t="shared" si="0"/>
        <v>2027</v>
      </c>
      <c r="C150" s="137">
        <f>[7]С2.5!$L$11</f>
        <v>3.2682303599220003E-2</v>
      </c>
      <c r="D150" s="88"/>
    </row>
    <row r="151" spans="1:4" hidden="1" x14ac:dyDescent="0.2">
      <c r="A151" s="99"/>
      <c r="B151" s="106">
        <f t="shared" si="0"/>
        <v>2028</v>
      </c>
      <c r="C151" s="137">
        <f>[7]С2.5!$M$11</f>
        <v>0</v>
      </c>
      <c r="D151" s="88"/>
    </row>
    <row r="152" spans="1:4" hidden="1" x14ac:dyDescent="0.2">
      <c r="A152" s="99"/>
      <c r="B152" s="106">
        <f t="shared" si="0"/>
        <v>2029</v>
      </c>
      <c r="C152" s="137">
        <f>[7]С2.5!$N$11</f>
        <v>0</v>
      </c>
      <c r="D152" s="88"/>
    </row>
    <row r="153" spans="1:4" hidden="1" x14ac:dyDescent="0.2">
      <c r="A153" s="99"/>
      <c r="B153" s="106">
        <f t="shared" si="0"/>
        <v>2030</v>
      </c>
      <c r="C153" s="137">
        <f>[7]С2.5!$O$11</f>
        <v>0</v>
      </c>
      <c r="D153" s="88"/>
    </row>
    <row r="154" spans="1:4" hidden="1" x14ac:dyDescent="0.2">
      <c r="A154" s="99"/>
      <c r="B154" s="106">
        <f t="shared" si="0"/>
        <v>2031</v>
      </c>
      <c r="C154" s="137">
        <f>[7]С2.5!$P$11</f>
        <v>0</v>
      </c>
      <c r="D154" s="88"/>
    </row>
    <row r="155" spans="1:4" hidden="1" x14ac:dyDescent="0.2">
      <c r="A155" s="88"/>
      <c r="B155" s="106">
        <f t="shared" si="0"/>
        <v>2032</v>
      </c>
      <c r="C155" s="137">
        <f>[7]С2.5!$Q$11</f>
        <v>0</v>
      </c>
      <c r="D155" s="88"/>
    </row>
    <row r="156" spans="1:4" hidden="1" x14ac:dyDescent="0.2">
      <c r="A156" s="88"/>
      <c r="B156" s="106">
        <f t="shared" si="0"/>
        <v>2033</v>
      </c>
      <c r="C156" s="137">
        <f>[7]С2.5!$R$11</f>
        <v>0</v>
      </c>
      <c r="D156" s="88"/>
    </row>
    <row r="157" spans="1:4" hidden="1" x14ac:dyDescent="0.2">
      <c r="B157" s="106">
        <f t="shared" si="0"/>
        <v>2034</v>
      </c>
      <c r="C157" s="137">
        <f>[7]С2.5!$S$11</f>
        <v>0</v>
      </c>
    </row>
    <row r="158" spans="1:4" hidden="1" x14ac:dyDescent="0.2">
      <c r="B158" s="106">
        <f t="shared" si="0"/>
        <v>2035</v>
      </c>
      <c r="C158" s="137">
        <f>[7]С2.5!$T$11</f>
        <v>0</v>
      </c>
    </row>
    <row r="159" spans="1:4" hidden="1" x14ac:dyDescent="0.2">
      <c r="B159" s="106">
        <f t="shared" si="0"/>
        <v>2036</v>
      </c>
      <c r="C159" s="137">
        <f>[7]С2.5!$U$11</f>
        <v>0</v>
      </c>
    </row>
    <row r="160" spans="1:4" hidden="1" x14ac:dyDescent="0.2">
      <c r="B160" s="106">
        <f t="shared" si="0"/>
        <v>2037</v>
      </c>
      <c r="C160" s="137">
        <f>[7]С2.5!$V$11</f>
        <v>0</v>
      </c>
    </row>
    <row r="161" spans="2:3" hidden="1" x14ac:dyDescent="0.2">
      <c r="B161" s="106">
        <f t="shared" si="0"/>
        <v>2038</v>
      </c>
      <c r="C161" s="137">
        <f>[7]С2.5!$W$11</f>
        <v>0</v>
      </c>
    </row>
    <row r="162" spans="2:3" hidden="1" x14ac:dyDescent="0.2">
      <c r="B162" s="106">
        <f t="shared" si="0"/>
        <v>2039</v>
      </c>
      <c r="C162" s="137">
        <f>[7]С2.5!$X$11</f>
        <v>0</v>
      </c>
    </row>
    <row r="163" spans="2:3" hidden="1" x14ac:dyDescent="0.2">
      <c r="B163" s="106">
        <f t="shared" si="0"/>
        <v>2040</v>
      </c>
      <c r="C163" s="137">
        <f>[7]С2.5!$Y$11</f>
        <v>0</v>
      </c>
    </row>
    <row r="164" spans="2:3" hidden="1" x14ac:dyDescent="0.2">
      <c r="B164" s="106">
        <f t="shared" si="0"/>
        <v>2041</v>
      </c>
      <c r="C164" s="137">
        <f>[7]С2.5!$Z$11</f>
        <v>0</v>
      </c>
    </row>
    <row r="165" spans="2:3" hidden="1" x14ac:dyDescent="0.2">
      <c r="B165" s="106">
        <f t="shared" si="0"/>
        <v>2042</v>
      </c>
      <c r="C165" s="137">
        <f>[7]С2.5!$AA$11</f>
        <v>0</v>
      </c>
    </row>
    <row r="166" spans="2:3" hidden="1" x14ac:dyDescent="0.2">
      <c r="B166" s="106">
        <f t="shared" si="0"/>
        <v>2043</v>
      </c>
      <c r="C166" s="137">
        <f>[7]С2.5!$AB$11</f>
        <v>0</v>
      </c>
    </row>
    <row r="167" spans="2:3" hidden="1" x14ac:dyDescent="0.2">
      <c r="B167" s="106">
        <f t="shared" si="0"/>
        <v>2044</v>
      </c>
      <c r="C167" s="137">
        <f>[7]С2.5!$AC$11</f>
        <v>0</v>
      </c>
    </row>
    <row r="168" spans="2:3" hidden="1" x14ac:dyDescent="0.2">
      <c r="B168" s="106">
        <f t="shared" si="0"/>
        <v>2045</v>
      </c>
      <c r="C168" s="137">
        <f>[7]С2.5!$AD$11</f>
        <v>0</v>
      </c>
    </row>
    <row r="169" spans="2:3" hidden="1" x14ac:dyDescent="0.2">
      <c r="B169" s="106">
        <f t="shared" si="0"/>
        <v>2046</v>
      </c>
      <c r="C169" s="137">
        <f>[7]С2.5!$AE$11</f>
        <v>0</v>
      </c>
    </row>
    <row r="170" spans="2:3" hidden="1" x14ac:dyDescent="0.2">
      <c r="B170" s="106">
        <f t="shared" si="0"/>
        <v>2047</v>
      </c>
      <c r="C170" s="137">
        <f>[7]С2.5!$AF$11</f>
        <v>0</v>
      </c>
    </row>
    <row r="171" spans="2:3" hidden="1" x14ac:dyDescent="0.2">
      <c r="B171" s="106">
        <f t="shared" si="0"/>
        <v>2048</v>
      </c>
      <c r="C171" s="137">
        <f>[7]С2.5!$AG$11</f>
        <v>0</v>
      </c>
    </row>
    <row r="172" spans="2:3" hidden="1" x14ac:dyDescent="0.2">
      <c r="B172" s="106">
        <f t="shared" si="0"/>
        <v>2049</v>
      </c>
      <c r="C172" s="137">
        <f>[7]С2.5!$AH$11</f>
        <v>0</v>
      </c>
    </row>
    <row r="173" spans="2:3" hidden="1" x14ac:dyDescent="0.2">
      <c r="B173" s="106">
        <f t="shared" si="0"/>
        <v>2050</v>
      </c>
      <c r="C173" s="137">
        <f>[7]С2.5!$AI$11</f>
        <v>0</v>
      </c>
    </row>
    <row r="174" spans="2:3" hidden="1" x14ac:dyDescent="0.2">
      <c r="B174" s="106">
        <f t="shared" si="0"/>
        <v>2051</v>
      </c>
      <c r="C174" s="137">
        <f>[7]С2.5!$AJ$11</f>
        <v>0</v>
      </c>
    </row>
    <row r="175" spans="2:3" hidden="1" x14ac:dyDescent="0.2">
      <c r="B175" s="106">
        <f t="shared" si="0"/>
        <v>2052</v>
      </c>
      <c r="C175" s="137">
        <f>[7]С2.5!$AK$11</f>
        <v>0</v>
      </c>
    </row>
    <row r="176" spans="2:3" hidden="1" x14ac:dyDescent="0.2">
      <c r="B176" s="106">
        <f t="shared" si="0"/>
        <v>2053</v>
      </c>
      <c r="C176" s="137">
        <f>[7]С2.5!$AL$11</f>
        <v>0</v>
      </c>
    </row>
    <row r="177" spans="2:3" hidden="1" x14ac:dyDescent="0.2">
      <c r="B177" s="106">
        <f t="shared" si="0"/>
        <v>2054</v>
      </c>
      <c r="C177" s="137">
        <f>[7]С2.5!$AM$11</f>
        <v>0</v>
      </c>
    </row>
    <row r="178" spans="2:3" hidden="1" x14ac:dyDescent="0.2">
      <c r="B178" s="106">
        <f t="shared" si="0"/>
        <v>2055</v>
      </c>
      <c r="C178" s="137">
        <f>[7]С2.5!$AN$11</f>
        <v>0</v>
      </c>
    </row>
    <row r="179" spans="2:3" hidden="1" x14ac:dyDescent="0.2">
      <c r="B179" s="106">
        <f t="shared" si="0"/>
        <v>2056</v>
      </c>
      <c r="C179" s="137">
        <f>[7]С2.5!$AO$11</f>
        <v>0</v>
      </c>
    </row>
    <row r="180" spans="2:3" hidden="1" x14ac:dyDescent="0.2">
      <c r="B180" s="106">
        <f t="shared" si="0"/>
        <v>2057</v>
      </c>
      <c r="C180" s="137">
        <f>[7]С2.5!$AP$11</f>
        <v>0</v>
      </c>
    </row>
    <row r="181" spans="2:3" hidden="1" x14ac:dyDescent="0.2">
      <c r="B181" s="106">
        <f t="shared" si="0"/>
        <v>2058</v>
      </c>
      <c r="C181" s="137">
        <f>[7]С2.5!$AQ$11</f>
        <v>0</v>
      </c>
    </row>
    <row r="182" spans="2:3" hidden="1" x14ac:dyDescent="0.2">
      <c r="B182" s="106">
        <f t="shared" si="0"/>
        <v>2059</v>
      </c>
      <c r="C182" s="137">
        <f>[7]С2.5!$AR$11</f>
        <v>0</v>
      </c>
    </row>
    <row r="183" spans="2:3" hidden="1" x14ac:dyDescent="0.2">
      <c r="B183" s="106">
        <f t="shared" si="0"/>
        <v>2060</v>
      </c>
      <c r="C183" s="137">
        <f>[7]С2.5!$AS$11</f>
        <v>0</v>
      </c>
    </row>
    <row r="184" spans="2:3" hidden="1" x14ac:dyDescent="0.2">
      <c r="B184" s="106">
        <f t="shared" si="0"/>
        <v>2061</v>
      </c>
      <c r="C184" s="137">
        <f>[7]С2.5!$AT$11</f>
        <v>0</v>
      </c>
    </row>
    <row r="185" spans="2:3" hidden="1" x14ac:dyDescent="0.2">
      <c r="B185" s="106">
        <f t="shared" si="0"/>
        <v>2062</v>
      </c>
      <c r="C185" s="137">
        <f>[7]С2.5!$AU$11</f>
        <v>0</v>
      </c>
    </row>
    <row r="186" spans="2:3" hidden="1" x14ac:dyDescent="0.2">
      <c r="B186" s="106">
        <f t="shared" si="0"/>
        <v>2063</v>
      </c>
      <c r="C186" s="137">
        <f>[7]С2.5!$AV$11</f>
        <v>0</v>
      </c>
    </row>
    <row r="187" spans="2:3" hidden="1" x14ac:dyDescent="0.2">
      <c r="B187" s="106">
        <f t="shared" si="0"/>
        <v>2064</v>
      </c>
      <c r="C187" s="137">
        <f>[7]С2.5!$AW$11</f>
        <v>0</v>
      </c>
    </row>
    <row r="188" spans="2:3" hidden="1" x14ac:dyDescent="0.2">
      <c r="B188" s="106">
        <f t="shared" si="0"/>
        <v>2065</v>
      </c>
      <c r="C188" s="137">
        <f>[7]С2.5!$AX$11</f>
        <v>0</v>
      </c>
    </row>
    <row r="189" spans="2:3" hidden="1" x14ac:dyDescent="0.2">
      <c r="B189" s="106">
        <f t="shared" si="0"/>
        <v>2066</v>
      </c>
      <c r="C189" s="137">
        <f>[7]С2.5!$AY$11</f>
        <v>0</v>
      </c>
    </row>
    <row r="190" spans="2:3" hidden="1" x14ac:dyDescent="0.2">
      <c r="B190" s="106">
        <f t="shared" si="0"/>
        <v>2067</v>
      </c>
      <c r="C190" s="137">
        <f>[7]С2.5!$AZ$11</f>
        <v>0</v>
      </c>
    </row>
    <row r="191" spans="2:3" hidden="1" x14ac:dyDescent="0.2">
      <c r="B191" s="106">
        <f t="shared" si="0"/>
        <v>2068</v>
      </c>
      <c r="C191" s="137">
        <f>[7]С2.5!$BA$11</f>
        <v>0</v>
      </c>
    </row>
    <row r="192" spans="2:3" hidden="1" x14ac:dyDescent="0.2">
      <c r="B192" s="106">
        <f t="shared" si="0"/>
        <v>2069</v>
      </c>
      <c r="C192" s="137">
        <f>[7]С2.5!$BB$11</f>
        <v>0</v>
      </c>
    </row>
    <row r="193" spans="2:3" hidden="1" x14ac:dyDescent="0.2">
      <c r="B193" s="106">
        <f t="shared" si="0"/>
        <v>2070</v>
      </c>
      <c r="C193" s="137">
        <f>[7]С2.5!$BC$11</f>
        <v>0</v>
      </c>
    </row>
    <row r="194" spans="2:3" hidden="1" x14ac:dyDescent="0.2">
      <c r="B194" s="106">
        <f t="shared" si="0"/>
        <v>2071</v>
      </c>
      <c r="C194" s="137">
        <f>[7]С2.5!$BD$11</f>
        <v>0</v>
      </c>
    </row>
    <row r="195" spans="2:3" hidden="1" x14ac:dyDescent="0.2">
      <c r="B195" s="106">
        <f t="shared" si="0"/>
        <v>2072</v>
      </c>
      <c r="C195" s="137">
        <f>[7]С2.5!$BE$11</f>
        <v>0</v>
      </c>
    </row>
    <row r="196" spans="2:3" hidden="1" x14ac:dyDescent="0.2">
      <c r="B196" s="106">
        <f t="shared" si="0"/>
        <v>2073</v>
      </c>
      <c r="C196" s="137">
        <f>[7]С2.5!$BF$11</f>
        <v>0</v>
      </c>
    </row>
    <row r="197" spans="2:3" hidden="1" x14ac:dyDescent="0.2">
      <c r="B197" s="106">
        <f t="shared" si="0"/>
        <v>2074</v>
      </c>
      <c r="C197" s="137">
        <f>[7]С2.5!$BG$11</f>
        <v>0</v>
      </c>
    </row>
    <row r="198" spans="2:3" hidden="1" x14ac:dyDescent="0.2">
      <c r="B198" s="106">
        <f t="shared" si="0"/>
        <v>2075</v>
      </c>
      <c r="C198" s="137">
        <f>[7]С2.5!$BH$11</f>
        <v>0</v>
      </c>
    </row>
    <row r="199" spans="2:3" hidden="1" x14ac:dyDescent="0.2">
      <c r="B199" s="106">
        <f t="shared" si="0"/>
        <v>2076</v>
      </c>
      <c r="C199" s="137">
        <f>[7]С2.5!$BI$11</f>
        <v>0</v>
      </c>
    </row>
    <row r="200" spans="2:3" hidden="1" x14ac:dyDescent="0.2">
      <c r="B200" s="106">
        <f t="shared" si="0"/>
        <v>2077</v>
      </c>
      <c r="C200" s="137">
        <f>[7]С2.5!$BJ$11</f>
        <v>0</v>
      </c>
    </row>
    <row r="201" spans="2:3" hidden="1" x14ac:dyDescent="0.2">
      <c r="B201" s="106">
        <f t="shared" si="0"/>
        <v>2078</v>
      </c>
      <c r="C201" s="137">
        <f>[7]С2.5!$BK$11</f>
        <v>0</v>
      </c>
    </row>
    <row r="202" spans="2:3" hidden="1" x14ac:dyDescent="0.2">
      <c r="B202" s="106">
        <f t="shared" si="0"/>
        <v>2079</v>
      </c>
      <c r="C202" s="137">
        <f>[7]С2.5!$BL$11</f>
        <v>0</v>
      </c>
    </row>
    <row r="203" spans="2:3" hidden="1" x14ac:dyDescent="0.2">
      <c r="B203" s="106">
        <f t="shared" si="0"/>
        <v>2080</v>
      </c>
      <c r="C203" s="137">
        <f>[7]С2.5!$BM$11</f>
        <v>0</v>
      </c>
    </row>
    <row r="204" spans="2:3" hidden="1" x14ac:dyDescent="0.2">
      <c r="B204" s="106">
        <f t="shared" si="0"/>
        <v>2081</v>
      </c>
      <c r="C204" s="137">
        <f>[7]С2.5!$BN$11</f>
        <v>0</v>
      </c>
    </row>
    <row r="205" spans="2:3" hidden="1" x14ac:dyDescent="0.2">
      <c r="B205" s="106">
        <f t="shared" si="0"/>
        <v>2082</v>
      </c>
      <c r="C205" s="137">
        <f>[7]С2.5!$BO$11</f>
        <v>0</v>
      </c>
    </row>
    <row r="206" spans="2:3" hidden="1" x14ac:dyDescent="0.2">
      <c r="B206" s="106">
        <f t="shared" si="0"/>
        <v>2083</v>
      </c>
      <c r="C206" s="137">
        <f>[7]С2.5!$BP$11</f>
        <v>0</v>
      </c>
    </row>
    <row r="207" spans="2:3" hidden="1" x14ac:dyDescent="0.2">
      <c r="B207" s="106">
        <f t="shared" si="0"/>
        <v>2084</v>
      </c>
      <c r="C207" s="137">
        <f>[7]С2.5!$BQ$11</f>
        <v>0</v>
      </c>
    </row>
    <row r="208" spans="2:3" hidden="1" x14ac:dyDescent="0.2">
      <c r="B208" s="106">
        <f t="shared" si="0"/>
        <v>2085</v>
      </c>
      <c r="C208" s="137">
        <f>[7]С2.5!$BR$11</f>
        <v>0</v>
      </c>
    </row>
    <row r="209" spans="2:3" hidden="1" x14ac:dyDescent="0.2">
      <c r="B209" s="106">
        <f t="shared" ref="B209:B223" si="1">B208+1</f>
        <v>2086</v>
      </c>
      <c r="C209" s="137">
        <f>[7]С2.5!$BS$11</f>
        <v>0</v>
      </c>
    </row>
    <row r="210" spans="2:3" hidden="1" x14ac:dyDescent="0.2">
      <c r="B210" s="106">
        <f t="shared" si="1"/>
        <v>2087</v>
      </c>
      <c r="C210" s="137">
        <f>[7]С2.5!$BT$11</f>
        <v>0</v>
      </c>
    </row>
    <row r="211" spans="2:3" hidden="1" x14ac:dyDescent="0.2">
      <c r="B211" s="106">
        <f t="shared" si="1"/>
        <v>2088</v>
      </c>
      <c r="C211" s="137">
        <f>[7]С2.5!$BU$11</f>
        <v>0</v>
      </c>
    </row>
    <row r="212" spans="2:3" hidden="1" x14ac:dyDescent="0.2">
      <c r="B212" s="106">
        <f t="shared" si="1"/>
        <v>2089</v>
      </c>
      <c r="C212" s="137">
        <f>[7]С2.5!$BV$11</f>
        <v>0</v>
      </c>
    </row>
    <row r="213" spans="2:3" hidden="1" x14ac:dyDescent="0.2">
      <c r="B213" s="106">
        <f t="shared" si="1"/>
        <v>2090</v>
      </c>
      <c r="C213" s="137">
        <f>[7]С2.5!$BW$11</f>
        <v>0</v>
      </c>
    </row>
    <row r="214" spans="2:3" hidden="1" x14ac:dyDescent="0.2">
      <c r="B214" s="106">
        <f t="shared" si="1"/>
        <v>2091</v>
      </c>
      <c r="C214" s="137">
        <f>[7]С2.5!$BX$11</f>
        <v>0</v>
      </c>
    </row>
    <row r="215" spans="2:3" hidden="1" x14ac:dyDescent="0.2">
      <c r="B215" s="106">
        <f t="shared" si="1"/>
        <v>2092</v>
      </c>
      <c r="C215" s="137">
        <f>[7]С2.5!$BY$11</f>
        <v>0</v>
      </c>
    </row>
    <row r="216" spans="2:3" hidden="1" x14ac:dyDescent="0.2">
      <c r="B216" s="106">
        <f t="shared" si="1"/>
        <v>2093</v>
      </c>
      <c r="C216" s="137">
        <f>[7]С2.5!$BZ$11</f>
        <v>0</v>
      </c>
    </row>
    <row r="217" spans="2:3" hidden="1" x14ac:dyDescent="0.2">
      <c r="B217" s="106">
        <f t="shared" si="1"/>
        <v>2094</v>
      </c>
      <c r="C217" s="137">
        <f>[7]С2.5!$CA$11</f>
        <v>0</v>
      </c>
    </row>
    <row r="218" spans="2:3" hidden="1" x14ac:dyDescent="0.2">
      <c r="B218" s="106">
        <f t="shared" si="1"/>
        <v>2095</v>
      </c>
      <c r="C218" s="137">
        <f>[7]С2.5!$CB$11</f>
        <v>0</v>
      </c>
    </row>
    <row r="219" spans="2:3" hidden="1" x14ac:dyDescent="0.2">
      <c r="B219" s="106">
        <f t="shared" si="1"/>
        <v>2096</v>
      </c>
      <c r="C219" s="137">
        <f>[7]С2.5!$CC$11</f>
        <v>0</v>
      </c>
    </row>
    <row r="220" spans="2:3" hidden="1" x14ac:dyDescent="0.2">
      <c r="B220" s="106">
        <f t="shared" si="1"/>
        <v>2097</v>
      </c>
      <c r="C220" s="137">
        <f>[7]С2.5!$CD$11</f>
        <v>0</v>
      </c>
    </row>
    <row r="221" spans="2:3" hidden="1" x14ac:dyDescent="0.2">
      <c r="B221" s="106">
        <f t="shared" si="1"/>
        <v>2098</v>
      </c>
      <c r="C221" s="137">
        <f>[7]С2.5!$CE$11</f>
        <v>0</v>
      </c>
    </row>
    <row r="222" spans="2:3" hidden="1" x14ac:dyDescent="0.2">
      <c r="B222" s="106">
        <f t="shared" si="1"/>
        <v>2099</v>
      </c>
      <c r="C222" s="137">
        <f>[7]С2.5!$CF$11</f>
        <v>0</v>
      </c>
    </row>
    <row r="223" spans="2:3" ht="13.5" hidden="1" thickBot="1" x14ac:dyDescent="0.25">
      <c r="B223" s="108">
        <f t="shared" si="1"/>
        <v>2100</v>
      </c>
      <c r="C223" s="138">
        <f>[7]С2.5!$CG$11</f>
        <v>0</v>
      </c>
    </row>
    <row r="224" spans="2:3" hidden="1" x14ac:dyDescent="0.2">
      <c r="C224" s="141"/>
    </row>
    <row r="225" spans="3:3" hidden="1" x14ac:dyDescent="0.2">
      <c r="C225" s="141"/>
    </row>
    <row r="226" spans="3:3" x14ac:dyDescent="0.2">
      <c r="C226" s="141"/>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6145" r:id="rId4" name="Button 1">
              <controlPr defaultSize="0" print="0" autoFill="0" autoPict="0" macro="[7]!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13"/>
      <c r="B1" s="142" t="s">
        <v>225</v>
      </c>
      <c r="C1" s="142"/>
    </row>
    <row r="2" spans="1:3" x14ac:dyDescent="0.2">
      <c r="A2" s="1"/>
      <c r="B2" s="3" t="s">
        <v>2</v>
      </c>
      <c r="C2" s="4">
        <f ca="1">TODAY()</f>
        <v>44944</v>
      </c>
    </row>
    <row r="3" spans="1:3" x14ac:dyDescent="0.2">
      <c r="A3" s="1"/>
      <c r="B3" s="114" t="s">
        <v>3</v>
      </c>
    </row>
    <row r="4" spans="1:3" ht="25.5" x14ac:dyDescent="0.2">
      <c r="A4" s="7"/>
      <c r="B4" s="8" t="str">
        <f>[8]И1!D13</f>
        <v>Субъект Российской Федерации</v>
      </c>
      <c r="C4" s="9" t="str">
        <f>[8]И1!E13</f>
        <v>Новосибирская область</v>
      </c>
    </row>
    <row r="5" spans="1:3" ht="38.25" x14ac:dyDescent="0.2">
      <c r="A5" s="7"/>
      <c r="B5" s="8" t="str">
        <f>[8]И1!D14</f>
        <v>Тип муниципального образования (выберите из списка)</v>
      </c>
      <c r="C5" s="9" t="str">
        <f>[8]И1!E14</f>
        <v>село Кирза, Ордынский муниципальный район</v>
      </c>
    </row>
    <row r="6" spans="1:3" x14ac:dyDescent="0.2">
      <c r="A6" s="7"/>
      <c r="B6" s="8" t="str">
        <f>IF([8]И1!E15="","",[8]И1!D15)</f>
        <v/>
      </c>
      <c r="C6" s="9" t="str">
        <f>IF([8]И1!E15="","",[8]И1!E15)</f>
        <v/>
      </c>
    </row>
    <row r="7" spans="1:3" x14ac:dyDescent="0.2">
      <c r="A7" s="7"/>
      <c r="B7" s="8" t="str">
        <f>[8]И1!D16</f>
        <v>Код ОКТМО</v>
      </c>
      <c r="C7" s="10" t="str">
        <f>[8]И1!E16</f>
        <v>50642407101</v>
      </c>
    </row>
    <row r="8" spans="1:3" x14ac:dyDescent="0.2">
      <c r="A8" s="7"/>
      <c r="B8" s="11" t="str">
        <f>[8]И1!D17</f>
        <v>Система теплоснабжения</v>
      </c>
      <c r="C8" s="12">
        <f>[8]И1!E17</f>
        <v>0</v>
      </c>
    </row>
    <row r="9" spans="1:3" x14ac:dyDescent="0.2">
      <c r="A9" s="7"/>
      <c r="B9" s="8" t="str">
        <f>[8]И1!D8</f>
        <v>Период регулирования (i)-й</v>
      </c>
      <c r="C9" s="13">
        <f>[8]И1!E8</f>
        <v>2023</v>
      </c>
    </row>
    <row r="10" spans="1:3" x14ac:dyDescent="0.2">
      <c r="A10" s="7"/>
      <c r="B10" s="8" t="str">
        <f>[8]И1!D9</f>
        <v>Период регулирования (i-1)-й</v>
      </c>
      <c r="C10" s="13">
        <f>[8]И1!E9</f>
        <v>2022</v>
      </c>
    </row>
    <row r="11" spans="1:3" x14ac:dyDescent="0.2">
      <c r="A11" s="7"/>
      <c r="B11" s="8" t="str">
        <f>[8]И1!D10</f>
        <v>Период регулирования (i-2)-й</v>
      </c>
      <c r="C11" s="13">
        <f>[8]И1!E10</f>
        <v>2021</v>
      </c>
    </row>
    <row r="12" spans="1:3" x14ac:dyDescent="0.2">
      <c r="A12" s="7"/>
      <c r="B12" s="8" t="str">
        <f>[8]И1!D11</f>
        <v>Базовый год (б)</v>
      </c>
      <c r="C12" s="13">
        <f>[8]И1!E11</f>
        <v>2019</v>
      </c>
    </row>
    <row r="13" spans="1:3" ht="38.25" x14ac:dyDescent="0.2">
      <c r="A13" s="7"/>
      <c r="B13" s="8" t="str">
        <f>[8]И1!D18</f>
        <v>Вид топлива, использование которого преобладает в системе теплоснабжения</v>
      </c>
      <c r="C13" s="14" t="str">
        <f>[8]С1.1!E13</f>
        <v>уголь (вид угля не указан в топливном балансе)</v>
      </c>
    </row>
    <row r="14" spans="1:3" ht="31.7" customHeight="1" thickBot="1" x14ac:dyDescent="0.25">
      <c r="A14" s="147" t="s">
        <v>4</v>
      </c>
      <c r="B14" s="147"/>
      <c r="C14" s="147"/>
    </row>
    <row r="15" spans="1:3" x14ac:dyDescent="0.2">
      <c r="A15" s="15" t="s">
        <v>5</v>
      </c>
      <c r="B15" s="115" t="s">
        <v>6</v>
      </c>
      <c r="C15" s="116" t="s">
        <v>7</v>
      </c>
    </row>
    <row r="16" spans="1:3" x14ac:dyDescent="0.2">
      <c r="A16" s="18">
        <v>1</v>
      </c>
      <c r="B16" s="117">
        <v>2</v>
      </c>
      <c r="C16" s="118">
        <v>3</v>
      </c>
    </row>
    <row r="17" spans="1:3" x14ac:dyDescent="0.2">
      <c r="A17" s="21">
        <v>1</v>
      </c>
      <c r="B17" s="22" t="s">
        <v>8</v>
      </c>
      <c r="C17" s="23">
        <f>SUM(C18:C22)</f>
        <v>4297.1280402127732</v>
      </c>
    </row>
    <row r="18" spans="1:3" ht="42.75" x14ac:dyDescent="0.2">
      <c r="A18" s="21" t="s">
        <v>9</v>
      </c>
      <c r="B18" s="24" t="s">
        <v>10</v>
      </c>
      <c r="C18" s="25">
        <f>[8]С1!F12</f>
        <v>1151.8021760407769</v>
      </c>
    </row>
    <row r="19" spans="1:3" ht="42.75" x14ac:dyDescent="0.2">
      <c r="A19" s="21" t="s">
        <v>11</v>
      </c>
      <c r="B19" s="24" t="s">
        <v>12</v>
      </c>
      <c r="C19" s="25">
        <f>[8]С2!F12</f>
        <v>2106.4563180122805</v>
      </c>
    </row>
    <row r="20" spans="1:3" ht="30" x14ac:dyDescent="0.2">
      <c r="A20" s="21" t="s">
        <v>13</v>
      </c>
      <c r="B20" s="24" t="s">
        <v>14</v>
      </c>
      <c r="C20" s="25">
        <f>[8]С3!F12</f>
        <v>503.94083842199643</v>
      </c>
    </row>
    <row r="21" spans="1:3" ht="42.75" x14ac:dyDescent="0.2">
      <c r="A21" s="21" t="s">
        <v>15</v>
      </c>
      <c r="B21" s="24" t="s">
        <v>226</v>
      </c>
      <c r="C21" s="25">
        <f>[8]С4!F12</f>
        <v>450.67129518452748</v>
      </c>
    </row>
    <row r="22" spans="1:3" ht="30" x14ac:dyDescent="0.2">
      <c r="A22" s="21" t="s">
        <v>17</v>
      </c>
      <c r="B22" s="24" t="s">
        <v>227</v>
      </c>
      <c r="C22" s="25">
        <f>[8]С5!F12</f>
        <v>84.257412553191628</v>
      </c>
    </row>
    <row r="23" spans="1:3" ht="43.5" thickBot="1" x14ac:dyDescent="0.25">
      <c r="A23" s="26" t="s">
        <v>19</v>
      </c>
      <c r="B23" s="98" t="s">
        <v>228</v>
      </c>
      <c r="C23" s="28" t="str">
        <f>[8]С6!F12</f>
        <v>-</v>
      </c>
    </row>
    <row r="24" spans="1:3" ht="13.5" thickBot="1" x14ac:dyDescent="0.25">
      <c r="A24" s="1"/>
    </row>
    <row r="25" spans="1:3" x14ac:dyDescent="0.2">
      <c r="A25" s="15" t="s">
        <v>5</v>
      </c>
      <c r="B25" s="29" t="s">
        <v>6</v>
      </c>
      <c r="C25" s="16" t="s">
        <v>7</v>
      </c>
    </row>
    <row r="26" spans="1:3" x14ac:dyDescent="0.2">
      <c r="A26" s="18">
        <v>1</v>
      </c>
      <c r="B26" s="30">
        <v>2</v>
      </c>
      <c r="C26" s="31">
        <v>3</v>
      </c>
    </row>
    <row r="27" spans="1:3" ht="30" customHeight="1" x14ac:dyDescent="0.2">
      <c r="A27" s="21">
        <v>1</v>
      </c>
      <c r="B27" s="144" t="s">
        <v>21</v>
      </c>
      <c r="C27" s="144"/>
    </row>
    <row r="28" spans="1:3" x14ac:dyDescent="0.2">
      <c r="A28" s="21" t="s">
        <v>9</v>
      </c>
      <c r="B28" s="32" t="s">
        <v>229</v>
      </c>
      <c r="C28" s="33">
        <f>[8]С1.1!E16</f>
        <v>5100</v>
      </c>
    </row>
    <row r="29" spans="1:3" ht="42.75" x14ac:dyDescent="0.2">
      <c r="A29" s="21" t="s">
        <v>11</v>
      </c>
      <c r="B29" s="32" t="s">
        <v>230</v>
      </c>
      <c r="C29" s="33">
        <f>[8]С1.1!E27</f>
        <v>3097.0035607289806</v>
      </c>
    </row>
    <row r="30" spans="1:3" ht="17.25" x14ac:dyDescent="0.2">
      <c r="A30" s="21" t="s">
        <v>13</v>
      </c>
      <c r="B30" s="32" t="s">
        <v>30</v>
      </c>
      <c r="C30" s="35">
        <f>[8]С1.1!E19</f>
        <v>0.59499999999999997</v>
      </c>
    </row>
    <row r="31" spans="1:3" ht="17.25" x14ac:dyDescent="0.2">
      <c r="A31" s="21" t="s">
        <v>15</v>
      </c>
      <c r="B31" s="32" t="s">
        <v>31</v>
      </c>
      <c r="C31" s="35">
        <f>[8]С1.1!E20</f>
        <v>-0.113</v>
      </c>
    </row>
    <row r="32" spans="1:3" ht="30" x14ac:dyDescent="0.2">
      <c r="A32" s="21" t="s">
        <v>17</v>
      </c>
      <c r="B32" s="36" t="s">
        <v>231</v>
      </c>
      <c r="C32" s="119">
        <f>[8]С1!F13</f>
        <v>176.4</v>
      </c>
    </row>
    <row r="33" spans="1:3" x14ac:dyDescent="0.2">
      <c r="A33" s="21" t="s">
        <v>19</v>
      </c>
      <c r="B33" s="36" t="s">
        <v>33</v>
      </c>
      <c r="C33" s="38">
        <f>[8]С1!F16</f>
        <v>7000</v>
      </c>
    </row>
    <row r="34" spans="1:3" ht="14.25" x14ac:dyDescent="0.2">
      <c r="A34" s="21" t="s">
        <v>34</v>
      </c>
      <c r="B34" s="40" t="s">
        <v>232</v>
      </c>
      <c r="C34" s="41">
        <f>[8]С1!F17</f>
        <v>0.72857142857142854</v>
      </c>
    </row>
    <row r="35" spans="1:3" ht="15.75" x14ac:dyDescent="0.2">
      <c r="A35" s="120" t="s">
        <v>36</v>
      </c>
      <c r="B35" s="43" t="s">
        <v>37</v>
      </c>
      <c r="C35" s="41">
        <f>[8]С1!F20</f>
        <v>21.588411179999994</v>
      </c>
    </row>
    <row r="36" spans="1:3" ht="15.75" x14ac:dyDescent="0.2">
      <c r="A36" s="120" t="s">
        <v>38</v>
      </c>
      <c r="B36" s="44" t="s">
        <v>39</v>
      </c>
      <c r="C36" s="41">
        <f>[8]С1!F21</f>
        <v>20.818139999999996</v>
      </c>
    </row>
    <row r="37" spans="1:3" ht="14.25" x14ac:dyDescent="0.2">
      <c r="A37" s="120" t="s">
        <v>40</v>
      </c>
      <c r="B37" s="45" t="s">
        <v>41</v>
      </c>
      <c r="C37" s="41">
        <f>[8]С1!F22</f>
        <v>1.0369999999999999</v>
      </c>
    </row>
    <row r="38" spans="1:3" ht="53.25" thickBot="1" x14ac:dyDescent="0.25">
      <c r="A38" s="26" t="s">
        <v>42</v>
      </c>
      <c r="B38" s="46" t="s">
        <v>43</v>
      </c>
      <c r="C38" s="47">
        <f>[8]С1!F23</f>
        <v>1.0469999999999999</v>
      </c>
    </row>
    <row r="39" spans="1:3" ht="13.5" thickBot="1" x14ac:dyDescent="0.25">
      <c r="A39" s="48"/>
      <c r="B39" s="121"/>
      <c r="C39" s="122"/>
    </row>
    <row r="40" spans="1:3" ht="30" customHeight="1" x14ac:dyDescent="0.2">
      <c r="A40" s="50" t="s">
        <v>44</v>
      </c>
      <c r="B40" s="146" t="s">
        <v>45</v>
      </c>
      <c r="C40" s="146"/>
    </row>
    <row r="41" spans="1:3" ht="25.5" x14ac:dyDescent="0.2">
      <c r="A41" s="21" t="s">
        <v>46</v>
      </c>
      <c r="B41" s="36" t="s">
        <v>47</v>
      </c>
      <c r="C41" s="51" t="str">
        <f>[8]С2.1!E12</f>
        <v>V</v>
      </c>
    </row>
    <row r="42" spans="1:3" ht="25.5" x14ac:dyDescent="0.2">
      <c r="A42" s="21" t="s">
        <v>48</v>
      </c>
      <c r="B42" s="32" t="s">
        <v>49</v>
      </c>
      <c r="C42" s="51" t="str">
        <f>[8]С2.1!E13</f>
        <v>6 и менее баллов</v>
      </c>
    </row>
    <row r="43" spans="1:3" ht="25.5" x14ac:dyDescent="0.2">
      <c r="A43" s="21" t="s">
        <v>50</v>
      </c>
      <c r="B43" s="32" t="s">
        <v>233</v>
      </c>
      <c r="C43" s="51" t="str">
        <f>[8]С2.1!E14</f>
        <v>от 200 до 500</v>
      </c>
    </row>
    <row r="44" spans="1:3" ht="25.5" x14ac:dyDescent="0.2">
      <c r="A44" s="21" t="s">
        <v>52</v>
      </c>
      <c r="B44" s="32" t="s">
        <v>234</v>
      </c>
      <c r="C44" s="52" t="str">
        <f>[8]С2.1!E15</f>
        <v>нет</v>
      </c>
    </row>
    <row r="45" spans="1:3" ht="30" x14ac:dyDescent="0.2">
      <c r="A45" s="21" t="s">
        <v>54</v>
      </c>
      <c r="B45" s="32" t="s">
        <v>55</v>
      </c>
      <c r="C45" s="33">
        <f>[8]С2!F18</f>
        <v>32402.627334033532</v>
      </c>
    </row>
    <row r="46" spans="1:3" ht="30" x14ac:dyDescent="0.2">
      <c r="A46" s="21" t="s">
        <v>56</v>
      </c>
      <c r="B46" s="53" t="s">
        <v>57</v>
      </c>
      <c r="C46" s="33">
        <f>IF([8]С2!F19&gt;0,[8]С2!F19,[8]С2!F20)</f>
        <v>23441.524932855718</v>
      </c>
    </row>
    <row r="47" spans="1:3" ht="25.5" x14ac:dyDescent="0.2">
      <c r="A47" s="21" t="s">
        <v>58</v>
      </c>
      <c r="B47" s="54" t="s">
        <v>59</v>
      </c>
      <c r="C47" s="33">
        <f>[8]С2.1!E19</f>
        <v>-37</v>
      </c>
    </row>
    <row r="48" spans="1:3" ht="25.5" x14ac:dyDescent="0.2">
      <c r="A48" s="21" t="s">
        <v>60</v>
      </c>
      <c r="B48" s="54" t="s">
        <v>61</v>
      </c>
      <c r="C48" s="33" t="str">
        <f>[8]С2.1!E22</f>
        <v>нет</v>
      </c>
    </row>
    <row r="49" spans="1:3" ht="38.25" x14ac:dyDescent="0.2">
      <c r="A49" s="21" t="s">
        <v>62</v>
      </c>
      <c r="B49" s="55" t="s">
        <v>63</v>
      </c>
      <c r="C49" s="33">
        <f>[8]С2.2!E10</f>
        <v>1287</v>
      </c>
    </row>
    <row r="50" spans="1:3" ht="25.5" x14ac:dyDescent="0.2">
      <c r="A50" s="21" t="s">
        <v>64</v>
      </c>
      <c r="B50" s="56" t="s">
        <v>65</v>
      </c>
      <c r="C50" s="33">
        <f>[8]С2.2!E12</f>
        <v>5.97</v>
      </c>
    </row>
    <row r="51" spans="1:3" ht="52.5" x14ac:dyDescent="0.2">
      <c r="A51" s="21" t="s">
        <v>66</v>
      </c>
      <c r="B51" s="57" t="s">
        <v>67</v>
      </c>
      <c r="C51" s="33">
        <f>[8]С2.2!E13</f>
        <v>1</v>
      </c>
    </row>
    <row r="52" spans="1:3" ht="27.75" x14ac:dyDescent="0.2">
      <c r="A52" s="21" t="s">
        <v>68</v>
      </c>
      <c r="B52" s="56" t="s">
        <v>69</v>
      </c>
      <c r="C52" s="33">
        <f>[8]С2.2!E14</f>
        <v>12104</v>
      </c>
    </row>
    <row r="53" spans="1:3" ht="25.5" x14ac:dyDescent="0.2">
      <c r="A53" s="21" t="s">
        <v>70</v>
      </c>
      <c r="B53" s="57" t="s">
        <v>71</v>
      </c>
      <c r="C53" s="35">
        <f>[8]С2.2!E15</f>
        <v>4.8000000000000001E-2</v>
      </c>
    </row>
    <row r="54" spans="1:3" x14ac:dyDescent="0.2">
      <c r="A54" s="21" t="s">
        <v>72</v>
      </c>
      <c r="B54" s="57" t="s">
        <v>73</v>
      </c>
      <c r="C54" s="33">
        <f>[8]С2.2!E16</f>
        <v>1</v>
      </c>
    </row>
    <row r="55" spans="1:3" ht="15.75" x14ac:dyDescent="0.2">
      <c r="A55" s="21" t="s">
        <v>74</v>
      </c>
      <c r="B55" s="59" t="s">
        <v>75</v>
      </c>
      <c r="C55" s="33">
        <f>[8]С2!F21</f>
        <v>1</v>
      </c>
    </row>
    <row r="56" spans="1:3" ht="30" x14ac:dyDescent="0.2">
      <c r="A56" s="60" t="s">
        <v>76</v>
      </c>
      <c r="B56" s="32" t="s">
        <v>235</v>
      </c>
      <c r="C56" s="33">
        <f>[8]С2!F13</f>
        <v>169640.22915965237</v>
      </c>
    </row>
    <row r="57" spans="1:3" ht="30" x14ac:dyDescent="0.2">
      <c r="A57" s="60" t="s">
        <v>78</v>
      </c>
      <c r="B57" s="59" t="s">
        <v>236</v>
      </c>
      <c r="C57" s="33">
        <f>[8]С2!F14</f>
        <v>113455</v>
      </c>
    </row>
    <row r="58" spans="1:3" ht="15.75" x14ac:dyDescent="0.2">
      <c r="A58" s="60" t="s">
        <v>80</v>
      </c>
      <c r="B58" s="61" t="s">
        <v>81</v>
      </c>
      <c r="C58" s="41">
        <f>[8]С2!F15</f>
        <v>1.071</v>
      </c>
    </row>
    <row r="59" spans="1:3" ht="15.75" x14ac:dyDescent="0.2">
      <c r="A59" s="60" t="s">
        <v>82</v>
      </c>
      <c r="B59" s="61" t="s">
        <v>83</v>
      </c>
      <c r="C59" s="41">
        <f>[8]С2!F16</f>
        <v>1</v>
      </c>
    </row>
    <row r="60" spans="1:3" ht="17.25" x14ac:dyDescent="0.2">
      <c r="A60" s="60" t="s">
        <v>84</v>
      </c>
      <c r="B60" s="59" t="s">
        <v>85</v>
      </c>
      <c r="C60" s="33">
        <f>[8]С2!F17</f>
        <v>1.01</v>
      </c>
    </row>
    <row r="61" spans="1:3" s="66" customFormat="1" ht="14.25" x14ac:dyDescent="0.2">
      <c r="A61" s="60" t="s">
        <v>86</v>
      </c>
      <c r="B61" s="64" t="s">
        <v>87</v>
      </c>
      <c r="C61" s="65">
        <f>[8]С2!F33</f>
        <v>10</v>
      </c>
    </row>
    <row r="62" spans="1:3" ht="30" x14ac:dyDescent="0.2">
      <c r="A62" s="60" t="s">
        <v>88</v>
      </c>
      <c r="B62" s="67" t="s">
        <v>89</v>
      </c>
      <c r="C62" s="33">
        <f>[8]С2!F26</f>
        <v>1168.8344047018327</v>
      </c>
    </row>
    <row r="63" spans="1:3" ht="17.25" x14ac:dyDescent="0.2">
      <c r="A63" s="60" t="s">
        <v>90</v>
      </c>
      <c r="B63" s="53" t="s">
        <v>237</v>
      </c>
      <c r="C63" s="33">
        <f>[8]С2!F27</f>
        <v>0.201330388</v>
      </c>
    </row>
    <row r="64" spans="1:3" ht="17.25" x14ac:dyDescent="0.2">
      <c r="A64" s="60" t="s">
        <v>92</v>
      </c>
      <c r="B64" s="59" t="s">
        <v>238</v>
      </c>
      <c r="C64" s="65">
        <f>[8]С2!F28</f>
        <v>4200</v>
      </c>
    </row>
    <row r="65" spans="1:3" ht="42.75" x14ac:dyDescent="0.2">
      <c r="A65" s="60" t="s">
        <v>94</v>
      </c>
      <c r="B65" s="32" t="s">
        <v>239</v>
      </c>
      <c r="C65" s="33">
        <f>[8]С2!F22</f>
        <v>35717.748653137714</v>
      </c>
    </row>
    <row r="66" spans="1:3" ht="30" x14ac:dyDescent="0.2">
      <c r="A66" s="60" t="s">
        <v>96</v>
      </c>
      <c r="B66" s="61" t="s">
        <v>240</v>
      </c>
      <c r="C66" s="33">
        <f>[8]С2!F23</f>
        <v>1990</v>
      </c>
    </row>
    <row r="67" spans="1:3" ht="30" x14ac:dyDescent="0.2">
      <c r="A67" s="60" t="s">
        <v>98</v>
      </c>
      <c r="B67" s="53" t="s">
        <v>99</v>
      </c>
      <c r="C67" s="33">
        <f>[8]С2.1!E27</f>
        <v>14307.876789999998</v>
      </c>
    </row>
    <row r="68" spans="1:3" ht="38.25" x14ac:dyDescent="0.2">
      <c r="A68" s="60" t="s">
        <v>100</v>
      </c>
      <c r="B68" s="68" t="s">
        <v>101</v>
      </c>
      <c r="C68" s="52">
        <f>[8]С2.3!E21</f>
        <v>0</v>
      </c>
    </row>
    <row r="69" spans="1:3" ht="25.5" x14ac:dyDescent="0.2">
      <c r="A69" s="60" t="s">
        <v>102</v>
      </c>
      <c r="B69" s="69" t="s">
        <v>103</v>
      </c>
      <c r="C69" s="70">
        <f>[8]С2.3!E11</f>
        <v>9.89</v>
      </c>
    </row>
    <row r="70" spans="1:3" ht="25.5" x14ac:dyDescent="0.2">
      <c r="A70" s="60" t="s">
        <v>104</v>
      </c>
      <c r="B70" s="69" t="s">
        <v>105</v>
      </c>
      <c r="C70" s="65">
        <f>[8]С2.3!E13</f>
        <v>300</v>
      </c>
    </row>
    <row r="71" spans="1:3" ht="25.5" x14ac:dyDescent="0.2">
      <c r="A71" s="60" t="s">
        <v>106</v>
      </c>
      <c r="B71" s="68" t="s">
        <v>107</v>
      </c>
      <c r="C71" s="71">
        <f>IF([8]С2.3!E22&gt;0,[8]С2.3!E22,[8]С2.3!E14)</f>
        <v>61211</v>
      </c>
    </row>
    <row r="72" spans="1:3" ht="38.25" x14ac:dyDescent="0.2">
      <c r="A72" s="60" t="s">
        <v>108</v>
      </c>
      <c r="B72" s="68" t="s">
        <v>109</v>
      </c>
      <c r="C72" s="71">
        <f>IF([8]С2.3!E23&gt;0,[8]С2.3!E23,[8]С2.3!E15)</f>
        <v>45675</v>
      </c>
    </row>
    <row r="73" spans="1:3" ht="30" x14ac:dyDescent="0.2">
      <c r="A73" s="60" t="s">
        <v>110</v>
      </c>
      <c r="B73" s="53" t="s">
        <v>111</v>
      </c>
      <c r="C73" s="33">
        <f>[8]С2.1!E28</f>
        <v>9541.9567200000001</v>
      </c>
    </row>
    <row r="74" spans="1:3" ht="38.25" x14ac:dyDescent="0.2">
      <c r="A74" s="60" t="s">
        <v>112</v>
      </c>
      <c r="B74" s="68" t="s">
        <v>113</v>
      </c>
      <c r="C74" s="52">
        <f>[8]С2.3!E25</f>
        <v>0</v>
      </c>
    </row>
    <row r="75" spans="1:3" ht="25.5" x14ac:dyDescent="0.2">
      <c r="A75" s="60" t="s">
        <v>114</v>
      </c>
      <c r="B75" s="69" t="s">
        <v>115</v>
      </c>
      <c r="C75" s="70">
        <f>[8]С2.3!E12</f>
        <v>0.56000000000000005</v>
      </c>
    </row>
    <row r="76" spans="1:3" ht="25.5" x14ac:dyDescent="0.2">
      <c r="A76" s="60" t="s">
        <v>116</v>
      </c>
      <c r="B76" s="69" t="s">
        <v>105</v>
      </c>
      <c r="C76" s="65">
        <f>[8]С2.3!E13</f>
        <v>300</v>
      </c>
    </row>
    <row r="77" spans="1:3" ht="25.5" x14ac:dyDescent="0.2">
      <c r="A77" s="60" t="s">
        <v>117</v>
      </c>
      <c r="B77" s="72" t="s">
        <v>118</v>
      </c>
      <c r="C77" s="71">
        <f>IF([8]С2.3!E26&gt;0,[8]С2.3!E26,[8]С2.3!E16)</f>
        <v>65637</v>
      </c>
    </row>
    <row r="78" spans="1:3" ht="38.25" x14ac:dyDescent="0.2">
      <c r="A78" s="60" t="s">
        <v>119</v>
      </c>
      <c r="B78" s="72" t="s">
        <v>120</v>
      </c>
      <c r="C78" s="71">
        <f>IF([8]С2.3!E27&gt;0,[8]С2.3!E27,[8]С2.3!E17)</f>
        <v>31684</v>
      </c>
    </row>
    <row r="79" spans="1:3" ht="17.25" x14ac:dyDescent="0.2">
      <c r="A79" s="60" t="s">
        <v>123</v>
      </c>
      <c r="B79" s="32" t="s">
        <v>124</v>
      </c>
      <c r="C79" s="35">
        <f>[8]С2!F29</f>
        <v>0.128978033685065</v>
      </c>
    </row>
    <row r="80" spans="1:3" ht="30" x14ac:dyDescent="0.2">
      <c r="A80" s="60" t="s">
        <v>125</v>
      </c>
      <c r="B80" s="53" t="s">
        <v>126</v>
      </c>
      <c r="C80" s="73">
        <f>[8]С2!F30</f>
        <v>0.11668498168498169</v>
      </c>
    </row>
    <row r="81" spans="1:3" ht="17.25" x14ac:dyDescent="0.2">
      <c r="A81" s="60" t="s">
        <v>127</v>
      </c>
      <c r="B81" s="74" t="s">
        <v>128</v>
      </c>
      <c r="C81" s="35">
        <f>[8]С2!F31</f>
        <v>0.13880000000000001</v>
      </c>
    </row>
    <row r="82" spans="1:3" s="66" customFormat="1" ht="18" thickBot="1" x14ac:dyDescent="0.25">
      <c r="A82" s="75" t="s">
        <v>129</v>
      </c>
      <c r="B82" s="76" t="s">
        <v>130</v>
      </c>
      <c r="C82" s="77">
        <f>[8]С2!F32</f>
        <v>0.12640000000000001</v>
      </c>
    </row>
    <row r="83" spans="1:3" ht="13.5" thickBot="1" x14ac:dyDescent="0.25">
      <c r="A83" s="48"/>
      <c r="B83" s="49"/>
      <c r="C83" s="14"/>
    </row>
    <row r="84" spans="1:3" s="66" customFormat="1" ht="30" customHeight="1" x14ac:dyDescent="0.2">
      <c r="A84" s="78" t="s">
        <v>131</v>
      </c>
      <c r="B84" s="146" t="s">
        <v>132</v>
      </c>
      <c r="C84" s="146"/>
    </row>
    <row r="85" spans="1:3" s="66" customFormat="1" ht="30" x14ac:dyDescent="0.2">
      <c r="A85" s="79" t="s">
        <v>133</v>
      </c>
      <c r="B85" s="32" t="s">
        <v>134</v>
      </c>
      <c r="C85" s="33">
        <f>[8]С3!F14</f>
        <v>7000.4488806189811</v>
      </c>
    </row>
    <row r="86" spans="1:3" s="66" customFormat="1" ht="42.75" x14ac:dyDescent="0.2">
      <c r="A86" s="79" t="s">
        <v>135</v>
      </c>
      <c r="B86" s="53" t="s">
        <v>136</v>
      </c>
      <c r="C86" s="80">
        <f>[8]С3!F15</f>
        <v>0.2</v>
      </c>
    </row>
    <row r="87" spans="1:3" s="66" customFormat="1" ht="14.25" x14ac:dyDescent="0.2">
      <c r="A87" s="79" t="s">
        <v>137</v>
      </c>
      <c r="B87" s="81" t="s">
        <v>138</v>
      </c>
      <c r="C87" s="65">
        <f>[8]С3!F18</f>
        <v>15</v>
      </c>
    </row>
    <row r="88" spans="1:3" s="66" customFormat="1" ht="17.25" x14ac:dyDescent="0.2">
      <c r="A88" s="79" t="s">
        <v>139</v>
      </c>
      <c r="B88" s="32" t="s">
        <v>140</v>
      </c>
      <c r="C88" s="33">
        <f>[8]С3!F19</f>
        <v>3487.1555421534131</v>
      </c>
    </row>
    <row r="89" spans="1:3" s="66" customFormat="1" ht="55.5" x14ac:dyDescent="0.2">
      <c r="A89" s="79" t="s">
        <v>141</v>
      </c>
      <c r="B89" s="53" t="s">
        <v>142</v>
      </c>
      <c r="C89" s="82">
        <f>[8]С3!F20</f>
        <v>2.1999999999999999E-2</v>
      </c>
    </row>
    <row r="90" spans="1:3" s="66" customFormat="1" ht="14.25" x14ac:dyDescent="0.2">
      <c r="A90" s="79" t="s">
        <v>143</v>
      </c>
      <c r="B90" s="59" t="s">
        <v>87</v>
      </c>
      <c r="C90" s="65">
        <f>[8]С3!F21</f>
        <v>10</v>
      </c>
    </row>
    <row r="91" spans="1:3" s="66" customFormat="1" ht="17.25" x14ac:dyDescent="0.2">
      <c r="A91" s="79" t="s">
        <v>144</v>
      </c>
      <c r="B91" s="32" t="s">
        <v>145</v>
      </c>
      <c r="C91" s="33">
        <f>[8]С3!F22</f>
        <v>3.5065032141054981</v>
      </c>
    </row>
    <row r="92" spans="1:3" s="66" customFormat="1" ht="55.5" x14ac:dyDescent="0.2">
      <c r="A92" s="79" t="s">
        <v>146</v>
      </c>
      <c r="B92" s="53" t="s">
        <v>147</v>
      </c>
      <c r="C92" s="82">
        <f>[8]С3!F23</f>
        <v>3.0000000000000001E-3</v>
      </c>
    </row>
    <row r="93" spans="1:3" s="66" customFormat="1" ht="27.75" thickBot="1" x14ac:dyDescent="0.25">
      <c r="A93" s="83" t="s">
        <v>148</v>
      </c>
      <c r="B93" s="84" t="s">
        <v>241</v>
      </c>
      <c r="C93" s="85">
        <f>[8]С3!F24</f>
        <v>1168.8344047018327</v>
      </c>
    </row>
    <row r="94" spans="1:3" ht="13.5" thickBot="1" x14ac:dyDescent="0.25">
      <c r="A94" s="48"/>
      <c r="B94" s="49"/>
      <c r="C94" s="14"/>
    </row>
    <row r="95" spans="1:3" ht="30" customHeight="1" x14ac:dyDescent="0.2">
      <c r="A95" s="86" t="s">
        <v>149</v>
      </c>
      <c r="B95" s="146" t="s">
        <v>150</v>
      </c>
      <c r="C95" s="146"/>
    </row>
    <row r="96" spans="1:3" ht="30" x14ac:dyDescent="0.2">
      <c r="A96" s="60" t="s">
        <v>151</v>
      </c>
      <c r="B96" s="32" t="s">
        <v>242</v>
      </c>
      <c r="C96" s="33">
        <f>[8]С4!F16</f>
        <v>1652.5</v>
      </c>
    </row>
    <row r="97" spans="1:3" ht="30" x14ac:dyDescent="0.2">
      <c r="A97" s="60" t="s">
        <v>153</v>
      </c>
      <c r="B97" s="59" t="s">
        <v>243</v>
      </c>
      <c r="C97" s="33">
        <f>[8]С4!F17</f>
        <v>73547</v>
      </c>
    </row>
    <row r="98" spans="1:3" ht="33" x14ac:dyDescent="0.2">
      <c r="A98" s="60" t="s">
        <v>155</v>
      </c>
      <c r="B98" s="59" t="s">
        <v>156</v>
      </c>
      <c r="C98" s="41">
        <f>[8]С4!F18</f>
        <v>0.02</v>
      </c>
    </row>
    <row r="99" spans="1:3" ht="30" x14ac:dyDescent="0.2">
      <c r="A99" s="60" t="s">
        <v>157</v>
      </c>
      <c r="B99" s="59" t="s">
        <v>158</v>
      </c>
      <c r="C99" s="33">
        <f>[8]С4!F19</f>
        <v>12104</v>
      </c>
    </row>
    <row r="100" spans="1:3" ht="28.5" x14ac:dyDescent="0.2">
      <c r="A100" s="60" t="s">
        <v>159</v>
      </c>
      <c r="B100" s="59" t="s">
        <v>160</v>
      </c>
      <c r="C100" s="41">
        <f>[8]С4!F20</f>
        <v>1.4999999999999999E-2</v>
      </c>
    </row>
    <row r="101" spans="1:3" ht="30" x14ac:dyDescent="0.2">
      <c r="A101" s="60" t="s">
        <v>161</v>
      </c>
      <c r="B101" s="32" t="s">
        <v>244</v>
      </c>
      <c r="C101" s="33">
        <f>[8]С4!F21</f>
        <v>1933.1949342509995</v>
      </c>
    </row>
    <row r="102" spans="1:3" ht="24" customHeight="1" x14ac:dyDescent="0.2">
      <c r="A102" s="60" t="s">
        <v>163</v>
      </c>
      <c r="B102" s="53" t="s">
        <v>164</v>
      </c>
      <c r="C102" s="34">
        <f>IF([8]С4.2!F8="да",[8]С4.2!D21,[8]С4.2!D15)</f>
        <v>0</v>
      </c>
    </row>
    <row r="103" spans="1:3" ht="68.25" x14ac:dyDescent="0.2">
      <c r="A103" s="60" t="s">
        <v>165</v>
      </c>
      <c r="B103" s="53" t="s">
        <v>166</v>
      </c>
      <c r="C103" s="33">
        <f>[8]С4!F22</f>
        <v>3.6112641666666665</v>
      </c>
    </row>
    <row r="104" spans="1:3" ht="30" x14ac:dyDescent="0.2">
      <c r="A104" s="60" t="s">
        <v>167</v>
      </c>
      <c r="B104" s="59" t="s">
        <v>245</v>
      </c>
      <c r="C104" s="33">
        <f>[8]С4!F23</f>
        <v>180</v>
      </c>
    </row>
    <row r="105" spans="1:3" ht="14.25" x14ac:dyDescent="0.2">
      <c r="A105" s="60" t="s">
        <v>169</v>
      </c>
      <c r="B105" s="53" t="s">
        <v>170</v>
      </c>
      <c r="C105" s="33">
        <f>[8]С4!F24</f>
        <v>8497.1999999999989</v>
      </c>
    </row>
    <row r="106" spans="1:3" ht="14.25" x14ac:dyDescent="0.2">
      <c r="A106" s="60" t="s">
        <v>171</v>
      </c>
      <c r="B106" s="59" t="s">
        <v>172</v>
      </c>
      <c r="C106" s="41">
        <f>[8]С4!F25</f>
        <v>0.35</v>
      </c>
    </row>
    <row r="107" spans="1:3" ht="17.25" x14ac:dyDescent="0.2">
      <c r="A107" s="60" t="s">
        <v>173</v>
      </c>
      <c r="B107" s="32" t="s">
        <v>174</v>
      </c>
      <c r="C107" s="33">
        <f>[8]С4!F26</f>
        <v>89.7941</v>
      </c>
    </row>
    <row r="108" spans="1:3" ht="25.5" x14ac:dyDescent="0.2">
      <c r="A108" s="60" t="s">
        <v>175</v>
      </c>
      <c r="B108" s="53" t="s">
        <v>101</v>
      </c>
      <c r="C108" s="34">
        <f>[8]С4.3!E16</f>
        <v>0</v>
      </c>
    </row>
    <row r="109" spans="1:3" ht="25.5" x14ac:dyDescent="0.2">
      <c r="A109" s="60" t="s">
        <v>176</v>
      </c>
      <c r="B109" s="53" t="s">
        <v>177</v>
      </c>
      <c r="C109" s="33">
        <f>[8]С4.3!E17</f>
        <v>24.5</v>
      </c>
    </row>
    <row r="110" spans="1:3" ht="38.25" x14ac:dyDescent="0.2">
      <c r="A110" s="60" t="s">
        <v>178</v>
      </c>
      <c r="B110" s="53" t="s">
        <v>113</v>
      </c>
      <c r="C110" s="34">
        <f>[8]С4.3!E18</f>
        <v>0</v>
      </c>
    </row>
    <row r="111" spans="1:3" x14ac:dyDescent="0.2">
      <c r="A111" s="60" t="s">
        <v>179</v>
      </c>
      <c r="B111" s="53" t="s">
        <v>180</v>
      </c>
      <c r="C111" s="33">
        <f>[8]С4.3!E19</f>
        <v>18.983333333333334</v>
      </c>
    </row>
    <row r="112" spans="1:3" x14ac:dyDescent="0.2">
      <c r="A112" s="60" t="s">
        <v>181</v>
      </c>
      <c r="B112" s="59" t="s">
        <v>182</v>
      </c>
      <c r="C112" s="33">
        <f>[8]С4.3!E11</f>
        <v>1871</v>
      </c>
    </row>
    <row r="113" spans="1:3" x14ac:dyDescent="0.2">
      <c r="A113" s="60" t="s">
        <v>183</v>
      </c>
      <c r="B113" s="59" t="s">
        <v>184</v>
      </c>
      <c r="C113" s="52">
        <f>[8]С4.3!E12</f>
        <v>1636</v>
      </c>
    </row>
    <row r="114" spans="1:3" x14ac:dyDescent="0.2">
      <c r="A114" s="60" t="s">
        <v>185</v>
      </c>
      <c r="B114" s="59" t="s">
        <v>186</v>
      </c>
      <c r="C114" s="52">
        <f>[8]С4.3!E13</f>
        <v>204</v>
      </c>
    </row>
    <row r="115" spans="1:3" ht="30" x14ac:dyDescent="0.2">
      <c r="A115" s="60" t="s">
        <v>187</v>
      </c>
      <c r="B115" s="32" t="s">
        <v>246</v>
      </c>
      <c r="C115" s="33">
        <f>[8]С4!F27</f>
        <v>1351.1912129385403</v>
      </c>
    </row>
    <row r="116" spans="1:3" ht="25.5" x14ac:dyDescent="0.2">
      <c r="A116" s="60" t="s">
        <v>189</v>
      </c>
      <c r="B116" s="53" t="s">
        <v>247</v>
      </c>
      <c r="C116" s="33">
        <f>[8]С4!F28</f>
        <v>1037.7812695380494</v>
      </c>
    </row>
    <row r="117" spans="1:3" ht="42.75" x14ac:dyDescent="0.2">
      <c r="A117" s="60" t="s">
        <v>191</v>
      </c>
      <c r="B117" s="53" t="s">
        <v>192</v>
      </c>
      <c r="C117" s="33">
        <f>[8]С4!F29</f>
        <v>313.40994340049093</v>
      </c>
    </row>
    <row r="118" spans="1:3" ht="30" x14ac:dyDescent="0.2">
      <c r="A118" s="60" t="s">
        <v>193</v>
      </c>
      <c r="B118" s="40" t="s">
        <v>194</v>
      </c>
      <c r="C118" s="33">
        <f>[8]С4!F30</f>
        <v>2433.8850813953513</v>
      </c>
    </row>
    <row r="119" spans="1:3" ht="42.75" x14ac:dyDescent="0.2">
      <c r="A119" s="60" t="s">
        <v>248</v>
      </c>
      <c r="B119" s="90" t="s">
        <v>249</v>
      </c>
      <c r="C119" s="33">
        <f>[8]С4!F33</f>
        <v>1695.5272077185077</v>
      </c>
    </row>
    <row r="120" spans="1:3" ht="30" x14ac:dyDescent="0.2">
      <c r="A120" s="60" t="s">
        <v>250</v>
      </c>
      <c r="B120" s="123" t="s">
        <v>251</v>
      </c>
      <c r="C120" s="33">
        <f>[8]С4!F35</f>
        <v>17.040680999999999</v>
      </c>
    </row>
    <row r="121" spans="1:3" ht="14.25" x14ac:dyDescent="0.2">
      <c r="A121" s="60" t="s">
        <v>252</v>
      </c>
      <c r="B121" s="56" t="s">
        <v>253</v>
      </c>
      <c r="C121" s="33">
        <f>[8]С4!F36</f>
        <v>14319.9</v>
      </c>
    </row>
    <row r="122" spans="1:3" ht="28.5" thickBot="1" x14ac:dyDescent="0.25">
      <c r="A122" s="75" t="s">
        <v>254</v>
      </c>
      <c r="B122" s="124" t="s">
        <v>255</v>
      </c>
      <c r="C122" s="85">
        <f>[8]С4!F37</f>
        <v>1.19</v>
      </c>
    </row>
    <row r="123" spans="1:3" s="88" customFormat="1" ht="13.5" thickBot="1" x14ac:dyDescent="0.25">
      <c r="A123" s="48"/>
      <c r="B123" s="49"/>
      <c r="C123" s="14"/>
    </row>
    <row r="124" spans="1:3" s="66" customFormat="1" ht="30" customHeight="1" x14ac:dyDescent="0.2">
      <c r="A124" s="78" t="s">
        <v>195</v>
      </c>
      <c r="B124" s="146" t="s">
        <v>196</v>
      </c>
      <c r="C124" s="146"/>
    </row>
    <row r="125" spans="1:3" ht="16.5" thickBot="1" x14ac:dyDescent="0.25">
      <c r="A125" s="26" t="s">
        <v>197</v>
      </c>
      <c r="B125" s="87" t="s">
        <v>198</v>
      </c>
      <c r="C125" s="85">
        <f>[8]С5!F17</f>
        <v>0.02</v>
      </c>
    </row>
    <row r="126" spans="1:3" s="88" customFormat="1" ht="13.5" thickBot="1" x14ac:dyDescent="0.25">
      <c r="A126" s="48"/>
      <c r="B126" s="49"/>
      <c r="C126" s="14"/>
    </row>
    <row r="127" spans="1:3" ht="42.75" customHeight="1" x14ac:dyDescent="0.2">
      <c r="A127" s="86" t="s">
        <v>199</v>
      </c>
      <c r="B127" s="148" t="s">
        <v>200</v>
      </c>
      <c r="C127" s="148"/>
    </row>
    <row r="128" spans="1:3" ht="68.25" x14ac:dyDescent="0.2">
      <c r="A128" s="60" t="s">
        <v>201</v>
      </c>
      <c r="B128" s="89" t="s">
        <v>202</v>
      </c>
      <c r="C128" s="33" t="s">
        <v>256</v>
      </c>
    </row>
    <row r="129" spans="1:4" ht="42.75" hidden="1" x14ac:dyDescent="0.2">
      <c r="A129" s="60" t="s">
        <v>203</v>
      </c>
      <c r="B129" s="90" t="s">
        <v>204</v>
      </c>
      <c r="C129" s="91"/>
    </row>
    <row r="130" spans="1:4" ht="69" thickBot="1" x14ac:dyDescent="0.25">
      <c r="A130" s="75" t="s">
        <v>205</v>
      </c>
      <c r="B130" s="125" t="s">
        <v>206</v>
      </c>
      <c r="C130" s="126" t="s">
        <v>256</v>
      </c>
    </row>
    <row r="131" spans="1:4" ht="62.25" hidden="1" customHeight="1" x14ac:dyDescent="0.2">
      <c r="A131" s="127" t="s">
        <v>207</v>
      </c>
      <c r="B131" s="128" t="s">
        <v>208</v>
      </c>
      <c r="C131" s="129"/>
    </row>
    <row r="132" spans="1:4" ht="68.25" hidden="1" x14ac:dyDescent="0.2">
      <c r="A132" s="60" t="s">
        <v>209</v>
      </c>
      <c r="B132" s="90" t="s">
        <v>257</v>
      </c>
      <c r="C132" s="35"/>
    </row>
    <row r="133" spans="1:4" ht="69" hidden="1" thickBot="1" x14ac:dyDescent="0.25">
      <c r="A133" s="75" t="s">
        <v>211</v>
      </c>
      <c r="B133" s="93" t="s">
        <v>212</v>
      </c>
      <c r="C133" s="77"/>
    </row>
    <row r="134" spans="1:4" s="88" customFormat="1" ht="13.5" thickBot="1" x14ac:dyDescent="0.25">
      <c r="A134" s="48"/>
      <c r="B134" s="49"/>
      <c r="C134" s="14"/>
    </row>
    <row r="135" spans="1:4" ht="26.25" customHeight="1" x14ac:dyDescent="0.2">
      <c r="A135" s="86" t="s">
        <v>213</v>
      </c>
      <c r="B135" s="94" t="s">
        <v>214</v>
      </c>
      <c r="C135" s="95">
        <f>[8]С2!F37</f>
        <v>20.818139999999996</v>
      </c>
    </row>
    <row r="136" spans="1:4" ht="14.25" x14ac:dyDescent="0.2">
      <c r="A136" s="60" t="s">
        <v>215</v>
      </c>
      <c r="B136" s="130" t="s">
        <v>216</v>
      </c>
      <c r="C136" s="33">
        <f>[8]С2!F38</f>
        <v>7</v>
      </c>
    </row>
    <row r="137" spans="1:4" ht="17.25" x14ac:dyDescent="0.2">
      <c r="A137" s="60" t="s">
        <v>217</v>
      </c>
      <c r="B137" s="130" t="s">
        <v>218</v>
      </c>
      <c r="C137" s="33">
        <f>[8]С2!F40</f>
        <v>0.97</v>
      </c>
    </row>
    <row r="138" spans="1:4" ht="15" thickBot="1" x14ac:dyDescent="0.25">
      <c r="A138" s="75" t="s">
        <v>219</v>
      </c>
      <c r="B138" s="131" t="s">
        <v>220</v>
      </c>
      <c r="C138" s="47">
        <f>[8]С2!F42</f>
        <v>0.35</v>
      </c>
    </row>
    <row r="139" spans="1:4" s="88" customFormat="1" ht="13.5" thickBot="1" x14ac:dyDescent="0.25">
      <c r="A139" s="48"/>
      <c r="B139" s="49"/>
      <c r="C139" s="14"/>
    </row>
    <row r="140" spans="1:4" ht="30" x14ac:dyDescent="0.2">
      <c r="A140" s="86" t="s">
        <v>221</v>
      </c>
      <c r="B140" s="96" t="s">
        <v>258</v>
      </c>
      <c r="C140" s="132">
        <f>[8]С2!F35</f>
        <v>1.3822747209000001</v>
      </c>
      <c r="D140" s="88"/>
    </row>
    <row r="141" spans="1:4" ht="22.7" customHeight="1" thickBot="1" x14ac:dyDescent="0.25">
      <c r="A141" s="75" t="s">
        <v>223</v>
      </c>
      <c r="B141" s="145" t="s">
        <v>224</v>
      </c>
      <c r="C141" s="145"/>
      <c r="D141" s="88"/>
    </row>
    <row r="142" spans="1:4" ht="13.5" thickBot="1" x14ac:dyDescent="0.25">
      <c r="A142" s="99"/>
      <c r="B142" s="133" t="s">
        <v>0</v>
      </c>
      <c r="C142" s="134"/>
      <c r="D142" s="88"/>
    </row>
    <row r="143" spans="1:4" x14ac:dyDescent="0.2">
      <c r="A143" s="99"/>
      <c r="B143" s="135">
        <v>2020</v>
      </c>
      <c r="C143" s="136">
        <f>[8]С2.5!$E$11</f>
        <v>-2.9000000000000026E-2</v>
      </c>
      <c r="D143" s="88"/>
    </row>
    <row r="144" spans="1:4" x14ac:dyDescent="0.2">
      <c r="A144" s="99"/>
      <c r="B144" s="106">
        <f>B143+1</f>
        <v>2021</v>
      </c>
      <c r="C144" s="137">
        <f>[8]С2.5!$F$11</f>
        <v>0.245</v>
      </c>
      <c r="D144" s="88"/>
    </row>
    <row r="145" spans="1:4" x14ac:dyDescent="0.2">
      <c r="A145" s="99"/>
      <c r="B145" s="106">
        <f t="shared" ref="B145:B208" si="0">B144+1</f>
        <v>2022</v>
      </c>
      <c r="C145" s="137">
        <f>[8]С2.5!$G$11</f>
        <v>0.121</v>
      </c>
      <c r="D145" s="88"/>
    </row>
    <row r="146" spans="1:4" ht="13.5" thickBot="1" x14ac:dyDescent="0.25">
      <c r="A146" s="99"/>
      <c r="B146" s="108">
        <f t="shared" si="0"/>
        <v>2023</v>
      </c>
      <c r="C146" s="138">
        <f>[8]С2.5!$H$11</f>
        <v>0.02</v>
      </c>
      <c r="D146" s="88"/>
    </row>
    <row r="147" spans="1:4" hidden="1" x14ac:dyDescent="0.2">
      <c r="A147" s="99"/>
      <c r="B147" s="139">
        <f t="shared" si="0"/>
        <v>2024</v>
      </c>
      <c r="C147" s="140">
        <f>[8]С2.5!$I$11</f>
        <v>-2.93E-2</v>
      </c>
      <c r="D147" s="88"/>
    </row>
    <row r="148" spans="1:4" hidden="1" x14ac:dyDescent="0.2">
      <c r="A148" s="99"/>
      <c r="B148" s="106">
        <f t="shared" si="0"/>
        <v>2025</v>
      </c>
      <c r="C148" s="137">
        <f>[8]С2.5!$J$11</f>
        <v>0.21215960863291</v>
      </c>
      <c r="D148" s="88"/>
    </row>
    <row r="149" spans="1:4" hidden="1" x14ac:dyDescent="0.2">
      <c r="A149" s="99"/>
      <c r="B149" s="106">
        <f t="shared" si="0"/>
        <v>2026</v>
      </c>
      <c r="C149" s="137">
        <f>[8]С2.5!$K$11</f>
        <v>3.5813361771260002E-2</v>
      </c>
      <c r="D149" s="88"/>
    </row>
    <row r="150" spans="1:4" hidden="1" x14ac:dyDescent="0.2">
      <c r="A150" s="99"/>
      <c r="B150" s="106">
        <f t="shared" si="0"/>
        <v>2027</v>
      </c>
      <c r="C150" s="137">
        <f>[8]С2.5!$L$11</f>
        <v>3.2682303599220003E-2</v>
      </c>
      <c r="D150" s="88"/>
    </row>
    <row r="151" spans="1:4" hidden="1" x14ac:dyDescent="0.2">
      <c r="A151" s="99"/>
      <c r="B151" s="106">
        <f t="shared" si="0"/>
        <v>2028</v>
      </c>
      <c r="C151" s="137">
        <f>[8]С2.5!$M$11</f>
        <v>0</v>
      </c>
      <c r="D151" s="88"/>
    </row>
    <row r="152" spans="1:4" hidden="1" x14ac:dyDescent="0.2">
      <c r="A152" s="99"/>
      <c r="B152" s="106">
        <f t="shared" si="0"/>
        <v>2029</v>
      </c>
      <c r="C152" s="137">
        <f>[8]С2.5!$N$11</f>
        <v>0</v>
      </c>
      <c r="D152" s="88"/>
    </row>
    <row r="153" spans="1:4" hidden="1" x14ac:dyDescent="0.2">
      <c r="A153" s="99"/>
      <c r="B153" s="106">
        <f t="shared" si="0"/>
        <v>2030</v>
      </c>
      <c r="C153" s="137">
        <f>[8]С2.5!$O$11</f>
        <v>0</v>
      </c>
      <c r="D153" s="88"/>
    </row>
    <row r="154" spans="1:4" hidden="1" x14ac:dyDescent="0.2">
      <c r="A154" s="99"/>
      <c r="B154" s="106">
        <f t="shared" si="0"/>
        <v>2031</v>
      </c>
      <c r="C154" s="137">
        <f>[8]С2.5!$P$11</f>
        <v>0</v>
      </c>
      <c r="D154" s="88"/>
    </row>
    <row r="155" spans="1:4" hidden="1" x14ac:dyDescent="0.2">
      <c r="A155" s="88"/>
      <c r="B155" s="106">
        <f t="shared" si="0"/>
        <v>2032</v>
      </c>
      <c r="C155" s="137">
        <f>[8]С2.5!$Q$11</f>
        <v>0</v>
      </c>
      <c r="D155" s="88"/>
    </row>
    <row r="156" spans="1:4" hidden="1" x14ac:dyDescent="0.2">
      <c r="A156" s="88"/>
      <c r="B156" s="106">
        <f t="shared" si="0"/>
        <v>2033</v>
      </c>
      <c r="C156" s="137">
        <f>[8]С2.5!$R$11</f>
        <v>0</v>
      </c>
      <c r="D156" s="88"/>
    </row>
    <row r="157" spans="1:4" hidden="1" x14ac:dyDescent="0.2">
      <c r="B157" s="106">
        <f t="shared" si="0"/>
        <v>2034</v>
      </c>
      <c r="C157" s="137">
        <f>[8]С2.5!$S$11</f>
        <v>0</v>
      </c>
    </row>
    <row r="158" spans="1:4" hidden="1" x14ac:dyDescent="0.2">
      <c r="B158" s="106">
        <f t="shared" si="0"/>
        <v>2035</v>
      </c>
      <c r="C158" s="137">
        <f>[8]С2.5!$T$11</f>
        <v>0</v>
      </c>
    </row>
    <row r="159" spans="1:4" hidden="1" x14ac:dyDescent="0.2">
      <c r="B159" s="106">
        <f t="shared" si="0"/>
        <v>2036</v>
      </c>
      <c r="C159" s="137">
        <f>[8]С2.5!$U$11</f>
        <v>0</v>
      </c>
    </row>
    <row r="160" spans="1:4" hidden="1" x14ac:dyDescent="0.2">
      <c r="B160" s="106">
        <f t="shared" si="0"/>
        <v>2037</v>
      </c>
      <c r="C160" s="137">
        <f>[8]С2.5!$V$11</f>
        <v>0</v>
      </c>
    </row>
    <row r="161" spans="2:3" hidden="1" x14ac:dyDescent="0.2">
      <c r="B161" s="106">
        <f t="shared" si="0"/>
        <v>2038</v>
      </c>
      <c r="C161" s="137">
        <f>[8]С2.5!$W$11</f>
        <v>0</v>
      </c>
    </row>
    <row r="162" spans="2:3" hidden="1" x14ac:dyDescent="0.2">
      <c r="B162" s="106">
        <f t="shared" si="0"/>
        <v>2039</v>
      </c>
      <c r="C162" s="137">
        <f>[8]С2.5!$X$11</f>
        <v>0</v>
      </c>
    </row>
    <row r="163" spans="2:3" hidden="1" x14ac:dyDescent="0.2">
      <c r="B163" s="106">
        <f t="shared" si="0"/>
        <v>2040</v>
      </c>
      <c r="C163" s="137">
        <f>[8]С2.5!$Y$11</f>
        <v>0</v>
      </c>
    </row>
    <row r="164" spans="2:3" hidden="1" x14ac:dyDescent="0.2">
      <c r="B164" s="106">
        <f t="shared" si="0"/>
        <v>2041</v>
      </c>
      <c r="C164" s="137">
        <f>[8]С2.5!$Z$11</f>
        <v>0</v>
      </c>
    </row>
    <row r="165" spans="2:3" hidden="1" x14ac:dyDescent="0.2">
      <c r="B165" s="106">
        <f t="shared" si="0"/>
        <v>2042</v>
      </c>
      <c r="C165" s="137">
        <f>[8]С2.5!$AA$11</f>
        <v>0</v>
      </c>
    </row>
    <row r="166" spans="2:3" hidden="1" x14ac:dyDescent="0.2">
      <c r="B166" s="106">
        <f t="shared" si="0"/>
        <v>2043</v>
      </c>
      <c r="C166" s="137">
        <f>[8]С2.5!$AB$11</f>
        <v>0</v>
      </c>
    </row>
    <row r="167" spans="2:3" hidden="1" x14ac:dyDescent="0.2">
      <c r="B167" s="106">
        <f t="shared" si="0"/>
        <v>2044</v>
      </c>
      <c r="C167" s="137">
        <f>[8]С2.5!$AC$11</f>
        <v>0</v>
      </c>
    </row>
    <row r="168" spans="2:3" hidden="1" x14ac:dyDescent="0.2">
      <c r="B168" s="106">
        <f t="shared" si="0"/>
        <v>2045</v>
      </c>
      <c r="C168" s="137">
        <f>[8]С2.5!$AD$11</f>
        <v>0</v>
      </c>
    </row>
    <row r="169" spans="2:3" hidden="1" x14ac:dyDescent="0.2">
      <c r="B169" s="106">
        <f t="shared" si="0"/>
        <v>2046</v>
      </c>
      <c r="C169" s="137">
        <f>[8]С2.5!$AE$11</f>
        <v>0</v>
      </c>
    </row>
    <row r="170" spans="2:3" hidden="1" x14ac:dyDescent="0.2">
      <c r="B170" s="106">
        <f t="shared" si="0"/>
        <v>2047</v>
      </c>
      <c r="C170" s="137">
        <f>[8]С2.5!$AF$11</f>
        <v>0</v>
      </c>
    </row>
    <row r="171" spans="2:3" hidden="1" x14ac:dyDescent="0.2">
      <c r="B171" s="106">
        <f t="shared" si="0"/>
        <v>2048</v>
      </c>
      <c r="C171" s="137">
        <f>[8]С2.5!$AG$11</f>
        <v>0</v>
      </c>
    </row>
    <row r="172" spans="2:3" hidden="1" x14ac:dyDescent="0.2">
      <c r="B172" s="106">
        <f t="shared" si="0"/>
        <v>2049</v>
      </c>
      <c r="C172" s="137">
        <f>[8]С2.5!$AH$11</f>
        <v>0</v>
      </c>
    </row>
    <row r="173" spans="2:3" hidden="1" x14ac:dyDescent="0.2">
      <c r="B173" s="106">
        <f t="shared" si="0"/>
        <v>2050</v>
      </c>
      <c r="C173" s="137">
        <f>[8]С2.5!$AI$11</f>
        <v>0</v>
      </c>
    </row>
    <row r="174" spans="2:3" hidden="1" x14ac:dyDescent="0.2">
      <c r="B174" s="106">
        <f t="shared" si="0"/>
        <v>2051</v>
      </c>
      <c r="C174" s="137">
        <f>[8]С2.5!$AJ$11</f>
        <v>0</v>
      </c>
    </row>
    <row r="175" spans="2:3" hidden="1" x14ac:dyDescent="0.2">
      <c r="B175" s="106">
        <f t="shared" si="0"/>
        <v>2052</v>
      </c>
      <c r="C175" s="137">
        <f>[8]С2.5!$AK$11</f>
        <v>0</v>
      </c>
    </row>
    <row r="176" spans="2:3" hidden="1" x14ac:dyDescent="0.2">
      <c r="B176" s="106">
        <f t="shared" si="0"/>
        <v>2053</v>
      </c>
      <c r="C176" s="137">
        <f>[8]С2.5!$AL$11</f>
        <v>0</v>
      </c>
    </row>
    <row r="177" spans="2:3" hidden="1" x14ac:dyDescent="0.2">
      <c r="B177" s="106">
        <f t="shared" si="0"/>
        <v>2054</v>
      </c>
      <c r="C177" s="137">
        <f>[8]С2.5!$AM$11</f>
        <v>0</v>
      </c>
    </row>
    <row r="178" spans="2:3" hidden="1" x14ac:dyDescent="0.2">
      <c r="B178" s="106">
        <f t="shared" si="0"/>
        <v>2055</v>
      </c>
      <c r="C178" s="137">
        <f>[8]С2.5!$AN$11</f>
        <v>0</v>
      </c>
    </row>
    <row r="179" spans="2:3" hidden="1" x14ac:dyDescent="0.2">
      <c r="B179" s="106">
        <f t="shared" si="0"/>
        <v>2056</v>
      </c>
      <c r="C179" s="137">
        <f>[8]С2.5!$AO$11</f>
        <v>0</v>
      </c>
    </row>
    <row r="180" spans="2:3" hidden="1" x14ac:dyDescent="0.2">
      <c r="B180" s="106">
        <f t="shared" si="0"/>
        <v>2057</v>
      </c>
      <c r="C180" s="137">
        <f>[8]С2.5!$AP$11</f>
        <v>0</v>
      </c>
    </row>
    <row r="181" spans="2:3" hidden="1" x14ac:dyDescent="0.2">
      <c r="B181" s="106">
        <f t="shared" si="0"/>
        <v>2058</v>
      </c>
      <c r="C181" s="137">
        <f>[8]С2.5!$AQ$11</f>
        <v>0</v>
      </c>
    </row>
    <row r="182" spans="2:3" hidden="1" x14ac:dyDescent="0.2">
      <c r="B182" s="106">
        <f t="shared" si="0"/>
        <v>2059</v>
      </c>
      <c r="C182" s="137">
        <f>[8]С2.5!$AR$11</f>
        <v>0</v>
      </c>
    </row>
    <row r="183" spans="2:3" hidden="1" x14ac:dyDescent="0.2">
      <c r="B183" s="106">
        <f t="shared" si="0"/>
        <v>2060</v>
      </c>
      <c r="C183" s="137">
        <f>[8]С2.5!$AS$11</f>
        <v>0</v>
      </c>
    </row>
    <row r="184" spans="2:3" hidden="1" x14ac:dyDescent="0.2">
      <c r="B184" s="106">
        <f t="shared" si="0"/>
        <v>2061</v>
      </c>
      <c r="C184" s="137">
        <f>[8]С2.5!$AT$11</f>
        <v>0</v>
      </c>
    </row>
    <row r="185" spans="2:3" hidden="1" x14ac:dyDescent="0.2">
      <c r="B185" s="106">
        <f t="shared" si="0"/>
        <v>2062</v>
      </c>
      <c r="C185" s="137">
        <f>[8]С2.5!$AU$11</f>
        <v>0</v>
      </c>
    </row>
    <row r="186" spans="2:3" hidden="1" x14ac:dyDescent="0.2">
      <c r="B186" s="106">
        <f t="shared" si="0"/>
        <v>2063</v>
      </c>
      <c r="C186" s="137">
        <f>[8]С2.5!$AV$11</f>
        <v>0</v>
      </c>
    </row>
    <row r="187" spans="2:3" hidden="1" x14ac:dyDescent="0.2">
      <c r="B187" s="106">
        <f t="shared" si="0"/>
        <v>2064</v>
      </c>
      <c r="C187" s="137">
        <f>[8]С2.5!$AW$11</f>
        <v>0</v>
      </c>
    </row>
    <row r="188" spans="2:3" hidden="1" x14ac:dyDescent="0.2">
      <c r="B188" s="106">
        <f t="shared" si="0"/>
        <v>2065</v>
      </c>
      <c r="C188" s="137">
        <f>[8]С2.5!$AX$11</f>
        <v>0</v>
      </c>
    </row>
    <row r="189" spans="2:3" hidden="1" x14ac:dyDescent="0.2">
      <c r="B189" s="106">
        <f t="shared" si="0"/>
        <v>2066</v>
      </c>
      <c r="C189" s="137">
        <f>[8]С2.5!$AY$11</f>
        <v>0</v>
      </c>
    </row>
    <row r="190" spans="2:3" hidden="1" x14ac:dyDescent="0.2">
      <c r="B190" s="106">
        <f t="shared" si="0"/>
        <v>2067</v>
      </c>
      <c r="C190" s="137">
        <f>[8]С2.5!$AZ$11</f>
        <v>0</v>
      </c>
    </row>
    <row r="191" spans="2:3" hidden="1" x14ac:dyDescent="0.2">
      <c r="B191" s="106">
        <f t="shared" si="0"/>
        <v>2068</v>
      </c>
      <c r="C191" s="137">
        <f>[8]С2.5!$BA$11</f>
        <v>0</v>
      </c>
    </row>
    <row r="192" spans="2:3" hidden="1" x14ac:dyDescent="0.2">
      <c r="B192" s="106">
        <f t="shared" si="0"/>
        <v>2069</v>
      </c>
      <c r="C192" s="137">
        <f>[8]С2.5!$BB$11</f>
        <v>0</v>
      </c>
    </row>
    <row r="193" spans="2:3" hidden="1" x14ac:dyDescent="0.2">
      <c r="B193" s="106">
        <f t="shared" si="0"/>
        <v>2070</v>
      </c>
      <c r="C193" s="137">
        <f>[8]С2.5!$BC$11</f>
        <v>0</v>
      </c>
    </row>
    <row r="194" spans="2:3" hidden="1" x14ac:dyDescent="0.2">
      <c r="B194" s="106">
        <f t="shared" si="0"/>
        <v>2071</v>
      </c>
      <c r="C194" s="137">
        <f>[8]С2.5!$BD$11</f>
        <v>0</v>
      </c>
    </row>
    <row r="195" spans="2:3" hidden="1" x14ac:dyDescent="0.2">
      <c r="B195" s="106">
        <f t="shared" si="0"/>
        <v>2072</v>
      </c>
      <c r="C195" s="137">
        <f>[8]С2.5!$BE$11</f>
        <v>0</v>
      </c>
    </row>
    <row r="196" spans="2:3" hidden="1" x14ac:dyDescent="0.2">
      <c r="B196" s="106">
        <f t="shared" si="0"/>
        <v>2073</v>
      </c>
      <c r="C196" s="137">
        <f>[8]С2.5!$BF$11</f>
        <v>0</v>
      </c>
    </row>
    <row r="197" spans="2:3" hidden="1" x14ac:dyDescent="0.2">
      <c r="B197" s="106">
        <f t="shared" si="0"/>
        <v>2074</v>
      </c>
      <c r="C197" s="137">
        <f>[8]С2.5!$BG$11</f>
        <v>0</v>
      </c>
    </row>
    <row r="198" spans="2:3" hidden="1" x14ac:dyDescent="0.2">
      <c r="B198" s="106">
        <f t="shared" si="0"/>
        <v>2075</v>
      </c>
      <c r="C198" s="137">
        <f>[8]С2.5!$BH$11</f>
        <v>0</v>
      </c>
    </row>
    <row r="199" spans="2:3" hidden="1" x14ac:dyDescent="0.2">
      <c r="B199" s="106">
        <f t="shared" si="0"/>
        <v>2076</v>
      </c>
      <c r="C199" s="137">
        <f>[8]С2.5!$BI$11</f>
        <v>0</v>
      </c>
    </row>
    <row r="200" spans="2:3" hidden="1" x14ac:dyDescent="0.2">
      <c r="B200" s="106">
        <f t="shared" si="0"/>
        <v>2077</v>
      </c>
      <c r="C200" s="137">
        <f>[8]С2.5!$BJ$11</f>
        <v>0</v>
      </c>
    </row>
    <row r="201" spans="2:3" hidden="1" x14ac:dyDescent="0.2">
      <c r="B201" s="106">
        <f t="shared" si="0"/>
        <v>2078</v>
      </c>
      <c r="C201" s="137">
        <f>[8]С2.5!$BK$11</f>
        <v>0</v>
      </c>
    </row>
    <row r="202" spans="2:3" hidden="1" x14ac:dyDescent="0.2">
      <c r="B202" s="106">
        <f t="shared" si="0"/>
        <v>2079</v>
      </c>
      <c r="C202" s="137">
        <f>[8]С2.5!$BL$11</f>
        <v>0</v>
      </c>
    </row>
    <row r="203" spans="2:3" hidden="1" x14ac:dyDescent="0.2">
      <c r="B203" s="106">
        <f t="shared" si="0"/>
        <v>2080</v>
      </c>
      <c r="C203" s="137">
        <f>[8]С2.5!$BM$11</f>
        <v>0</v>
      </c>
    </row>
    <row r="204" spans="2:3" hidden="1" x14ac:dyDescent="0.2">
      <c r="B204" s="106">
        <f t="shared" si="0"/>
        <v>2081</v>
      </c>
      <c r="C204" s="137">
        <f>[8]С2.5!$BN$11</f>
        <v>0</v>
      </c>
    </row>
    <row r="205" spans="2:3" hidden="1" x14ac:dyDescent="0.2">
      <c r="B205" s="106">
        <f t="shared" si="0"/>
        <v>2082</v>
      </c>
      <c r="C205" s="137">
        <f>[8]С2.5!$BO$11</f>
        <v>0</v>
      </c>
    </row>
    <row r="206" spans="2:3" hidden="1" x14ac:dyDescent="0.2">
      <c r="B206" s="106">
        <f t="shared" si="0"/>
        <v>2083</v>
      </c>
      <c r="C206" s="137">
        <f>[8]С2.5!$BP$11</f>
        <v>0</v>
      </c>
    </row>
    <row r="207" spans="2:3" hidden="1" x14ac:dyDescent="0.2">
      <c r="B207" s="106">
        <f t="shared" si="0"/>
        <v>2084</v>
      </c>
      <c r="C207" s="137">
        <f>[8]С2.5!$BQ$11</f>
        <v>0</v>
      </c>
    </row>
    <row r="208" spans="2:3" hidden="1" x14ac:dyDescent="0.2">
      <c r="B208" s="106">
        <f t="shared" si="0"/>
        <v>2085</v>
      </c>
      <c r="C208" s="137">
        <f>[8]С2.5!$BR$11</f>
        <v>0</v>
      </c>
    </row>
    <row r="209" spans="2:3" hidden="1" x14ac:dyDescent="0.2">
      <c r="B209" s="106">
        <f t="shared" ref="B209:B223" si="1">B208+1</f>
        <v>2086</v>
      </c>
      <c r="C209" s="137">
        <f>[8]С2.5!$BS$11</f>
        <v>0</v>
      </c>
    </row>
    <row r="210" spans="2:3" hidden="1" x14ac:dyDescent="0.2">
      <c r="B210" s="106">
        <f t="shared" si="1"/>
        <v>2087</v>
      </c>
      <c r="C210" s="137">
        <f>[8]С2.5!$BT$11</f>
        <v>0</v>
      </c>
    </row>
    <row r="211" spans="2:3" hidden="1" x14ac:dyDescent="0.2">
      <c r="B211" s="106">
        <f t="shared" si="1"/>
        <v>2088</v>
      </c>
      <c r="C211" s="137">
        <f>[8]С2.5!$BU$11</f>
        <v>0</v>
      </c>
    </row>
    <row r="212" spans="2:3" hidden="1" x14ac:dyDescent="0.2">
      <c r="B212" s="106">
        <f t="shared" si="1"/>
        <v>2089</v>
      </c>
      <c r="C212" s="137">
        <f>[8]С2.5!$BV$11</f>
        <v>0</v>
      </c>
    </row>
    <row r="213" spans="2:3" hidden="1" x14ac:dyDescent="0.2">
      <c r="B213" s="106">
        <f t="shared" si="1"/>
        <v>2090</v>
      </c>
      <c r="C213" s="137">
        <f>[8]С2.5!$BW$11</f>
        <v>0</v>
      </c>
    </row>
    <row r="214" spans="2:3" hidden="1" x14ac:dyDescent="0.2">
      <c r="B214" s="106">
        <f t="shared" si="1"/>
        <v>2091</v>
      </c>
      <c r="C214" s="137">
        <f>[8]С2.5!$BX$11</f>
        <v>0</v>
      </c>
    </row>
    <row r="215" spans="2:3" hidden="1" x14ac:dyDescent="0.2">
      <c r="B215" s="106">
        <f t="shared" si="1"/>
        <v>2092</v>
      </c>
      <c r="C215" s="137">
        <f>[8]С2.5!$BY$11</f>
        <v>0</v>
      </c>
    </row>
    <row r="216" spans="2:3" hidden="1" x14ac:dyDescent="0.2">
      <c r="B216" s="106">
        <f t="shared" si="1"/>
        <v>2093</v>
      </c>
      <c r="C216" s="137">
        <f>[8]С2.5!$BZ$11</f>
        <v>0</v>
      </c>
    </row>
    <row r="217" spans="2:3" hidden="1" x14ac:dyDescent="0.2">
      <c r="B217" s="106">
        <f t="shared" si="1"/>
        <v>2094</v>
      </c>
      <c r="C217" s="137">
        <f>[8]С2.5!$CA$11</f>
        <v>0</v>
      </c>
    </row>
    <row r="218" spans="2:3" hidden="1" x14ac:dyDescent="0.2">
      <c r="B218" s="106">
        <f t="shared" si="1"/>
        <v>2095</v>
      </c>
      <c r="C218" s="137">
        <f>[8]С2.5!$CB$11</f>
        <v>0</v>
      </c>
    </row>
    <row r="219" spans="2:3" hidden="1" x14ac:dyDescent="0.2">
      <c r="B219" s="106">
        <f t="shared" si="1"/>
        <v>2096</v>
      </c>
      <c r="C219" s="137">
        <f>[8]С2.5!$CC$11</f>
        <v>0</v>
      </c>
    </row>
    <row r="220" spans="2:3" hidden="1" x14ac:dyDescent="0.2">
      <c r="B220" s="106">
        <f t="shared" si="1"/>
        <v>2097</v>
      </c>
      <c r="C220" s="137">
        <f>[8]С2.5!$CD$11</f>
        <v>0</v>
      </c>
    </row>
    <row r="221" spans="2:3" hidden="1" x14ac:dyDescent="0.2">
      <c r="B221" s="106">
        <f t="shared" si="1"/>
        <v>2098</v>
      </c>
      <c r="C221" s="137">
        <f>[8]С2.5!$CE$11</f>
        <v>0</v>
      </c>
    </row>
    <row r="222" spans="2:3" hidden="1" x14ac:dyDescent="0.2">
      <c r="B222" s="106">
        <f t="shared" si="1"/>
        <v>2099</v>
      </c>
      <c r="C222" s="137">
        <f>[8]С2.5!$CF$11</f>
        <v>0</v>
      </c>
    </row>
    <row r="223" spans="2:3" ht="13.5" hidden="1" thickBot="1" x14ac:dyDescent="0.25">
      <c r="B223" s="108">
        <f t="shared" si="1"/>
        <v>2100</v>
      </c>
      <c r="C223" s="138">
        <f>[8]С2.5!$CG$11</f>
        <v>0</v>
      </c>
    </row>
    <row r="224" spans="2:3" hidden="1" x14ac:dyDescent="0.2">
      <c r="C224" s="141"/>
    </row>
    <row r="225" spans="3:3" hidden="1" x14ac:dyDescent="0.2">
      <c r="C225" s="141"/>
    </row>
    <row r="226" spans="3:3" x14ac:dyDescent="0.2">
      <c r="C226" s="141"/>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169" r:id="rId4" name="Button 1">
              <controlPr defaultSize="0" print="0" autoFill="0" autoPict="0" macro="[8]!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13"/>
      <c r="B1" s="142" t="s">
        <v>225</v>
      </c>
      <c r="C1" s="142"/>
    </row>
    <row r="2" spans="1:3" x14ac:dyDescent="0.2">
      <c r="A2" s="1"/>
      <c r="B2" s="3" t="s">
        <v>2</v>
      </c>
      <c r="C2" s="4">
        <f ca="1">TODAY()</f>
        <v>44944</v>
      </c>
    </row>
    <row r="3" spans="1:3" x14ac:dyDescent="0.2">
      <c r="A3" s="1"/>
      <c r="B3" s="114" t="s">
        <v>3</v>
      </c>
    </row>
    <row r="4" spans="1:3" ht="25.5" x14ac:dyDescent="0.2">
      <c r="A4" s="7"/>
      <c r="B4" s="8" t="str">
        <f>[9]И1!D13</f>
        <v>Субъект Российской Федерации</v>
      </c>
      <c r="C4" s="9" t="str">
        <f>[9]И1!E13</f>
        <v>Новосибирская область</v>
      </c>
    </row>
    <row r="5" spans="1:3" ht="38.25" x14ac:dyDescent="0.2">
      <c r="A5" s="7"/>
      <c r="B5" s="8" t="str">
        <f>[9]И1!D14</f>
        <v>Тип муниципального образования (выберите из списка)</v>
      </c>
      <c r="C5" s="9" t="str">
        <f>[9]И1!E14</f>
        <v>село Козиха, Ордынский муниципальный район</v>
      </c>
    </row>
    <row r="6" spans="1:3" x14ac:dyDescent="0.2">
      <c r="A6" s="7"/>
      <c r="B6" s="8" t="str">
        <f>IF([9]И1!E15="","",[9]И1!D15)</f>
        <v/>
      </c>
      <c r="C6" s="9" t="str">
        <f>IF([9]И1!E15="","",[9]И1!E15)</f>
        <v/>
      </c>
    </row>
    <row r="7" spans="1:3" x14ac:dyDescent="0.2">
      <c r="A7" s="7"/>
      <c r="B7" s="8" t="str">
        <f>[9]И1!D16</f>
        <v>Код ОКТМО</v>
      </c>
      <c r="C7" s="10" t="str">
        <f>[9]И1!E16</f>
        <v>50642410101</v>
      </c>
    </row>
    <row r="8" spans="1:3" x14ac:dyDescent="0.2">
      <c r="A8" s="7"/>
      <c r="B8" s="11" t="str">
        <f>[9]И1!D17</f>
        <v>Система теплоснабжения</v>
      </c>
      <c r="C8" s="12">
        <f>[9]И1!E17</f>
        <v>0</v>
      </c>
    </row>
    <row r="9" spans="1:3" x14ac:dyDescent="0.2">
      <c r="A9" s="7"/>
      <c r="B9" s="8" t="str">
        <f>[9]И1!D8</f>
        <v>Период регулирования (i)-й</v>
      </c>
      <c r="C9" s="13">
        <f>[9]И1!E8</f>
        <v>2023</v>
      </c>
    </row>
    <row r="10" spans="1:3" x14ac:dyDescent="0.2">
      <c r="A10" s="7"/>
      <c r="B10" s="8" t="str">
        <f>[9]И1!D9</f>
        <v>Период регулирования (i-1)-й</v>
      </c>
      <c r="C10" s="13">
        <f>[9]И1!E9</f>
        <v>2022</v>
      </c>
    </row>
    <row r="11" spans="1:3" x14ac:dyDescent="0.2">
      <c r="A11" s="7"/>
      <c r="B11" s="8" t="str">
        <f>[9]И1!D10</f>
        <v>Период регулирования (i-2)-й</v>
      </c>
      <c r="C11" s="13">
        <f>[9]И1!E10</f>
        <v>2021</v>
      </c>
    </row>
    <row r="12" spans="1:3" x14ac:dyDescent="0.2">
      <c r="A12" s="7"/>
      <c r="B12" s="8" t="str">
        <f>[9]И1!D11</f>
        <v>Базовый год (б)</v>
      </c>
      <c r="C12" s="13">
        <f>[9]И1!E11</f>
        <v>2019</v>
      </c>
    </row>
    <row r="13" spans="1:3" ht="38.25" x14ac:dyDescent="0.2">
      <c r="A13" s="7"/>
      <c r="B13" s="8" t="str">
        <f>[9]И1!D18</f>
        <v>Вид топлива, использование которого преобладает в системе теплоснабжения</v>
      </c>
      <c r="C13" s="14" t="str">
        <f>[9]С1.1!E13</f>
        <v>уголь (вид угля не указан в топливном балансе)</v>
      </c>
    </row>
    <row r="14" spans="1:3" ht="31.7" customHeight="1" thickBot="1" x14ac:dyDescent="0.25">
      <c r="A14" s="147" t="s">
        <v>4</v>
      </c>
      <c r="B14" s="147"/>
      <c r="C14" s="147"/>
    </row>
    <row r="15" spans="1:3" x14ac:dyDescent="0.2">
      <c r="A15" s="15" t="s">
        <v>5</v>
      </c>
      <c r="B15" s="115" t="s">
        <v>6</v>
      </c>
      <c r="C15" s="116" t="s">
        <v>7</v>
      </c>
    </row>
    <row r="16" spans="1:3" x14ac:dyDescent="0.2">
      <c r="A16" s="18">
        <v>1</v>
      </c>
      <c r="B16" s="117">
        <v>2</v>
      </c>
      <c r="C16" s="118">
        <v>3</v>
      </c>
    </row>
    <row r="17" spans="1:3" x14ac:dyDescent="0.2">
      <c r="A17" s="21">
        <v>1</v>
      </c>
      <c r="B17" s="22" t="s">
        <v>8</v>
      </c>
      <c r="C17" s="23">
        <f>SUM(C18:C22)</f>
        <v>4276.7653515299453</v>
      </c>
    </row>
    <row r="18" spans="1:3" ht="42.75" x14ac:dyDescent="0.2">
      <c r="A18" s="21" t="s">
        <v>9</v>
      </c>
      <c r="B18" s="24" t="s">
        <v>10</v>
      </c>
      <c r="C18" s="25">
        <f>[9]С1!F12</f>
        <v>1134.77400713722</v>
      </c>
    </row>
    <row r="19" spans="1:3" ht="42.75" x14ac:dyDescent="0.2">
      <c r="A19" s="21" t="s">
        <v>11</v>
      </c>
      <c r="B19" s="24" t="s">
        <v>12</v>
      </c>
      <c r="C19" s="25">
        <f>[9]С2!F12</f>
        <v>2106.4563180122805</v>
      </c>
    </row>
    <row r="20" spans="1:3" ht="30" x14ac:dyDescent="0.2">
      <c r="A20" s="21" t="s">
        <v>13</v>
      </c>
      <c r="B20" s="24" t="s">
        <v>14</v>
      </c>
      <c r="C20" s="25">
        <f>[9]С3!F12</f>
        <v>503.94083842199643</v>
      </c>
    </row>
    <row r="21" spans="1:3" ht="42.75" x14ac:dyDescent="0.2">
      <c r="A21" s="21" t="s">
        <v>15</v>
      </c>
      <c r="B21" s="24" t="s">
        <v>226</v>
      </c>
      <c r="C21" s="25">
        <f>[9]С4!F12</f>
        <v>447.73604381080236</v>
      </c>
    </row>
    <row r="22" spans="1:3" ht="30" x14ac:dyDescent="0.2">
      <c r="A22" s="21" t="s">
        <v>17</v>
      </c>
      <c r="B22" s="24" t="s">
        <v>227</v>
      </c>
      <c r="C22" s="25">
        <f>[9]С5!F12</f>
        <v>83.858144147645987</v>
      </c>
    </row>
    <row r="23" spans="1:3" ht="43.5" thickBot="1" x14ac:dyDescent="0.25">
      <c r="A23" s="26" t="s">
        <v>19</v>
      </c>
      <c r="B23" s="98" t="s">
        <v>228</v>
      </c>
      <c r="C23" s="28" t="str">
        <f>[9]С6!F12</f>
        <v>-</v>
      </c>
    </row>
    <row r="24" spans="1:3" ht="13.5" thickBot="1" x14ac:dyDescent="0.25">
      <c r="A24" s="1"/>
    </row>
    <row r="25" spans="1:3" x14ac:dyDescent="0.2">
      <c r="A25" s="15" t="s">
        <v>5</v>
      </c>
      <c r="B25" s="29" t="s">
        <v>6</v>
      </c>
      <c r="C25" s="16" t="s">
        <v>7</v>
      </c>
    </row>
    <row r="26" spans="1:3" x14ac:dyDescent="0.2">
      <c r="A26" s="18">
        <v>1</v>
      </c>
      <c r="B26" s="30">
        <v>2</v>
      </c>
      <c r="C26" s="31">
        <v>3</v>
      </c>
    </row>
    <row r="27" spans="1:3" ht="30" customHeight="1" x14ac:dyDescent="0.2">
      <c r="A27" s="21">
        <v>1</v>
      </c>
      <c r="B27" s="144" t="s">
        <v>21</v>
      </c>
      <c r="C27" s="144"/>
    </row>
    <row r="28" spans="1:3" x14ac:dyDescent="0.2">
      <c r="A28" s="21" t="s">
        <v>9</v>
      </c>
      <c r="B28" s="32" t="s">
        <v>229</v>
      </c>
      <c r="C28" s="33">
        <f>[9]С1.1!E16</f>
        <v>5100</v>
      </c>
    </row>
    <row r="29" spans="1:3" ht="42.75" x14ac:dyDescent="0.2">
      <c r="A29" s="21" t="s">
        <v>11</v>
      </c>
      <c r="B29" s="32" t="s">
        <v>230</v>
      </c>
      <c r="C29" s="33">
        <f>[9]С1.1!E27</f>
        <v>3051.2176603165626</v>
      </c>
    </row>
    <row r="30" spans="1:3" ht="17.25" x14ac:dyDescent="0.2">
      <c r="A30" s="21" t="s">
        <v>13</v>
      </c>
      <c r="B30" s="32" t="s">
        <v>30</v>
      </c>
      <c r="C30" s="35">
        <f>[9]С1.1!E19</f>
        <v>0.59499999999999997</v>
      </c>
    </row>
    <row r="31" spans="1:3" ht="17.25" x14ac:dyDescent="0.2">
      <c r="A31" s="21" t="s">
        <v>15</v>
      </c>
      <c r="B31" s="32" t="s">
        <v>31</v>
      </c>
      <c r="C31" s="35">
        <f>[9]С1.1!E20</f>
        <v>-0.113</v>
      </c>
    </row>
    <row r="32" spans="1:3" ht="30" x14ac:dyDescent="0.2">
      <c r="A32" s="21" t="s">
        <v>17</v>
      </c>
      <c r="B32" s="36" t="s">
        <v>231</v>
      </c>
      <c r="C32" s="119">
        <f>[9]С1!F13</f>
        <v>176.4</v>
      </c>
    </row>
    <row r="33" spans="1:3" x14ac:dyDescent="0.2">
      <c r="A33" s="21" t="s">
        <v>19</v>
      </c>
      <c r="B33" s="36" t="s">
        <v>33</v>
      </c>
      <c r="C33" s="38">
        <f>[9]С1!F16</f>
        <v>7000</v>
      </c>
    </row>
    <row r="34" spans="1:3" ht="14.25" x14ac:dyDescent="0.2">
      <c r="A34" s="21" t="s">
        <v>34</v>
      </c>
      <c r="B34" s="40" t="s">
        <v>232</v>
      </c>
      <c r="C34" s="41">
        <f>[9]С1!F17</f>
        <v>0.72857142857142854</v>
      </c>
    </row>
    <row r="35" spans="1:3" ht="15.75" x14ac:dyDescent="0.2">
      <c r="A35" s="120" t="s">
        <v>36</v>
      </c>
      <c r="B35" s="43" t="s">
        <v>37</v>
      </c>
      <c r="C35" s="41">
        <f>[9]С1!F20</f>
        <v>21.588411179999994</v>
      </c>
    </row>
    <row r="36" spans="1:3" ht="15.75" x14ac:dyDescent="0.2">
      <c r="A36" s="120" t="s">
        <v>38</v>
      </c>
      <c r="B36" s="44" t="s">
        <v>39</v>
      </c>
      <c r="C36" s="41">
        <f>[9]С1!F21</f>
        <v>20.818139999999996</v>
      </c>
    </row>
    <row r="37" spans="1:3" ht="14.25" x14ac:dyDescent="0.2">
      <c r="A37" s="120" t="s">
        <v>40</v>
      </c>
      <c r="B37" s="45" t="s">
        <v>41</v>
      </c>
      <c r="C37" s="41">
        <f>[9]С1!F22</f>
        <v>1.0369999999999999</v>
      </c>
    </row>
    <row r="38" spans="1:3" ht="53.25" thickBot="1" x14ac:dyDescent="0.25">
      <c r="A38" s="26" t="s">
        <v>42</v>
      </c>
      <c r="B38" s="46" t="s">
        <v>43</v>
      </c>
      <c r="C38" s="47">
        <f>[9]С1!F23</f>
        <v>1.0469999999999999</v>
      </c>
    </row>
    <row r="39" spans="1:3" ht="13.5" thickBot="1" x14ac:dyDescent="0.25">
      <c r="A39" s="48"/>
      <c r="B39" s="121"/>
      <c r="C39" s="122"/>
    </row>
    <row r="40" spans="1:3" ht="30" customHeight="1" x14ac:dyDescent="0.2">
      <c r="A40" s="50" t="s">
        <v>44</v>
      </c>
      <c r="B40" s="146" t="s">
        <v>45</v>
      </c>
      <c r="C40" s="146"/>
    </row>
    <row r="41" spans="1:3" ht="25.5" x14ac:dyDescent="0.2">
      <c r="A41" s="21" t="s">
        <v>46</v>
      </c>
      <c r="B41" s="36" t="s">
        <v>47</v>
      </c>
      <c r="C41" s="51" t="str">
        <f>[9]С2.1!E12</f>
        <v>V</v>
      </c>
    </row>
    <row r="42" spans="1:3" ht="25.5" x14ac:dyDescent="0.2">
      <c r="A42" s="21" t="s">
        <v>48</v>
      </c>
      <c r="B42" s="32" t="s">
        <v>49</v>
      </c>
      <c r="C42" s="51" t="str">
        <f>[9]С2.1!E13</f>
        <v>6 и менее баллов</v>
      </c>
    </row>
    <row r="43" spans="1:3" ht="25.5" x14ac:dyDescent="0.2">
      <c r="A43" s="21" t="s">
        <v>50</v>
      </c>
      <c r="B43" s="32" t="s">
        <v>233</v>
      </c>
      <c r="C43" s="51" t="str">
        <f>[9]С2.1!E14</f>
        <v>от 200 до 500</v>
      </c>
    </row>
    <row r="44" spans="1:3" ht="25.5" x14ac:dyDescent="0.2">
      <c r="A44" s="21" t="s">
        <v>52</v>
      </c>
      <c r="B44" s="32" t="s">
        <v>234</v>
      </c>
      <c r="C44" s="52" t="str">
        <f>[9]С2.1!E15</f>
        <v>нет</v>
      </c>
    </row>
    <row r="45" spans="1:3" ht="30" x14ac:dyDescent="0.2">
      <c r="A45" s="21" t="s">
        <v>54</v>
      </c>
      <c r="B45" s="32" t="s">
        <v>55</v>
      </c>
      <c r="C45" s="33">
        <f>[9]С2!F18</f>
        <v>32402.627334033532</v>
      </c>
    </row>
    <row r="46" spans="1:3" ht="30" x14ac:dyDescent="0.2">
      <c r="A46" s="21" t="s">
        <v>56</v>
      </c>
      <c r="B46" s="53" t="s">
        <v>57</v>
      </c>
      <c r="C46" s="33">
        <f>IF([9]С2!F19&gt;0,[9]С2!F19,[9]С2!F20)</f>
        <v>23441.524932855718</v>
      </c>
    </row>
    <row r="47" spans="1:3" ht="25.5" x14ac:dyDescent="0.2">
      <c r="A47" s="21" t="s">
        <v>58</v>
      </c>
      <c r="B47" s="54" t="s">
        <v>59</v>
      </c>
      <c r="C47" s="33">
        <f>[9]С2.1!E19</f>
        <v>-37</v>
      </c>
    </row>
    <row r="48" spans="1:3" ht="25.5" x14ac:dyDescent="0.2">
      <c r="A48" s="21" t="s">
        <v>60</v>
      </c>
      <c r="B48" s="54" t="s">
        <v>61</v>
      </c>
      <c r="C48" s="33" t="str">
        <f>[9]С2.1!E22</f>
        <v>нет</v>
      </c>
    </row>
    <row r="49" spans="1:3" ht="38.25" x14ac:dyDescent="0.2">
      <c r="A49" s="21" t="s">
        <v>62</v>
      </c>
      <c r="B49" s="55" t="s">
        <v>63</v>
      </c>
      <c r="C49" s="33">
        <f>[9]С2.2!E10</f>
        <v>1287</v>
      </c>
    </row>
    <row r="50" spans="1:3" ht="25.5" x14ac:dyDescent="0.2">
      <c r="A50" s="21" t="s">
        <v>64</v>
      </c>
      <c r="B50" s="56" t="s">
        <v>65</v>
      </c>
      <c r="C50" s="33">
        <f>[9]С2.2!E12</f>
        <v>5.97</v>
      </c>
    </row>
    <row r="51" spans="1:3" ht="52.5" x14ac:dyDescent="0.2">
      <c r="A51" s="21" t="s">
        <v>66</v>
      </c>
      <c r="B51" s="57" t="s">
        <v>67</v>
      </c>
      <c r="C51" s="33">
        <f>[9]С2.2!E13</f>
        <v>1</v>
      </c>
    </row>
    <row r="52" spans="1:3" ht="27.75" x14ac:dyDescent="0.2">
      <c r="A52" s="21" t="s">
        <v>68</v>
      </c>
      <c r="B52" s="56" t="s">
        <v>69</v>
      </c>
      <c r="C52" s="33">
        <f>[9]С2.2!E14</f>
        <v>12104</v>
      </c>
    </row>
    <row r="53" spans="1:3" ht="25.5" x14ac:dyDescent="0.2">
      <c r="A53" s="21" t="s">
        <v>70</v>
      </c>
      <c r="B53" s="57" t="s">
        <v>71</v>
      </c>
      <c r="C53" s="35">
        <f>[9]С2.2!E15</f>
        <v>4.8000000000000001E-2</v>
      </c>
    </row>
    <row r="54" spans="1:3" x14ac:dyDescent="0.2">
      <c r="A54" s="21" t="s">
        <v>72</v>
      </c>
      <c r="B54" s="57" t="s">
        <v>73</v>
      </c>
      <c r="C54" s="33">
        <f>[9]С2.2!E16</f>
        <v>1</v>
      </c>
    </row>
    <row r="55" spans="1:3" ht="15.75" x14ac:dyDescent="0.2">
      <c r="A55" s="21" t="s">
        <v>74</v>
      </c>
      <c r="B55" s="59" t="s">
        <v>75</v>
      </c>
      <c r="C55" s="33">
        <f>[9]С2!F21</f>
        <v>1</v>
      </c>
    </row>
    <row r="56" spans="1:3" ht="30" x14ac:dyDescent="0.2">
      <c r="A56" s="60" t="s">
        <v>76</v>
      </c>
      <c r="B56" s="32" t="s">
        <v>235</v>
      </c>
      <c r="C56" s="33">
        <f>[9]С2!F13</f>
        <v>169640.22915965237</v>
      </c>
    </row>
    <row r="57" spans="1:3" ht="30" x14ac:dyDescent="0.2">
      <c r="A57" s="60" t="s">
        <v>78</v>
      </c>
      <c r="B57" s="59" t="s">
        <v>236</v>
      </c>
      <c r="C57" s="33">
        <f>[9]С2!F14</f>
        <v>113455</v>
      </c>
    </row>
    <row r="58" spans="1:3" ht="15.75" x14ac:dyDescent="0.2">
      <c r="A58" s="60" t="s">
        <v>80</v>
      </c>
      <c r="B58" s="61" t="s">
        <v>81</v>
      </c>
      <c r="C58" s="41">
        <f>[9]С2!F15</f>
        <v>1.071</v>
      </c>
    </row>
    <row r="59" spans="1:3" ht="15.75" x14ac:dyDescent="0.2">
      <c r="A59" s="60" t="s">
        <v>82</v>
      </c>
      <c r="B59" s="61" t="s">
        <v>83</v>
      </c>
      <c r="C59" s="41">
        <f>[9]С2!F16</f>
        <v>1</v>
      </c>
    </row>
    <row r="60" spans="1:3" ht="17.25" x14ac:dyDescent="0.2">
      <c r="A60" s="60" t="s">
        <v>84</v>
      </c>
      <c r="B60" s="59" t="s">
        <v>85</v>
      </c>
      <c r="C60" s="33">
        <f>[9]С2!F17</f>
        <v>1.01</v>
      </c>
    </row>
    <row r="61" spans="1:3" s="66" customFormat="1" ht="14.25" x14ac:dyDescent="0.2">
      <c r="A61" s="60" t="s">
        <v>86</v>
      </c>
      <c r="B61" s="64" t="s">
        <v>87</v>
      </c>
      <c r="C61" s="65">
        <f>[9]С2!F33</f>
        <v>10</v>
      </c>
    </row>
    <row r="62" spans="1:3" ht="30" x14ac:dyDescent="0.2">
      <c r="A62" s="60" t="s">
        <v>88</v>
      </c>
      <c r="B62" s="67" t="s">
        <v>89</v>
      </c>
      <c r="C62" s="33">
        <f>[9]С2!F26</f>
        <v>1168.8344047018327</v>
      </c>
    </row>
    <row r="63" spans="1:3" ht="17.25" x14ac:dyDescent="0.2">
      <c r="A63" s="60" t="s">
        <v>90</v>
      </c>
      <c r="B63" s="53" t="s">
        <v>237</v>
      </c>
      <c r="C63" s="33">
        <f>[9]С2!F27</f>
        <v>0.201330388</v>
      </c>
    </row>
    <row r="64" spans="1:3" ht="17.25" x14ac:dyDescent="0.2">
      <c r="A64" s="60" t="s">
        <v>92</v>
      </c>
      <c r="B64" s="59" t="s">
        <v>238</v>
      </c>
      <c r="C64" s="65">
        <f>[9]С2!F28</f>
        <v>4200</v>
      </c>
    </row>
    <row r="65" spans="1:3" ht="42.75" x14ac:dyDescent="0.2">
      <c r="A65" s="60" t="s">
        <v>94</v>
      </c>
      <c r="B65" s="32" t="s">
        <v>239</v>
      </c>
      <c r="C65" s="33">
        <f>[9]С2!F22</f>
        <v>35717.748653137714</v>
      </c>
    </row>
    <row r="66" spans="1:3" ht="30" x14ac:dyDescent="0.2">
      <c r="A66" s="60" t="s">
        <v>96</v>
      </c>
      <c r="B66" s="61" t="s">
        <v>240</v>
      </c>
      <c r="C66" s="33">
        <f>[9]С2!F23</f>
        <v>1990</v>
      </c>
    </row>
    <row r="67" spans="1:3" ht="30" x14ac:dyDescent="0.2">
      <c r="A67" s="60" t="s">
        <v>98</v>
      </c>
      <c r="B67" s="53" t="s">
        <v>99</v>
      </c>
      <c r="C67" s="33">
        <f>[9]С2.1!E27</f>
        <v>14307.876789999998</v>
      </c>
    </row>
    <row r="68" spans="1:3" ht="38.25" x14ac:dyDescent="0.2">
      <c r="A68" s="60" t="s">
        <v>100</v>
      </c>
      <c r="B68" s="68" t="s">
        <v>101</v>
      </c>
      <c r="C68" s="52">
        <f>[9]С2.3!E21</f>
        <v>0</v>
      </c>
    </row>
    <row r="69" spans="1:3" ht="25.5" x14ac:dyDescent="0.2">
      <c r="A69" s="60" t="s">
        <v>102</v>
      </c>
      <c r="B69" s="69" t="s">
        <v>103</v>
      </c>
      <c r="C69" s="70">
        <f>[9]С2.3!E11</f>
        <v>9.89</v>
      </c>
    </row>
    <row r="70" spans="1:3" ht="25.5" x14ac:dyDescent="0.2">
      <c r="A70" s="60" t="s">
        <v>104</v>
      </c>
      <c r="B70" s="69" t="s">
        <v>105</v>
      </c>
      <c r="C70" s="65">
        <f>[9]С2.3!E13</f>
        <v>300</v>
      </c>
    </row>
    <row r="71" spans="1:3" ht="25.5" x14ac:dyDescent="0.2">
      <c r="A71" s="60" t="s">
        <v>106</v>
      </c>
      <c r="B71" s="68" t="s">
        <v>107</v>
      </c>
      <c r="C71" s="71">
        <f>IF([9]С2.3!E22&gt;0,[9]С2.3!E22,[9]С2.3!E14)</f>
        <v>61211</v>
      </c>
    </row>
    <row r="72" spans="1:3" ht="38.25" x14ac:dyDescent="0.2">
      <c r="A72" s="60" t="s">
        <v>108</v>
      </c>
      <c r="B72" s="68" t="s">
        <v>109</v>
      </c>
      <c r="C72" s="71">
        <f>IF([9]С2.3!E23&gt;0,[9]С2.3!E23,[9]С2.3!E15)</f>
        <v>45675</v>
      </c>
    </row>
    <row r="73" spans="1:3" ht="30" x14ac:dyDescent="0.2">
      <c r="A73" s="60" t="s">
        <v>110</v>
      </c>
      <c r="B73" s="53" t="s">
        <v>111</v>
      </c>
      <c r="C73" s="33">
        <f>[9]С2.1!E28</f>
        <v>9541.9567200000001</v>
      </c>
    </row>
    <row r="74" spans="1:3" ht="38.25" x14ac:dyDescent="0.2">
      <c r="A74" s="60" t="s">
        <v>112</v>
      </c>
      <c r="B74" s="68" t="s">
        <v>113</v>
      </c>
      <c r="C74" s="52">
        <f>[9]С2.3!E25</f>
        <v>0</v>
      </c>
    </row>
    <row r="75" spans="1:3" ht="25.5" x14ac:dyDescent="0.2">
      <c r="A75" s="60" t="s">
        <v>114</v>
      </c>
      <c r="B75" s="69" t="s">
        <v>115</v>
      </c>
      <c r="C75" s="70">
        <f>[9]С2.3!E12</f>
        <v>0.56000000000000005</v>
      </c>
    </row>
    <row r="76" spans="1:3" ht="25.5" x14ac:dyDescent="0.2">
      <c r="A76" s="60" t="s">
        <v>116</v>
      </c>
      <c r="B76" s="69" t="s">
        <v>105</v>
      </c>
      <c r="C76" s="65">
        <f>[9]С2.3!E13</f>
        <v>300</v>
      </c>
    </row>
    <row r="77" spans="1:3" ht="25.5" x14ac:dyDescent="0.2">
      <c r="A77" s="60" t="s">
        <v>117</v>
      </c>
      <c r="B77" s="72" t="s">
        <v>118</v>
      </c>
      <c r="C77" s="71">
        <f>IF([9]С2.3!E26&gt;0,[9]С2.3!E26,[9]С2.3!E16)</f>
        <v>65637</v>
      </c>
    </row>
    <row r="78" spans="1:3" ht="38.25" x14ac:dyDescent="0.2">
      <c r="A78" s="60" t="s">
        <v>119</v>
      </c>
      <c r="B78" s="72" t="s">
        <v>120</v>
      </c>
      <c r="C78" s="71">
        <f>IF([9]С2.3!E27&gt;0,[9]С2.3!E27,[9]С2.3!E17)</f>
        <v>31684</v>
      </c>
    </row>
    <row r="79" spans="1:3" ht="17.25" x14ac:dyDescent="0.2">
      <c r="A79" s="60" t="s">
        <v>123</v>
      </c>
      <c r="B79" s="32" t="s">
        <v>124</v>
      </c>
      <c r="C79" s="35">
        <f>[9]С2!F29</f>
        <v>0.128978033685065</v>
      </c>
    </row>
    <row r="80" spans="1:3" ht="30" x14ac:dyDescent="0.2">
      <c r="A80" s="60" t="s">
        <v>125</v>
      </c>
      <c r="B80" s="53" t="s">
        <v>126</v>
      </c>
      <c r="C80" s="73">
        <f>[9]С2!F30</f>
        <v>0.11668498168498169</v>
      </c>
    </row>
    <row r="81" spans="1:3" ht="17.25" x14ac:dyDescent="0.2">
      <c r="A81" s="60" t="s">
        <v>127</v>
      </c>
      <c r="B81" s="74" t="s">
        <v>128</v>
      </c>
      <c r="C81" s="35">
        <f>[9]С2!F31</f>
        <v>0.13880000000000001</v>
      </c>
    </row>
    <row r="82" spans="1:3" s="66" customFormat="1" ht="18" thickBot="1" x14ac:dyDescent="0.25">
      <c r="A82" s="75" t="s">
        <v>129</v>
      </c>
      <c r="B82" s="76" t="s">
        <v>130</v>
      </c>
      <c r="C82" s="77">
        <f>[9]С2!F32</f>
        <v>0.12640000000000001</v>
      </c>
    </row>
    <row r="83" spans="1:3" ht="13.5" thickBot="1" x14ac:dyDescent="0.25">
      <c r="A83" s="48"/>
      <c r="B83" s="49"/>
      <c r="C83" s="14"/>
    </row>
    <row r="84" spans="1:3" s="66" customFormat="1" ht="30" customHeight="1" x14ac:dyDescent="0.2">
      <c r="A84" s="78" t="s">
        <v>131</v>
      </c>
      <c r="B84" s="146" t="s">
        <v>132</v>
      </c>
      <c r="C84" s="146"/>
    </row>
    <row r="85" spans="1:3" s="66" customFormat="1" ht="30" x14ac:dyDescent="0.2">
      <c r="A85" s="79" t="s">
        <v>133</v>
      </c>
      <c r="B85" s="32" t="s">
        <v>134</v>
      </c>
      <c r="C85" s="33">
        <f>[9]С3!F14</f>
        <v>7000.4488806189811</v>
      </c>
    </row>
    <row r="86" spans="1:3" s="66" customFormat="1" ht="42.75" x14ac:dyDescent="0.2">
      <c r="A86" s="79" t="s">
        <v>135</v>
      </c>
      <c r="B86" s="53" t="s">
        <v>136</v>
      </c>
      <c r="C86" s="80">
        <f>[9]С3!F15</f>
        <v>0.2</v>
      </c>
    </row>
    <row r="87" spans="1:3" s="66" customFormat="1" ht="14.25" x14ac:dyDescent="0.2">
      <c r="A87" s="79" t="s">
        <v>137</v>
      </c>
      <c r="B87" s="81" t="s">
        <v>138</v>
      </c>
      <c r="C87" s="65">
        <f>[9]С3!F18</f>
        <v>15</v>
      </c>
    </row>
    <row r="88" spans="1:3" s="66" customFormat="1" ht="17.25" x14ac:dyDescent="0.2">
      <c r="A88" s="79" t="s">
        <v>139</v>
      </c>
      <c r="B88" s="32" t="s">
        <v>140</v>
      </c>
      <c r="C88" s="33">
        <f>[9]С3!F19</f>
        <v>3487.1555421534131</v>
      </c>
    </row>
    <row r="89" spans="1:3" s="66" customFormat="1" ht="55.5" x14ac:dyDescent="0.2">
      <c r="A89" s="79" t="s">
        <v>141</v>
      </c>
      <c r="B89" s="53" t="s">
        <v>142</v>
      </c>
      <c r="C89" s="82">
        <f>[9]С3!F20</f>
        <v>2.1999999999999999E-2</v>
      </c>
    </row>
    <row r="90" spans="1:3" s="66" customFormat="1" ht="14.25" x14ac:dyDescent="0.2">
      <c r="A90" s="79" t="s">
        <v>143</v>
      </c>
      <c r="B90" s="59" t="s">
        <v>87</v>
      </c>
      <c r="C90" s="65">
        <f>[9]С3!F21</f>
        <v>10</v>
      </c>
    </row>
    <row r="91" spans="1:3" s="66" customFormat="1" ht="17.25" x14ac:dyDescent="0.2">
      <c r="A91" s="79" t="s">
        <v>144</v>
      </c>
      <c r="B91" s="32" t="s">
        <v>145</v>
      </c>
      <c r="C91" s="33">
        <f>[9]С3!F22</f>
        <v>3.5065032141054981</v>
      </c>
    </row>
    <row r="92" spans="1:3" s="66" customFormat="1" ht="55.5" x14ac:dyDescent="0.2">
      <c r="A92" s="79" t="s">
        <v>146</v>
      </c>
      <c r="B92" s="53" t="s">
        <v>147</v>
      </c>
      <c r="C92" s="82">
        <f>[9]С3!F23</f>
        <v>3.0000000000000001E-3</v>
      </c>
    </row>
    <row r="93" spans="1:3" s="66" customFormat="1" ht="27.75" thickBot="1" x14ac:dyDescent="0.25">
      <c r="A93" s="83" t="s">
        <v>148</v>
      </c>
      <c r="B93" s="84" t="s">
        <v>241</v>
      </c>
      <c r="C93" s="85">
        <f>[9]С3!F24</f>
        <v>1168.8344047018327</v>
      </c>
    </row>
    <row r="94" spans="1:3" ht="13.5" thickBot="1" x14ac:dyDescent="0.25">
      <c r="A94" s="48"/>
      <c r="B94" s="49"/>
      <c r="C94" s="14"/>
    </row>
    <row r="95" spans="1:3" ht="30" customHeight="1" x14ac:dyDescent="0.2">
      <c r="A95" s="86" t="s">
        <v>149</v>
      </c>
      <c r="B95" s="146" t="s">
        <v>150</v>
      </c>
      <c r="C95" s="146"/>
    </row>
    <row r="96" spans="1:3" ht="30" x14ac:dyDescent="0.2">
      <c r="A96" s="60" t="s">
        <v>151</v>
      </c>
      <c r="B96" s="32" t="s">
        <v>242</v>
      </c>
      <c r="C96" s="33">
        <f>[9]С4!F16</f>
        <v>1652.5</v>
      </c>
    </row>
    <row r="97" spans="1:3" ht="30" x14ac:dyDescent="0.2">
      <c r="A97" s="60" t="s">
        <v>153</v>
      </c>
      <c r="B97" s="59" t="s">
        <v>243</v>
      </c>
      <c r="C97" s="33">
        <f>[9]С4!F17</f>
        <v>73547</v>
      </c>
    </row>
    <row r="98" spans="1:3" ht="33" x14ac:dyDescent="0.2">
      <c r="A98" s="60" t="s">
        <v>155</v>
      </c>
      <c r="B98" s="59" t="s">
        <v>156</v>
      </c>
      <c r="C98" s="41">
        <f>[9]С4!F18</f>
        <v>0.02</v>
      </c>
    </row>
    <row r="99" spans="1:3" ht="30" x14ac:dyDescent="0.2">
      <c r="A99" s="60" t="s">
        <v>157</v>
      </c>
      <c r="B99" s="59" t="s">
        <v>158</v>
      </c>
      <c r="C99" s="33">
        <f>[9]С4!F19</f>
        <v>12104</v>
      </c>
    </row>
    <row r="100" spans="1:3" ht="28.5" x14ac:dyDescent="0.2">
      <c r="A100" s="60" t="s">
        <v>159</v>
      </c>
      <c r="B100" s="59" t="s">
        <v>160</v>
      </c>
      <c r="C100" s="41">
        <f>[9]С4!F20</f>
        <v>1.4999999999999999E-2</v>
      </c>
    </row>
    <row r="101" spans="1:3" ht="30" x14ac:dyDescent="0.2">
      <c r="A101" s="60" t="s">
        <v>161</v>
      </c>
      <c r="B101" s="32" t="s">
        <v>244</v>
      </c>
      <c r="C101" s="33">
        <f>[9]С4!F21</f>
        <v>1933.1949342509995</v>
      </c>
    </row>
    <row r="102" spans="1:3" ht="24" customHeight="1" x14ac:dyDescent="0.2">
      <c r="A102" s="60" t="s">
        <v>163</v>
      </c>
      <c r="B102" s="53" t="s">
        <v>164</v>
      </c>
      <c r="C102" s="34">
        <f>IF([9]С4.2!F8="да",[9]С4.2!D21,[9]С4.2!D15)</f>
        <v>0</v>
      </c>
    </row>
    <row r="103" spans="1:3" ht="68.25" x14ac:dyDescent="0.2">
      <c r="A103" s="60" t="s">
        <v>165</v>
      </c>
      <c r="B103" s="53" t="s">
        <v>166</v>
      </c>
      <c r="C103" s="33">
        <f>[9]С4!F22</f>
        <v>3.6112641666666665</v>
      </c>
    </row>
    <row r="104" spans="1:3" ht="30" x14ac:dyDescent="0.2">
      <c r="A104" s="60" t="s">
        <v>167</v>
      </c>
      <c r="B104" s="59" t="s">
        <v>245</v>
      </c>
      <c r="C104" s="33">
        <f>[9]С4!F23</f>
        <v>180</v>
      </c>
    </row>
    <row r="105" spans="1:3" ht="14.25" x14ac:dyDescent="0.2">
      <c r="A105" s="60" t="s">
        <v>169</v>
      </c>
      <c r="B105" s="53" t="s">
        <v>170</v>
      </c>
      <c r="C105" s="33">
        <f>[9]С4!F24</f>
        <v>8497.1999999999989</v>
      </c>
    </row>
    <row r="106" spans="1:3" ht="14.25" x14ac:dyDescent="0.2">
      <c r="A106" s="60" t="s">
        <v>171</v>
      </c>
      <c r="B106" s="59" t="s">
        <v>172</v>
      </c>
      <c r="C106" s="41">
        <f>[9]С4!F25</f>
        <v>0.35</v>
      </c>
    </row>
    <row r="107" spans="1:3" ht="17.25" x14ac:dyDescent="0.2">
      <c r="A107" s="60" t="s">
        <v>173</v>
      </c>
      <c r="B107" s="32" t="s">
        <v>174</v>
      </c>
      <c r="C107" s="33">
        <f>[9]С4!F26</f>
        <v>64.789190000000005</v>
      </c>
    </row>
    <row r="108" spans="1:3" ht="25.5" x14ac:dyDescent="0.2">
      <c r="A108" s="60" t="s">
        <v>175</v>
      </c>
      <c r="B108" s="53" t="s">
        <v>101</v>
      </c>
      <c r="C108" s="34">
        <f>[9]С4.3!E16</f>
        <v>0</v>
      </c>
    </row>
    <row r="109" spans="1:3" ht="25.5" x14ac:dyDescent="0.2">
      <c r="A109" s="60" t="s">
        <v>176</v>
      </c>
      <c r="B109" s="53" t="s">
        <v>177</v>
      </c>
      <c r="C109" s="33">
        <f>[9]С4.3!E17</f>
        <v>17.37</v>
      </c>
    </row>
    <row r="110" spans="1:3" ht="38.25" x14ac:dyDescent="0.2">
      <c r="A110" s="60" t="s">
        <v>178</v>
      </c>
      <c r="B110" s="53" t="s">
        <v>113</v>
      </c>
      <c r="C110" s="34">
        <f>[9]С4.3!E18</f>
        <v>0</v>
      </c>
    </row>
    <row r="111" spans="1:3" x14ac:dyDescent="0.2">
      <c r="A111" s="60" t="s">
        <v>179</v>
      </c>
      <c r="B111" s="53" t="s">
        <v>180</v>
      </c>
      <c r="C111" s="33">
        <f>[9]С4.3!E19</f>
        <v>18.983333333333334</v>
      </c>
    </row>
    <row r="112" spans="1:3" x14ac:dyDescent="0.2">
      <c r="A112" s="60" t="s">
        <v>181</v>
      </c>
      <c r="B112" s="59" t="s">
        <v>182</v>
      </c>
      <c r="C112" s="33">
        <f>[9]С4.3!E11</f>
        <v>1871</v>
      </c>
    </row>
    <row r="113" spans="1:3" x14ac:dyDescent="0.2">
      <c r="A113" s="60" t="s">
        <v>183</v>
      </c>
      <c r="B113" s="59" t="s">
        <v>184</v>
      </c>
      <c r="C113" s="52">
        <f>[9]С4.3!E12</f>
        <v>1636</v>
      </c>
    </row>
    <row r="114" spans="1:3" x14ac:dyDescent="0.2">
      <c r="A114" s="60" t="s">
        <v>185</v>
      </c>
      <c r="B114" s="59" t="s">
        <v>186</v>
      </c>
      <c r="C114" s="52">
        <f>[9]С4.3!E13</f>
        <v>204</v>
      </c>
    </row>
    <row r="115" spans="1:3" ht="30" x14ac:dyDescent="0.2">
      <c r="A115" s="60" t="s">
        <v>187</v>
      </c>
      <c r="B115" s="32" t="s">
        <v>246</v>
      </c>
      <c r="C115" s="33">
        <f>[9]С4!F27</f>
        <v>1351.1912129385403</v>
      </c>
    </row>
    <row r="116" spans="1:3" ht="25.5" x14ac:dyDescent="0.2">
      <c r="A116" s="60" t="s">
        <v>189</v>
      </c>
      <c r="B116" s="53" t="s">
        <v>247</v>
      </c>
      <c r="C116" s="33">
        <f>[9]С4!F28</f>
        <v>1037.7812695380494</v>
      </c>
    </row>
    <row r="117" spans="1:3" ht="42.75" x14ac:dyDescent="0.2">
      <c r="A117" s="60" t="s">
        <v>191</v>
      </c>
      <c r="B117" s="53" t="s">
        <v>192</v>
      </c>
      <c r="C117" s="33">
        <f>[9]С4!F29</f>
        <v>313.40994340049093</v>
      </c>
    </row>
    <row r="118" spans="1:3" ht="30" x14ac:dyDescent="0.2">
      <c r="A118" s="60" t="s">
        <v>193</v>
      </c>
      <c r="B118" s="40" t="s">
        <v>194</v>
      </c>
      <c r="C118" s="33">
        <f>[9]С4!F30</f>
        <v>2407.3422623533297</v>
      </c>
    </row>
    <row r="119" spans="1:3" ht="42.75" x14ac:dyDescent="0.2">
      <c r="A119" s="60" t="s">
        <v>248</v>
      </c>
      <c r="B119" s="90" t="s">
        <v>249</v>
      </c>
      <c r="C119" s="33">
        <f>[9]С4!F33</f>
        <v>1670.7125714260549</v>
      </c>
    </row>
    <row r="120" spans="1:3" ht="30" x14ac:dyDescent="0.2">
      <c r="A120" s="60" t="s">
        <v>250</v>
      </c>
      <c r="B120" s="123" t="s">
        <v>251</v>
      </c>
      <c r="C120" s="33">
        <f>[9]С4!F35</f>
        <v>17.040680999999999</v>
      </c>
    </row>
    <row r="121" spans="1:3" ht="14.25" x14ac:dyDescent="0.2">
      <c r="A121" s="60" t="s">
        <v>252</v>
      </c>
      <c r="B121" s="56" t="s">
        <v>253</v>
      </c>
      <c r="C121" s="33">
        <f>[9]С4!F36</f>
        <v>14319.9</v>
      </c>
    </row>
    <row r="122" spans="1:3" ht="28.5" thickBot="1" x14ac:dyDescent="0.25">
      <c r="A122" s="75" t="s">
        <v>254</v>
      </c>
      <c r="B122" s="124" t="s">
        <v>255</v>
      </c>
      <c r="C122" s="85">
        <f>[9]С4!F37</f>
        <v>1.19</v>
      </c>
    </row>
    <row r="123" spans="1:3" s="88" customFormat="1" ht="13.5" thickBot="1" x14ac:dyDescent="0.25">
      <c r="A123" s="48"/>
      <c r="B123" s="49"/>
      <c r="C123" s="14"/>
    </row>
    <row r="124" spans="1:3" s="66" customFormat="1" ht="30" customHeight="1" x14ac:dyDescent="0.2">
      <c r="A124" s="78" t="s">
        <v>195</v>
      </c>
      <c r="B124" s="146" t="s">
        <v>196</v>
      </c>
      <c r="C124" s="146"/>
    </row>
    <row r="125" spans="1:3" ht="16.5" thickBot="1" x14ac:dyDescent="0.25">
      <c r="A125" s="26" t="s">
        <v>197</v>
      </c>
      <c r="B125" s="87" t="s">
        <v>198</v>
      </c>
      <c r="C125" s="85">
        <f>[9]С5!F17</f>
        <v>0.02</v>
      </c>
    </row>
    <row r="126" spans="1:3" s="88" customFormat="1" ht="13.5" thickBot="1" x14ac:dyDescent="0.25">
      <c r="A126" s="48"/>
      <c r="B126" s="49"/>
      <c r="C126" s="14"/>
    </row>
    <row r="127" spans="1:3" ht="42.75" customHeight="1" x14ac:dyDescent="0.2">
      <c r="A127" s="86" t="s">
        <v>199</v>
      </c>
      <c r="B127" s="148" t="s">
        <v>200</v>
      </c>
      <c r="C127" s="148"/>
    </row>
    <row r="128" spans="1:3" ht="68.25" x14ac:dyDescent="0.2">
      <c r="A128" s="60" t="s">
        <v>201</v>
      </c>
      <c r="B128" s="89" t="s">
        <v>202</v>
      </c>
      <c r="C128" s="33" t="s">
        <v>256</v>
      </c>
    </row>
    <row r="129" spans="1:4" ht="42.75" hidden="1" x14ac:dyDescent="0.2">
      <c r="A129" s="60" t="s">
        <v>203</v>
      </c>
      <c r="B129" s="90" t="s">
        <v>204</v>
      </c>
      <c r="C129" s="91"/>
    </row>
    <row r="130" spans="1:4" ht="69" thickBot="1" x14ac:dyDescent="0.25">
      <c r="A130" s="75" t="s">
        <v>205</v>
      </c>
      <c r="B130" s="125" t="s">
        <v>206</v>
      </c>
      <c r="C130" s="126" t="s">
        <v>256</v>
      </c>
    </row>
    <row r="131" spans="1:4" ht="62.25" hidden="1" customHeight="1" x14ac:dyDescent="0.2">
      <c r="A131" s="127" t="s">
        <v>207</v>
      </c>
      <c r="B131" s="128" t="s">
        <v>208</v>
      </c>
      <c r="C131" s="129"/>
    </row>
    <row r="132" spans="1:4" ht="68.25" hidden="1" x14ac:dyDescent="0.2">
      <c r="A132" s="60" t="s">
        <v>209</v>
      </c>
      <c r="B132" s="90" t="s">
        <v>257</v>
      </c>
      <c r="C132" s="35"/>
    </row>
    <row r="133" spans="1:4" ht="69" hidden="1" thickBot="1" x14ac:dyDescent="0.25">
      <c r="A133" s="75" t="s">
        <v>211</v>
      </c>
      <c r="B133" s="93" t="s">
        <v>212</v>
      </c>
      <c r="C133" s="77"/>
    </row>
    <row r="134" spans="1:4" s="88" customFormat="1" ht="13.5" thickBot="1" x14ac:dyDescent="0.25">
      <c r="A134" s="48"/>
      <c r="B134" s="49"/>
      <c r="C134" s="14"/>
    </row>
    <row r="135" spans="1:4" ht="26.25" customHeight="1" x14ac:dyDescent="0.2">
      <c r="A135" s="86" t="s">
        <v>213</v>
      </c>
      <c r="B135" s="94" t="s">
        <v>214</v>
      </c>
      <c r="C135" s="95">
        <f>[9]С2!F37</f>
        <v>20.818139999999996</v>
      </c>
    </row>
    <row r="136" spans="1:4" ht="14.25" x14ac:dyDescent="0.2">
      <c r="A136" s="60" t="s">
        <v>215</v>
      </c>
      <c r="B136" s="130" t="s">
        <v>216</v>
      </c>
      <c r="C136" s="33">
        <f>[9]С2!F38</f>
        <v>7</v>
      </c>
    </row>
    <row r="137" spans="1:4" ht="17.25" x14ac:dyDescent="0.2">
      <c r="A137" s="60" t="s">
        <v>217</v>
      </c>
      <c r="B137" s="130" t="s">
        <v>218</v>
      </c>
      <c r="C137" s="33">
        <f>[9]С2!F40</f>
        <v>0.97</v>
      </c>
    </row>
    <row r="138" spans="1:4" ht="15" thickBot="1" x14ac:dyDescent="0.25">
      <c r="A138" s="75" t="s">
        <v>219</v>
      </c>
      <c r="B138" s="131" t="s">
        <v>220</v>
      </c>
      <c r="C138" s="47">
        <f>[9]С2!F42</f>
        <v>0.35</v>
      </c>
    </row>
    <row r="139" spans="1:4" s="88" customFormat="1" ht="13.5" thickBot="1" x14ac:dyDescent="0.25">
      <c r="A139" s="48"/>
      <c r="B139" s="49"/>
      <c r="C139" s="14"/>
    </row>
    <row r="140" spans="1:4" ht="30" x14ac:dyDescent="0.2">
      <c r="A140" s="86" t="s">
        <v>221</v>
      </c>
      <c r="B140" s="96" t="s">
        <v>258</v>
      </c>
      <c r="C140" s="132">
        <f>[9]С2!F35</f>
        <v>1.3822747209000001</v>
      </c>
      <c r="D140" s="88"/>
    </row>
    <row r="141" spans="1:4" ht="22.7" customHeight="1" thickBot="1" x14ac:dyDescent="0.25">
      <c r="A141" s="75" t="s">
        <v>223</v>
      </c>
      <c r="B141" s="145" t="s">
        <v>224</v>
      </c>
      <c r="C141" s="145"/>
      <c r="D141" s="88"/>
    </row>
    <row r="142" spans="1:4" ht="13.5" thickBot="1" x14ac:dyDescent="0.25">
      <c r="A142" s="99"/>
      <c r="B142" s="133" t="s">
        <v>0</v>
      </c>
      <c r="C142" s="134"/>
      <c r="D142" s="88"/>
    </row>
    <row r="143" spans="1:4" x14ac:dyDescent="0.2">
      <c r="A143" s="99"/>
      <c r="B143" s="135">
        <v>2020</v>
      </c>
      <c r="C143" s="136">
        <f>[9]С2.5!$E$11</f>
        <v>-2.9000000000000026E-2</v>
      </c>
      <c r="D143" s="88"/>
    </row>
    <row r="144" spans="1:4" x14ac:dyDescent="0.2">
      <c r="A144" s="99"/>
      <c r="B144" s="106">
        <f>B143+1</f>
        <v>2021</v>
      </c>
      <c r="C144" s="137">
        <f>[9]С2.5!$F$11</f>
        <v>0.245</v>
      </c>
      <c r="D144" s="88"/>
    </row>
    <row r="145" spans="1:4" x14ac:dyDescent="0.2">
      <c r="A145" s="99"/>
      <c r="B145" s="106">
        <f t="shared" ref="B145:B208" si="0">B144+1</f>
        <v>2022</v>
      </c>
      <c r="C145" s="137">
        <f>[9]С2.5!$G$11</f>
        <v>0.121</v>
      </c>
      <c r="D145" s="88"/>
    </row>
    <row r="146" spans="1:4" ht="13.5" thickBot="1" x14ac:dyDescent="0.25">
      <c r="A146" s="99"/>
      <c r="B146" s="108">
        <f t="shared" si="0"/>
        <v>2023</v>
      </c>
      <c r="C146" s="138">
        <f>[9]С2.5!$H$11</f>
        <v>0.02</v>
      </c>
      <c r="D146" s="88"/>
    </row>
    <row r="147" spans="1:4" hidden="1" x14ac:dyDescent="0.2">
      <c r="A147" s="99"/>
      <c r="B147" s="139">
        <f t="shared" si="0"/>
        <v>2024</v>
      </c>
      <c r="C147" s="140">
        <f>[9]С2.5!$I$11</f>
        <v>-2.93E-2</v>
      </c>
      <c r="D147" s="88"/>
    </row>
    <row r="148" spans="1:4" hidden="1" x14ac:dyDescent="0.2">
      <c r="A148" s="99"/>
      <c r="B148" s="106">
        <f t="shared" si="0"/>
        <v>2025</v>
      </c>
      <c r="C148" s="137">
        <f>[9]С2.5!$J$11</f>
        <v>0.21215960863291</v>
      </c>
      <c r="D148" s="88"/>
    </row>
    <row r="149" spans="1:4" hidden="1" x14ac:dyDescent="0.2">
      <c r="A149" s="99"/>
      <c r="B149" s="106">
        <f t="shared" si="0"/>
        <v>2026</v>
      </c>
      <c r="C149" s="137">
        <f>[9]С2.5!$K$11</f>
        <v>3.5813361771260002E-2</v>
      </c>
      <c r="D149" s="88"/>
    </row>
    <row r="150" spans="1:4" hidden="1" x14ac:dyDescent="0.2">
      <c r="A150" s="99"/>
      <c r="B150" s="106">
        <f t="shared" si="0"/>
        <v>2027</v>
      </c>
      <c r="C150" s="137">
        <f>[9]С2.5!$L$11</f>
        <v>3.2682303599220003E-2</v>
      </c>
      <c r="D150" s="88"/>
    </row>
    <row r="151" spans="1:4" hidden="1" x14ac:dyDescent="0.2">
      <c r="A151" s="99"/>
      <c r="B151" s="106">
        <f t="shared" si="0"/>
        <v>2028</v>
      </c>
      <c r="C151" s="137">
        <f>[9]С2.5!$M$11</f>
        <v>0</v>
      </c>
      <c r="D151" s="88"/>
    </row>
    <row r="152" spans="1:4" hidden="1" x14ac:dyDescent="0.2">
      <c r="A152" s="99"/>
      <c r="B152" s="106">
        <f t="shared" si="0"/>
        <v>2029</v>
      </c>
      <c r="C152" s="137">
        <f>[9]С2.5!$N$11</f>
        <v>0</v>
      </c>
      <c r="D152" s="88"/>
    </row>
    <row r="153" spans="1:4" hidden="1" x14ac:dyDescent="0.2">
      <c r="A153" s="99"/>
      <c r="B153" s="106">
        <f t="shared" si="0"/>
        <v>2030</v>
      </c>
      <c r="C153" s="137">
        <f>[9]С2.5!$O$11</f>
        <v>0</v>
      </c>
      <c r="D153" s="88"/>
    </row>
    <row r="154" spans="1:4" hidden="1" x14ac:dyDescent="0.2">
      <c r="A154" s="99"/>
      <c r="B154" s="106">
        <f t="shared" si="0"/>
        <v>2031</v>
      </c>
      <c r="C154" s="137">
        <f>[9]С2.5!$P$11</f>
        <v>0</v>
      </c>
      <c r="D154" s="88"/>
    </row>
    <row r="155" spans="1:4" hidden="1" x14ac:dyDescent="0.2">
      <c r="A155" s="88"/>
      <c r="B155" s="106">
        <f t="shared" si="0"/>
        <v>2032</v>
      </c>
      <c r="C155" s="137">
        <f>[9]С2.5!$Q$11</f>
        <v>0</v>
      </c>
      <c r="D155" s="88"/>
    </row>
    <row r="156" spans="1:4" hidden="1" x14ac:dyDescent="0.2">
      <c r="A156" s="88"/>
      <c r="B156" s="106">
        <f t="shared" si="0"/>
        <v>2033</v>
      </c>
      <c r="C156" s="137">
        <f>[9]С2.5!$R$11</f>
        <v>0</v>
      </c>
      <c r="D156" s="88"/>
    </row>
    <row r="157" spans="1:4" hidden="1" x14ac:dyDescent="0.2">
      <c r="B157" s="106">
        <f t="shared" si="0"/>
        <v>2034</v>
      </c>
      <c r="C157" s="137">
        <f>[9]С2.5!$S$11</f>
        <v>0</v>
      </c>
    </row>
    <row r="158" spans="1:4" hidden="1" x14ac:dyDescent="0.2">
      <c r="B158" s="106">
        <f t="shared" si="0"/>
        <v>2035</v>
      </c>
      <c r="C158" s="137">
        <f>[9]С2.5!$T$11</f>
        <v>0</v>
      </c>
    </row>
    <row r="159" spans="1:4" hidden="1" x14ac:dyDescent="0.2">
      <c r="B159" s="106">
        <f t="shared" si="0"/>
        <v>2036</v>
      </c>
      <c r="C159" s="137">
        <f>[9]С2.5!$U$11</f>
        <v>0</v>
      </c>
    </row>
    <row r="160" spans="1:4" hidden="1" x14ac:dyDescent="0.2">
      <c r="B160" s="106">
        <f t="shared" si="0"/>
        <v>2037</v>
      </c>
      <c r="C160" s="137">
        <f>[9]С2.5!$V$11</f>
        <v>0</v>
      </c>
    </row>
    <row r="161" spans="2:3" hidden="1" x14ac:dyDescent="0.2">
      <c r="B161" s="106">
        <f t="shared" si="0"/>
        <v>2038</v>
      </c>
      <c r="C161" s="137">
        <f>[9]С2.5!$W$11</f>
        <v>0</v>
      </c>
    </row>
    <row r="162" spans="2:3" hidden="1" x14ac:dyDescent="0.2">
      <c r="B162" s="106">
        <f t="shared" si="0"/>
        <v>2039</v>
      </c>
      <c r="C162" s="137">
        <f>[9]С2.5!$X$11</f>
        <v>0</v>
      </c>
    </row>
    <row r="163" spans="2:3" hidden="1" x14ac:dyDescent="0.2">
      <c r="B163" s="106">
        <f t="shared" si="0"/>
        <v>2040</v>
      </c>
      <c r="C163" s="137">
        <f>[9]С2.5!$Y$11</f>
        <v>0</v>
      </c>
    </row>
    <row r="164" spans="2:3" hidden="1" x14ac:dyDescent="0.2">
      <c r="B164" s="106">
        <f t="shared" si="0"/>
        <v>2041</v>
      </c>
      <c r="C164" s="137">
        <f>[9]С2.5!$Z$11</f>
        <v>0</v>
      </c>
    </row>
    <row r="165" spans="2:3" hidden="1" x14ac:dyDescent="0.2">
      <c r="B165" s="106">
        <f t="shared" si="0"/>
        <v>2042</v>
      </c>
      <c r="C165" s="137">
        <f>[9]С2.5!$AA$11</f>
        <v>0</v>
      </c>
    </row>
    <row r="166" spans="2:3" hidden="1" x14ac:dyDescent="0.2">
      <c r="B166" s="106">
        <f t="shared" si="0"/>
        <v>2043</v>
      </c>
      <c r="C166" s="137">
        <f>[9]С2.5!$AB$11</f>
        <v>0</v>
      </c>
    </row>
    <row r="167" spans="2:3" hidden="1" x14ac:dyDescent="0.2">
      <c r="B167" s="106">
        <f t="shared" si="0"/>
        <v>2044</v>
      </c>
      <c r="C167" s="137">
        <f>[9]С2.5!$AC$11</f>
        <v>0</v>
      </c>
    </row>
    <row r="168" spans="2:3" hidden="1" x14ac:dyDescent="0.2">
      <c r="B168" s="106">
        <f t="shared" si="0"/>
        <v>2045</v>
      </c>
      <c r="C168" s="137">
        <f>[9]С2.5!$AD$11</f>
        <v>0</v>
      </c>
    </row>
    <row r="169" spans="2:3" hidden="1" x14ac:dyDescent="0.2">
      <c r="B169" s="106">
        <f t="shared" si="0"/>
        <v>2046</v>
      </c>
      <c r="C169" s="137">
        <f>[9]С2.5!$AE$11</f>
        <v>0</v>
      </c>
    </row>
    <row r="170" spans="2:3" hidden="1" x14ac:dyDescent="0.2">
      <c r="B170" s="106">
        <f t="shared" si="0"/>
        <v>2047</v>
      </c>
      <c r="C170" s="137">
        <f>[9]С2.5!$AF$11</f>
        <v>0</v>
      </c>
    </row>
    <row r="171" spans="2:3" hidden="1" x14ac:dyDescent="0.2">
      <c r="B171" s="106">
        <f t="shared" si="0"/>
        <v>2048</v>
      </c>
      <c r="C171" s="137">
        <f>[9]С2.5!$AG$11</f>
        <v>0</v>
      </c>
    </row>
    <row r="172" spans="2:3" hidden="1" x14ac:dyDescent="0.2">
      <c r="B172" s="106">
        <f t="shared" si="0"/>
        <v>2049</v>
      </c>
      <c r="C172" s="137">
        <f>[9]С2.5!$AH$11</f>
        <v>0</v>
      </c>
    </row>
    <row r="173" spans="2:3" hidden="1" x14ac:dyDescent="0.2">
      <c r="B173" s="106">
        <f t="shared" si="0"/>
        <v>2050</v>
      </c>
      <c r="C173" s="137">
        <f>[9]С2.5!$AI$11</f>
        <v>0</v>
      </c>
    </row>
    <row r="174" spans="2:3" hidden="1" x14ac:dyDescent="0.2">
      <c r="B174" s="106">
        <f t="shared" si="0"/>
        <v>2051</v>
      </c>
      <c r="C174" s="137">
        <f>[9]С2.5!$AJ$11</f>
        <v>0</v>
      </c>
    </row>
    <row r="175" spans="2:3" hidden="1" x14ac:dyDescent="0.2">
      <c r="B175" s="106">
        <f t="shared" si="0"/>
        <v>2052</v>
      </c>
      <c r="C175" s="137">
        <f>[9]С2.5!$AK$11</f>
        <v>0</v>
      </c>
    </row>
    <row r="176" spans="2:3" hidden="1" x14ac:dyDescent="0.2">
      <c r="B176" s="106">
        <f t="shared" si="0"/>
        <v>2053</v>
      </c>
      <c r="C176" s="137">
        <f>[9]С2.5!$AL$11</f>
        <v>0</v>
      </c>
    </row>
    <row r="177" spans="2:3" hidden="1" x14ac:dyDescent="0.2">
      <c r="B177" s="106">
        <f t="shared" si="0"/>
        <v>2054</v>
      </c>
      <c r="C177" s="137">
        <f>[9]С2.5!$AM$11</f>
        <v>0</v>
      </c>
    </row>
    <row r="178" spans="2:3" hidden="1" x14ac:dyDescent="0.2">
      <c r="B178" s="106">
        <f t="shared" si="0"/>
        <v>2055</v>
      </c>
      <c r="C178" s="137">
        <f>[9]С2.5!$AN$11</f>
        <v>0</v>
      </c>
    </row>
    <row r="179" spans="2:3" hidden="1" x14ac:dyDescent="0.2">
      <c r="B179" s="106">
        <f t="shared" si="0"/>
        <v>2056</v>
      </c>
      <c r="C179" s="137">
        <f>[9]С2.5!$AO$11</f>
        <v>0</v>
      </c>
    </row>
    <row r="180" spans="2:3" hidden="1" x14ac:dyDescent="0.2">
      <c r="B180" s="106">
        <f t="shared" si="0"/>
        <v>2057</v>
      </c>
      <c r="C180" s="137">
        <f>[9]С2.5!$AP$11</f>
        <v>0</v>
      </c>
    </row>
    <row r="181" spans="2:3" hidden="1" x14ac:dyDescent="0.2">
      <c r="B181" s="106">
        <f t="shared" si="0"/>
        <v>2058</v>
      </c>
      <c r="C181" s="137">
        <f>[9]С2.5!$AQ$11</f>
        <v>0</v>
      </c>
    </row>
    <row r="182" spans="2:3" hidden="1" x14ac:dyDescent="0.2">
      <c r="B182" s="106">
        <f t="shared" si="0"/>
        <v>2059</v>
      </c>
      <c r="C182" s="137">
        <f>[9]С2.5!$AR$11</f>
        <v>0</v>
      </c>
    </row>
    <row r="183" spans="2:3" hidden="1" x14ac:dyDescent="0.2">
      <c r="B183" s="106">
        <f t="shared" si="0"/>
        <v>2060</v>
      </c>
      <c r="C183" s="137">
        <f>[9]С2.5!$AS$11</f>
        <v>0</v>
      </c>
    </row>
    <row r="184" spans="2:3" hidden="1" x14ac:dyDescent="0.2">
      <c r="B184" s="106">
        <f t="shared" si="0"/>
        <v>2061</v>
      </c>
      <c r="C184" s="137">
        <f>[9]С2.5!$AT$11</f>
        <v>0</v>
      </c>
    </row>
    <row r="185" spans="2:3" hidden="1" x14ac:dyDescent="0.2">
      <c r="B185" s="106">
        <f t="shared" si="0"/>
        <v>2062</v>
      </c>
      <c r="C185" s="137">
        <f>[9]С2.5!$AU$11</f>
        <v>0</v>
      </c>
    </row>
    <row r="186" spans="2:3" hidden="1" x14ac:dyDescent="0.2">
      <c r="B186" s="106">
        <f t="shared" si="0"/>
        <v>2063</v>
      </c>
      <c r="C186" s="137">
        <f>[9]С2.5!$AV$11</f>
        <v>0</v>
      </c>
    </row>
    <row r="187" spans="2:3" hidden="1" x14ac:dyDescent="0.2">
      <c r="B187" s="106">
        <f t="shared" si="0"/>
        <v>2064</v>
      </c>
      <c r="C187" s="137">
        <f>[9]С2.5!$AW$11</f>
        <v>0</v>
      </c>
    </row>
    <row r="188" spans="2:3" hidden="1" x14ac:dyDescent="0.2">
      <c r="B188" s="106">
        <f t="shared" si="0"/>
        <v>2065</v>
      </c>
      <c r="C188" s="137">
        <f>[9]С2.5!$AX$11</f>
        <v>0</v>
      </c>
    </row>
    <row r="189" spans="2:3" hidden="1" x14ac:dyDescent="0.2">
      <c r="B189" s="106">
        <f t="shared" si="0"/>
        <v>2066</v>
      </c>
      <c r="C189" s="137">
        <f>[9]С2.5!$AY$11</f>
        <v>0</v>
      </c>
    </row>
    <row r="190" spans="2:3" hidden="1" x14ac:dyDescent="0.2">
      <c r="B190" s="106">
        <f t="shared" si="0"/>
        <v>2067</v>
      </c>
      <c r="C190" s="137">
        <f>[9]С2.5!$AZ$11</f>
        <v>0</v>
      </c>
    </row>
    <row r="191" spans="2:3" hidden="1" x14ac:dyDescent="0.2">
      <c r="B191" s="106">
        <f t="shared" si="0"/>
        <v>2068</v>
      </c>
      <c r="C191" s="137">
        <f>[9]С2.5!$BA$11</f>
        <v>0</v>
      </c>
    </row>
    <row r="192" spans="2:3" hidden="1" x14ac:dyDescent="0.2">
      <c r="B192" s="106">
        <f t="shared" si="0"/>
        <v>2069</v>
      </c>
      <c r="C192" s="137">
        <f>[9]С2.5!$BB$11</f>
        <v>0</v>
      </c>
    </row>
    <row r="193" spans="2:3" hidden="1" x14ac:dyDescent="0.2">
      <c r="B193" s="106">
        <f t="shared" si="0"/>
        <v>2070</v>
      </c>
      <c r="C193" s="137">
        <f>[9]С2.5!$BC$11</f>
        <v>0</v>
      </c>
    </row>
    <row r="194" spans="2:3" hidden="1" x14ac:dyDescent="0.2">
      <c r="B194" s="106">
        <f t="shared" si="0"/>
        <v>2071</v>
      </c>
      <c r="C194" s="137">
        <f>[9]С2.5!$BD$11</f>
        <v>0</v>
      </c>
    </row>
    <row r="195" spans="2:3" hidden="1" x14ac:dyDescent="0.2">
      <c r="B195" s="106">
        <f t="shared" si="0"/>
        <v>2072</v>
      </c>
      <c r="C195" s="137">
        <f>[9]С2.5!$BE$11</f>
        <v>0</v>
      </c>
    </row>
    <row r="196" spans="2:3" hidden="1" x14ac:dyDescent="0.2">
      <c r="B196" s="106">
        <f t="shared" si="0"/>
        <v>2073</v>
      </c>
      <c r="C196" s="137">
        <f>[9]С2.5!$BF$11</f>
        <v>0</v>
      </c>
    </row>
    <row r="197" spans="2:3" hidden="1" x14ac:dyDescent="0.2">
      <c r="B197" s="106">
        <f t="shared" si="0"/>
        <v>2074</v>
      </c>
      <c r="C197" s="137">
        <f>[9]С2.5!$BG$11</f>
        <v>0</v>
      </c>
    </row>
    <row r="198" spans="2:3" hidden="1" x14ac:dyDescent="0.2">
      <c r="B198" s="106">
        <f t="shared" si="0"/>
        <v>2075</v>
      </c>
      <c r="C198" s="137">
        <f>[9]С2.5!$BH$11</f>
        <v>0</v>
      </c>
    </row>
    <row r="199" spans="2:3" hidden="1" x14ac:dyDescent="0.2">
      <c r="B199" s="106">
        <f t="shared" si="0"/>
        <v>2076</v>
      </c>
      <c r="C199" s="137">
        <f>[9]С2.5!$BI$11</f>
        <v>0</v>
      </c>
    </row>
    <row r="200" spans="2:3" hidden="1" x14ac:dyDescent="0.2">
      <c r="B200" s="106">
        <f t="shared" si="0"/>
        <v>2077</v>
      </c>
      <c r="C200" s="137">
        <f>[9]С2.5!$BJ$11</f>
        <v>0</v>
      </c>
    </row>
    <row r="201" spans="2:3" hidden="1" x14ac:dyDescent="0.2">
      <c r="B201" s="106">
        <f t="shared" si="0"/>
        <v>2078</v>
      </c>
      <c r="C201" s="137">
        <f>[9]С2.5!$BK$11</f>
        <v>0</v>
      </c>
    </row>
    <row r="202" spans="2:3" hidden="1" x14ac:dyDescent="0.2">
      <c r="B202" s="106">
        <f t="shared" si="0"/>
        <v>2079</v>
      </c>
      <c r="C202" s="137">
        <f>[9]С2.5!$BL$11</f>
        <v>0</v>
      </c>
    </row>
    <row r="203" spans="2:3" hidden="1" x14ac:dyDescent="0.2">
      <c r="B203" s="106">
        <f t="shared" si="0"/>
        <v>2080</v>
      </c>
      <c r="C203" s="137">
        <f>[9]С2.5!$BM$11</f>
        <v>0</v>
      </c>
    </row>
    <row r="204" spans="2:3" hidden="1" x14ac:dyDescent="0.2">
      <c r="B204" s="106">
        <f t="shared" si="0"/>
        <v>2081</v>
      </c>
      <c r="C204" s="137">
        <f>[9]С2.5!$BN$11</f>
        <v>0</v>
      </c>
    </row>
    <row r="205" spans="2:3" hidden="1" x14ac:dyDescent="0.2">
      <c r="B205" s="106">
        <f t="shared" si="0"/>
        <v>2082</v>
      </c>
      <c r="C205" s="137">
        <f>[9]С2.5!$BO$11</f>
        <v>0</v>
      </c>
    </row>
    <row r="206" spans="2:3" hidden="1" x14ac:dyDescent="0.2">
      <c r="B206" s="106">
        <f t="shared" si="0"/>
        <v>2083</v>
      </c>
      <c r="C206" s="137">
        <f>[9]С2.5!$BP$11</f>
        <v>0</v>
      </c>
    </row>
    <row r="207" spans="2:3" hidden="1" x14ac:dyDescent="0.2">
      <c r="B207" s="106">
        <f t="shared" si="0"/>
        <v>2084</v>
      </c>
      <c r="C207" s="137">
        <f>[9]С2.5!$BQ$11</f>
        <v>0</v>
      </c>
    </row>
    <row r="208" spans="2:3" hidden="1" x14ac:dyDescent="0.2">
      <c r="B208" s="106">
        <f t="shared" si="0"/>
        <v>2085</v>
      </c>
      <c r="C208" s="137">
        <f>[9]С2.5!$BR$11</f>
        <v>0</v>
      </c>
    </row>
    <row r="209" spans="2:3" hidden="1" x14ac:dyDescent="0.2">
      <c r="B209" s="106">
        <f t="shared" ref="B209:B223" si="1">B208+1</f>
        <v>2086</v>
      </c>
      <c r="C209" s="137">
        <f>[9]С2.5!$BS$11</f>
        <v>0</v>
      </c>
    </row>
    <row r="210" spans="2:3" hidden="1" x14ac:dyDescent="0.2">
      <c r="B210" s="106">
        <f t="shared" si="1"/>
        <v>2087</v>
      </c>
      <c r="C210" s="137">
        <f>[9]С2.5!$BT$11</f>
        <v>0</v>
      </c>
    </row>
    <row r="211" spans="2:3" hidden="1" x14ac:dyDescent="0.2">
      <c r="B211" s="106">
        <f t="shared" si="1"/>
        <v>2088</v>
      </c>
      <c r="C211" s="137">
        <f>[9]С2.5!$BU$11</f>
        <v>0</v>
      </c>
    </row>
    <row r="212" spans="2:3" hidden="1" x14ac:dyDescent="0.2">
      <c r="B212" s="106">
        <f t="shared" si="1"/>
        <v>2089</v>
      </c>
      <c r="C212" s="137">
        <f>[9]С2.5!$BV$11</f>
        <v>0</v>
      </c>
    </row>
    <row r="213" spans="2:3" hidden="1" x14ac:dyDescent="0.2">
      <c r="B213" s="106">
        <f t="shared" si="1"/>
        <v>2090</v>
      </c>
      <c r="C213" s="137">
        <f>[9]С2.5!$BW$11</f>
        <v>0</v>
      </c>
    </row>
    <row r="214" spans="2:3" hidden="1" x14ac:dyDescent="0.2">
      <c r="B214" s="106">
        <f t="shared" si="1"/>
        <v>2091</v>
      </c>
      <c r="C214" s="137">
        <f>[9]С2.5!$BX$11</f>
        <v>0</v>
      </c>
    </row>
    <row r="215" spans="2:3" hidden="1" x14ac:dyDescent="0.2">
      <c r="B215" s="106">
        <f t="shared" si="1"/>
        <v>2092</v>
      </c>
      <c r="C215" s="137">
        <f>[9]С2.5!$BY$11</f>
        <v>0</v>
      </c>
    </row>
    <row r="216" spans="2:3" hidden="1" x14ac:dyDescent="0.2">
      <c r="B216" s="106">
        <f t="shared" si="1"/>
        <v>2093</v>
      </c>
      <c r="C216" s="137">
        <f>[9]С2.5!$BZ$11</f>
        <v>0</v>
      </c>
    </row>
    <row r="217" spans="2:3" hidden="1" x14ac:dyDescent="0.2">
      <c r="B217" s="106">
        <f t="shared" si="1"/>
        <v>2094</v>
      </c>
      <c r="C217" s="137">
        <f>[9]С2.5!$CA$11</f>
        <v>0</v>
      </c>
    </row>
    <row r="218" spans="2:3" hidden="1" x14ac:dyDescent="0.2">
      <c r="B218" s="106">
        <f t="shared" si="1"/>
        <v>2095</v>
      </c>
      <c r="C218" s="137">
        <f>[9]С2.5!$CB$11</f>
        <v>0</v>
      </c>
    </row>
    <row r="219" spans="2:3" hidden="1" x14ac:dyDescent="0.2">
      <c r="B219" s="106">
        <f t="shared" si="1"/>
        <v>2096</v>
      </c>
      <c r="C219" s="137">
        <f>[9]С2.5!$CC$11</f>
        <v>0</v>
      </c>
    </row>
    <row r="220" spans="2:3" hidden="1" x14ac:dyDescent="0.2">
      <c r="B220" s="106">
        <f t="shared" si="1"/>
        <v>2097</v>
      </c>
      <c r="C220" s="137">
        <f>[9]С2.5!$CD$11</f>
        <v>0</v>
      </c>
    </row>
    <row r="221" spans="2:3" hidden="1" x14ac:dyDescent="0.2">
      <c r="B221" s="106">
        <f t="shared" si="1"/>
        <v>2098</v>
      </c>
      <c r="C221" s="137">
        <f>[9]С2.5!$CE$11</f>
        <v>0</v>
      </c>
    </row>
    <row r="222" spans="2:3" hidden="1" x14ac:dyDescent="0.2">
      <c r="B222" s="106">
        <f t="shared" si="1"/>
        <v>2099</v>
      </c>
      <c r="C222" s="137">
        <f>[9]С2.5!$CF$11</f>
        <v>0</v>
      </c>
    </row>
    <row r="223" spans="2:3" ht="13.5" hidden="1" thickBot="1" x14ac:dyDescent="0.25">
      <c r="B223" s="108">
        <f t="shared" si="1"/>
        <v>2100</v>
      </c>
      <c r="C223" s="138">
        <f>[9]С2.5!$CG$11</f>
        <v>0</v>
      </c>
    </row>
    <row r="224" spans="2:3" hidden="1" x14ac:dyDescent="0.2">
      <c r="C224" s="141"/>
    </row>
    <row r="225" spans="3:3" hidden="1" x14ac:dyDescent="0.2">
      <c r="C225" s="141"/>
    </row>
    <row r="226" spans="3:3" x14ac:dyDescent="0.2">
      <c r="C226" s="141"/>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8193" r:id="rId4" name="Button 1">
              <controlPr defaultSize="0" print="0" autoFill="0" autoPict="0" macro="[9]!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7.28515625" style="2" customWidth="1"/>
    <col min="2" max="2" width="100.7109375" style="2" customWidth="1"/>
    <col min="3" max="3" width="20.85546875" style="112" customWidth="1"/>
    <col min="4" max="4" width="5.140625" style="2" customWidth="1"/>
    <col min="5" max="5" width="17.5703125" style="2" customWidth="1"/>
    <col min="6" max="158" width="9.140625" style="2"/>
    <col min="159" max="240" width="0" style="2" hidden="1" customWidth="1"/>
    <col min="241" max="249" width="9.140625" style="2"/>
    <col min="250" max="250" width="3.710937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710937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710937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710937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710937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710937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710937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710937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710937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710937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710937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710937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710937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710937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710937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710937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710937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710937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710937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710937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710937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710937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710937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710937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710937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710937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710937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710937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710937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710937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710937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710937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710937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710937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710937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710937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710937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710937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710937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710937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710937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710937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710937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710937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710937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710937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710937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710937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710937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710937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710937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710937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710937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710937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710937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710937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710937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710937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710937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710937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710937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710937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710937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2" t="s">
        <v>1</v>
      </c>
      <c r="C1" s="142"/>
    </row>
    <row r="2" spans="1:3" x14ac:dyDescent="0.2">
      <c r="A2" s="1"/>
      <c r="B2" s="3" t="s">
        <v>2</v>
      </c>
      <c r="C2" s="4">
        <f ca="1">TODAY()</f>
        <v>44944</v>
      </c>
    </row>
    <row r="3" spans="1:3" x14ac:dyDescent="0.2">
      <c r="A3" s="1"/>
      <c r="B3" s="5" t="s">
        <v>3</v>
      </c>
      <c r="C3" s="6"/>
    </row>
    <row r="4" spans="1:3" ht="25.5" x14ac:dyDescent="0.2">
      <c r="A4" s="7"/>
      <c r="B4" s="8" t="str">
        <f>[10]И1!D13</f>
        <v>Субъект Российской Федерации</v>
      </c>
      <c r="C4" s="9" t="str">
        <f>[10]И1!E13</f>
        <v>Новосибирская область</v>
      </c>
    </row>
    <row r="5" spans="1:3" ht="15.95" customHeight="1" x14ac:dyDescent="0.2">
      <c r="A5" s="7"/>
      <c r="B5" s="8" t="str">
        <f>[10]И1!D14</f>
        <v>Тип муниципального образования (выберите из списка)</v>
      </c>
      <c r="C5" s="9" t="str">
        <f>[10]И1!E14</f>
        <v>село Красный Яр, Ордынский муниципальный район</v>
      </c>
    </row>
    <row r="6" spans="1:3" x14ac:dyDescent="0.2">
      <c r="A6" s="7"/>
      <c r="B6" s="8" t="str">
        <f>IF([10]И1!E15="","",[10]И1!D15)</f>
        <v/>
      </c>
      <c r="C6" s="6" t="str">
        <f>IF([10]И1!E15="","",[10]И1!E15)</f>
        <v/>
      </c>
    </row>
    <row r="7" spans="1:3" x14ac:dyDescent="0.2">
      <c r="A7" s="7"/>
      <c r="B7" s="8" t="str">
        <f>[10]И1!D16</f>
        <v>Код ОКТМО</v>
      </c>
      <c r="C7" s="10" t="str">
        <f>[10]И1!E16</f>
        <v>50642413101</v>
      </c>
    </row>
    <row r="8" spans="1:3" x14ac:dyDescent="0.2">
      <c r="A8" s="7"/>
      <c r="B8" s="11" t="str">
        <f>[10]И1!D17</f>
        <v>Система теплоснабжения</v>
      </c>
      <c r="C8" s="12">
        <f>[10]И1!E17</f>
        <v>0</v>
      </c>
    </row>
    <row r="9" spans="1:3" x14ac:dyDescent="0.2">
      <c r="A9" s="7"/>
      <c r="B9" s="8" t="str">
        <f>[10]И1!D8</f>
        <v>Период регулирования (i)-й</v>
      </c>
      <c r="C9" s="13">
        <f>[10]И1!E8</f>
        <v>2023</v>
      </c>
    </row>
    <row r="10" spans="1:3" x14ac:dyDescent="0.2">
      <c r="A10" s="7"/>
      <c r="B10" s="8" t="str">
        <f>[10]И1!D9</f>
        <v>Период регулирования (i-1)-й</v>
      </c>
      <c r="C10" s="13">
        <f>[10]И1!E9</f>
        <v>2022</v>
      </c>
    </row>
    <row r="11" spans="1:3" x14ac:dyDescent="0.2">
      <c r="A11" s="7"/>
      <c r="B11" s="8" t="str">
        <f>[10]И1!D10</f>
        <v>Период регулирования (i-2)-й</v>
      </c>
      <c r="C11" s="13">
        <f>[10]И1!E10</f>
        <v>2021</v>
      </c>
    </row>
    <row r="12" spans="1:3" x14ac:dyDescent="0.2">
      <c r="A12" s="7"/>
      <c r="B12" s="8" t="str">
        <f>[10]И1!D11</f>
        <v>Базовый год (б)</v>
      </c>
      <c r="C12" s="13">
        <f>[10]И1!E11</f>
        <v>2019</v>
      </c>
    </row>
    <row r="13" spans="1:3" x14ac:dyDescent="0.2">
      <c r="A13" s="7"/>
      <c r="B13" s="8" t="str">
        <f>[10]И1!D18</f>
        <v>Вид топлива, использование которого преобладает в системе теплоснабжения</v>
      </c>
      <c r="C13" s="14" t="str">
        <f>[10]И1!E18</f>
        <v>Газ</v>
      </c>
    </row>
    <row r="14" spans="1:3" ht="26.25" customHeight="1" thickBot="1" x14ac:dyDescent="0.25">
      <c r="A14" s="143" t="s">
        <v>4</v>
      </c>
      <c r="B14" s="143"/>
      <c r="C14" s="143"/>
    </row>
    <row r="15" spans="1:3" x14ac:dyDescent="0.2">
      <c r="A15" s="15" t="s">
        <v>5</v>
      </c>
      <c r="B15" s="16" t="s">
        <v>6</v>
      </c>
      <c r="C15" s="17" t="s">
        <v>7</v>
      </c>
    </row>
    <row r="16" spans="1:3" x14ac:dyDescent="0.2">
      <c r="A16" s="18">
        <v>1</v>
      </c>
      <c r="B16" s="19">
        <v>2</v>
      </c>
      <c r="C16" s="20">
        <v>3</v>
      </c>
    </row>
    <row r="17" spans="1:3" x14ac:dyDescent="0.2">
      <c r="A17" s="21">
        <v>1</v>
      </c>
      <c r="B17" s="22" t="s">
        <v>8</v>
      </c>
      <c r="C17" s="23">
        <f>SUM(C18:C23)</f>
        <v>2943.0088616798198</v>
      </c>
    </row>
    <row r="18" spans="1:3" ht="42.75" x14ac:dyDescent="0.2">
      <c r="A18" s="21" t="s">
        <v>9</v>
      </c>
      <c r="B18" s="24" t="s">
        <v>10</v>
      </c>
      <c r="C18" s="25">
        <f>[10]С1!F12</f>
        <v>912.75572352910331</v>
      </c>
    </row>
    <row r="19" spans="1:3" ht="42.75" x14ac:dyDescent="0.2">
      <c r="A19" s="21" t="s">
        <v>11</v>
      </c>
      <c r="B19" s="24" t="s">
        <v>12</v>
      </c>
      <c r="C19" s="25">
        <f>[10]С2!F12</f>
        <v>1416.3895121306814</v>
      </c>
    </row>
    <row r="20" spans="1:3" ht="30" x14ac:dyDescent="0.2">
      <c r="A20" s="21" t="s">
        <v>13</v>
      </c>
      <c r="B20" s="24" t="s">
        <v>14</v>
      </c>
      <c r="C20" s="25">
        <f>[10]С3!F12</f>
        <v>338.69535278862691</v>
      </c>
    </row>
    <row r="21" spans="1:3" ht="42.75" x14ac:dyDescent="0.2">
      <c r="A21" s="21" t="s">
        <v>15</v>
      </c>
      <c r="B21" s="24" t="s">
        <v>16</v>
      </c>
      <c r="C21" s="25">
        <f>[10]С4!F12</f>
        <v>217.46221712003879</v>
      </c>
    </row>
    <row r="22" spans="1:3" ht="33" customHeight="1" x14ac:dyDescent="0.2">
      <c r="A22" s="21" t="s">
        <v>17</v>
      </c>
      <c r="B22" s="24" t="s">
        <v>18</v>
      </c>
      <c r="C22" s="25">
        <f>[10]С5!F12</f>
        <v>57.706056111369016</v>
      </c>
    </row>
    <row r="23" spans="1:3" ht="45.75" customHeight="1" thickBot="1" x14ac:dyDescent="0.25">
      <c r="A23" s="26" t="s">
        <v>19</v>
      </c>
      <c r="B23" s="98" t="s">
        <v>20</v>
      </c>
      <c r="C23" s="28">
        <f>[10]С6!F12</f>
        <v>0</v>
      </c>
    </row>
    <row r="24" spans="1:3" ht="13.5" thickBot="1" x14ac:dyDescent="0.25">
      <c r="A24" s="1"/>
      <c r="C24" s="6"/>
    </row>
    <row r="25" spans="1:3" x14ac:dyDescent="0.2">
      <c r="A25" s="15" t="s">
        <v>5</v>
      </c>
      <c r="B25" s="29" t="s">
        <v>6</v>
      </c>
      <c r="C25" s="16" t="s">
        <v>7</v>
      </c>
    </row>
    <row r="26" spans="1:3" x14ac:dyDescent="0.2">
      <c r="A26" s="18">
        <v>1</v>
      </c>
      <c r="B26" s="30">
        <v>2</v>
      </c>
      <c r="C26" s="31">
        <v>3</v>
      </c>
    </row>
    <row r="27" spans="1:3" ht="30" customHeight="1" x14ac:dyDescent="0.2">
      <c r="A27" s="21">
        <v>1</v>
      </c>
      <c r="B27" s="144" t="s">
        <v>21</v>
      </c>
      <c r="C27" s="144"/>
    </row>
    <row r="28" spans="1:3" x14ac:dyDescent="0.2">
      <c r="A28" s="21" t="s">
        <v>9</v>
      </c>
      <c r="B28" s="32" t="s">
        <v>22</v>
      </c>
      <c r="C28" s="33">
        <f>[10]С1.1!E16</f>
        <v>7900</v>
      </c>
    </row>
    <row r="29" spans="1:3" ht="42.75" x14ac:dyDescent="0.2">
      <c r="A29" s="21" t="s">
        <v>11</v>
      </c>
      <c r="B29" s="32" t="s">
        <v>23</v>
      </c>
      <c r="C29" s="33">
        <f>[10]С1.1!E32</f>
        <v>5591.16</v>
      </c>
    </row>
    <row r="30" spans="1:3" ht="38.25" x14ac:dyDescent="0.2">
      <c r="A30" s="21" t="s">
        <v>24</v>
      </c>
      <c r="B30" s="32" t="s">
        <v>25</v>
      </c>
      <c r="C30" s="34" t="str">
        <f>[10]С1.1!E25</f>
        <v>ООО "Газпром газораспределение Томск"</v>
      </c>
    </row>
    <row r="31" spans="1:3" ht="38.25" x14ac:dyDescent="0.2">
      <c r="A31" s="21" t="s">
        <v>26</v>
      </c>
      <c r="B31" s="32" t="str">
        <f>[10]С1.1!D26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3">
        <f>[10]С1.1!E26</f>
        <v>4475.5</v>
      </c>
    </row>
    <row r="32" spans="1:3" ht="25.5" x14ac:dyDescent="0.2">
      <c r="A32" s="21" t="s">
        <v>27</v>
      </c>
      <c r="B32" s="32" t="str">
        <f>[10]С1.1!D27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3">
        <f>[10]С1.1!E27</f>
        <v>952.13</v>
      </c>
    </row>
    <row r="33" spans="1:3" ht="25.5" x14ac:dyDescent="0.2">
      <c r="A33" s="21" t="s">
        <v>28</v>
      </c>
      <c r="B33" s="32" t="str">
        <f>[10]С1.1!D28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3">
        <f>[10]С1.1!E28</f>
        <v>132.9</v>
      </c>
    </row>
    <row r="34" spans="1:3" ht="38.25" x14ac:dyDescent="0.2">
      <c r="A34" s="21" t="s">
        <v>29</v>
      </c>
      <c r="B34" s="32" t="str">
        <f>[10]С1.1!D29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3">
        <f>[10]С1.1!E29</f>
        <v>30.63</v>
      </c>
    </row>
    <row r="35" spans="1:3" ht="17.25" x14ac:dyDescent="0.2">
      <c r="A35" s="21" t="s">
        <v>13</v>
      </c>
      <c r="B35" s="32" t="s">
        <v>30</v>
      </c>
      <c r="C35" s="35">
        <f>[10]С1.1!E20</f>
        <v>0.1392500000000001</v>
      </c>
    </row>
    <row r="36" spans="1:3" ht="17.25" x14ac:dyDescent="0.2">
      <c r="A36" s="21" t="s">
        <v>15</v>
      </c>
      <c r="B36" s="32" t="s">
        <v>31</v>
      </c>
      <c r="C36" s="35">
        <f>[10]С1.1!E21</f>
        <v>0</v>
      </c>
    </row>
    <row r="37" spans="1:3" ht="30" x14ac:dyDescent="0.2">
      <c r="A37" s="21" t="s">
        <v>17</v>
      </c>
      <c r="B37" s="36" t="s">
        <v>32</v>
      </c>
      <c r="C37" s="37">
        <f>[10]С1!F13</f>
        <v>156.1</v>
      </c>
    </row>
    <row r="38" spans="1:3" x14ac:dyDescent="0.2">
      <c r="A38" s="21" t="s">
        <v>19</v>
      </c>
      <c r="B38" s="36" t="s">
        <v>33</v>
      </c>
      <c r="C38" s="38">
        <f>[10]С1!F16</f>
        <v>7000</v>
      </c>
    </row>
    <row r="39" spans="1:3" ht="14.25" x14ac:dyDescent="0.2">
      <c r="A39" s="39" t="s">
        <v>34</v>
      </c>
      <c r="B39" s="40" t="s">
        <v>35</v>
      </c>
      <c r="C39" s="41">
        <f>[10]С1!F17</f>
        <v>1.1285714285714286</v>
      </c>
    </row>
    <row r="40" spans="1:3" ht="15.75" x14ac:dyDescent="0.2">
      <c r="A40" s="42" t="s">
        <v>36</v>
      </c>
      <c r="B40" s="43" t="s">
        <v>37</v>
      </c>
      <c r="C40" s="41">
        <f>[10]С1!F20</f>
        <v>22.307053372799995</v>
      </c>
    </row>
    <row r="41" spans="1:3" ht="15.75" x14ac:dyDescent="0.2">
      <c r="A41" s="42" t="s">
        <v>38</v>
      </c>
      <c r="B41" s="44" t="s">
        <v>39</v>
      </c>
      <c r="C41" s="41">
        <f>[10]С1!F21</f>
        <v>21.531904799999996</v>
      </c>
    </row>
    <row r="42" spans="1:3" ht="14.25" x14ac:dyDescent="0.2">
      <c r="A42" s="42" t="s">
        <v>40</v>
      </c>
      <c r="B42" s="45" t="s">
        <v>41</v>
      </c>
      <c r="C42" s="41">
        <f>[10]С1!F22</f>
        <v>1.036</v>
      </c>
    </row>
    <row r="43" spans="1:3" ht="53.25" thickBot="1" x14ac:dyDescent="0.25">
      <c r="A43" s="26" t="s">
        <v>42</v>
      </c>
      <c r="B43" s="46" t="s">
        <v>43</v>
      </c>
      <c r="C43" s="47" t="str">
        <f>[10]С1!F23</f>
        <v>-</v>
      </c>
    </row>
    <row r="44" spans="1:3" ht="13.5" thickBot="1" x14ac:dyDescent="0.25">
      <c r="A44" s="48"/>
      <c r="B44" s="49"/>
      <c r="C44" s="14"/>
    </row>
    <row r="45" spans="1:3" ht="30" customHeight="1" x14ac:dyDescent="0.2">
      <c r="A45" s="50" t="s">
        <v>44</v>
      </c>
      <c r="B45" s="146" t="s">
        <v>45</v>
      </c>
      <c r="C45" s="146"/>
    </row>
    <row r="46" spans="1:3" ht="25.5" x14ac:dyDescent="0.2">
      <c r="A46" s="21" t="s">
        <v>46</v>
      </c>
      <c r="B46" s="36" t="s">
        <v>47</v>
      </c>
      <c r="C46" s="51" t="str">
        <f>[10]С2.1!E12</f>
        <v>V</v>
      </c>
    </row>
    <row r="47" spans="1:3" ht="25.5" x14ac:dyDescent="0.2">
      <c r="A47" s="21" t="s">
        <v>48</v>
      </c>
      <c r="B47" s="32" t="s">
        <v>49</v>
      </c>
      <c r="C47" s="51" t="str">
        <f>[10]С2.1!E13</f>
        <v>6 и менее баллов</v>
      </c>
    </row>
    <row r="48" spans="1:3" ht="25.5" x14ac:dyDescent="0.2">
      <c r="A48" s="21" t="s">
        <v>50</v>
      </c>
      <c r="B48" s="32" t="s">
        <v>51</v>
      </c>
      <c r="C48" s="51" t="str">
        <f>[10]С2.1!E14</f>
        <v>от 200 до 500</v>
      </c>
    </row>
    <row r="49" spans="1:3" ht="25.5" x14ac:dyDescent="0.2">
      <c r="A49" s="21" t="s">
        <v>52</v>
      </c>
      <c r="B49" s="32" t="s">
        <v>53</v>
      </c>
      <c r="C49" s="52" t="str">
        <f>[10]С2.1!E15</f>
        <v>нет</v>
      </c>
    </row>
    <row r="50" spans="1:3" ht="30" x14ac:dyDescent="0.2">
      <c r="A50" s="21" t="s">
        <v>54</v>
      </c>
      <c r="B50" s="32" t="s">
        <v>55</v>
      </c>
      <c r="C50" s="33">
        <f>[10]С2!F18</f>
        <v>32402.627334033532</v>
      </c>
    </row>
    <row r="51" spans="1:3" ht="30" x14ac:dyDescent="0.2">
      <c r="A51" s="21" t="s">
        <v>56</v>
      </c>
      <c r="B51" s="53" t="s">
        <v>57</v>
      </c>
      <c r="C51" s="33">
        <f>IF([10]С2!F19&gt;0,[10]С2!F19,[10]С2!F20)</f>
        <v>23441.524932855718</v>
      </c>
    </row>
    <row r="52" spans="1:3" ht="25.5" x14ac:dyDescent="0.2">
      <c r="A52" s="21" t="s">
        <v>58</v>
      </c>
      <c r="B52" s="54" t="s">
        <v>59</v>
      </c>
      <c r="C52" s="33">
        <f>[10]С2.1!E20</f>
        <v>-37</v>
      </c>
    </row>
    <row r="53" spans="1:3" ht="25.5" x14ac:dyDescent="0.2">
      <c r="A53" s="21" t="s">
        <v>60</v>
      </c>
      <c r="B53" s="54" t="s">
        <v>61</v>
      </c>
      <c r="C53" s="33" t="str">
        <f>[10]С2.1!E23</f>
        <v>нет</v>
      </c>
    </row>
    <row r="54" spans="1:3" ht="38.25" x14ac:dyDescent="0.2">
      <c r="A54" s="21" t="s">
        <v>62</v>
      </c>
      <c r="B54" s="55" t="s">
        <v>63</v>
      </c>
      <c r="C54" s="33">
        <f>[10]С2.2!E10</f>
        <v>1287</v>
      </c>
    </row>
    <row r="55" spans="1:3" ht="25.5" x14ac:dyDescent="0.2">
      <c r="A55" s="21" t="s">
        <v>64</v>
      </c>
      <c r="B55" s="56" t="s">
        <v>65</v>
      </c>
      <c r="C55" s="33">
        <f>[10]С2.2!E12</f>
        <v>5.97</v>
      </c>
    </row>
    <row r="56" spans="1:3" ht="52.5" x14ac:dyDescent="0.2">
      <c r="A56" s="21" t="s">
        <v>66</v>
      </c>
      <c r="B56" s="57" t="s">
        <v>67</v>
      </c>
      <c r="C56" s="33">
        <f>[10]С2.2!E13</f>
        <v>1</v>
      </c>
    </row>
    <row r="57" spans="1:3" ht="27.75" x14ac:dyDescent="0.2">
      <c r="A57" s="21" t="s">
        <v>68</v>
      </c>
      <c r="B57" s="56" t="s">
        <v>69</v>
      </c>
      <c r="C57" s="33">
        <f>[10]С2.2!E14</f>
        <v>12104</v>
      </c>
    </row>
    <row r="58" spans="1:3" ht="25.5" x14ac:dyDescent="0.2">
      <c r="A58" s="21" t="s">
        <v>70</v>
      </c>
      <c r="B58" s="57" t="s">
        <v>71</v>
      </c>
      <c r="C58" s="35">
        <f>[10]С2.2!E15</f>
        <v>4.8000000000000001E-2</v>
      </c>
    </row>
    <row r="59" spans="1:3" x14ac:dyDescent="0.2">
      <c r="A59" s="21" t="s">
        <v>72</v>
      </c>
      <c r="B59" s="57" t="s">
        <v>73</v>
      </c>
      <c r="C59" s="58">
        <f>[10]С2.2!E16</f>
        <v>1</v>
      </c>
    </row>
    <row r="60" spans="1:3" ht="15.75" x14ac:dyDescent="0.2">
      <c r="A60" s="21" t="s">
        <v>74</v>
      </c>
      <c r="B60" s="59" t="s">
        <v>75</v>
      </c>
      <c r="C60" s="33">
        <f>[10]С2!F21</f>
        <v>1</v>
      </c>
    </row>
    <row r="61" spans="1:3" ht="30" x14ac:dyDescent="0.2">
      <c r="A61" s="60" t="s">
        <v>76</v>
      </c>
      <c r="B61" s="32" t="s">
        <v>77</v>
      </c>
      <c r="C61" s="33">
        <f>[10]С2!F13</f>
        <v>97038.307983185223</v>
      </c>
    </row>
    <row r="62" spans="1:3" ht="30" x14ac:dyDescent="0.2">
      <c r="A62" s="60" t="s">
        <v>78</v>
      </c>
      <c r="B62" s="61" t="s">
        <v>79</v>
      </c>
      <c r="C62" s="33">
        <f>[10]С2!F14</f>
        <v>64899</v>
      </c>
    </row>
    <row r="63" spans="1:3" ht="15.75" x14ac:dyDescent="0.2">
      <c r="A63" s="60" t="s">
        <v>80</v>
      </c>
      <c r="B63" s="61" t="s">
        <v>81</v>
      </c>
      <c r="C63" s="41">
        <f>[10]С2!F15</f>
        <v>1.071</v>
      </c>
    </row>
    <row r="64" spans="1:3" ht="15.75" x14ac:dyDescent="0.2">
      <c r="A64" s="60" t="s">
        <v>82</v>
      </c>
      <c r="B64" s="61" t="s">
        <v>83</v>
      </c>
      <c r="C64" s="62">
        <f>[10]С2!F16</f>
        <v>1</v>
      </c>
    </row>
    <row r="65" spans="1:3" ht="17.25" x14ac:dyDescent="0.2">
      <c r="A65" s="60" t="s">
        <v>84</v>
      </c>
      <c r="B65" s="61" t="s">
        <v>85</v>
      </c>
      <c r="C65" s="63">
        <f>[10]С2!F17</f>
        <v>1.01</v>
      </c>
    </row>
    <row r="66" spans="1:3" s="66" customFormat="1" ht="14.25" x14ac:dyDescent="0.2">
      <c r="A66" s="60" t="s">
        <v>86</v>
      </c>
      <c r="B66" s="64" t="s">
        <v>87</v>
      </c>
      <c r="C66" s="65">
        <f>[10]С2!F35</f>
        <v>10</v>
      </c>
    </row>
    <row r="67" spans="1:3" ht="30" x14ac:dyDescent="0.2">
      <c r="A67" s="60" t="s">
        <v>88</v>
      </c>
      <c r="B67" s="67" t="s">
        <v>89</v>
      </c>
      <c r="C67" s="33">
        <f>[10]С2!F28</f>
        <v>139.14695294069438</v>
      </c>
    </row>
    <row r="68" spans="1:3" ht="17.25" x14ac:dyDescent="0.2">
      <c r="A68" s="60" t="s">
        <v>90</v>
      </c>
      <c r="B68" s="53" t="s">
        <v>91</v>
      </c>
      <c r="C68" s="41">
        <f>[10]С2!F29</f>
        <v>0.201330388</v>
      </c>
    </row>
    <row r="69" spans="1:3" ht="17.25" x14ac:dyDescent="0.2">
      <c r="A69" s="60" t="s">
        <v>92</v>
      </c>
      <c r="B69" s="59" t="s">
        <v>93</v>
      </c>
      <c r="C69" s="65">
        <f>[10]С2!F30</f>
        <v>500</v>
      </c>
    </row>
    <row r="70" spans="1:3" ht="42.75" x14ac:dyDescent="0.2">
      <c r="A70" s="60" t="s">
        <v>94</v>
      </c>
      <c r="B70" s="32" t="s">
        <v>95</v>
      </c>
      <c r="C70" s="33">
        <f>[10]С2!F22</f>
        <v>36585.255753162281</v>
      </c>
    </row>
    <row r="71" spans="1:3" ht="30" x14ac:dyDescent="0.2">
      <c r="A71" s="60" t="s">
        <v>96</v>
      </c>
      <c r="B71" s="61" t="s">
        <v>97</v>
      </c>
      <c r="C71" s="33">
        <f>[10]С2!F23</f>
        <v>21</v>
      </c>
    </row>
    <row r="72" spans="1:3" ht="30" x14ac:dyDescent="0.2">
      <c r="A72" s="60" t="s">
        <v>98</v>
      </c>
      <c r="B72" s="53" t="s">
        <v>99</v>
      </c>
      <c r="C72" s="33">
        <f>[10]С2.1!E28</f>
        <v>14036.09995</v>
      </c>
    </row>
    <row r="73" spans="1:3" ht="38.25" x14ac:dyDescent="0.2">
      <c r="A73" s="60" t="s">
        <v>100</v>
      </c>
      <c r="B73" s="68" t="s">
        <v>101</v>
      </c>
      <c r="C73" s="52">
        <f>[10]С2.3!E21</f>
        <v>0</v>
      </c>
    </row>
    <row r="74" spans="1:3" ht="25.5" x14ac:dyDescent="0.2">
      <c r="A74" s="60" t="s">
        <v>102</v>
      </c>
      <c r="B74" s="69" t="s">
        <v>103</v>
      </c>
      <c r="C74" s="70">
        <f>[10]С2.3!E11</f>
        <v>5.45</v>
      </c>
    </row>
    <row r="75" spans="1:3" ht="25.5" x14ac:dyDescent="0.2">
      <c r="A75" s="60" t="s">
        <v>104</v>
      </c>
      <c r="B75" s="69" t="s">
        <v>105</v>
      </c>
      <c r="C75" s="65">
        <f>[10]С2.3!E13</f>
        <v>300</v>
      </c>
    </row>
    <row r="76" spans="1:3" ht="25.5" x14ac:dyDescent="0.2">
      <c r="A76" s="60" t="s">
        <v>106</v>
      </c>
      <c r="B76" s="68" t="s">
        <v>107</v>
      </c>
      <c r="C76" s="71">
        <f>IF([10]С2.3!E22&gt;0,[10]С2.3!E22,[10]С2.3!E14)</f>
        <v>61211</v>
      </c>
    </row>
    <row r="77" spans="1:3" ht="38.25" x14ac:dyDescent="0.2">
      <c r="A77" s="60" t="s">
        <v>108</v>
      </c>
      <c r="B77" s="68" t="s">
        <v>109</v>
      </c>
      <c r="C77" s="71">
        <f>IF([10]С2.3!E23&gt;0,[10]С2.3!E23,[10]С2.3!E15)</f>
        <v>45675</v>
      </c>
    </row>
    <row r="78" spans="1:3" ht="30" x14ac:dyDescent="0.2">
      <c r="A78" s="60" t="s">
        <v>110</v>
      </c>
      <c r="B78" s="53" t="s">
        <v>111</v>
      </c>
      <c r="C78" s="33">
        <f>[10]С2.1!E29</f>
        <v>9518.3274000000001</v>
      </c>
    </row>
    <row r="79" spans="1:3" ht="38.25" x14ac:dyDescent="0.2">
      <c r="A79" s="60" t="s">
        <v>112</v>
      </c>
      <c r="B79" s="68" t="s">
        <v>113</v>
      </c>
      <c r="C79" s="52">
        <f>[10]С2.3!E25</f>
        <v>0</v>
      </c>
    </row>
    <row r="80" spans="1:3" ht="25.5" x14ac:dyDescent="0.2">
      <c r="A80" s="60" t="s">
        <v>114</v>
      </c>
      <c r="B80" s="69" t="s">
        <v>115</v>
      </c>
      <c r="C80" s="70">
        <f>[10]С2.3!E12</f>
        <v>0.2</v>
      </c>
    </row>
    <row r="81" spans="1:3" ht="25.5" x14ac:dyDescent="0.2">
      <c r="A81" s="60" t="s">
        <v>116</v>
      </c>
      <c r="B81" s="69" t="s">
        <v>105</v>
      </c>
      <c r="C81" s="65">
        <f>[10]С2.3!E13</f>
        <v>300</v>
      </c>
    </row>
    <row r="82" spans="1:3" ht="25.5" x14ac:dyDescent="0.2">
      <c r="A82" s="60" t="s">
        <v>117</v>
      </c>
      <c r="B82" s="72" t="s">
        <v>118</v>
      </c>
      <c r="C82" s="71">
        <f>IF([10]С2.3!E26&gt;0,[10]С2.3!E26,[10]С2.3!E16)</f>
        <v>65637</v>
      </c>
    </row>
    <row r="83" spans="1:3" ht="38.25" x14ac:dyDescent="0.2">
      <c r="A83" s="60" t="s">
        <v>119</v>
      </c>
      <c r="B83" s="72" t="s">
        <v>120</v>
      </c>
      <c r="C83" s="71">
        <f>IF([10]С2.3!E27&gt;0,[10]С2.3!E27,[10]С2.3!E17)</f>
        <v>31684</v>
      </c>
    </row>
    <row r="84" spans="1:3" ht="30" x14ac:dyDescent="0.2">
      <c r="A84" s="60" t="s">
        <v>121</v>
      </c>
      <c r="B84" s="61" t="s">
        <v>122</v>
      </c>
      <c r="C84" s="71">
        <f>IF([10]С2.1!E19&gt;0,[10]С2.1!E19,[10]С2!F26)</f>
        <v>2892</v>
      </c>
    </row>
    <row r="85" spans="1:3" ht="17.25" x14ac:dyDescent="0.2">
      <c r="A85" s="60" t="s">
        <v>123</v>
      </c>
      <c r="B85" s="32" t="s">
        <v>124</v>
      </c>
      <c r="C85" s="35">
        <f>[10]С2!F31</f>
        <v>0.128978033685065</v>
      </c>
    </row>
    <row r="86" spans="1:3" ht="30" x14ac:dyDescent="0.2">
      <c r="A86" s="60" t="s">
        <v>125</v>
      </c>
      <c r="B86" s="53" t="s">
        <v>126</v>
      </c>
      <c r="C86" s="73">
        <f>[10]С2!F32</f>
        <v>0.11668498168498169</v>
      </c>
    </row>
    <row r="87" spans="1:3" ht="17.25" x14ac:dyDescent="0.2">
      <c r="A87" s="60" t="s">
        <v>127</v>
      </c>
      <c r="B87" s="74" t="s">
        <v>128</v>
      </c>
      <c r="C87" s="35">
        <f>[10]С2!F33</f>
        <v>0.13880000000000001</v>
      </c>
    </row>
    <row r="88" spans="1:3" s="66" customFormat="1" ht="18" thickBot="1" x14ac:dyDescent="0.25">
      <c r="A88" s="75" t="s">
        <v>129</v>
      </c>
      <c r="B88" s="76" t="s">
        <v>130</v>
      </c>
      <c r="C88" s="77">
        <f>[10]С2!F34</f>
        <v>0.12640000000000001</v>
      </c>
    </row>
    <row r="89" spans="1:3" ht="13.5" thickBot="1" x14ac:dyDescent="0.25">
      <c r="A89" s="48"/>
      <c r="B89" s="49"/>
      <c r="C89" s="14"/>
    </row>
    <row r="90" spans="1:3" s="66" customFormat="1" ht="30" customHeight="1" x14ac:dyDescent="0.2">
      <c r="A90" s="78" t="s">
        <v>131</v>
      </c>
      <c r="B90" s="146" t="s">
        <v>132</v>
      </c>
      <c r="C90" s="146"/>
    </row>
    <row r="91" spans="1:3" s="66" customFormat="1" ht="30" x14ac:dyDescent="0.2">
      <c r="A91" s="79" t="s">
        <v>133</v>
      </c>
      <c r="B91" s="32" t="s">
        <v>134</v>
      </c>
      <c r="C91" s="33">
        <f>[10]С3!F14</f>
        <v>4857.2878492227173</v>
      </c>
    </row>
    <row r="92" spans="1:3" s="66" customFormat="1" ht="42.75" x14ac:dyDescent="0.2">
      <c r="A92" s="79" t="s">
        <v>135</v>
      </c>
      <c r="B92" s="53" t="s">
        <v>136</v>
      </c>
      <c r="C92" s="80">
        <f>[10]С3!F15</f>
        <v>0.2</v>
      </c>
    </row>
    <row r="93" spans="1:3" s="66" customFormat="1" ht="14.25" x14ac:dyDescent="0.2">
      <c r="A93" s="79" t="s">
        <v>137</v>
      </c>
      <c r="B93" s="81" t="s">
        <v>138</v>
      </c>
      <c r="C93" s="65">
        <f>[10]С3!F18</f>
        <v>15</v>
      </c>
    </row>
    <row r="94" spans="1:3" s="66" customFormat="1" ht="17.25" x14ac:dyDescent="0.2">
      <c r="A94" s="79" t="s">
        <v>139</v>
      </c>
      <c r="B94" s="32" t="s">
        <v>140</v>
      </c>
      <c r="C94" s="33">
        <f>[10]С3!F19</f>
        <v>2435.0508023655884</v>
      </c>
    </row>
    <row r="95" spans="1:3" s="66" customFormat="1" ht="55.5" x14ac:dyDescent="0.2">
      <c r="A95" s="79" t="s">
        <v>141</v>
      </c>
      <c r="B95" s="53" t="s">
        <v>142</v>
      </c>
      <c r="C95" s="82">
        <f>[10]С3!F20</f>
        <v>2.1999999999999999E-2</v>
      </c>
    </row>
    <row r="96" spans="1:3" s="66" customFormat="1" ht="14.25" x14ac:dyDescent="0.2">
      <c r="A96" s="79" t="s">
        <v>143</v>
      </c>
      <c r="B96" s="59" t="s">
        <v>87</v>
      </c>
      <c r="C96" s="65">
        <f>[10]С3!F21</f>
        <v>10</v>
      </c>
    </row>
    <row r="97" spans="1:3" s="66" customFormat="1" ht="17.25" x14ac:dyDescent="0.2">
      <c r="A97" s="79" t="s">
        <v>144</v>
      </c>
      <c r="B97" s="32" t="s">
        <v>145</v>
      </c>
      <c r="C97" s="33">
        <f>[10]С3!F22</f>
        <v>0.41744085882208315</v>
      </c>
    </row>
    <row r="98" spans="1:3" s="66" customFormat="1" ht="55.5" x14ac:dyDescent="0.2">
      <c r="A98" s="79" t="s">
        <v>146</v>
      </c>
      <c r="B98" s="53" t="s">
        <v>147</v>
      </c>
      <c r="C98" s="82">
        <f>[10]С3!F23</f>
        <v>3.0000000000000001E-3</v>
      </c>
    </row>
    <row r="99" spans="1:3" s="66" customFormat="1" ht="30.75" thickBot="1" x14ac:dyDescent="0.25">
      <c r="A99" s="83" t="s">
        <v>148</v>
      </c>
      <c r="B99" s="84" t="s">
        <v>89</v>
      </c>
      <c r="C99" s="85">
        <f>[10]С3!F24</f>
        <v>139.14695294069438</v>
      </c>
    </row>
    <row r="100" spans="1:3" ht="13.5" thickBot="1" x14ac:dyDescent="0.25">
      <c r="A100" s="48"/>
      <c r="B100" s="49"/>
      <c r="C100" s="14"/>
    </row>
    <row r="101" spans="1:3" ht="30" customHeight="1" x14ac:dyDescent="0.2">
      <c r="A101" s="86" t="s">
        <v>149</v>
      </c>
      <c r="B101" s="146" t="s">
        <v>150</v>
      </c>
      <c r="C101" s="146"/>
    </row>
    <row r="102" spans="1:3" ht="30" x14ac:dyDescent="0.2">
      <c r="A102" s="60" t="s">
        <v>151</v>
      </c>
      <c r="B102" s="32" t="s">
        <v>152</v>
      </c>
      <c r="C102" s="33">
        <f>[10]С4!F16</f>
        <v>832.33500000000004</v>
      </c>
    </row>
    <row r="103" spans="1:3" ht="30" x14ac:dyDescent="0.2">
      <c r="A103" s="60" t="s">
        <v>153</v>
      </c>
      <c r="B103" s="59" t="s">
        <v>154</v>
      </c>
      <c r="C103" s="33">
        <f>[10]С4!F17</f>
        <v>43385</v>
      </c>
    </row>
    <row r="104" spans="1:3" ht="17.25" x14ac:dyDescent="0.2">
      <c r="A104" s="60" t="s">
        <v>155</v>
      </c>
      <c r="B104" s="59" t="s">
        <v>156</v>
      </c>
      <c r="C104" s="41">
        <f>[10]С4!F18</f>
        <v>1.4999999999999999E-2</v>
      </c>
    </row>
    <row r="105" spans="1:3" ht="30" x14ac:dyDescent="0.2">
      <c r="A105" s="60" t="s">
        <v>157</v>
      </c>
      <c r="B105" s="59" t="s">
        <v>158</v>
      </c>
      <c r="C105" s="33">
        <f>[10]С4!F19</f>
        <v>12104</v>
      </c>
    </row>
    <row r="106" spans="1:3" ht="28.5" x14ac:dyDescent="0.2">
      <c r="A106" s="60" t="s">
        <v>159</v>
      </c>
      <c r="B106" s="59" t="s">
        <v>160</v>
      </c>
      <c r="C106" s="41">
        <f>[10]С4!F20</f>
        <v>1.4999999999999999E-2</v>
      </c>
    </row>
    <row r="107" spans="1:3" ht="30" x14ac:dyDescent="0.2">
      <c r="A107" s="60" t="s">
        <v>161</v>
      </c>
      <c r="B107" s="32" t="s">
        <v>162</v>
      </c>
      <c r="C107" s="33">
        <f>[10]С4!F21</f>
        <v>1221.9019409821399</v>
      </c>
    </row>
    <row r="108" spans="1:3" ht="45.6" customHeight="1" x14ac:dyDescent="0.2">
      <c r="A108" s="60" t="s">
        <v>163</v>
      </c>
      <c r="B108" s="53" t="s">
        <v>164</v>
      </c>
      <c r="C108" s="34" t="str">
        <f>IF([10]С4.2!F8="да",[10]С4.2!D21,[10]С4.2!D15)</f>
        <v>АО "Новосибирскэнергосбыт"</v>
      </c>
    </row>
    <row r="109" spans="1:3" ht="68.25" customHeight="1" x14ac:dyDescent="0.2">
      <c r="A109" s="60" t="s">
        <v>165</v>
      </c>
      <c r="B109" s="53" t="s">
        <v>166</v>
      </c>
      <c r="C109" s="33">
        <f>[10]С4!F22</f>
        <v>3.6112641666666665</v>
      </c>
    </row>
    <row r="110" spans="1:3" ht="30" x14ac:dyDescent="0.2">
      <c r="A110" s="60" t="s">
        <v>167</v>
      </c>
      <c r="B110" s="59" t="s">
        <v>168</v>
      </c>
      <c r="C110" s="65">
        <f>[10]С4!F23</f>
        <v>110</v>
      </c>
    </row>
    <row r="111" spans="1:3" ht="14.25" x14ac:dyDescent="0.2">
      <c r="A111" s="60" t="s">
        <v>169</v>
      </c>
      <c r="B111" s="53" t="s">
        <v>170</v>
      </c>
      <c r="C111" s="33">
        <f>[10]С4!F24</f>
        <v>8497.1999999999989</v>
      </c>
    </row>
    <row r="112" spans="1:3" ht="14.25" x14ac:dyDescent="0.2">
      <c r="A112" s="60" t="s">
        <v>171</v>
      </c>
      <c r="B112" s="59" t="s">
        <v>172</v>
      </c>
      <c r="C112" s="41">
        <f>[10]С4!F25</f>
        <v>0.36199999999999999</v>
      </c>
    </row>
    <row r="113" spans="1:3" ht="17.25" x14ac:dyDescent="0.2">
      <c r="A113" s="60" t="s">
        <v>173</v>
      </c>
      <c r="B113" s="32" t="s">
        <v>174</v>
      </c>
      <c r="C113" s="33">
        <f>[10]С4!F26</f>
        <v>32.259143333333334</v>
      </c>
    </row>
    <row r="114" spans="1:3" ht="25.5" x14ac:dyDescent="0.2">
      <c r="A114" s="60" t="s">
        <v>175</v>
      </c>
      <c r="B114" s="53" t="s">
        <v>101</v>
      </c>
      <c r="C114" s="34">
        <f>[10]С4.3!E16</f>
        <v>0</v>
      </c>
    </row>
    <row r="115" spans="1:3" ht="25.5" x14ac:dyDescent="0.2">
      <c r="A115" s="60" t="s">
        <v>176</v>
      </c>
      <c r="B115" s="53" t="s">
        <v>177</v>
      </c>
      <c r="C115" s="33">
        <f>[10]С4.3!E17</f>
        <v>15.98</v>
      </c>
    </row>
    <row r="116" spans="1:3" ht="38.25" x14ac:dyDescent="0.2">
      <c r="A116" s="60" t="s">
        <v>178</v>
      </c>
      <c r="B116" s="53" t="s">
        <v>113</v>
      </c>
      <c r="C116" s="34">
        <f>[10]С4.3!E18</f>
        <v>0</v>
      </c>
    </row>
    <row r="117" spans="1:3" x14ac:dyDescent="0.2">
      <c r="A117" s="60" t="s">
        <v>179</v>
      </c>
      <c r="B117" s="53" t="s">
        <v>180</v>
      </c>
      <c r="C117" s="33">
        <f>[10]С4.3!E19</f>
        <v>18.983333333333334</v>
      </c>
    </row>
    <row r="118" spans="1:3" x14ac:dyDescent="0.2">
      <c r="A118" s="60" t="s">
        <v>181</v>
      </c>
      <c r="B118" s="59" t="s">
        <v>182</v>
      </c>
      <c r="C118" s="65">
        <f>[10]С4.3!E11</f>
        <v>1871</v>
      </c>
    </row>
    <row r="119" spans="1:3" x14ac:dyDescent="0.2">
      <c r="A119" s="60" t="s">
        <v>183</v>
      </c>
      <c r="B119" s="59" t="s">
        <v>184</v>
      </c>
      <c r="C119" s="52">
        <f>[10]С4.3!E12</f>
        <v>61</v>
      </c>
    </row>
    <row r="120" spans="1:3" x14ac:dyDescent="0.2">
      <c r="A120" s="60" t="s">
        <v>185</v>
      </c>
      <c r="B120" s="59" t="s">
        <v>186</v>
      </c>
      <c r="C120" s="52">
        <f>[10]С4.3!E13</f>
        <v>73</v>
      </c>
    </row>
    <row r="121" spans="1:3" ht="30" x14ac:dyDescent="0.2">
      <c r="A121" s="60" t="s">
        <v>187</v>
      </c>
      <c r="B121" s="32" t="s">
        <v>188</v>
      </c>
      <c r="C121" s="33">
        <f>[10]С4!F27</f>
        <v>946.59139764731083</v>
      </c>
    </row>
    <row r="122" spans="1:3" ht="25.5" x14ac:dyDescent="0.2">
      <c r="A122" s="60" t="s">
        <v>189</v>
      </c>
      <c r="B122" s="53" t="s">
        <v>190</v>
      </c>
      <c r="C122" s="33">
        <f>[10]С4!F28</f>
        <v>727.02872323142151</v>
      </c>
    </row>
    <row r="123" spans="1:3" ht="42.75" x14ac:dyDescent="0.2">
      <c r="A123" s="60" t="s">
        <v>191</v>
      </c>
      <c r="B123" s="53" t="s">
        <v>192</v>
      </c>
      <c r="C123" s="33">
        <f>[10]С4!F29</f>
        <v>219.56267441588932</v>
      </c>
    </row>
    <row r="124" spans="1:3" ht="30.75" thickBot="1" x14ac:dyDescent="0.25">
      <c r="A124" s="75" t="s">
        <v>193</v>
      </c>
      <c r="B124" s="87" t="s">
        <v>194</v>
      </c>
      <c r="C124" s="85">
        <f>[10]С4!F30</f>
        <v>489.81560403021325</v>
      </c>
    </row>
    <row r="125" spans="1:3" s="88" customFormat="1" ht="13.5" thickBot="1" x14ac:dyDescent="0.25">
      <c r="A125" s="48"/>
      <c r="B125" s="49"/>
      <c r="C125" s="14"/>
    </row>
    <row r="126" spans="1:3" s="66" customFormat="1" ht="30" customHeight="1" x14ac:dyDescent="0.2">
      <c r="A126" s="78" t="s">
        <v>195</v>
      </c>
      <c r="B126" s="146" t="s">
        <v>196</v>
      </c>
      <c r="C126" s="146"/>
    </row>
    <row r="127" spans="1:3" ht="30.6" customHeight="1" thickBot="1" x14ac:dyDescent="0.25">
      <c r="A127" s="26" t="s">
        <v>197</v>
      </c>
      <c r="B127" s="87" t="s">
        <v>198</v>
      </c>
      <c r="C127" s="85">
        <f>[10]С5!F17</f>
        <v>0.02</v>
      </c>
    </row>
    <row r="128" spans="1:3" s="88" customFormat="1" ht="13.5" thickBot="1" x14ac:dyDescent="0.25">
      <c r="A128" s="48"/>
      <c r="B128" s="49"/>
      <c r="C128" s="14"/>
    </row>
    <row r="129" spans="1:4" ht="42.75" customHeight="1" x14ac:dyDescent="0.2">
      <c r="A129" s="86" t="s">
        <v>199</v>
      </c>
      <c r="B129" s="146" t="s">
        <v>200</v>
      </c>
      <c r="C129" s="146"/>
    </row>
    <row r="130" spans="1:4" ht="68.25" x14ac:dyDescent="0.2">
      <c r="A130" s="60" t="s">
        <v>201</v>
      </c>
      <c r="B130" s="89" t="s">
        <v>202</v>
      </c>
      <c r="C130" s="33" t="str">
        <f>IF([10]С6.1!E11="нет",[10]С6!F13,"")</f>
        <v/>
      </c>
    </row>
    <row r="131" spans="1:4" ht="42.75" x14ac:dyDescent="0.2">
      <c r="A131" s="60" t="s">
        <v>203</v>
      </c>
      <c r="B131" s="90" t="s">
        <v>204</v>
      </c>
      <c r="C131" s="91" t="str">
        <f>IF([10]С6.1!E12="нет",[10]С6.1!E17,"")</f>
        <v/>
      </c>
    </row>
    <row r="132" spans="1:4" ht="68.25" x14ac:dyDescent="0.2">
      <c r="A132" s="60" t="s">
        <v>205</v>
      </c>
      <c r="B132" s="89" t="s">
        <v>206</v>
      </c>
      <c r="C132" s="92" t="str">
        <f>IF([10]С6.1!E18="нет",[10]С6!F19,"")</f>
        <v/>
      </c>
    </row>
    <row r="133" spans="1:4" ht="55.5" x14ac:dyDescent="0.2">
      <c r="A133" s="60" t="s">
        <v>207</v>
      </c>
      <c r="B133" s="90" t="s">
        <v>208</v>
      </c>
      <c r="C133" s="35" t="str">
        <f>IF([10]С6.1!E18="нет",[10]С6.1!E19,"")</f>
        <v/>
      </c>
    </row>
    <row r="134" spans="1:4" ht="61.5" customHeight="1" x14ac:dyDescent="0.2">
      <c r="A134" s="60" t="s">
        <v>209</v>
      </c>
      <c r="B134" s="90" t="s">
        <v>210</v>
      </c>
      <c r="C134" s="35" t="str">
        <f>IF([10]С6.1!E18="нет",[10]С6.1!E22,"")</f>
        <v/>
      </c>
    </row>
    <row r="135" spans="1:4" ht="69" thickBot="1" x14ac:dyDescent="0.25">
      <c r="A135" s="75" t="s">
        <v>211</v>
      </c>
      <c r="B135" s="93" t="s">
        <v>212</v>
      </c>
      <c r="C135" s="77" t="str">
        <f>IF([10]С6.1!E18="нет",[10]С6.1!E23,"")</f>
        <v/>
      </c>
    </row>
    <row r="136" spans="1:4" s="88" customFormat="1" ht="13.5" thickBot="1" x14ac:dyDescent="0.25">
      <c r="A136" s="48"/>
      <c r="B136" s="49"/>
      <c r="C136" s="14"/>
    </row>
    <row r="137" spans="1:4" ht="15.75" x14ac:dyDescent="0.2">
      <c r="A137" s="86" t="s">
        <v>213</v>
      </c>
      <c r="B137" s="94" t="s">
        <v>214</v>
      </c>
      <c r="C137" s="95">
        <f>[10]С2!F39</f>
        <v>21.531904799999996</v>
      </c>
    </row>
    <row r="138" spans="1:4" ht="14.25" x14ac:dyDescent="0.2">
      <c r="A138" s="60" t="s">
        <v>215</v>
      </c>
      <c r="B138" s="59" t="s">
        <v>216</v>
      </c>
      <c r="C138" s="33">
        <f>[10]С2!F40</f>
        <v>7</v>
      </c>
    </row>
    <row r="139" spans="1:4" ht="17.25" x14ac:dyDescent="0.2">
      <c r="A139" s="60" t="s">
        <v>217</v>
      </c>
      <c r="B139" s="59" t="s">
        <v>218</v>
      </c>
      <c r="C139" s="33">
        <f>[10]С2!F42</f>
        <v>0.97</v>
      </c>
    </row>
    <row r="140" spans="1:4" ht="15" thickBot="1" x14ac:dyDescent="0.25">
      <c r="A140" s="75" t="s">
        <v>219</v>
      </c>
      <c r="B140" s="76" t="s">
        <v>220</v>
      </c>
      <c r="C140" s="47">
        <f>[10]С2!F44</f>
        <v>0.36199999999999999</v>
      </c>
    </row>
    <row r="141" spans="1:4" s="88" customFormat="1" ht="13.5" thickBot="1" x14ac:dyDescent="0.25">
      <c r="A141" s="48"/>
      <c r="B141" s="49"/>
      <c r="C141" s="14"/>
    </row>
    <row r="142" spans="1:4" ht="17.25" x14ac:dyDescent="0.2">
      <c r="A142" s="86" t="s">
        <v>221</v>
      </c>
      <c r="B142" s="96" t="s">
        <v>222</v>
      </c>
      <c r="C142" s="97">
        <f>[10]С2!F37</f>
        <v>1.3822747209000001</v>
      </c>
      <c r="D142" s="88"/>
    </row>
    <row r="143" spans="1:4" ht="17.25" customHeight="1" thickBot="1" x14ac:dyDescent="0.25">
      <c r="A143" s="75" t="s">
        <v>223</v>
      </c>
      <c r="B143" s="145" t="s">
        <v>224</v>
      </c>
      <c r="C143" s="145"/>
      <c r="D143" s="88"/>
    </row>
    <row r="144" spans="1:4" x14ac:dyDescent="0.2">
      <c r="A144" s="99"/>
      <c r="B144" s="100" t="s">
        <v>0</v>
      </c>
      <c r="C144" s="101"/>
    </row>
    <row r="145" spans="1:3" x14ac:dyDescent="0.2">
      <c r="A145" s="99"/>
      <c r="B145" s="102">
        <v>2020</v>
      </c>
      <c r="C145" s="103">
        <f>[10]С2.5!$E$11</f>
        <v>-2.9000000000000026E-2</v>
      </c>
    </row>
    <row r="146" spans="1:3" x14ac:dyDescent="0.2">
      <c r="B146" s="102">
        <f>B145+1</f>
        <v>2021</v>
      </c>
      <c r="C146" s="104">
        <f>[10]С2.5!$F$11</f>
        <v>0.245</v>
      </c>
    </row>
    <row r="147" spans="1:3" x14ac:dyDescent="0.2">
      <c r="B147" s="102">
        <f t="shared" ref="B147:B210" si="0">B146+1</f>
        <v>2022</v>
      </c>
      <c r="C147" s="105">
        <f>[10]С2.5!$G$11</f>
        <v>0.121</v>
      </c>
    </row>
    <row r="148" spans="1:3" ht="13.5" thickBot="1" x14ac:dyDescent="0.25">
      <c r="B148" s="106">
        <f t="shared" si="0"/>
        <v>2023</v>
      </c>
      <c r="C148" s="107">
        <f>[10]С2.5!$H$11</f>
        <v>0.02</v>
      </c>
    </row>
    <row r="149" spans="1:3" ht="13.5" hidden="1" thickBot="1" x14ac:dyDescent="0.25">
      <c r="B149" s="106">
        <f t="shared" si="0"/>
        <v>2024</v>
      </c>
      <c r="C149" s="107">
        <f>[10]С2.5!$I$11</f>
        <v>0</v>
      </c>
    </row>
    <row r="150" spans="1:3" ht="13.5" hidden="1" thickBot="1" x14ac:dyDescent="0.25">
      <c r="B150" s="106">
        <f t="shared" si="0"/>
        <v>2025</v>
      </c>
      <c r="C150" s="107">
        <f>[10]С2.5!$J$11</f>
        <v>0</v>
      </c>
    </row>
    <row r="151" spans="1:3" ht="13.5" hidden="1" thickBot="1" x14ac:dyDescent="0.25">
      <c r="B151" s="106">
        <f t="shared" si="0"/>
        <v>2026</v>
      </c>
      <c r="C151" s="107">
        <f>[10]С2.5!$K$11</f>
        <v>0</v>
      </c>
    </row>
    <row r="152" spans="1:3" ht="13.5" hidden="1" thickBot="1" x14ac:dyDescent="0.25">
      <c r="B152" s="106">
        <f t="shared" si="0"/>
        <v>2027</v>
      </c>
      <c r="C152" s="107">
        <f>[10]С2.5!$L$11</f>
        <v>0</v>
      </c>
    </row>
    <row r="153" spans="1:3" ht="13.5" hidden="1" thickBot="1" x14ac:dyDescent="0.25">
      <c r="B153" s="106">
        <f t="shared" si="0"/>
        <v>2028</v>
      </c>
      <c r="C153" s="107">
        <f>[10]С2.5!$M$11</f>
        <v>0</v>
      </c>
    </row>
    <row r="154" spans="1:3" ht="13.5" hidden="1" thickBot="1" x14ac:dyDescent="0.25">
      <c r="B154" s="106">
        <f t="shared" si="0"/>
        <v>2029</v>
      </c>
      <c r="C154" s="107">
        <f>[10]С2.5!$N$11</f>
        <v>0</v>
      </c>
    </row>
    <row r="155" spans="1:3" ht="13.5" hidden="1" thickBot="1" x14ac:dyDescent="0.25">
      <c r="B155" s="106">
        <f t="shared" si="0"/>
        <v>2030</v>
      </c>
      <c r="C155" s="107">
        <f>[10]С2.5!$O$11</f>
        <v>0</v>
      </c>
    </row>
    <row r="156" spans="1:3" ht="13.5" hidden="1" thickBot="1" x14ac:dyDescent="0.25">
      <c r="B156" s="106">
        <f t="shared" si="0"/>
        <v>2031</v>
      </c>
      <c r="C156" s="107">
        <f>[10]С2.5!$P$11</f>
        <v>0</v>
      </c>
    </row>
    <row r="157" spans="1:3" ht="13.5" hidden="1" thickBot="1" x14ac:dyDescent="0.25">
      <c r="B157" s="106">
        <f t="shared" si="0"/>
        <v>2032</v>
      </c>
      <c r="C157" s="107">
        <f>[10]С2.5!$Q$11</f>
        <v>0</v>
      </c>
    </row>
    <row r="158" spans="1:3" ht="13.5" hidden="1" thickBot="1" x14ac:dyDescent="0.25">
      <c r="B158" s="106">
        <f t="shared" si="0"/>
        <v>2033</v>
      </c>
      <c r="C158" s="107">
        <f>[10]С2.5!$R$11</f>
        <v>0</v>
      </c>
    </row>
    <row r="159" spans="1:3" ht="13.5" hidden="1" thickBot="1" x14ac:dyDescent="0.25">
      <c r="B159" s="106">
        <f t="shared" si="0"/>
        <v>2034</v>
      </c>
      <c r="C159" s="107">
        <f>[10]С2.5!$S$11</f>
        <v>0</v>
      </c>
    </row>
    <row r="160" spans="1:3" ht="13.5" hidden="1" thickBot="1" x14ac:dyDescent="0.25">
      <c r="B160" s="106">
        <f t="shared" si="0"/>
        <v>2035</v>
      </c>
      <c r="C160" s="107">
        <f>[10]С2.5!$T$11</f>
        <v>0</v>
      </c>
    </row>
    <row r="161" spans="2:3" ht="13.5" hidden="1" thickBot="1" x14ac:dyDescent="0.25">
      <c r="B161" s="106">
        <f t="shared" si="0"/>
        <v>2036</v>
      </c>
      <c r="C161" s="107">
        <f>[10]С2.5!$U$11</f>
        <v>0</v>
      </c>
    </row>
    <row r="162" spans="2:3" ht="13.5" hidden="1" thickBot="1" x14ac:dyDescent="0.25">
      <c r="B162" s="106">
        <f t="shared" si="0"/>
        <v>2037</v>
      </c>
      <c r="C162" s="107">
        <f>[10]С2.5!$V$11</f>
        <v>0</v>
      </c>
    </row>
    <row r="163" spans="2:3" ht="13.5" hidden="1" thickBot="1" x14ac:dyDescent="0.25">
      <c r="B163" s="106">
        <f t="shared" si="0"/>
        <v>2038</v>
      </c>
      <c r="C163" s="107">
        <f>[10]С2.5!$W$11</f>
        <v>0</v>
      </c>
    </row>
    <row r="164" spans="2:3" ht="13.5" hidden="1" thickBot="1" x14ac:dyDescent="0.25">
      <c r="B164" s="106">
        <f t="shared" si="0"/>
        <v>2039</v>
      </c>
      <c r="C164" s="107">
        <f>[10]С2.5!$X$11</f>
        <v>0</v>
      </c>
    </row>
    <row r="165" spans="2:3" ht="13.5" hidden="1" thickBot="1" x14ac:dyDescent="0.25">
      <c r="B165" s="106">
        <f t="shared" si="0"/>
        <v>2040</v>
      </c>
      <c r="C165" s="107">
        <f>[10]С2.5!$Y$11</f>
        <v>0</v>
      </c>
    </row>
    <row r="166" spans="2:3" ht="13.5" hidden="1" thickBot="1" x14ac:dyDescent="0.25">
      <c r="B166" s="106">
        <f t="shared" si="0"/>
        <v>2041</v>
      </c>
      <c r="C166" s="107">
        <f>[10]С2.5!$Z$11</f>
        <v>0</v>
      </c>
    </row>
    <row r="167" spans="2:3" ht="13.5" hidden="1" thickBot="1" x14ac:dyDescent="0.25">
      <c r="B167" s="106">
        <f t="shared" si="0"/>
        <v>2042</v>
      </c>
      <c r="C167" s="107">
        <f>[10]С2.5!$AA$11</f>
        <v>0</v>
      </c>
    </row>
    <row r="168" spans="2:3" ht="13.5" hidden="1" thickBot="1" x14ac:dyDescent="0.25">
      <c r="B168" s="106">
        <f t="shared" si="0"/>
        <v>2043</v>
      </c>
      <c r="C168" s="107">
        <f>[10]С2.5!$AB$11</f>
        <v>0</v>
      </c>
    </row>
    <row r="169" spans="2:3" ht="13.5" hidden="1" thickBot="1" x14ac:dyDescent="0.25">
      <c r="B169" s="106">
        <f t="shared" si="0"/>
        <v>2044</v>
      </c>
      <c r="C169" s="107">
        <f>[10]С2.5!$AC$11</f>
        <v>0</v>
      </c>
    </row>
    <row r="170" spans="2:3" ht="13.5" hidden="1" thickBot="1" x14ac:dyDescent="0.25">
      <c r="B170" s="106">
        <f t="shared" si="0"/>
        <v>2045</v>
      </c>
      <c r="C170" s="107">
        <f>[10]С2.5!$AD$11</f>
        <v>0</v>
      </c>
    </row>
    <row r="171" spans="2:3" ht="13.5" hidden="1" thickBot="1" x14ac:dyDescent="0.25">
      <c r="B171" s="106">
        <f t="shared" si="0"/>
        <v>2046</v>
      </c>
      <c r="C171" s="107">
        <f>[10]С2.5!$AE$11</f>
        <v>0</v>
      </c>
    </row>
    <row r="172" spans="2:3" ht="13.5" hidden="1" thickBot="1" x14ac:dyDescent="0.25">
      <c r="B172" s="106">
        <f t="shared" si="0"/>
        <v>2047</v>
      </c>
      <c r="C172" s="107">
        <f>[10]С2.5!$AF$11</f>
        <v>0</v>
      </c>
    </row>
    <row r="173" spans="2:3" ht="13.5" hidden="1" thickBot="1" x14ac:dyDescent="0.25">
      <c r="B173" s="106">
        <f t="shared" si="0"/>
        <v>2048</v>
      </c>
      <c r="C173" s="107">
        <f>[10]С2.5!$AG$11</f>
        <v>0</v>
      </c>
    </row>
    <row r="174" spans="2:3" ht="13.5" hidden="1" thickBot="1" x14ac:dyDescent="0.25">
      <c r="B174" s="106">
        <f t="shared" si="0"/>
        <v>2049</v>
      </c>
      <c r="C174" s="107">
        <f>[10]С2.5!$AH$11</f>
        <v>0</v>
      </c>
    </row>
    <row r="175" spans="2:3" ht="13.5" hidden="1" thickBot="1" x14ac:dyDescent="0.25">
      <c r="B175" s="106">
        <f t="shared" si="0"/>
        <v>2050</v>
      </c>
      <c r="C175" s="107">
        <f>[10]С2.5!$AI$11</f>
        <v>0</v>
      </c>
    </row>
    <row r="176" spans="2:3" ht="13.5" hidden="1" thickBot="1" x14ac:dyDescent="0.25">
      <c r="B176" s="106">
        <f t="shared" si="0"/>
        <v>2051</v>
      </c>
      <c r="C176" s="107">
        <f>[10]С2.5!$AJ$11</f>
        <v>0</v>
      </c>
    </row>
    <row r="177" spans="2:3" ht="13.5" hidden="1" thickBot="1" x14ac:dyDescent="0.25">
      <c r="B177" s="106">
        <f t="shared" si="0"/>
        <v>2052</v>
      </c>
      <c r="C177" s="107">
        <f>[10]С2.5!$AK$11</f>
        <v>0</v>
      </c>
    </row>
    <row r="178" spans="2:3" ht="13.5" hidden="1" thickBot="1" x14ac:dyDescent="0.25">
      <c r="B178" s="106">
        <f t="shared" si="0"/>
        <v>2053</v>
      </c>
      <c r="C178" s="107">
        <f>[10]С2.5!$AL$11</f>
        <v>0</v>
      </c>
    </row>
    <row r="179" spans="2:3" ht="13.5" hidden="1" thickBot="1" x14ac:dyDescent="0.25">
      <c r="B179" s="106">
        <f t="shared" si="0"/>
        <v>2054</v>
      </c>
      <c r="C179" s="107">
        <f>[10]С2.5!$AM$11</f>
        <v>0</v>
      </c>
    </row>
    <row r="180" spans="2:3" ht="13.5" hidden="1" thickBot="1" x14ac:dyDescent="0.25">
      <c r="B180" s="106">
        <f t="shared" si="0"/>
        <v>2055</v>
      </c>
      <c r="C180" s="107">
        <f>[10]С2.5!$AN$11</f>
        <v>0</v>
      </c>
    </row>
    <row r="181" spans="2:3" ht="13.5" hidden="1" thickBot="1" x14ac:dyDescent="0.25">
      <c r="B181" s="106">
        <f t="shared" si="0"/>
        <v>2056</v>
      </c>
      <c r="C181" s="107">
        <f>[10]С2.5!$AO$11</f>
        <v>0</v>
      </c>
    </row>
    <row r="182" spans="2:3" ht="13.5" hidden="1" thickBot="1" x14ac:dyDescent="0.25">
      <c r="B182" s="106">
        <f t="shared" si="0"/>
        <v>2057</v>
      </c>
      <c r="C182" s="107">
        <f>[10]С2.5!$AP$11</f>
        <v>0</v>
      </c>
    </row>
    <row r="183" spans="2:3" ht="13.5" hidden="1" thickBot="1" x14ac:dyDescent="0.25">
      <c r="B183" s="106">
        <f t="shared" si="0"/>
        <v>2058</v>
      </c>
      <c r="C183" s="107">
        <f>[10]С2.5!$AQ$11</f>
        <v>0</v>
      </c>
    </row>
    <row r="184" spans="2:3" ht="13.5" hidden="1" thickBot="1" x14ac:dyDescent="0.25">
      <c r="B184" s="106">
        <f t="shared" si="0"/>
        <v>2059</v>
      </c>
      <c r="C184" s="107">
        <f>[10]С2.5!$AR$11</f>
        <v>0</v>
      </c>
    </row>
    <row r="185" spans="2:3" ht="13.5" hidden="1" thickBot="1" x14ac:dyDescent="0.25">
      <c r="B185" s="106">
        <f t="shared" si="0"/>
        <v>2060</v>
      </c>
      <c r="C185" s="107">
        <f>[10]С2.5!$AS$11</f>
        <v>0</v>
      </c>
    </row>
    <row r="186" spans="2:3" ht="13.5" hidden="1" thickBot="1" x14ac:dyDescent="0.25">
      <c r="B186" s="106">
        <f t="shared" si="0"/>
        <v>2061</v>
      </c>
      <c r="C186" s="107">
        <f>[10]С2.5!$AT$11</f>
        <v>0</v>
      </c>
    </row>
    <row r="187" spans="2:3" ht="13.5" hidden="1" thickBot="1" x14ac:dyDescent="0.25">
      <c r="B187" s="106">
        <f t="shared" si="0"/>
        <v>2062</v>
      </c>
      <c r="C187" s="107">
        <f>[10]С2.5!$AU$11</f>
        <v>0</v>
      </c>
    </row>
    <row r="188" spans="2:3" ht="13.5" hidden="1" thickBot="1" x14ac:dyDescent="0.25">
      <c r="B188" s="106">
        <f t="shared" si="0"/>
        <v>2063</v>
      </c>
      <c r="C188" s="107">
        <f>[10]С2.5!$AV$11</f>
        <v>0</v>
      </c>
    </row>
    <row r="189" spans="2:3" ht="13.5" hidden="1" thickBot="1" x14ac:dyDescent="0.25">
      <c r="B189" s="106">
        <f t="shared" si="0"/>
        <v>2064</v>
      </c>
      <c r="C189" s="107">
        <f>[10]С2.5!$AW$11</f>
        <v>0</v>
      </c>
    </row>
    <row r="190" spans="2:3" ht="13.5" hidden="1" thickBot="1" x14ac:dyDescent="0.25">
      <c r="B190" s="106">
        <f t="shared" si="0"/>
        <v>2065</v>
      </c>
      <c r="C190" s="107">
        <f>[10]С2.5!$AX$11</f>
        <v>0</v>
      </c>
    </row>
    <row r="191" spans="2:3" ht="13.5" hidden="1" thickBot="1" x14ac:dyDescent="0.25">
      <c r="B191" s="106">
        <f t="shared" si="0"/>
        <v>2066</v>
      </c>
      <c r="C191" s="107">
        <f>[10]С2.5!$AY$11</f>
        <v>0</v>
      </c>
    </row>
    <row r="192" spans="2:3" ht="13.5" hidden="1" thickBot="1" x14ac:dyDescent="0.25">
      <c r="B192" s="106">
        <f t="shared" si="0"/>
        <v>2067</v>
      </c>
      <c r="C192" s="107">
        <f>[10]С2.5!$AZ$11</f>
        <v>0</v>
      </c>
    </row>
    <row r="193" spans="2:3" ht="13.5" hidden="1" thickBot="1" x14ac:dyDescent="0.25">
      <c r="B193" s="106">
        <f t="shared" si="0"/>
        <v>2068</v>
      </c>
      <c r="C193" s="107">
        <f>[10]С2.5!$BA$11</f>
        <v>0</v>
      </c>
    </row>
    <row r="194" spans="2:3" ht="13.5" hidden="1" thickBot="1" x14ac:dyDescent="0.25">
      <c r="B194" s="106">
        <f t="shared" si="0"/>
        <v>2069</v>
      </c>
      <c r="C194" s="107">
        <f>[10]С2.5!$BB$11</f>
        <v>0</v>
      </c>
    </row>
    <row r="195" spans="2:3" ht="13.5" hidden="1" thickBot="1" x14ac:dyDescent="0.25">
      <c r="B195" s="106">
        <f t="shared" si="0"/>
        <v>2070</v>
      </c>
      <c r="C195" s="107">
        <f>[10]С2.5!$BC$11</f>
        <v>0</v>
      </c>
    </row>
    <row r="196" spans="2:3" ht="13.5" hidden="1" thickBot="1" x14ac:dyDescent="0.25">
      <c r="B196" s="106">
        <f t="shared" si="0"/>
        <v>2071</v>
      </c>
      <c r="C196" s="107">
        <f>[10]С2.5!$BD$11</f>
        <v>0</v>
      </c>
    </row>
    <row r="197" spans="2:3" ht="13.5" hidden="1" thickBot="1" x14ac:dyDescent="0.25">
      <c r="B197" s="106">
        <f t="shared" si="0"/>
        <v>2072</v>
      </c>
      <c r="C197" s="107">
        <f>[10]С2.5!$BE$11</f>
        <v>0</v>
      </c>
    </row>
    <row r="198" spans="2:3" ht="13.5" hidden="1" thickBot="1" x14ac:dyDescent="0.25">
      <c r="B198" s="106">
        <f t="shared" si="0"/>
        <v>2073</v>
      </c>
      <c r="C198" s="107">
        <f>[10]С2.5!$BF$11</f>
        <v>0</v>
      </c>
    </row>
    <row r="199" spans="2:3" ht="13.5" hidden="1" thickBot="1" x14ac:dyDescent="0.25">
      <c r="B199" s="106">
        <f t="shared" si="0"/>
        <v>2074</v>
      </c>
      <c r="C199" s="107">
        <f>[10]С2.5!$BG$11</f>
        <v>0</v>
      </c>
    </row>
    <row r="200" spans="2:3" ht="13.5" hidden="1" thickBot="1" x14ac:dyDescent="0.25">
      <c r="B200" s="106">
        <f t="shared" si="0"/>
        <v>2075</v>
      </c>
      <c r="C200" s="107">
        <f>[10]С2.5!$BH$11</f>
        <v>0</v>
      </c>
    </row>
    <row r="201" spans="2:3" ht="13.5" hidden="1" thickBot="1" x14ac:dyDescent="0.25">
      <c r="B201" s="106">
        <f t="shared" si="0"/>
        <v>2076</v>
      </c>
      <c r="C201" s="107">
        <f>[10]С2.5!$BI$11</f>
        <v>0</v>
      </c>
    </row>
    <row r="202" spans="2:3" ht="13.5" hidden="1" thickBot="1" x14ac:dyDescent="0.25">
      <c r="B202" s="106">
        <f t="shared" si="0"/>
        <v>2077</v>
      </c>
      <c r="C202" s="107">
        <f>[10]С2.5!$BJ$11</f>
        <v>0</v>
      </c>
    </row>
    <row r="203" spans="2:3" ht="13.5" hidden="1" thickBot="1" x14ac:dyDescent="0.25">
      <c r="B203" s="106">
        <f t="shared" si="0"/>
        <v>2078</v>
      </c>
      <c r="C203" s="107">
        <f>[10]С2.5!$BK$11</f>
        <v>0</v>
      </c>
    </row>
    <row r="204" spans="2:3" ht="13.5" hidden="1" thickBot="1" x14ac:dyDescent="0.25">
      <c r="B204" s="106">
        <f t="shared" si="0"/>
        <v>2079</v>
      </c>
      <c r="C204" s="107">
        <f>[10]С2.5!$BL$11</f>
        <v>0</v>
      </c>
    </row>
    <row r="205" spans="2:3" ht="13.5" hidden="1" thickBot="1" x14ac:dyDescent="0.25">
      <c r="B205" s="106">
        <f t="shared" si="0"/>
        <v>2080</v>
      </c>
      <c r="C205" s="107">
        <f>[10]С2.5!$BM$11</f>
        <v>0</v>
      </c>
    </row>
    <row r="206" spans="2:3" ht="13.5" hidden="1" thickBot="1" x14ac:dyDescent="0.25">
      <c r="B206" s="106">
        <f t="shared" si="0"/>
        <v>2081</v>
      </c>
      <c r="C206" s="107">
        <f>[10]С2.5!$BN$11</f>
        <v>0</v>
      </c>
    </row>
    <row r="207" spans="2:3" ht="13.5" hidden="1" thickBot="1" x14ac:dyDescent="0.25">
      <c r="B207" s="106">
        <f t="shared" si="0"/>
        <v>2082</v>
      </c>
      <c r="C207" s="107">
        <f>[10]С2.5!$BO$11</f>
        <v>0</v>
      </c>
    </row>
    <row r="208" spans="2:3" ht="13.5" hidden="1" thickBot="1" x14ac:dyDescent="0.25">
      <c r="B208" s="106">
        <f t="shared" si="0"/>
        <v>2083</v>
      </c>
      <c r="C208" s="107">
        <f>[10]С2.5!$BP$11</f>
        <v>0</v>
      </c>
    </row>
    <row r="209" spans="2:3" ht="13.5" hidden="1" thickBot="1" x14ac:dyDescent="0.25">
      <c r="B209" s="106">
        <f t="shared" si="0"/>
        <v>2084</v>
      </c>
      <c r="C209" s="107">
        <f>[10]С2.5!$BQ$11</f>
        <v>0</v>
      </c>
    </row>
    <row r="210" spans="2:3" ht="13.5" hidden="1" thickBot="1" x14ac:dyDescent="0.25">
      <c r="B210" s="106">
        <f t="shared" si="0"/>
        <v>2085</v>
      </c>
      <c r="C210" s="107">
        <f>[10]С2.5!$BR$11</f>
        <v>0</v>
      </c>
    </row>
    <row r="211" spans="2:3" ht="13.5" hidden="1" thickBot="1" x14ac:dyDescent="0.25">
      <c r="B211" s="106">
        <f t="shared" ref="B211:B224" si="1">B210+1</f>
        <v>2086</v>
      </c>
      <c r="C211" s="107">
        <f>[10]С2.5!$BS$11</f>
        <v>0</v>
      </c>
    </row>
    <row r="212" spans="2:3" ht="13.5" hidden="1" thickBot="1" x14ac:dyDescent="0.25">
      <c r="B212" s="106">
        <f t="shared" si="1"/>
        <v>2087</v>
      </c>
      <c r="C212" s="107">
        <f>[10]С2.5!$BT$11</f>
        <v>0</v>
      </c>
    </row>
    <row r="213" spans="2:3" ht="13.5" hidden="1" thickBot="1" x14ac:dyDescent="0.25">
      <c r="B213" s="106">
        <f t="shared" si="1"/>
        <v>2088</v>
      </c>
      <c r="C213" s="107">
        <f>[10]С2.5!$BU$11</f>
        <v>0</v>
      </c>
    </row>
    <row r="214" spans="2:3" ht="13.5" hidden="1" thickBot="1" x14ac:dyDescent="0.25">
      <c r="B214" s="106">
        <f t="shared" si="1"/>
        <v>2089</v>
      </c>
      <c r="C214" s="107">
        <f>[10]С2.5!$BV$11</f>
        <v>0</v>
      </c>
    </row>
    <row r="215" spans="2:3" ht="13.5" hidden="1" thickBot="1" x14ac:dyDescent="0.25">
      <c r="B215" s="106">
        <f t="shared" si="1"/>
        <v>2090</v>
      </c>
      <c r="C215" s="107">
        <f>[10]С2.5!$BW$11</f>
        <v>0</v>
      </c>
    </row>
    <row r="216" spans="2:3" ht="13.5" hidden="1" thickBot="1" x14ac:dyDescent="0.25">
      <c r="B216" s="106">
        <f t="shared" si="1"/>
        <v>2091</v>
      </c>
      <c r="C216" s="107">
        <f>[10]С2.5!$BX$11</f>
        <v>0</v>
      </c>
    </row>
    <row r="217" spans="2:3" ht="13.5" hidden="1" thickBot="1" x14ac:dyDescent="0.25">
      <c r="B217" s="106">
        <f t="shared" si="1"/>
        <v>2092</v>
      </c>
      <c r="C217" s="107">
        <f>[10]С2.5!$BY$11</f>
        <v>0</v>
      </c>
    </row>
    <row r="218" spans="2:3" ht="13.5" hidden="1" thickBot="1" x14ac:dyDescent="0.25">
      <c r="B218" s="106">
        <f t="shared" si="1"/>
        <v>2093</v>
      </c>
      <c r="C218" s="107">
        <f>[10]С2.5!$BZ$11</f>
        <v>0</v>
      </c>
    </row>
    <row r="219" spans="2:3" ht="13.5" hidden="1" thickBot="1" x14ac:dyDescent="0.25">
      <c r="B219" s="106">
        <f t="shared" si="1"/>
        <v>2094</v>
      </c>
      <c r="C219" s="107">
        <f>[10]С2.5!$CA$11</f>
        <v>0</v>
      </c>
    </row>
    <row r="220" spans="2:3" ht="13.5" hidden="1" thickBot="1" x14ac:dyDescent="0.25">
      <c r="B220" s="106">
        <f t="shared" si="1"/>
        <v>2095</v>
      </c>
      <c r="C220" s="107">
        <f>[10]С2.5!$CB$11</f>
        <v>0</v>
      </c>
    </row>
    <row r="221" spans="2:3" ht="13.5" hidden="1" thickBot="1" x14ac:dyDescent="0.25">
      <c r="B221" s="106">
        <f t="shared" si="1"/>
        <v>2096</v>
      </c>
      <c r="C221" s="107">
        <f>[10]С2.5!$CC$11</f>
        <v>0</v>
      </c>
    </row>
    <row r="222" spans="2:3" ht="13.5" hidden="1" thickBot="1" x14ac:dyDescent="0.25">
      <c r="B222" s="106">
        <f t="shared" si="1"/>
        <v>2097</v>
      </c>
      <c r="C222" s="107">
        <f>[10]С2.5!$CD$11</f>
        <v>0</v>
      </c>
    </row>
    <row r="223" spans="2:3" ht="13.5" hidden="1" thickBot="1" x14ac:dyDescent="0.25">
      <c r="B223" s="106">
        <f t="shared" si="1"/>
        <v>2098</v>
      </c>
      <c r="C223" s="107">
        <f>[10]С2.5!$CE$11</f>
        <v>0</v>
      </c>
    </row>
    <row r="224" spans="2:3" ht="13.5" hidden="1" thickBot="1" x14ac:dyDescent="0.25">
      <c r="B224" s="106">
        <f t="shared" si="1"/>
        <v>2099</v>
      </c>
      <c r="C224" s="107">
        <f>[10]С2.5!$CF$11</f>
        <v>0</v>
      </c>
    </row>
    <row r="225" spans="2:3" ht="13.5" hidden="1" thickBot="1" x14ac:dyDescent="0.25">
      <c r="B225" s="108">
        <f>B162+1</f>
        <v>2038</v>
      </c>
      <c r="C225" s="109" t="e">
        <f>[10]С2.5!#REF!</f>
        <v>#REF!</v>
      </c>
    </row>
    <row r="226" spans="2:3" x14ac:dyDescent="0.2">
      <c r="B226" s="110"/>
      <c r="C226" s="111"/>
    </row>
  </sheetData>
  <mergeCells count="9">
    <mergeCell ref="B1:C1"/>
    <mergeCell ref="A14:C14"/>
    <mergeCell ref="B27:C27"/>
    <mergeCell ref="B143:C143"/>
    <mergeCell ref="B45:C45"/>
    <mergeCell ref="B90:C90"/>
    <mergeCell ref="B101:C101"/>
    <mergeCell ref="B126:C126"/>
    <mergeCell ref="B129:C129"/>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9217" r:id="rId4" name="Button 1">
              <controlPr defaultSize="0" print="0" autoFill="0" autoPict="0" macro="[10]!Лист29.PrintBlock">
                <anchor moveWithCells="1" sizeWithCells="1">
                  <from>
                    <xdr:col>3</xdr:col>
                    <xdr:colOff>47625</xdr:colOff>
                    <xdr:row>0</xdr:row>
                    <xdr:rowOff>104775</xdr:rowOff>
                  </from>
                  <to>
                    <xdr:col>4</xdr:col>
                    <xdr:colOff>1095375</xdr:colOff>
                    <xdr:row>0</xdr:row>
                    <xdr:rowOff>352425</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13"/>
      <c r="B1" s="142" t="s">
        <v>225</v>
      </c>
      <c r="C1" s="142"/>
    </row>
    <row r="2" spans="1:3" x14ac:dyDescent="0.2">
      <c r="A2" s="1"/>
      <c r="B2" s="3" t="s">
        <v>2</v>
      </c>
      <c r="C2" s="4">
        <f ca="1">TODAY()</f>
        <v>44944</v>
      </c>
    </row>
    <row r="3" spans="1:3" x14ac:dyDescent="0.2">
      <c r="A3" s="1"/>
      <c r="B3" s="114" t="s">
        <v>3</v>
      </c>
    </row>
    <row r="4" spans="1:3" ht="25.5" x14ac:dyDescent="0.2">
      <c r="A4" s="7"/>
      <c r="B4" s="8" t="str">
        <f>[11]И1!D13</f>
        <v>Субъект Российской Федерации</v>
      </c>
      <c r="C4" s="9" t="str">
        <f>[11]И1!E13</f>
        <v>Новосибирская область</v>
      </c>
    </row>
    <row r="5" spans="1:3" ht="38.25" x14ac:dyDescent="0.2">
      <c r="A5" s="7"/>
      <c r="B5" s="8" t="str">
        <f>[11]И1!D14</f>
        <v>Тип муниципального образования (выберите из списка)</v>
      </c>
      <c r="C5" s="9" t="str">
        <f>[11]И1!E14</f>
        <v>село Нижнекаменка, Ордынский муниципальный район</v>
      </c>
    </row>
    <row r="6" spans="1:3" x14ac:dyDescent="0.2">
      <c r="A6" s="7"/>
      <c r="B6" s="8" t="str">
        <f>IF([11]И1!E15="","",[11]И1!D15)</f>
        <v/>
      </c>
      <c r="C6" s="9" t="str">
        <f>IF([11]И1!E15="","",[11]И1!E15)</f>
        <v/>
      </c>
    </row>
    <row r="7" spans="1:3" x14ac:dyDescent="0.2">
      <c r="A7" s="7"/>
      <c r="B7" s="8" t="str">
        <f>[11]И1!D16</f>
        <v>Код ОКТМО</v>
      </c>
      <c r="C7" s="10" t="str">
        <f>[11]И1!E16</f>
        <v>50642416101</v>
      </c>
    </row>
    <row r="8" spans="1:3" x14ac:dyDescent="0.2">
      <c r="A8" s="7"/>
      <c r="B8" s="11" t="str">
        <f>[11]И1!D17</f>
        <v>Система теплоснабжения</v>
      </c>
      <c r="C8" s="12">
        <f>[11]И1!E17</f>
        <v>0</v>
      </c>
    </row>
    <row r="9" spans="1:3" x14ac:dyDescent="0.2">
      <c r="A9" s="7"/>
      <c r="B9" s="8" t="str">
        <f>[11]И1!D8</f>
        <v>Период регулирования (i)-й</v>
      </c>
      <c r="C9" s="13">
        <f>[11]И1!E8</f>
        <v>2023</v>
      </c>
    </row>
    <row r="10" spans="1:3" x14ac:dyDescent="0.2">
      <c r="A10" s="7"/>
      <c r="B10" s="8" t="str">
        <f>[11]И1!D9</f>
        <v>Период регулирования (i-1)-й</v>
      </c>
      <c r="C10" s="13">
        <f>[11]И1!E9</f>
        <v>2022</v>
      </c>
    </row>
    <row r="11" spans="1:3" x14ac:dyDescent="0.2">
      <c r="A11" s="7"/>
      <c r="B11" s="8" t="str">
        <f>[11]И1!D10</f>
        <v>Период регулирования (i-2)-й</v>
      </c>
      <c r="C11" s="13">
        <f>[11]И1!E10</f>
        <v>2021</v>
      </c>
    </row>
    <row r="12" spans="1:3" x14ac:dyDescent="0.2">
      <c r="A12" s="7"/>
      <c r="B12" s="8" t="str">
        <f>[11]И1!D11</f>
        <v>Базовый год (б)</v>
      </c>
      <c r="C12" s="13">
        <f>[11]И1!E11</f>
        <v>2019</v>
      </c>
    </row>
    <row r="13" spans="1:3" ht="38.25" x14ac:dyDescent="0.2">
      <c r="A13" s="7"/>
      <c r="B13" s="8" t="str">
        <f>[11]И1!D18</f>
        <v>Вид топлива, использование которого преобладает в системе теплоснабжения</v>
      </c>
      <c r="C13" s="14" t="str">
        <f>[11]С1.1!E13</f>
        <v>уголь (вид угля не указан в топливном балансе)</v>
      </c>
    </row>
    <row r="14" spans="1:3" ht="31.7" customHeight="1" thickBot="1" x14ac:dyDescent="0.25">
      <c r="A14" s="147" t="s">
        <v>4</v>
      </c>
      <c r="B14" s="147"/>
      <c r="C14" s="147"/>
    </row>
    <row r="15" spans="1:3" x14ac:dyDescent="0.2">
      <c r="A15" s="15" t="s">
        <v>5</v>
      </c>
      <c r="B15" s="115" t="s">
        <v>6</v>
      </c>
      <c r="C15" s="116" t="s">
        <v>7</v>
      </c>
    </row>
    <row r="16" spans="1:3" x14ac:dyDescent="0.2">
      <c r="A16" s="18">
        <v>1</v>
      </c>
      <c r="B16" s="117">
        <v>2</v>
      </c>
      <c r="C16" s="118">
        <v>3</v>
      </c>
    </row>
    <row r="17" spans="1:3" x14ac:dyDescent="0.2">
      <c r="A17" s="21">
        <v>1</v>
      </c>
      <c r="B17" s="22" t="s">
        <v>8</v>
      </c>
      <c r="C17" s="23">
        <f>SUM(C18:C22)</f>
        <v>4277.9624197878884</v>
      </c>
    </row>
    <row r="18" spans="1:3" ht="42.75" x14ac:dyDescent="0.2">
      <c r="A18" s="21" t="s">
        <v>9</v>
      </c>
      <c r="B18" s="24" t="s">
        <v>10</v>
      </c>
      <c r="C18" s="25">
        <f>[11]С1!F12</f>
        <v>1134.77400713722</v>
      </c>
    </row>
    <row r="19" spans="1:3" ht="42.75" x14ac:dyDescent="0.2">
      <c r="A19" s="21" t="s">
        <v>11</v>
      </c>
      <c r="B19" s="24" t="s">
        <v>12</v>
      </c>
      <c r="C19" s="25">
        <f>[11]С2!F12</f>
        <v>2106.4563180122805</v>
      </c>
    </row>
    <row r="20" spans="1:3" ht="30" x14ac:dyDescent="0.2">
      <c r="A20" s="21" t="s">
        <v>13</v>
      </c>
      <c r="B20" s="24" t="s">
        <v>14</v>
      </c>
      <c r="C20" s="25">
        <f>[11]С3!F12</f>
        <v>503.94083842199643</v>
      </c>
    </row>
    <row r="21" spans="1:3" ht="42.75" x14ac:dyDescent="0.2">
      <c r="A21" s="21" t="s">
        <v>15</v>
      </c>
      <c r="B21" s="24" t="s">
        <v>226</v>
      </c>
      <c r="C21" s="25">
        <f>[11]С4!F12</f>
        <v>448.90964014211869</v>
      </c>
    </row>
    <row r="22" spans="1:3" ht="30" x14ac:dyDescent="0.2">
      <c r="A22" s="21" t="s">
        <v>17</v>
      </c>
      <c r="B22" s="24" t="s">
        <v>227</v>
      </c>
      <c r="C22" s="25">
        <f>[11]С5!F12</f>
        <v>83.881616074272316</v>
      </c>
    </row>
    <row r="23" spans="1:3" ht="43.5" thickBot="1" x14ac:dyDescent="0.25">
      <c r="A23" s="26" t="s">
        <v>19</v>
      </c>
      <c r="B23" s="98" t="s">
        <v>228</v>
      </c>
      <c r="C23" s="28" t="str">
        <f>[11]С6!F12</f>
        <v>-</v>
      </c>
    </row>
    <row r="24" spans="1:3" ht="13.5" thickBot="1" x14ac:dyDescent="0.25">
      <c r="A24" s="1"/>
    </row>
    <row r="25" spans="1:3" x14ac:dyDescent="0.2">
      <c r="A25" s="15" t="s">
        <v>5</v>
      </c>
      <c r="B25" s="29" t="s">
        <v>6</v>
      </c>
      <c r="C25" s="16" t="s">
        <v>7</v>
      </c>
    </row>
    <row r="26" spans="1:3" x14ac:dyDescent="0.2">
      <c r="A26" s="18">
        <v>1</v>
      </c>
      <c r="B26" s="30">
        <v>2</v>
      </c>
      <c r="C26" s="31">
        <v>3</v>
      </c>
    </row>
    <row r="27" spans="1:3" ht="30" customHeight="1" x14ac:dyDescent="0.2">
      <c r="A27" s="21">
        <v>1</v>
      </c>
      <c r="B27" s="144" t="s">
        <v>21</v>
      </c>
      <c r="C27" s="144"/>
    </row>
    <row r="28" spans="1:3" x14ac:dyDescent="0.2">
      <c r="A28" s="21" t="s">
        <v>9</v>
      </c>
      <c r="B28" s="32" t="s">
        <v>229</v>
      </c>
      <c r="C28" s="33">
        <f>[11]С1.1!E16</f>
        <v>5100</v>
      </c>
    </row>
    <row r="29" spans="1:3" ht="42.75" x14ac:dyDescent="0.2">
      <c r="A29" s="21" t="s">
        <v>11</v>
      </c>
      <c r="B29" s="32" t="s">
        <v>230</v>
      </c>
      <c r="C29" s="33">
        <f>[11]С1.1!E27</f>
        <v>3051.2176603165626</v>
      </c>
    </row>
    <row r="30" spans="1:3" ht="17.25" x14ac:dyDescent="0.2">
      <c r="A30" s="21" t="s">
        <v>13</v>
      </c>
      <c r="B30" s="32" t="s">
        <v>30</v>
      </c>
      <c r="C30" s="35">
        <f>[11]С1.1!E19</f>
        <v>0.59499999999999997</v>
      </c>
    </row>
    <row r="31" spans="1:3" ht="17.25" x14ac:dyDescent="0.2">
      <c r="A31" s="21" t="s">
        <v>15</v>
      </c>
      <c r="B31" s="32" t="s">
        <v>31</v>
      </c>
      <c r="C31" s="35">
        <f>[11]С1.1!E20</f>
        <v>-0.113</v>
      </c>
    </row>
    <row r="32" spans="1:3" ht="30" x14ac:dyDescent="0.2">
      <c r="A32" s="21" t="s">
        <v>17</v>
      </c>
      <c r="B32" s="36" t="s">
        <v>231</v>
      </c>
      <c r="C32" s="119">
        <f>[11]С1!F13</f>
        <v>176.4</v>
      </c>
    </row>
    <row r="33" spans="1:3" x14ac:dyDescent="0.2">
      <c r="A33" s="21" t="s">
        <v>19</v>
      </c>
      <c r="B33" s="36" t="s">
        <v>33</v>
      </c>
      <c r="C33" s="38">
        <f>[11]С1!F16</f>
        <v>7000</v>
      </c>
    </row>
    <row r="34" spans="1:3" ht="14.25" x14ac:dyDescent="0.2">
      <c r="A34" s="21" t="s">
        <v>34</v>
      </c>
      <c r="B34" s="40" t="s">
        <v>232</v>
      </c>
      <c r="C34" s="41">
        <f>[11]С1!F17</f>
        <v>0.72857142857142854</v>
      </c>
    </row>
    <row r="35" spans="1:3" ht="15.75" x14ac:dyDescent="0.2">
      <c r="A35" s="120" t="s">
        <v>36</v>
      </c>
      <c r="B35" s="43" t="s">
        <v>37</v>
      </c>
      <c r="C35" s="41">
        <f>[11]С1!F20</f>
        <v>21.588411179999994</v>
      </c>
    </row>
    <row r="36" spans="1:3" ht="15.75" x14ac:dyDescent="0.2">
      <c r="A36" s="120" t="s">
        <v>38</v>
      </c>
      <c r="B36" s="44" t="s">
        <v>39</v>
      </c>
      <c r="C36" s="41">
        <f>[11]С1!F21</f>
        <v>20.818139999999996</v>
      </c>
    </row>
    <row r="37" spans="1:3" ht="14.25" x14ac:dyDescent="0.2">
      <c r="A37" s="120" t="s">
        <v>40</v>
      </c>
      <c r="B37" s="45" t="s">
        <v>41</v>
      </c>
      <c r="C37" s="41">
        <f>[11]С1!F22</f>
        <v>1.0369999999999999</v>
      </c>
    </row>
    <row r="38" spans="1:3" ht="53.25" thickBot="1" x14ac:dyDescent="0.25">
      <c r="A38" s="26" t="s">
        <v>42</v>
      </c>
      <c r="B38" s="46" t="s">
        <v>43</v>
      </c>
      <c r="C38" s="47">
        <f>[11]С1!F23</f>
        <v>1.0469999999999999</v>
      </c>
    </row>
    <row r="39" spans="1:3" ht="13.5" thickBot="1" x14ac:dyDescent="0.25">
      <c r="A39" s="48"/>
      <c r="B39" s="121"/>
      <c r="C39" s="122"/>
    </row>
    <row r="40" spans="1:3" ht="30" customHeight="1" x14ac:dyDescent="0.2">
      <c r="A40" s="50" t="s">
        <v>44</v>
      </c>
      <c r="B40" s="146" t="s">
        <v>45</v>
      </c>
      <c r="C40" s="146"/>
    </row>
    <row r="41" spans="1:3" ht="25.5" x14ac:dyDescent="0.2">
      <c r="A41" s="21" t="s">
        <v>46</v>
      </c>
      <c r="B41" s="36" t="s">
        <v>47</v>
      </c>
      <c r="C41" s="51" t="str">
        <f>[11]С2.1!E12</f>
        <v>V</v>
      </c>
    </row>
    <row r="42" spans="1:3" ht="25.5" x14ac:dyDescent="0.2">
      <c r="A42" s="21" t="s">
        <v>48</v>
      </c>
      <c r="B42" s="32" t="s">
        <v>49</v>
      </c>
      <c r="C42" s="51" t="str">
        <f>[11]С2.1!E13</f>
        <v>6 и менее баллов</v>
      </c>
    </row>
    <row r="43" spans="1:3" ht="25.5" x14ac:dyDescent="0.2">
      <c r="A43" s="21" t="s">
        <v>50</v>
      </c>
      <c r="B43" s="32" t="s">
        <v>233</v>
      </c>
      <c r="C43" s="51" t="str">
        <f>[11]С2.1!E14</f>
        <v>от 200 до 500</v>
      </c>
    </row>
    <row r="44" spans="1:3" ht="25.5" x14ac:dyDescent="0.2">
      <c r="A44" s="21" t="s">
        <v>52</v>
      </c>
      <c r="B44" s="32" t="s">
        <v>234</v>
      </c>
      <c r="C44" s="52" t="str">
        <f>[11]С2.1!E15</f>
        <v>нет</v>
      </c>
    </row>
    <row r="45" spans="1:3" ht="30" x14ac:dyDescent="0.2">
      <c r="A45" s="21" t="s">
        <v>54</v>
      </c>
      <c r="B45" s="32" t="s">
        <v>55</v>
      </c>
      <c r="C45" s="33">
        <f>[11]С2!F18</f>
        <v>32402.627334033532</v>
      </c>
    </row>
    <row r="46" spans="1:3" ht="30" x14ac:dyDescent="0.2">
      <c r="A46" s="21" t="s">
        <v>56</v>
      </c>
      <c r="B46" s="53" t="s">
        <v>57</v>
      </c>
      <c r="C46" s="33">
        <f>IF([11]С2!F19&gt;0,[11]С2!F19,[11]С2!F20)</f>
        <v>23441.524932855718</v>
      </c>
    </row>
    <row r="47" spans="1:3" ht="25.5" x14ac:dyDescent="0.2">
      <c r="A47" s="21" t="s">
        <v>58</v>
      </c>
      <c r="B47" s="54" t="s">
        <v>59</v>
      </c>
      <c r="C47" s="33">
        <f>[11]С2.1!E19</f>
        <v>-37</v>
      </c>
    </row>
    <row r="48" spans="1:3" ht="25.5" x14ac:dyDescent="0.2">
      <c r="A48" s="21" t="s">
        <v>60</v>
      </c>
      <c r="B48" s="54" t="s">
        <v>61</v>
      </c>
      <c r="C48" s="33" t="str">
        <f>[11]С2.1!E22</f>
        <v>нет</v>
      </c>
    </row>
    <row r="49" spans="1:3" ht="38.25" x14ac:dyDescent="0.2">
      <c r="A49" s="21" t="s">
        <v>62</v>
      </c>
      <c r="B49" s="55" t="s">
        <v>63</v>
      </c>
      <c r="C49" s="33">
        <f>[11]С2.2!E10</f>
        <v>1287</v>
      </c>
    </row>
    <row r="50" spans="1:3" ht="25.5" x14ac:dyDescent="0.2">
      <c r="A50" s="21" t="s">
        <v>64</v>
      </c>
      <c r="B50" s="56" t="s">
        <v>65</v>
      </c>
      <c r="C50" s="33">
        <f>[11]С2.2!E12</f>
        <v>5.97</v>
      </c>
    </row>
    <row r="51" spans="1:3" ht="52.5" x14ac:dyDescent="0.2">
      <c r="A51" s="21" t="s">
        <v>66</v>
      </c>
      <c r="B51" s="57" t="s">
        <v>67</v>
      </c>
      <c r="C51" s="33">
        <f>[11]С2.2!E13</f>
        <v>1</v>
      </c>
    </row>
    <row r="52" spans="1:3" ht="27.75" x14ac:dyDescent="0.2">
      <c r="A52" s="21" t="s">
        <v>68</v>
      </c>
      <c r="B52" s="56" t="s">
        <v>69</v>
      </c>
      <c r="C52" s="33">
        <f>[11]С2.2!E14</f>
        <v>12104</v>
      </c>
    </row>
    <row r="53" spans="1:3" ht="25.5" x14ac:dyDescent="0.2">
      <c r="A53" s="21" t="s">
        <v>70</v>
      </c>
      <c r="B53" s="57" t="s">
        <v>71</v>
      </c>
      <c r="C53" s="35">
        <f>[11]С2.2!E15</f>
        <v>4.8000000000000001E-2</v>
      </c>
    </row>
    <row r="54" spans="1:3" x14ac:dyDescent="0.2">
      <c r="A54" s="21" t="s">
        <v>72</v>
      </c>
      <c r="B54" s="57" t="s">
        <v>73</v>
      </c>
      <c r="C54" s="33">
        <f>[11]С2.2!E16</f>
        <v>1</v>
      </c>
    </row>
    <row r="55" spans="1:3" ht="15.75" x14ac:dyDescent="0.2">
      <c r="A55" s="21" t="s">
        <v>74</v>
      </c>
      <c r="B55" s="59" t="s">
        <v>75</v>
      </c>
      <c r="C55" s="33">
        <f>[11]С2!F21</f>
        <v>1</v>
      </c>
    </row>
    <row r="56" spans="1:3" ht="30" x14ac:dyDescent="0.2">
      <c r="A56" s="60" t="s">
        <v>76</v>
      </c>
      <c r="B56" s="32" t="s">
        <v>235</v>
      </c>
      <c r="C56" s="33">
        <f>[11]С2!F13</f>
        <v>169640.22915965237</v>
      </c>
    </row>
    <row r="57" spans="1:3" ht="30" x14ac:dyDescent="0.2">
      <c r="A57" s="60" t="s">
        <v>78</v>
      </c>
      <c r="B57" s="59" t="s">
        <v>236</v>
      </c>
      <c r="C57" s="33">
        <f>[11]С2!F14</f>
        <v>113455</v>
      </c>
    </row>
    <row r="58" spans="1:3" ht="15.75" x14ac:dyDescent="0.2">
      <c r="A58" s="60" t="s">
        <v>80</v>
      </c>
      <c r="B58" s="61" t="s">
        <v>81</v>
      </c>
      <c r="C58" s="41">
        <f>[11]С2!F15</f>
        <v>1.071</v>
      </c>
    </row>
    <row r="59" spans="1:3" ht="15.75" x14ac:dyDescent="0.2">
      <c r="A59" s="60" t="s">
        <v>82</v>
      </c>
      <c r="B59" s="61" t="s">
        <v>83</v>
      </c>
      <c r="C59" s="41">
        <f>[11]С2!F16</f>
        <v>1</v>
      </c>
    </row>
    <row r="60" spans="1:3" ht="17.25" x14ac:dyDescent="0.2">
      <c r="A60" s="60" t="s">
        <v>84</v>
      </c>
      <c r="B60" s="59" t="s">
        <v>85</v>
      </c>
      <c r="C60" s="33">
        <f>[11]С2!F17</f>
        <v>1.01</v>
      </c>
    </row>
    <row r="61" spans="1:3" s="66" customFormat="1" ht="14.25" x14ac:dyDescent="0.2">
      <c r="A61" s="60" t="s">
        <v>86</v>
      </c>
      <c r="B61" s="64" t="s">
        <v>87</v>
      </c>
      <c r="C61" s="65">
        <f>[11]С2!F33</f>
        <v>10</v>
      </c>
    </row>
    <row r="62" spans="1:3" ht="30" x14ac:dyDescent="0.2">
      <c r="A62" s="60" t="s">
        <v>88</v>
      </c>
      <c r="B62" s="67" t="s">
        <v>89</v>
      </c>
      <c r="C62" s="33">
        <f>[11]С2!F26</f>
        <v>1168.8344047018327</v>
      </c>
    </row>
    <row r="63" spans="1:3" ht="17.25" x14ac:dyDescent="0.2">
      <c r="A63" s="60" t="s">
        <v>90</v>
      </c>
      <c r="B63" s="53" t="s">
        <v>237</v>
      </c>
      <c r="C63" s="33">
        <f>[11]С2!F27</f>
        <v>0.201330388</v>
      </c>
    </row>
    <row r="64" spans="1:3" ht="17.25" x14ac:dyDescent="0.2">
      <c r="A64" s="60" t="s">
        <v>92</v>
      </c>
      <c r="B64" s="59" t="s">
        <v>238</v>
      </c>
      <c r="C64" s="65">
        <f>[11]С2!F28</f>
        <v>4200</v>
      </c>
    </row>
    <row r="65" spans="1:3" ht="42.75" x14ac:dyDescent="0.2">
      <c r="A65" s="60" t="s">
        <v>94</v>
      </c>
      <c r="B65" s="32" t="s">
        <v>239</v>
      </c>
      <c r="C65" s="33">
        <f>[11]С2!F22</f>
        <v>35717.748653137714</v>
      </c>
    </row>
    <row r="66" spans="1:3" ht="30" x14ac:dyDescent="0.2">
      <c r="A66" s="60" t="s">
        <v>96</v>
      </c>
      <c r="B66" s="61" t="s">
        <v>240</v>
      </c>
      <c r="C66" s="33">
        <f>[11]С2!F23</f>
        <v>1990</v>
      </c>
    </row>
    <row r="67" spans="1:3" ht="30" x14ac:dyDescent="0.2">
      <c r="A67" s="60" t="s">
        <v>98</v>
      </c>
      <c r="B67" s="53" t="s">
        <v>99</v>
      </c>
      <c r="C67" s="33">
        <f>[11]С2.1!E27</f>
        <v>14307.876789999998</v>
      </c>
    </row>
    <row r="68" spans="1:3" ht="38.25" x14ac:dyDescent="0.2">
      <c r="A68" s="60" t="s">
        <v>100</v>
      </c>
      <c r="B68" s="68" t="s">
        <v>101</v>
      </c>
      <c r="C68" s="52">
        <f>[11]С2.3!E21</f>
        <v>0</v>
      </c>
    </row>
    <row r="69" spans="1:3" ht="25.5" x14ac:dyDescent="0.2">
      <c r="A69" s="60" t="s">
        <v>102</v>
      </c>
      <c r="B69" s="69" t="s">
        <v>103</v>
      </c>
      <c r="C69" s="70">
        <f>[11]С2.3!E11</f>
        <v>9.89</v>
      </c>
    </row>
    <row r="70" spans="1:3" ht="25.5" x14ac:dyDescent="0.2">
      <c r="A70" s="60" t="s">
        <v>104</v>
      </c>
      <c r="B70" s="69" t="s">
        <v>105</v>
      </c>
      <c r="C70" s="65">
        <f>[11]С2.3!E13</f>
        <v>300</v>
      </c>
    </row>
    <row r="71" spans="1:3" ht="25.5" x14ac:dyDescent="0.2">
      <c r="A71" s="60" t="s">
        <v>106</v>
      </c>
      <c r="B71" s="68" t="s">
        <v>107</v>
      </c>
      <c r="C71" s="71">
        <f>IF([11]С2.3!E22&gt;0,[11]С2.3!E22,[11]С2.3!E14)</f>
        <v>61211</v>
      </c>
    </row>
    <row r="72" spans="1:3" ht="38.25" x14ac:dyDescent="0.2">
      <c r="A72" s="60" t="s">
        <v>108</v>
      </c>
      <c r="B72" s="68" t="s">
        <v>109</v>
      </c>
      <c r="C72" s="71">
        <f>IF([11]С2.3!E23&gt;0,[11]С2.3!E23,[11]С2.3!E15)</f>
        <v>45675</v>
      </c>
    </row>
    <row r="73" spans="1:3" ht="30" x14ac:dyDescent="0.2">
      <c r="A73" s="60" t="s">
        <v>110</v>
      </c>
      <c r="B73" s="53" t="s">
        <v>111</v>
      </c>
      <c r="C73" s="33">
        <f>[11]С2.1!E28</f>
        <v>9541.9567200000001</v>
      </c>
    </row>
    <row r="74" spans="1:3" ht="38.25" x14ac:dyDescent="0.2">
      <c r="A74" s="60" t="s">
        <v>112</v>
      </c>
      <c r="B74" s="68" t="s">
        <v>113</v>
      </c>
      <c r="C74" s="52">
        <f>[11]С2.3!E25</f>
        <v>0</v>
      </c>
    </row>
    <row r="75" spans="1:3" ht="25.5" x14ac:dyDescent="0.2">
      <c r="A75" s="60" t="s">
        <v>114</v>
      </c>
      <c r="B75" s="69" t="s">
        <v>115</v>
      </c>
      <c r="C75" s="70">
        <f>[11]С2.3!E12</f>
        <v>0.56000000000000005</v>
      </c>
    </row>
    <row r="76" spans="1:3" ht="25.5" x14ac:dyDescent="0.2">
      <c r="A76" s="60" t="s">
        <v>116</v>
      </c>
      <c r="B76" s="69" t="s">
        <v>105</v>
      </c>
      <c r="C76" s="65">
        <f>[11]С2.3!E13</f>
        <v>300</v>
      </c>
    </row>
    <row r="77" spans="1:3" ht="25.5" x14ac:dyDescent="0.2">
      <c r="A77" s="60" t="s">
        <v>117</v>
      </c>
      <c r="B77" s="72" t="s">
        <v>118</v>
      </c>
      <c r="C77" s="71">
        <f>IF([11]С2.3!E26&gt;0,[11]С2.3!E26,[11]С2.3!E16)</f>
        <v>65637</v>
      </c>
    </row>
    <row r="78" spans="1:3" ht="38.25" x14ac:dyDescent="0.2">
      <c r="A78" s="60" t="s">
        <v>119</v>
      </c>
      <c r="B78" s="72" t="s">
        <v>120</v>
      </c>
      <c r="C78" s="71">
        <f>IF([11]С2.3!E27&gt;0,[11]С2.3!E27,[11]С2.3!E17)</f>
        <v>31684</v>
      </c>
    </row>
    <row r="79" spans="1:3" ht="17.25" x14ac:dyDescent="0.2">
      <c r="A79" s="60" t="s">
        <v>123</v>
      </c>
      <c r="B79" s="32" t="s">
        <v>124</v>
      </c>
      <c r="C79" s="35">
        <f>[11]С2!F29</f>
        <v>0.128978033685065</v>
      </c>
    </row>
    <row r="80" spans="1:3" ht="30" x14ac:dyDescent="0.2">
      <c r="A80" s="60" t="s">
        <v>125</v>
      </c>
      <c r="B80" s="53" t="s">
        <v>126</v>
      </c>
      <c r="C80" s="73">
        <f>[11]С2!F30</f>
        <v>0.11668498168498169</v>
      </c>
    </row>
    <row r="81" spans="1:3" ht="17.25" x14ac:dyDescent="0.2">
      <c r="A81" s="60" t="s">
        <v>127</v>
      </c>
      <c r="B81" s="74" t="s">
        <v>128</v>
      </c>
      <c r="C81" s="35">
        <f>[11]С2!F31</f>
        <v>0.13880000000000001</v>
      </c>
    </row>
    <row r="82" spans="1:3" s="66" customFormat="1" ht="18" thickBot="1" x14ac:dyDescent="0.25">
      <c r="A82" s="75" t="s">
        <v>129</v>
      </c>
      <c r="B82" s="76" t="s">
        <v>130</v>
      </c>
      <c r="C82" s="77">
        <f>[11]С2!F32</f>
        <v>0.12640000000000001</v>
      </c>
    </row>
    <row r="83" spans="1:3" ht="13.5" thickBot="1" x14ac:dyDescent="0.25">
      <c r="A83" s="48"/>
      <c r="B83" s="49"/>
      <c r="C83" s="14"/>
    </row>
    <row r="84" spans="1:3" s="66" customFormat="1" ht="30" customHeight="1" x14ac:dyDescent="0.2">
      <c r="A84" s="78" t="s">
        <v>131</v>
      </c>
      <c r="B84" s="146" t="s">
        <v>132</v>
      </c>
      <c r="C84" s="146"/>
    </row>
    <row r="85" spans="1:3" s="66" customFormat="1" ht="30" x14ac:dyDescent="0.2">
      <c r="A85" s="79" t="s">
        <v>133</v>
      </c>
      <c r="B85" s="32" t="s">
        <v>134</v>
      </c>
      <c r="C85" s="33">
        <f>[11]С3!F14</f>
        <v>7000.4488806189811</v>
      </c>
    </row>
    <row r="86" spans="1:3" s="66" customFormat="1" ht="42.75" x14ac:dyDescent="0.2">
      <c r="A86" s="79" t="s">
        <v>135</v>
      </c>
      <c r="B86" s="53" t="s">
        <v>136</v>
      </c>
      <c r="C86" s="80">
        <f>[11]С3!F15</f>
        <v>0.2</v>
      </c>
    </row>
    <row r="87" spans="1:3" s="66" customFormat="1" ht="14.25" x14ac:dyDescent="0.2">
      <c r="A87" s="79" t="s">
        <v>137</v>
      </c>
      <c r="B87" s="81" t="s">
        <v>138</v>
      </c>
      <c r="C87" s="65">
        <f>[11]С3!F18</f>
        <v>15</v>
      </c>
    </row>
    <row r="88" spans="1:3" s="66" customFormat="1" ht="17.25" x14ac:dyDescent="0.2">
      <c r="A88" s="79" t="s">
        <v>139</v>
      </c>
      <c r="B88" s="32" t="s">
        <v>140</v>
      </c>
      <c r="C88" s="33">
        <f>[11]С3!F19</f>
        <v>3487.1555421534131</v>
      </c>
    </row>
    <row r="89" spans="1:3" s="66" customFormat="1" ht="55.5" x14ac:dyDescent="0.2">
      <c r="A89" s="79" t="s">
        <v>141</v>
      </c>
      <c r="B89" s="53" t="s">
        <v>142</v>
      </c>
      <c r="C89" s="82">
        <f>[11]С3!F20</f>
        <v>2.1999999999999999E-2</v>
      </c>
    </row>
    <row r="90" spans="1:3" s="66" customFormat="1" ht="14.25" x14ac:dyDescent="0.2">
      <c r="A90" s="79" t="s">
        <v>143</v>
      </c>
      <c r="B90" s="59" t="s">
        <v>87</v>
      </c>
      <c r="C90" s="65">
        <f>[11]С3!F21</f>
        <v>10</v>
      </c>
    </row>
    <row r="91" spans="1:3" s="66" customFormat="1" ht="17.25" x14ac:dyDescent="0.2">
      <c r="A91" s="79" t="s">
        <v>144</v>
      </c>
      <c r="B91" s="32" t="s">
        <v>145</v>
      </c>
      <c r="C91" s="33">
        <f>[11]С3!F22</f>
        <v>3.5065032141054981</v>
      </c>
    </row>
    <row r="92" spans="1:3" s="66" customFormat="1" ht="55.5" x14ac:dyDescent="0.2">
      <c r="A92" s="79" t="s">
        <v>146</v>
      </c>
      <c r="B92" s="53" t="s">
        <v>147</v>
      </c>
      <c r="C92" s="82">
        <f>[11]С3!F23</f>
        <v>3.0000000000000001E-3</v>
      </c>
    </row>
    <row r="93" spans="1:3" s="66" customFormat="1" ht="27.75" thickBot="1" x14ac:dyDescent="0.25">
      <c r="A93" s="83" t="s">
        <v>148</v>
      </c>
      <c r="B93" s="84" t="s">
        <v>241</v>
      </c>
      <c r="C93" s="85">
        <f>[11]С3!F24</f>
        <v>1168.8344047018327</v>
      </c>
    </row>
    <row r="94" spans="1:3" ht="13.5" thickBot="1" x14ac:dyDescent="0.25">
      <c r="A94" s="48"/>
      <c r="B94" s="49"/>
      <c r="C94" s="14"/>
    </row>
    <row r="95" spans="1:3" ht="30" customHeight="1" x14ac:dyDescent="0.2">
      <c r="A95" s="86" t="s">
        <v>149</v>
      </c>
      <c r="B95" s="146" t="s">
        <v>150</v>
      </c>
      <c r="C95" s="146"/>
    </row>
    <row r="96" spans="1:3" ht="30" x14ac:dyDescent="0.2">
      <c r="A96" s="60" t="s">
        <v>151</v>
      </c>
      <c r="B96" s="32" t="s">
        <v>242</v>
      </c>
      <c r="C96" s="33">
        <f>[11]С4!F16</f>
        <v>1652.5</v>
      </c>
    </row>
    <row r="97" spans="1:3" ht="30" x14ac:dyDescent="0.2">
      <c r="A97" s="60" t="s">
        <v>153</v>
      </c>
      <c r="B97" s="59" t="s">
        <v>243</v>
      </c>
      <c r="C97" s="33">
        <f>[11]С4!F17</f>
        <v>73547</v>
      </c>
    </row>
    <row r="98" spans="1:3" ht="33" x14ac:dyDescent="0.2">
      <c r="A98" s="60" t="s">
        <v>155</v>
      </c>
      <c r="B98" s="59" t="s">
        <v>156</v>
      </c>
      <c r="C98" s="41">
        <f>[11]С4!F18</f>
        <v>0.02</v>
      </c>
    </row>
    <row r="99" spans="1:3" ht="30" x14ac:dyDescent="0.2">
      <c r="A99" s="60" t="s">
        <v>157</v>
      </c>
      <c r="B99" s="59" t="s">
        <v>158</v>
      </c>
      <c r="C99" s="33">
        <f>[11]С4!F19</f>
        <v>12104</v>
      </c>
    </row>
    <row r="100" spans="1:3" ht="28.5" x14ac:dyDescent="0.2">
      <c r="A100" s="60" t="s">
        <v>159</v>
      </c>
      <c r="B100" s="59" t="s">
        <v>160</v>
      </c>
      <c r="C100" s="41">
        <f>[11]С4!F20</f>
        <v>1.4999999999999999E-2</v>
      </c>
    </row>
    <row r="101" spans="1:3" ht="30" x14ac:dyDescent="0.2">
      <c r="A101" s="60" t="s">
        <v>161</v>
      </c>
      <c r="B101" s="32" t="s">
        <v>244</v>
      </c>
      <c r="C101" s="33">
        <f>[11]С4!F21</f>
        <v>1933.1949342509995</v>
      </c>
    </row>
    <row r="102" spans="1:3" ht="24" customHeight="1" x14ac:dyDescent="0.2">
      <c r="A102" s="60" t="s">
        <v>163</v>
      </c>
      <c r="B102" s="53" t="s">
        <v>164</v>
      </c>
      <c r="C102" s="34">
        <f>IF([11]С4.2!F8="да",[11]С4.2!D21,[11]С4.2!D15)</f>
        <v>0</v>
      </c>
    </row>
    <row r="103" spans="1:3" ht="68.25" x14ac:dyDescent="0.2">
      <c r="A103" s="60" t="s">
        <v>165</v>
      </c>
      <c r="B103" s="53" t="s">
        <v>166</v>
      </c>
      <c r="C103" s="33">
        <f>[11]С4!F22</f>
        <v>3.6112641666666665</v>
      </c>
    </row>
    <row r="104" spans="1:3" ht="30" x14ac:dyDescent="0.2">
      <c r="A104" s="60" t="s">
        <v>167</v>
      </c>
      <c r="B104" s="59" t="s">
        <v>245</v>
      </c>
      <c r="C104" s="33">
        <f>[11]С4!F23</f>
        <v>180</v>
      </c>
    </row>
    <row r="105" spans="1:3" ht="14.25" x14ac:dyDescent="0.2">
      <c r="A105" s="60" t="s">
        <v>169</v>
      </c>
      <c r="B105" s="53" t="s">
        <v>170</v>
      </c>
      <c r="C105" s="33">
        <f>[11]С4!F24</f>
        <v>8497.1999999999989</v>
      </c>
    </row>
    <row r="106" spans="1:3" ht="14.25" x14ac:dyDescent="0.2">
      <c r="A106" s="60" t="s">
        <v>171</v>
      </c>
      <c r="B106" s="59" t="s">
        <v>172</v>
      </c>
      <c r="C106" s="41">
        <f>[11]С4!F25</f>
        <v>0.35</v>
      </c>
    </row>
    <row r="107" spans="1:3" ht="17.25" x14ac:dyDescent="0.2">
      <c r="A107" s="60" t="s">
        <v>173</v>
      </c>
      <c r="B107" s="32" t="s">
        <v>174</v>
      </c>
      <c r="C107" s="33">
        <f>[11]С4!F26</f>
        <v>81.622790000000009</v>
      </c>
    </row>
    <row r="108" spans="1:3" ht="25.5" x14ac:dyDescent="0.2">
      <c r="A108" s="60" t="s">
        <v>175</v>
      </c>
      <c r="B108" s="53" t="s">
        <v>101</v>
      </c>
      <c r="C108" s="34">
        <f>[11]С4.3!E16</f>
        <v>0</v>
      </c>
    </row>
    <row r="109" spans="1:3" ht="25.5" x14ac:dyDescent="0.2">
      <c r="A109" s="60" t="s">
        <v>176</v>
      </c>
      <c r="B109" s="53" t="s">
        <v>177</v>
      </c>
      <c r="C109" s="33">
        <f>[11]С4.3!E17</f>
        <v>22.17</v>
      </c>
    </row>
    <row r="110" spans="1:3" ht="38.25" x14ac:dyDescent="0.2">
      <c r="A110" s="60" t="s">
        <v>178</v>
      </c>
      <c r="B110" s="53" t="s">
        <v>113</v>
      </c>
      <c r="C110" s="34">
        <f>[11]С4.3!E18</f>
        <v>0</v>
      </c>
    </row>
    <row r="111" spans="1:3" x14ac:dyDescent="0.2">
      <c r="A111" s="60" t="s">
        <v>179</v>
      </c>
      <c r="B111" s="53" t="s">
        <v>180</v>
      </c>
      <c r="C111" s="33">
        <f>[11]С4.3!E19</f>
        <v>18.983333333333334</v>
      </c>
    </row>
    <row r="112" spans="1:3" x14ac:dyDescent="0.2">
      <c r="A112" s="60" t="s">
        <v>181</v>
      </c>
      <c r="B112" s="59" t="s">
        <v>182</v>
      </c>
      <c r="C112" s="33">
        <f>[11]С4.3!E11</f>
        <v>1871</v>
      </c>
    </row>
    <row r="113" spans="1:3" x14ac:dyDescent="0.2">
      <c r="A113" s="60" t="s">
        <v>183</v>
      </c>
      <c r="B113" s="59" t="s">
        <v>184</v>
      </c>
      <c r="C113" s="52">
        <f>[11]С4.3!E12</f>
        <v>1636</v>
      </c>
    </row>
    <row r="114" spans="1:3" x14ac:dyDescent="0.2">
      <c r="A114" s="60" t="s">
        <v>185</v>
      </c>
      <c r="B114" s="59" t="s">
        <v>186</v>
      </c>
      <c r="C114" s="52">
        <f>[11]С4.3!E13</f>
        <v>204</v>
      </c>
    </row>
    <row r="115" spans="1:3" ht="30" x14ac:dyDescent="0.2">
      <c r="A115" s="60" t="s">
        <v>187</v>
      </c>
      <c r="B115" s="32" t="s">
        <v>246</v>
      </c>
      <c r="C115" s="33">
        <f>[11]С4!F27</f>
        <v>1351.1912129385403</v>
      </c>
    </row>
    <row r="116" spans="1:3" ht="25.5" x14ac:dyDescent="0.2">
      <c r="A116" s="60" t="s">
        <v>189</v>
      </c>
      <c r="B116" s="53" t="s">
        <v>247</v>
      </c>
      <c r="C116" s="33">
        <f>[11]С4!F28</f>
        <v>1037.7812695380494</v>
      </c>
    </row>
    <row r="117" spans="1:3" ht="42.75" x14ac:dyDescent="0.2">
      <c r="A117" s="60" t="s">
        <v>191</v>
      </c>
      <c r="B117" s="53" t="s">
        <v>192</v>
      </c>
      <c r="C117" s="33">
        <f>[11]С4!F29</f>
        <v>313.40994340049093</v>
      </c>
    </row>
    <row r="118" spans="1:3" ht="30" x14ac:dyDescent="0.2">
      <c r="A118" s="60" t="s">
        <v>193</v>
      </c>
      <c r="B118" s="40" t="s">
        <v>194</v>
      </c>
      <c r="C118" s="33">
        <f>[11]С4!F30</f>
        <v>2408.5056953404164</v>
      </c>
    </row>
    <row r="119" spans="1:3" ht="42.75" x14ac:dyDescent="0.2">
      <c r="A119" s="60" t="s">
        <v>248</v>
      </c>
      <c r="B119" s="90" t="s">
        <v>249</v>
      </c>
      <c r="C119" s="33">
        <f>[11]С4!F33</f>
        <v>1670.7125714260549</v>
      </c>
    </row>
    <row r="120" spans="1:3" ht="30" x14ac:dyDescent="0.2">
      <c r="A120" s="60" t="s">
        <v>250</v>
      </c>
      <c r="B120" s="123" t="s">
        <v>251</v>
      </c>
      <c r="C120" s="33">
        <f>[11]С4!F35</f>
        <v>17.040680999999999</v>
      </c>
    </row>
    <row r="121" spans="1:3" ht="14.25" x14ac:dyDescent="0.2">
      <c r="A121" s="60" t="s">
        <v>252</v>
      </c>
      <c r="B121" s="56" t="s">
        <v>253</v>
      </c>
      <c r="C121" s="33">
        <f>[11]С4!F36</f>
        <v>14319.9</v>
      </c>
    </row>
    <row r="122" spans="1:3" ht="28.5" thickBot="1" x14ac:dyDescent="0.25">
      <c r="A122" s="75" t="s">
        <v>254</v>
      </c>
      <c r="B122" s="124" t="s">
        <v>255</v>
      </c>
      <c r="C122" s="85">
        <f>[11]С4!F37</f>
        <v>1.19</v>
      </c>
    </row>
    <row r="123" spans="1:3" s="88" customFormat="1" ht="13.5" thickBot="1" x14ac:dyDescent="0.25">
      <c r="A123" s="48"/>
      <c r="B123" s="49"/>
      <c r="C123" s="14"/>
    </row>
    <row r="124" spans="1:3" s="66" customFormat="1" ht="30" customHeight="1" x14ac:dyDescent="0.2">
      <c r="A124" s="78" t="s">
        <v>195</v>
      </c>
      <c r="B124" s="146" t="s">
        <v>196</v>
      </c>
      <c r="C124" s="146"/>
    </row>
    <row r="125" spans="1:3" ht="16.5" thickBot="1" x14ac:dyDescent="0.25">
      <c r="A125" s="26" t="s">
        <v>197</v>
      </c>
      <c r="B125" s="87" t="s">
        <v>198</v>
      </c>
      <c r="C125" s="85">
        <f>[11]С5!F17</f>
        <v>0.02</v>
      </c>
    </row>
    <row r="126" spans="1:3" s="88" customFormat="1" ht="13.5" thickBot="1" x14ac:dyDescent="0.25">
      <c r="A126" s="48"/>
      <c r="B126" s="49"/>
      <c r="C126" s="14"/>
    </row>
    <row r="127" spans="1:3" ht="42.75" customHeight="1" x14ac:dyDescent="0.2">
      <c r="A127" s="86" t="s">
        <v>199</v>
      </c>
      <c r="B127" s="148" t="s">
        <v>200</v>
      </c>
      <c r="C127" s="148"/>
    </row>
    <row r="128" spans="1:3" ht="68.25" x14ac:dyDescent="0.2">
      <c r="A128" s="60" t="s">
        <v>201</v>
      </c>
      <c r="B128" s="89" t="s">
        <v>202</v>
      </c>
      <c r="C128" s="33" t="s">
        <v>256</v>
      </c>
    </row>
    <row r="129" spans="1:4" ht="42.75" hidden="1" x14ac:dyDescent="0.2">
      <c r="A129" s="60" t="s">
        <v>203</v>
      </c>
      <c r="B129" s="90" t="s">
        <v>204</v>
      </c>
      <c r="C129" s="91"/>
    </row>
    <row r="130" spans="1:4" ht="69" thickBot="1" x14ac:dyDescent="0.25">
      <c r="A130" s="75" t="s">
        <v>205</v>
      </c>
      <c r="B130" s="125" t="s">
        <v>206</v>
      </c>
      <c r="C130" s="126" t="s">
        <v>256</v>
      </c>
    </row>
    <row r="131" spans="1:4" ht="62.25" hidden="1" customHeight="1" x14ac:dyDescent="0.2">
      <c r="A131" s="127" t="s">
        <v>207</v>
      </c>
      <c r="B131" s="128" t="s">
        <v>208</v>
      </c>
      <c r="C131" s="129"/>
    </row>
    <row r="132" spans="1:4" ht="68.25" hidden="1" x14ac:dyDescent="0.2">
      <c r="A132" s="60" t="s">
        <v>209</v>
      </c>
      <c r="B132" s="90" t="s">
        <v>257</v>
      </c>
      <c r="C132" s="35"/>
    </row>
    <row r="133" spans="1:4" ht="69" hidden="1" thickBot="1" x14ac:dyDescent="0.25">
      <c r="A133" s="75" t="s">
        <v>211</v>
      </c>
      <c r="B133" s="93" t="s">
        <v>212</v>
      </c>
      <c r="C133" s="77"/>
    </row>
    <row r="134" spans="1:4" s="88" customFormat="1" ht="13.5" thickBot="1" x14ac:dyDescent="0.25">
      <c r="A134" s="48"/>
      <c r="B134" s="49"/>
      <c r="C134" s="14"/>
    </row>
    <row r="135" spans="1:4" ht="26.25" customHeight="1" x14ac:dyDescent="0.2">
      <c r="A135" s="86" t="s">
        <v>213</v>
      </c>
      <c r="B135" s="94" t="s">
        <v>214</v>
      </c>
      <c r="C135" s="95">
        <f>[11]С2!F37</f>
        <v>20.818139999999996</v>
      </c>
    </row>
    <row r="136" spans="1:4" ht="14.25" x14ac:dyDescent="0.2">
      <c r="A136" s="60" t="s">
        <v>215</v>
      </c>
      <c r="B136" s="130" t="s">
        <v>216</v>
      </c>
      <c r="C136" s="33">
        <f>[11]С2!F38</f>
        <v>7</v>
      </c>
    </row>
    <row r="137" spans="1:4" ht="17.25" x14ac:dyDescent="0.2">
      <c r="A137" s="60" t="s">
        <v>217</v>
      </c>
      <c r="B137" s="130" t="s">
        <v>218</v>
      </c>
      <c r="C137" s="33">
        <f>[11]С2!F40</f>
        <v>0.97</v>
      </c>
    </row>
    <row r="138" spans="1:4" ht="15" thickBot="1" x14ac:dyDescent="0.25">
      <c r="A138" s="75" t="s">
        <v>219</v>
      </c>
      <c r="B138" s="131" t="s">
        <v>220</v>
      </c>
      <c r="C138" s="47">
        <f>[11]С2!F42</f>
        <v>0.35</v>
      </c>
    </row>
    <row r="139" spans="1:4" s="88" customFormat="1" ht="13.5" thickBot="1" x14ac:dyDescent="0.25">
      <c r="A139" s="48"/>
      <c r="B139" s="49"/>
      <c r="C139" s="14"/>
    </row>
    <row r="140" spans="1:4" ht="30" x14ac:dyDescent="0.2">
      <c r="A140" s="86" t="s">
        <v>221</v>
      </c>
      <c r="B140" s="96" t="s">
        <v>258</v>
      </c>
      <c r="C140" s="132">
        <f>[11]С2!F35</f>
        <v>1.3822747209000001</v>
      </c>
      <c r="D140" s="88"/>
    </row>
    <row r="141" spans="1:4" ht="22.7" customHeight="1" thickBot="1" x14ac:dyDescent="0.25">
      <c r="A141" s="75" t="s">
        <v>223</v>
      </c>
      <c r="B141" s="145" t="s">
        <v>224</v>
      </c>
      <c r="C141" s="145"/>
      <c r="D141" s="88"/>
    </row>
    <row r="142" spans="1:4" ht="13.5" thickBot="1" x14ac:dyDescent="0.25">
      <c r="A142" s="99"/>
      <c r="B142" s="133" t="s">
        <v>0</v>
      </c>
      <c r="C142" s="134"/>
      <c r="D142" s="88"/>
    </row>
    <row r="143" spans="1:4" x14ac:dyDescent="0.2">
      <c r="A143" s="99"/>
      <c r="B143" s="135">
        <v>2020</v>
      </c>
      <c r="C143" s="136">
        <f>[11]С2.5!$E$11</f>
        <v>-2.9000000000000026E-2</v>
      </c>
      <c r="D143" s="88"/>
    </row>
    <row r="144" spans="1:4" x14ac:dyDescent="0.2">
      <c r="A144" s="99"/>
      <c r="B144" s="106">
        <f>B143+1</f>
        <v>2021</v>
      </c>
      <c r="C144" s="137">
        <f>[11]С2.5!$F$11</f>
        <v>0.245</v>
      </c>
      <c r="D144" s="88"/>
    </row>
    <row r="145" spans="1:4" x14ac:dyDescent="0.2">
      <c r="A145" s="99"/>
      <c r="B145" s="106">
        <f t="shared" ref="B145:B208" si="0">B144+1</f>
        <v>2022</v>
      </c>
      <c r="C145" s="137">
        <f>[11]С2.5!$G$11</f>
        <v>0.121</v>
      </c>
      <c r="D145" s="88"/>
    </row>
    <row r="146" spans="1:4" ht="13.5" thickBot="1" x14ac:dyDescent="0.25">
      <c r="A146" s="99"/>
      <c r="B146" s="108">
        <f t="shared" si="0"/>
        <v>2023</v>
      </c>
      <c r="C146" s="138">
        <f>[11]С2.5!$H$11</f>
        <v>0.02</v>
      </c>
      <c r="D146" s="88"/>
    </row>
    <row r="147" spans="1:4" hidden="1" x14ac:dyDescent="0.2">
      <c r="A147" s="99"/>
      <c r="B147" s="139">
        <f t="shared" si="0"/>
        <v>2024</v>
      </c>
      <c r="C147" s="140">
        <f>[11]С2.5!$I$11</f>
        <v>-2.93E-2</v>
      </c>
      <c r="D147" s="88"/>
    </row>
    <row r="148" spans="1:4" hidden="1" x14ac:dyDescent="0.2">
      <c r="A148" s="99"/>
      <c r="B148" s="106">
        <f t="shared" si="0"/>
        <v>2025</v>
      </c>
      <c r="C148" s="137">
        <f>[11]С2.5!$J$11</f>
        <v>0.21215960863291</v>
      </c>
      <c r="D148" s="88"/>
    </row>
    <row r="149" spans="1:4" hidden="1" x14ac:dyDescent="0.2">
      <c r="A149" s="99"/>
      <c r="B149" s="106">
        <f t="shared" si="0"/>
        <v>2026</v>
      </c>
      <c r="C149" s="137">
        <f>[11]С2.5!$K$11</f>
        <v>3.5813361771260002E-2</v>
      </c>
      <c r="D149" s="88"/>
    </row>
    <row r="150" spans="1:4" hidden="1" x14ac:dyDescent="0.2">
      <c r="A150" s="99"/>
      <c r="B150" s="106">
        <f t="shared" si="0"/>
        <v>2027</v>
      </c>
      <c r="C150" s="137">
        <f>[11]С2.5!$L$11</f>
        <v>3.2682303599220003E-2</v>
      </c>
      <c r="D150" s="88"/>
    </row>
    <row r="151" spans="1:4" hidden="1" x14ac:dyDescent="0.2">
      <c r="A151" s="99"/>
      <c r="B151" s="106">
        <f t="shared" si="0"/>
        <v>2028</v>
      </c>
      <c r="C151" s="137">
        <f>[11]С2.5!$M$11</f>
        <v>0</v>
      </c>
      <c r="D151" s="88"/>
    </row>
    <row r="152" spans="1:4" hidden="1" x14ac:dyDescent="0.2">
      <c r="A152" s="99"/>
      <c r="B152" s="106">
        <f t="shared" si="0"/>
        <v>2029</v>
      </c>
      <c r="C152" s="137">
        <f>[11]С2.5!$N$11</f>
        <v>0</v>
      </c>
      <c r="D152" s="88"/>
    </row>
    <row r="153" spans="1:4" hidden="1" x14ac:dyDescent="0.2">
      <c r="A153" s="99"/>
      <c r="B153" s="106">
        <f t="shared" si="0"/>
        <v>2030</v>
      </c>
      <c r="C153" s="137">
        <f>[11]С2.5!$O$11</f>
        <v>0</v>
      </c>
      <c r="D153" s="88"/>
    </row>
    <row r="154" spans="1:4" hidden="1" x14ac:dyDescent="0.2">
      <c r="A154" s="99"/>
      <c r="B154" s="106">
        <f t="shared" si="0"/>
        <v>2031</v>
      </c>
      <c r="C154" s="137">
        <f>[11]С2.5!$P$11</f>
        <v>0</v>
      </c>
      <c r="D154" s="88"/>
    </row>
    <row r="155" spans="1:4" hidden="1" x14ac:dyDescent="0.2">
      <c r="A155" s="88"/>
      <c r="B155" s="106">
        <f t="shared" si="0"/>
        <v>2032</v>
      </c>
      <c r="C155" s="137">
        <f>[11]С2.5!$Q$11</f>
        <v>0</v>
      </c>
      <c r="D155" s="88"/>
    </row>
    <row r="156" spans="1:4" hidden="1" x14ac:dyDescent="0.2">
      <c r="A156" s="88"/>
      <c r="B156" s="106">
        <f t="shared" si="0"/>
        <v>2033</v>
      </c>
      <c r="C156" s="137">
        <f>[11]С2.5!$R$11</f>
        <v>0</v>
      </c>
      <c r="D156" s="88"/>
    </row>
    <row r="157" spans="1:4" hidden="1" x14ac:dyDescent="0.2">
      <c r="B157" s="106">
        <f t="shared" si="0"/>
        <v>2034</v>
      </c>
      <c r="C157" s="137">
        <f>[11]С2.5!$S$11</f>
        <v>0</v>
      </c>
    </row>
    <row r="158" spans="1:4" hidden="1" x14ac:dyDescent="0.2">
      <c r="B158" s="106">
        <f t="shared" si="0"/>
        <v>2035</v>
      </c>
      <c r="C158" s="137">
        <f>[11]С2.5!$T$11</f>
        <v>0</v>
      </c>
    </row>
    <row r="159" spans="1:4" hidden="1" x14ac:dyDescent="0.2">
      <c r="B159" s="106">
        <f t="shared" si="0"/>
        <v>2036</v>
      </c>
      <c r="C159" s="137">
        <f>[11]С2.5!$U$11</f>
        <v>0</v>
      </c>
    </row>
    <row r="160" spans="1:4" hidden="1" x14ac:dyDescent="0.2">
      <c r="B160" s="106">
        <f t="shared" si="0"/>
        <v>2037</v>
      </c>
      <c r="C160" s="137">
        <f>[11]С2.5!$V$11</f>
        <v>0</v>
      </c>
    </row>
    <row r="161" spans="2:3" hidden="1" x14ac:dyDescent="0.2">
      <c r="B161" s="106">
        <f t="shared" si="0"/>
        <v>2038</v>
      </c>
      <c r="C161" s="137">
        <f>[11]С2.5!$W$11</f>
        <v>0</v>
      </c>
    </row>
    <row r="162" spans="2:3" hidden="1" x14ac:dyDescent="0.2">
      <c r="B162" s="106">
        <f t="shared" si="0"/>
        <v>2039</v>
      </c>
      <c r="C162" s="137">
        <f>[11]С2.5!$X$11</f>
        <v>0</v>
      </c>
    </row>
    <row r="163" spans="2:3" hidden="1" x14ac:dyDescent="0.2">
      <c r="B163" s="106">
        <f t="shared" si="0"/>
        <v>2040</v>
      </c>
      <c r="C163" s="137">
        <f>[11]С2.5!$Y$11</f>
        <v>0</v>
      </c>
    </row>
    <row r="164" spans="2:3" hidden="1" x14ac:dyDescent="0.2">
      <c r="B164" s="106">
        <f t="shared" si="0"/>
        <v>2041</v>
      </c>
      <c r="C164" s="137">
        <f>[11]С2.5!$Z$11</f>
        <v>0</v>
      </c>
    </row>
    <row r="165" spans="2:3" hidden="1" x14ac:dyDescent="0.2">
      <c r="B165" s="106">
        <f t="shared" si="0"/>
        <v>2042</v>
      </c>
      <c r="C165" s="137">
        <f>[11]С2.5!$AA$11</f>
        <v>0</v>
      </c>
    </row>
    <row r="166" spans="2:3" hidden="1" x14ac:dyDescent="0.2">
      <c r="B166" s="106">
        <f t="shared" si="0"/>
        <v>2043</v>
      </c>
      <c r="C166" s="137">
        <f>[11]С2.5!$AB$11</f>
        <v>0</v>
      </c>
    </row>
    <row r="167" spans="2:3" hidden="1" x14ac:dyDescent="0.2">
      <c r="B167" s="106">
        <f t="shared" si="0"/>
        <v>2044</v>
      </c>
      <c r="C167" s="137">
        <f>[11]С2.5!$AC$11</f>
        <v>0</v>
      </c>
    </row>
    <row r="168" spans="2:3" hidden="1" x14ac:dyDescent="0.2">
      <c r="B168" s="106">
        <f t="shared" si="0"/>
        <v>2045</v>
      </c>
      <c r="C168" s="137">
        <f>[11]С2.5!$AD$11</f>
        <v>0</v>
      </c>
    </row>
    <row r="169" spans="2:3" hidden="1" x14ac:dyDescent="0.2">
      <c r="B169" s="106">
        <f t="shared" si="0"/>
        <v>2046</v>
      </c>
      <c r="C169" s="137">
        <f>[11]С2.5!$AE$11</f>
        <v>0</v>
      </c>
    </row>
    <row r="170" spans="2:3" hidden="1" x14ac:dyDescent="0.2">
      <c r="B170" s="106">
        <f t="shared" si="0"/>
        <v>2047</v>
      </c>
      <c r="C170" s="137">
        <f>[11]С2.5!$AF$11</f>
        <v>0</v>
      </c>
    </row>
    <row r="171" spans="2:3" hidden="1" x14ac:dyDescent="0.2">
      <c r="B171" s="106">
        <f t="shared" si="0"/>
        <v>2048</v>
      </c>
      <c r="C171" s="137">
        <f>[11]С2.5!$AG$11</f>
        <v>0</v>
      </c>
    </row>
    <row r="172" spans="2:3" hidden="1" x14ac:dyDescent="0.2">
      <c r="B172" s="106">
        <f t="shared" si="0"/>
        <v>2049</v>
      </c>
      <c r="C172" s="137">
        <f>[11]С2.5!$AH$11</f>
        <v>0</v>
      </c>
    </row>
    <row r="173" spans="2:3" hidden="1" x14ac:dyDescent="0.2">
      <c r="B173" s="106">
        <f t="shared" si="0"/>
        <v>2050</v>
      </c>
      <c r="C173" s="137">
        <f>[11]С2.5!$AI$11</f>
        <v>0</v>
      </c>
    </row>
    <row r="174" spans="2:3" hidden="1" x14ac:dyDescent="0.2">
      <c r="B174" s="106">
        <f t="shared" si="0"/>
        <v>2051</v>
      </c>
      <c r="C174" s="137">
        <f>[11]С2.5!$AJ$11</f>
        <v>0</v>
      </c>
    </row>
    <row r="175" spans="2:3" hidden="1" x14ac:dyDescent="0.2">
      <c r="B175" s="106">
        <f t="shared" si="0"/>
        <v>2052</v>
      </c>
      <c r="C175" s="137">
        <f>[11]С2.5!$AK$11</f>
        <v>0</v>
      </c>
    </row>
    <row r="176" spans="2:3" hidden="1" x14ac:dyDescent="0.2">
      <c r="B176" s="106">
        <f t="shared" si="0"/>
        <v>2053</v>
      </c>
      <c r="C176" s="137">
        <f>[11]С2.5!$AL$11</f>
        <v>0</v>
      </c>
    </row>
    <row r="177" spans="2:3" hidden="1" x14ac:dyDescent="0.2">
      <c r="B177" s="106">
        <f t="shared" si="0"/>
        <v>2054</v>
      </c>
      <c r="C177" s="137">
        <f>[11]С2.5!$AM$11</f>
        <v>0</v>
      </c>
    </row>
    <row r="178" spans="2:3" hidden="1" x14ac:dyDescent="0.2">
      <c r="B178" s="106">
        <f t="shared" si="0"/>
        <v>2055</v>
      </c>
      <c r="C178" s="137">
        <f>[11]С2.5!$AN$11</f>
        <v>0</v>
      </c>
    </row>
    <row r="179" spans="2:3" hidden="1" x14ac:dyDescent="0.2">
      <c r="B179" s="106">
        <f t="shared" si="0"/>
        <v>2056</v>
      </c>
      <c r="C179" s="137">
        <f>[11]С2.5!$AO$11</f>
        <v>0</v>
      </c>
    </row>
    <row r="180" spans="2:3" hidden="1" x14ac:dyDescent="0.2">
      <c r="B180" s="106">
        <f t="shared" si="0"/>
        <v>2057</v>
      </c>
      <c r="C180" s="137">
        <f>[11]С2.5!$AP$11</f>
        <v>0</v>
      </c>
    </row>
    <row r="181" spans="2:3" hidden="1" x14ac:dyDescent="0.2">
      <c r="B181" s="106">
        <f t="shared" si="0"/>
        <v>2058</v>
      </c>
      <c r="C181" s="137">
        <f>[11]С2.5!$AQ$11</f>
        <v>0</v>
      </c>
    </row>
    <row r="182" spans="2:3" hidden="1" x14ac:dyDescent="0.2">
      <c r="B182" s="106">
        <f t="shared" si="0"/>
        <v>2059</v>
      </c>
      <c r="C182" s="137">
        <f>[11]С2.5!$AR$11</f>
        <v>0</v>
      </c>
    </row>
    <row r="183" spans="2:3" hidden="1" x14ac:dyDescent="0.2">
      <c r="B183" s="106">
        <f t="shared" si="0"/>
        <v>2060</v>
      </c>
      <c r="C183" s="137">
        <f>[11]С2.5!$AS$11</f>
        <v>0</v>
      </c>
    </row>
    <row r="184" spans="2:3" hidden="1" x14ac:dyDescent="0.2">
      <c r="B184" s="106">
        <f t="shared" si="0"/>
        <v>2061</v>
      </c>
      <c r="C184" s="137">
        <f>[11]С2.5!$AT$11</f>
        <v>0</v>
      </c>
    </row>
    <row r="185" spans="2:3" hidden="1" x14ac:dyDescent="0.2">
      <c r="B185" s="106">
        <f t="shared" si="0"/>
        <v>2062</v>
      </c>
      <c r="C185" s="137">
        <f>[11]С2.5!$AU$11</f>
        <v>0</v>
      </c>
    </row>
    <row r="186" spans="2:3" hidden="1" x14ac:dyDescent="0.2">
      <c r="B186" s="106">
        <f t="shared" si="0"/>
        <v>2063</v>
      </c>
      <c r="C186" s="137">
        <f>[11]С2.5!$AV$11</f>
        <v>0</v>
      </c>
    </row>
    <row r="187" spans="2:3" hidden="1" x14ac:dyDescent="0.2">
      <c r="B187" s="106">
        <f t="shared" si="0"/>
        <v>2064</v>
      </c>
      <c r="C187" s="137">
        <f>[11]С2.5!$AW$11</f>
        <v>0</v>
      </c>
    </row>
    <row r="188" spans="2:3" hidden="1" x14ac:dyDescent="0.2">
      <c r="B188" s="106">
        <f t="shared" si="0"/>
        <v>2065</v>
      </c>
      <c r="C188" s="137">
        <f>[11]С2.5!$AX$11</f>
        <v>0</v>
      </c>
    </row>
    <row r="189" spans="2:3" hidden="1" x14ac:dyDescent="0.2">
      <c r="B189" s="106">
        <f t="shared" si="0"/>
        <v>2066</v>
      </c>
      <c r="C189" s="137">
        <f>[11]С2.5!$AY$11</f>
        <v>0</v>
      </c>
    </row>
    <row r="190" spans="2:3" hidden="1" x14ac:dyDescent="0.2">
      <c r="B190" s="106">
        <f t="shared" si="0"/>
        <v>2067</v>
      </c>
      <c r="C190" s="137">
        <f>[11]С2.5!$AZ$11</f>
        <v>0</v>
      </c>
    </row>
    <row r="191" spans="2:3" hidden="1" x14ac:dyDescent="0.2">
      <c r="B191" s="106">
        <f t="shared" si="0"/>
        <v>2068</v>
      </c>
      <c r="C191" s="137">
        <f>[11]С2.5!$BA$11</f>
        <v>0</v>
      </c>
    </row>
    <row r="192" spans="2:3" hidden="1" x14ac:dyDescent="0.2">
      <c r="B192" s="106">
        <f t="shared" si="0"/>
        <v>2069</v>
      </c>
      <c r="C192" s="137">
        <f>[11]С2.5!$BB$11</f>
        <v>0</v>
      </c>
    </row>
    <row r="193" spans="2:3" hidden="1" x14ac:dyDescent="0.2">
      <c r="B193" s="106">
        <f t="shared" si="0"/>
        <v>2070</v>
      </c>
      <c r="C193" s="137">
        <f>[11]С2.5!$BC$11</f>
        <v>0</v>
      </c>
    </row>
    <row r="194" spans="2:3" hidden="1" x14ac:dyDescent="0.2">
      <c r="B194" s="106">
        <f t="shared" si="0"/>
        <v>2071</v>
      </c>
      <c r="C194" s="137">
        <f>[11]С2.5!$BD$11</f>
        <v>0</v>
      </c>
    </row>
    <row r="195" spans="2:3" hidden="1" x14ac:dyDescent="0.2">
      <c r="B195" s="106">
        <f t="shared" si="0"/>
        <v>2072</v>
      </c>
      <c r="C195" s="137">
        <f>[11]С2.5!$BE$11</f>
        <v>0</v>
      </c>
    </row>
    <row r="196" spans="2:3" hidden="1" x14ac:dyDescent="0.2">
      <c r="B196" s="106">
        <f t="shared" si="0"/>
        <v>2073</v>
      </c>
      <c r="C196" s="137">
        <f>[11]С2.5!$BF$11</f>
        <v>0</v>
      </c>
    </row>
    <row r="197" spans="2:3" hidden="1" x14ac:dyDescent="0.2">
      <c r="B197" s="106">
        <f t="shared" si="0"/>
        <v>2074</v>
      </c>
      <c r="C197" s="137">
        <f>[11]С2.5!$BG$11</f>
        <v>0</v>
      </c>
    </row>
    <row r="198" spans="2:3" hidden="1" x14ac:dyDescent="0.2">
      <c r="B198" s="106">
        <f t="shared" si="0"/>
        <v>2075</v>
      </c>
      <c r="C198" s="137">
        <f>[11]С2.5!$BH$11</f>
        <v>0</v>
      </c>
    </row>
    <row r="199" spans="2:3" hidden="1" x14ac:dyDescent="0.2">
      <c r="B199" s="106">
        <f t="shared" si="0"/>
        <v>2076</v>
      </c>
      <c r="C199" s="137">
        <f>[11]С2.5!$BI$11</f>
        <v>0</v>
      </c>
    </row>
    <row r="200" spans="2:3" hidden="1" x14ac:dyDescent="0.2">
      <c r="B200" s="106">
        <f t="shared" si="0"/>
        <v>2077</v>
      </c>
      <c r="C200" s="137">
        <f>[11]С2.5!$BJ$11</f>
        <v>0</v>
      </c>
    </row>
    <row r="201" spans="2:3" hidden="1" x14ac:dyDescent="0.2">
      <c r="B201" s="106">
        <f t="shared" si="0"/>
        <v>2078</v>
      </c>
      <c r="C201" s="137">
        <f>[11]С2.5!$BK$11</f>
        <v>0</v>
      </c>
    </row>
    <row r="202" spans="2:3" hidden="1" x14ac:dyDescent="0.2">
      <c r="B202" s="106">
        <f t="shared" si="0"/>
        <v>2079</v>
      </c>
      <c r="C202" s="137">
        <f>[11]С2.5!$BL$11</f>
        <v>0</v>
      </c>
    </row>
    <row r="203" spans="2:3" hidden="1" x14ac:dyDescent="0.2">
      <c r="B203" s="106">
        <f t="shared" si="0"/>
        <v>2080</v>
      </c>
      <c r="C203" s="137">
        <f>[11]С2.5!$BM$11</f>
        <v>0</v>
      </c>
    </row>
    <row r="204" spans="2:3" hidden="1" x14ac:dyDescent="0.2">
      <c r="B204" s="106">
        <f t="shared" si="0"/>
        <v>2081</v>
      </c>
      <c r="C204" s="137">
        <f>[11]С2.5!$BN$11</f>
        <v>0</v>
      </c>
    </row>
    <row r="205" spans="2:3" hidden="1" x14ac:dyDescent="0.2">
      <c r="B205" s="106">
        <f t="shared" si="0"/>
        <v>2082</v>
      </c>
      <c r="C205" s="137">
        <f>[11]С2.5!$BO$11</f>
        <v>0</v>
      </c>
    </row>
    <row r="206" spans="2:3" hidden="1" x14ac:dyDescent="0.2">
      <c r="B206" s="106">
        <f t="shared" si="0"/>
        <v>2083</v>
      </c>
      <c r="C206" s="137">
        <f>[11]С2.5!$BP$11</f>
        <v>0</v>
      </c>
    </row>
    <row r="207" spans="2:3" hidden="1" x14ac:dyDescent="0.2">
      <c r="B207" s="106">
        <f t="shared" si="0"/>
        <v>2084</v>
      </c>
      <c r="C207" s="137">
        <f>[11]С2.5!$BQ$11</f>
        <v>0</v>
      </c>
    </row>
    <row r="208" spans="2:3" hidden="1" x14ac:dyDescent="0.2">
      <c r="B208" s="106">
        <f t="shared" si="0"/>
        <v>2085</v>
      </c>
      <c r="C208" s="137">
        <f>[11]С2.5!$BR$11</f>
        <v>0</v>
      </c>
    </row>
    <row r="209" spans="2:3" hidden="1" x14ac:dyDescent="0.2">
      <c r="B209" s="106">
        <f t="shared" ref="B209:B223" si="1">B208+1</f>
        <v>2086</v>
      </c>
      <c r="C209" s="137">
        <f>[11]С2.5!$BS$11</f>
        <v>0</v>
      </c>
    </row>
    <row r="210" spans="2:3" hidden="1" x14ac:dyDescent="0.2">
      <c r="B210" s="106">
        <f t="shared" si="1"/>
        <v>2087</v>
      </c>
      <c r="C210" s="137">
        <f>[11]С2.5!$BT$11</f>
        <v>0</v>
      </c>
    </row>
    <row r="211" spans="2:3" hidden="1" x14ac:dyDescent="0.2">
      <c r="B211" s="106">
        <f t="shared" si="1"/>
        <v>2088</v>
      </c>
      <c r="C211" s="137">
        <f>[11]С2.5!$BU$11</f>
        <v>0</v>
      </c>
    </row>
    <row r="212" spans="2:3" hidden="1" x14ac:dyDescent="0.2">
      <c r="B212" s="106">
        <f t="shared" si="1"/>
        <v>2089</v>
      </c>
      <c r="C212" s="137">
        <f>[11]С2.5!$BV$11</f>
        <v>0</v>
      </c>
    </row>
    <row r="213" spans="2:3" hidden="1" x14ac:dyDescent="0.2">
      <c r="B213" s="106">
        <f t="shared" si="1"/>
        <v>2090</v>
      </c>
      <c r="C213" s="137">
        <f>[11]С2.5!$BW$11</f>
        <v>0</v>
      </c>
    </row>
    <row r="214" spans="2:3" hidden="1" x14ac:dyDescent="0.2">
      <c r="B214" s="106">
        <f t="shared" si="1"/>
        <v>2091</v>
      </c>
      <c r="C214" s="137">
        <f>[11]С2.5!$BX$11</f>
        <v>0</v>
      </c>
    </row>
    <row r="215" spans="2:3" hidden="1" x14ac:dyDescent="0.2">
      <c r="B215" s="106">
        <f t="shared" si="1"/>
        <v>2092</v>
      </c>
      <c r="C215" s="137">
        <f>[11]С2.5!$BY$11</f>
        <v>0</v>
      </c>
    </row>
    <row r="216" spans="2:3" hidden="1" x14ac:dyDescent="0.2">
      <c r="B216" s="106">
        <f t="shared" si="1"/>
        <v>2093</v>
      </c>
      <c r="C216" s="137">
        <f>[11]С2.5!$BZ$11</f>
        <v>0</v>
      </c>
    </row>
    <row r="217" spans="2:3" hidden="1" x14ac:dyDescent="0.2">
      <c r="B217" s="106">
        <f t="shared" si="1"/>
        <v>2094</v>
      </c>
      <c r="C217" s="137">
        <f>[11]С2.5!$CA$11</f>
        <v>0</v>
      </c>
    </row>
    <row r="218" spans="2:3" hidden="1" x14ac:dyDescent="0.2">
      <c r="B218" s="106">
        <f t="shared" si="1"/>
        <v>2095</v>
      </c>
      <c r="C218" s="137">
        <f>[11]С2.5!$CB$11</f>
        <v>0</v>
      </c>
    </row>
    <row r="219" spans="2:3" hidden="1" x14ac:dyDescent="0.2">
      <c r="B219" s="106">
        <f t="shared" si="1"/>
        <v>2096</v>
      </c>
      <c r="C219" s="137">
        <f>[11]С2.5!$CC$11</f>
        <v>0</v>
      </c>
    </row>
    <row r="220" spans="2:3" hidden="1" x14ac:dyDescent="0.2">
      <c r="B220" s="106">
        <f t="shared" si="1"/>
        <v>2097</v>
      </c>
      <c r="C220" s="137">
        <f>[11]С2.5!$CD$11</f>
        <v>0</v>
      </c>
    </row>
    <row r="221" spans="2:3" hidden="1" x14ac:dyDescent="0.2">
      <c r="B221" s="106">
        <f t="shared" si="1"/>
        <v>2098</v>
      </c>
      <c r="C221" s="137">
        <f>[11]С2.5!$CE$11</f>
        <v>0</v>
      </c>
    </row>
    <row r="222" spans="2:3" hidden="1" x14ac:dyDescent="0.2">
      <c r="B222" s="106">
        <f t="shared" si="1"/>
        <v>2099</v>
      </c>
      <c r="C222" s="137">
        <f>[11]С2.5!$CF$11</f>
        <v>0</v>
      </c>
    </row>
    <row r="223" spans="2:3" ht="13.5" hidden="1" thickBot="1" x14ac:dyDescent="0.25">
      <c r="B223" s="108">
        <f t="shared" si="1"/>
        <v>2100</v>
      </c>
      <c r="C223" s="138">
        <f>[11]С2.5!$CG$11</f>
        <v>0</v>
      </c>
    </row>
    <row r="224" spans="2:3" hidden="1" x14ac:dyDescent="0.2">
      <c r="C224" s="141"/>
    </row>
    <row r="225" spans="3:3" hidden="1" x14ac:dyDescent="0.2">
      <c r="C225" s="141"/>
    </row>
    <row r="226" spans="3:3" x14ac:dyDescent="0.2">
      <c r="C226" s="141"/>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41" r:id="rId4" name="Button 1">
              <controlPr defaultSize="0" print="0" autoFill="0" autoPict="0" macro="[11]!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13"/>
      <c r="B1" s="142" t="s">
        <v>225</v>
      </c>
      <c r="C1" s="142"/>
    </row>
    <row r="2" spans="1:3" x14ac:dyDescent="0.2">
      <c r="A2" s="1"/>
      <c r="B2" s="3" t="s">
        <v>2</v>
      </c>
      <c r="C2" s="4">
        <f ca="1">TODAY()</f>
        <v>44944</v>
      </c>
    </row>
    <row r="3" spans="1:3" x14ac:dyDescent="0.2">
      <c r="A3" s="1"/>
      <c r="B3" s="114" t="s">
        <v>3</v>
      </c>
    </row>
    <row r="4" spans="1:3" ht="25.5" x14ac:dyDescent="0.2">
      <c r="A4" s="7"/>
      <c r="B4" s="8" t="str">
        <f>[12]И1!D13</f>
        <v>Субъект Российской Федерации</v>
      </c>
      <c r="C4" s="9" t="str">
        <f>[12]И1!E13</f>
        <v>Новосибирская область</v>
      </c>
    </row>
    <row r="5" spans="1:3" ht="38.25" x14ac:dyDescent="0.2">
      <c r="A5" s="7"/>
      <c r="B5" s="8" t="str">
        <f>[12]И1!D14</f>
        <v>Тип муниципального образования (выберите из списка)</v>
      </c>
      <c r="C5" s="9" t="str">
        <f>[12]И1!E14</f>
        <v>село Новопичугово, Ордынский муниципальный район</v>
      </c>
    </row>
    <row r="6" spans="1:3" x14ac:dyDescent="0.2">
      <c r="A6" s="7"/>
      <c r="B6" s="8" t="str">
        <f>IF([12]И1!E15="","",[12]И1!D15)</f>
        <v/>
      </c>
      <c r="C6" s="9" t="str">
        <f>IF([12]И1!E15="","",[12]И1!E15)</f>
        <v/>
      </c>
    </row>
    <row r="7" spans="1:3" x14ac:dyDescent="0.2">
      <c r="A7" s="7"/>
      <c r="B7" s="8" t="str">
        <f>[12]И1!D16</f>
        <v>Код ОКТМО</v>
      </c>
      <c r="C7" s="10" t="str">
        <f>[12]И1!E16</f>
        <v>50642418101</v>
      </c>
    </row>
    <row r="8" spans="1:3" x14ac:dyDescent="0.2">
      <c r="A8" s="7"/>
      <c r="B8" s="11" t="str">
        <f>[12]И1!D17</f>
        <v>Система теплоснабжения</v>
      </c>
      <c r="C8" s="12">
        <f>[12]И1!E17</f>
        <v>0</v>
      </c>
    </row>
    <row r="9" spans="1:3" x14ac:dyDescent="0.2">
      <c r="A9" s="7"/>
      <c r="B9" s="8" t="str">
        <f>[12]И1!D8</f>
        <v>Период регулирования (i)-й</v>
      </c>
      <c r="C9" s="13">
        <f>[12]И1!E8</f>
        <v>2023</v>
      </c>
    </row>
    <row r="10" spans="1:3" x14ac:dyDescent="0.2">
      <c r="A10" s="7"/>
      <c r="B10" s="8" t="str">
        <f>[12]И1!D9</f>
        <v>Период регулирования (i-1)-й</v>
      </c>
      <c r="C10" s="13">
        <f>[12]И1!E9</f>
        <v>2022</v>
      </c>
    </row>
    <row r="11" spans="1:3" x14ac:dyDescent="0.2">
      <c r="A11" s="7"/>
      <c r="B11" s="8" t="str">
        <f>[12]И1!D10</f>
        <v>Период регулирования (i-2)-й</v>
      </c>
      <c r="C11" s="13">
        <f>[12]И1!E10</f>
        <v>2021</v>
      </c>
    </row>
    <row r="12" spans="1:3" x14ac:dyDescent="0.2">
      <c r="A12" s="7"/>
      <c r="B12" s="8" t="str">
        <f>[12]И1!D11</f>
        <v>Базовый год (б)</v>
      </c>
      <c r="C12" s="13">
        <f>[12]И1!E11</f>
        <v>2019</v>
      </c>
    </row>
    <row r="13" spans="1:3" ht="38.25" x14ac:dyDescent="0.2">
      <c r="A13" s="7"/>
      <c r="B13" s="8" t="str">
        <f>[12]И1!D18</f>
        <v>Вид топлива, использование которого преобладает в системе теплоснабжения</v>
      </c>
      <c r="C13" s="14" t="str">
        <f>[12]С1.1!E13</f>
        <v>уголь (вид угля не указан в топливном балансе)</v>
      </c>
    </row>
    <row r="14" spans="1:3" ht="31.7" customHeight="1" thickBot="1" x14ac:dyDescent="0.25">
      <c r="A14" s="147" t="s">
        <v>4</v>
      </c>
      <c r="B14" s="147"/>
      <c r="C14" s="147"/>
    </row>
    <row r="15" spans="1:3" x14ac:dyDescent="0.2">
      <c r="A15" s="15" t="s">
        <v>5</v>
      </c>
      <c r="B15" s="115" t="s">
        <v>6</v>
      </c>
      <c r="C15" s="116" t="s">
        <v>7</v>
      </c>
    </row>
    <row r="16" spans="1:3" x14ac:dyDescent="0.2">
      <c r="A16" s="18">
        <v>1</v>
      </c>
      <c r="B16" s="117">
        <v>2</v>
      </c>
      <c r="C16" s="118">
        <v>3</v>
      </c>
    </row>
    <row r="17" spans="1:3" x14ac:dyDescent="0.2">
      <c r="A17" s="21">
        <v>1</v>
      </c>
      <c r="B17" s="22" t="s">
        <v>8</v>
      </c>
      <c r="C17" s="23">
        <f>SUM(C18:C22)</f>
        <v>4006.0218794282314</v>
      </c>
    </row>
    <row r="18" spans="1:3" ht="42.75" x14ac:dyDescent="0.2">
      <c r="A18" s="21" t="s">
        <v>9</v>
      </c>
      <c r="B18" s="24" t="s">
        <v>10</v>
      </c>
      <c r="C18" s="25">
        <f>[12]С1!F12</f>
        <v>884.58144255949048</v>
      </c>
    </row>
    <row r="19" spans="1:3" ht="42.75" x14ac:dyDescent="0.2">
      <c r="A19" s="21" t="s">
        <v>11</v>
      </c>
      <c r="B19" s="24" t="s">
        <v>12</v>
      </c>
      <c r="C19" s="25">
        <f>[12]С2!F12</f>
        <v>2106.4563180122805</v>
      </c>
    </row>
    <row r="20" spans="1:3" ht="30" x14ac:dyDescent="0.2">
      <c r="A20" s="21" t="s">
        <v>13</v>
      </c>
      <c r="B20" s="24" t="s">
        <v>14</v>
      </c>
      <c r="C20" s="25">
        <f>[12]С3!F12</f>
        <v>503.94083842199643</v>
      </c>
    </row>
    <row r="21" spans="1:3" ht="42.75" x14ac:dyDescent="0.2">
      <c r="A21" s="21" t="s">
        <v>15</v>
      </c>
      <c r="B21" s="24" t="s">
        <v>226</v>
      </c>
      <c r="C21" s="25">
        <f>[12]С4!F12</f>
        <v>432.49383181822435</v>
      </c>
    </row>
    <row r="22" spans="1:3" ht="30" x14ac:dyDescent="0.2">
      <c r="A22" s="21" t="s">
        <v>17</v>
      </c>
      <c r="B22" s="24" t="s">
        <v>227</v>
      </c>
      <c r="C22" s="25">
        <f>[12]С5!F12</f>
        <v>78.549448616239829</v>
      </c>
    </row>
    <row r="23" spans="1:3" ht="43.5" thickBot="1" x14ac:dyDescent="0.25">
      <c r="A23" s="26" t="s">
        <v>19</v>
      </c>
      <c r="B23" s="98" t="s">
        <v>228</v>
      </c>
      <c r="C23" s="28" t="str">
        <f>[12]С6!F12</f>
        <v>-</v>
      </c>
    </row>
    <row r="24" spans="1:3" ht="13.5" thickBot="1" x14ac:dyDescent="0.25">
      <c r="A24" s="1"/>
    </row>
    <row r="25" spans="1:3" x14ac:dyDescent="0.2">
      <c r="A25" s="15" t="s">
        <v>5</v>
      </c>
      <c r="B25" s="29" t="s">
        <v>6</v>
      </c>
      <c r="C25" s="16" t="s">
        <v>7</v>
      </c>
    </row>
    <row r="26" spans="1:3" x14ac:dyDescent="0.2">
      <c r="A26" s="18">
        <v>1</v>
      </c>
      <c r="B26" s="30">
        <v>2</v>
      </c>
      <c r="C26" s="31">
        <v>3</v>
      </c>
    </row>
    <row r="27" spans="1:3" ht="30" customHeight="1" x14ac:dyDescent="0.2">
      <c r="A27" s="21">
        <v>1</v>
      </c>
      <c r="B27" s="144" t="s">
        <v>21</v>
      </c>
      <c r="C27" s="144"/>
    </row>
    <row r="28" spans="1:3" x14ac:dyDescent="0.2">
      <c r="A28" s="21" t="s">
        <v>9</v>
      </c>
      <c r="B28" s="32" t="s">
        <v>229</v>
      </c>
      <c r="C28" s="33">
        <f>[12]С1.1!E16</f>
        <v>5100</v>
      </c>
    </row>
    <row r="29" spans="1:3" ht="42.75" x14ac:dyDescent="0.2">
      <c r="A29" s="21" t="s">
        <v>11</v>
      </c>
      <c r="B29" s="32" t="s">
        <v>230</v>
      </c>
      <c r="C29" s="33">
        <f>[12]С1.1!E27</f>
        <v>2378.4916666666668</v>
      </c>
    </row>
    <row r="30" spans="1:3" ht="17.25" x14ac:dyDescent="0.2">
      <c r="A30" s="21" t="s">
        <v>13</v>
      </c>
      <c r="B30" s="32" t="s">
        <v>30</v>
      </c>
      <c r="C30" s="35">
        <f>[12]С1.1!E19</f>
        <v>0.59499999999999997</v>
      </c>
    </row>
    <row r="31" spans="1:3" ht="17.25" x14ac:dyDescent="0.2">
      <c r="A31" s="21" t="s">
        <v>15</v>
      </c>
      <c r="B31" s="32" t="s">
        <v>31</v>
      </c>
      <c r="C31" s="35">
        <f>[12]С1.1!E20</f>
        <v>-0.113</v>
      </c>
    </row>
    <row r="32" spans="1:3" ht="30" x14ac:dyDescent="0.2">
      <c r="A32" s="21" t="s">
        <v>17</v>
      </c>
      <c r="B32" s="36" t="s">
        <v>231</v>
      </c>
      <c r="C32" s="119">
        <f>[12]С1!F13</f>
        <v>176.4</v>
      </c>
    </row>
    <row r="33" spans="1:3" x14ac:dyDescent="0.2">
      <c r="A33" s="21" t="s">
        <v>19</v>
      </c>
      <c r="B33" s="36" t="s">
        <v>33</v>
      </c>
      <c r="C33" s="38">
        <f>[12]С1!F16</f>
        <v>7000</v>
      </c>
    </row>
    <row r="34" spans="1:3" ht="14.25" x14ac:dyDescent="0.2">
      <c r="A34" s="21" t="s">
        <v>34</v>
      </c>
      <c r="B34" s="40" t="s">
        <v>232</v>
      </c>
      <c r="C34" s="41">
        <f>[12]С1!F17</f>
        <v>0.72857142857142854</v>
      </c>
    </row>
    <row r="35" spans="1:3" ht="15.75" x14ac:dyDescent="0.2">
      <c r="A35" s="120" t="s">
        <v>36</v>
      </c>
      <c r="B35" s="43" t="s">
        <v>37</v>
      </c>
      <c r="C35" s="41">
        <f>[12]С1!F20</f>
        <v>21.588411179999994</v>
      </c>
    </row>
    <row r="36" spans="1:3" ht="15.75" x14ac:dyDescent="0.2">
      <c r="A36" s="120" t="s">
        <v>38</v>
      </c>
      <c r="B36" s="44" t="s">
        <v>39</v>
      </c>
      <c r="C36" s="41">
        <f>[12]С1!F21</f>
        <v>20.818139999999996</v>
      </c>
    </row>
    <row r="37" spans="1:3" ht="14.25" x14ac:dyDescent="0.2">
      <c r="A37" s="120" t="s">
        <v>40</v>
      </c>
      <c r="B37" s="45" t="s">
        <v>41</v>
      </c>
      <c r="C37" s="41">
        <f>[12]С1!F22</f>
        <v>1.0369999999999999</v>
      </c>
    </row>
    <row r="38" spans="1:3" ht="53.25" thickBot="1" x14ac:dyDescent="0.25">
      <c r="A38" s="26" t="s">
        <v>42</v>
      </c>
      <c r="B38" s="46" t="s">
        <v>43</v>
      </c>
      <c r="C38" s="47">
        <f>[12]С1!F23</f>
        <v>1.0469999999999999</v>
      </c>
    </row>
    <row r="39" spans="1:3" ht="13.5" thickBot="1" x14ac:dyDescent="0.25">
      <c r="A39" s="48"/>
      <c r="B39" s="121"/>
      <c r="C39" s="122"/>
    </row>
    <row r="40" spans="1:3" ht="30" customHeight="1" x14ac:dyDescent="0.2">
      <c r="A40" s="50" t="s">
        <v>44</v>
      </c>
      <c r="B40" s="146" t="s">
        <v>45</v>
      </c>
      <c r="C40" s="146"/>
    </row>
    <row r="41" spans="1:3" ht="25.5" x14ac:dyDescent="0.2">
      <c r="A41" s="21" t="s">
        <v>46</v>
      </c>
      <c r="B41" s="36" t="s">
        <v>47</v>
      </c>
      <c r="C41" s="51" t="str">
        <f>[12]С2.1!E12</f>
        <v>V</v>
      </c>
    </row>
    <row r="42" spans="1:3" ht="25.5" x14ac:dyDescent="0.2">
      <c r="A42" s="21" t="s">
        <v>48</v>
      </c>
      <c r="B42" s="32" t="s">
        <v>49</v>
      </c>
      <c r="C42" s="51" t="str">
        <f>[12]С2.1!E13</f>
        <v>6 и менее баллов</v>
      </c>
    </row>
    <row r="43" spans="1:3" ht="25.5" x14ac:dyDescent="0.2">
      <c r="A43" s="21" t="s">
        <v>50</v>
      </c>
      <c r="B43" s="32" t="s">
        <v>233</v>
      </c>
      <c r="C43" s="51" t="str">
        <f>[12]С2.1!E14</f>
        <v>от 200 до 500</v>
      </c>
    </row>
    <row r="44" spans="1:3" ht="25.5" x14ac:dyDescent="0.2">
      <c r="A44" s="21" t="s">
        <v>52</v>
      </c>
      <c r="B44" s="32" t="s">
        <v>234</v>
      </c>
      <c r="C44" s="52" t="str">
        <f>[12]С2.1!E15</f>
        <v>нет</v>
      </c>
    </row>
    <row r="45" spans="1:3" ht="30" x14ac:dyDescent="0.2">
      <c r="A45" s="21" t="s">
        <v>54</v>
      </c>
      <c r="B45" s="32" t="s">
        <v>55</v>
      </c>
      <c r="C45" s="33">
        <f>[12]С2!F18</f>
        <v>32402.627334033532</v>
      </c>
    </row>
    <row r="46" spans="1:3" ht="30" x14ac:dyDescent="0.2">
      <c r="A46" s="21" t="s">
        <v>56</v>
      </c>
      <c r="B46" s="53" t="s">
        <v>57</v>
      </c>
      <c r="C46" s="33">
        <f>IF([12]С2!F19&gt;0,[12]С2!F19,[12]С2!F20)</f>
        <v>23441.524932855718</v>
      </c>
    </row>
    <row r="47" spans="1:3" ht="25.5" x14ac:dyDescent="0.2">
      <c r="A47" s="21" t="s">
        <v>58</v>
      </c>
      <c r="B47" s="54" t="s">
        <v>59</v>
      </c>
      <c r="C47" s="33">
        <f>[12]С2.1!E19</f>
        <v>-37</v>
      </c>
    </row>
    <row r="48" spans="1:3" ht="25.5" x14ac:dyDescent="0.2">
      <c r="A48" s="21" t="s">
        <v>60</v>
      </c>
      <c r="B48" s="54" t="s">
        <v>61</v>
      </c>
      <c r="C48" s="33" t="str">
        <f>[12]С2.1!E22</f>
        <v>нет</v>
      </c>
    </row>
    <row r="49" spans="1:3" ht="38.25" x14ac:dyDescent="0.2">
      <c r="A49" s="21" t="s">
        <v>62</v>
      </c>
      <c r="B49" s="55" t="s">
        <v>63</v>
      </c>
      <c r="C49" s="33">
        <f>[12]С2.2!E10</f>
        <v>1287</v>
      </c>
    </row>
    <row r="50" spans="1:3" ht="25.5" x14ac:dyDescent="0.2">
      <c r="A50" s="21" t="s">
        <v>64</v>
      </c>
      <c r="B50" s="56" t="s">
        <v>65</v>
      </c>
      <c r="C50" s="33">
        <f>[12]С2.2!E12</f>
        <v>5.97</v>
      </c>
    </row>
    <row r="51" spans="1:3" ht="52.5" x14ac:dyDescent="0.2">
      <c r="A51" s="21" t="s">
        <v>66</v>
      </c>
      <c r="B51" s="57" t="s">
        <v>67</v>
      </c>
      <c r="C51" s="33">
        <f>[12]С2.2!E13</f>
        <v>1</v>
      </c>
    </row>
    <row r="52" spans="1:3" ht="27.75" x14ac:dyDescent="0.2">
      <c r="A52" s="21" t="s">
        <v>68</v>
      </c>
      <c r="B52" s="56" t="s">
        <v>69</v>
      </c>
      <c r="C52" s="33">
        <f>[12]С2.2!E14</f>
        <v>12104</v>
      </c>
    </row>
    <row r="53" spans="1:3" ht="25.5" x14ac:dyDescent="0.2">
      <c r="A53" s="21" t="s">
        <v>70</v>
      </c>
      <c r="B53" s="57" t="s">
        <v>71</v>
      </c>
      <c r="C53" s="35">
        <f>[12]С2.2!E15</f>
        <v>4.8000000000000001E-2</v>
      </c>
    </row>
    <row r="54" spans="1:3" x14ac:dyDescent="0.2">
      <c r="A54" s="21" t="s">
        <v>72</v>
      </c>
      <c r="B54" s="57" t="s">
        <v>73</v>
      </c>
      <c r="C54" s="33">
        <f>[12]С2.2!E16</f>
        <v>1</v>
      </c>
    </row>
    <row r="55" spans="1:3" ht="15.75" x14ac:dyDescent="0.2">
      <c r="A55" s="21" t="s">
        <v>74</v>
      </c>
      <c r="B55" s="59" t="s">
        <v>75</v>
      </c>
      <c r="C55" s="33">
        <f>[12]С2!F21</f>
        <v>1</v>
      </c>
    </row>
    <row r="56" spans="1:3" ht="30" x14ac:dyDescent="0.2">
      <c r="A56" s="60" t="s">
        <v>76</v>
      </c>
      <c r="B56" s="32" t="s">
        <v>235</v>
      </c>
      <c r="C56" s="33">
        <f>[12]С2!F13</f>
        <v>169640.22915965237</v>
      </c>
    </row>
    <row r="57" spans="1:3" ht="30" x14ac:dyDescent="0.2">
      <c r="A57" s="60" t="s">
        <v>78</v>
      </c>
      <c r="B57" s="59" t="s">
        <v>236</v>
      </c>
      <c r="C57" s="33">
        <f>[12]С2!F14</f>
        <v>113455</v>
      </c>
    </row>
    <row r="58" spans="1:3" ht="15.75" x14ac:dyDescent="0.2">
      <c r="A58" s="60" t="s">
        <v>80</v>
      </c>
      <c r="B58" s="61" t="s">
        <v>81</v>
      </c>
      <c r="C58" s="41">
        <f>[12]С2!F15</f>
        <v>1.071</v>
      </c>
    </row>
    <row r="59" spans="1:3" ht="15.75" x14ac:dyDescent="0.2">
      <c r="A59" s="60" t="s">
        <v>82</v>
      </c>
      <c r="B59" s="61" t="s">
        <v>83</v>
      </c>
      <c r="C59" s="41">
        <f>[12]С2!F16</f>
        <v>1</v>
      </c>
    </row>
    <row r="60" spans="1:3" ht="17.25" x14ac:dyDescent="0.2">
      <c r="A60" s="60" t="s">
        <v>84</v>
      </c>
      <c r="B60" s="59" t="s">
        <v>85</v>
      </c>
      <c r="C60" s="33">
        <f>[12]С2!F17</f>
        <v>1.01</v>
      </c>
    </row>
    <row r="61" spans="1:3" s="66" customFormat="1" ht="14.25" x14ac:dyDescent="0.2">
      <c r="A61" s="60" t="s">
        <v>86</v>
      </c>
      <c r="B61" s="64" t="s">
        <v>87</v>
      </c>
      <c r="C61" s="65">
        <f>[12]С2!F33</f>
        <v>10</v>
      </c>
    </row>
    <row r="62" spans="1:3" ht="30" x14ac:dyDescent="0.2">
      <c r="A62" s="60" t="s">
        <v>88</v>
      </c>
      <c r="B62" s="67" t="s">
        <v>89</v>
      </c>
      <c r="C62" s="33">
        <f>[12]С2!F26</f>
        <v>1168.8344047018327</v>
      </c>
    </row>
    <row r="63" spans="1:3" ht="17.25" x14ac:dyDescent="0.2">
      <c r="A63" s="60" t="s">
        <v>90</v>
      </c>
      <c r="B63" s="53" t="s">
        <v>237</v>
      </c>
      <c r="C63" s="33">
        <f>[12]С2!F27</f>
        <v>0.201330388</v>
      </c>
    </row>
    <row r="64" spans="1:3" ht="17.25" x14ac:dyDescent="0.2">
      <c r="A64" s="60" t="s">
        <v>92</v>
      </c>
      <c r="B64" s="59" t="s">
        <v>238</v>
      </c>
      <c r="C64" s="65">
        <f>[12]С2!F28</f>
        <v>4200</v>
      </c>
    </row>
    <row r="65" spans="1:3" ht="42.75" x14ac:dyDescent="0.2">
      <c r="A65" s="60" t="s">
        <v>94</v>
      </c>
      <c r="B65" s="32" t="s">
        <v>239</v>
      </c>
      <c r="C65" s="33">
        <f>[12]С2!F22</f>
        <v>35717.748653137714</v>
      </c>
    </row>
    <row r="66" spans="1:3" ht="30" x14ac:dyDescent="0.2">
      <c r="A66" s="60" t="s">
        <v>96</v>
      </c>
      <c r="B66" s="61" t="s">
        <v>240</v>
      </c>
      <c r="C66" s="33">
        <f>[12]С2!F23</f>
        <v>1990</v>
      </c>
    </row>
    <row r="67" spans="1:3" ht="30" x14ac:dyDescent="0.2">
      <c r="A67" s="60" t="s">
        <v>98</v>
      </c>
      <c r="B67" s="53" t="s">
        <v>99</v>
      </c>
      <c r="C67" s="33">
        <f>[12]С2.1!E27</f>
        <v>14307.876789999998</v>
      </c>
    </row>
    <row r="68" spans="1:3" ht="38.25" x14ac:dyDescent="0.2">
      <c r="A68" s="60" t="s">
        <v>100</v>
      </c>
      <c r="B68" s="68" t="s">
        <v>101</v>
      </c>
      <c r="C68" s="52">
        <f>[12]С2.3!E21</f>
        <v>0</v>
      </c>
    </row>
    <row r="69" spans="1:3" ht="25.5" x14ac:dyDescent="0.2">
      <c r="A69" s="60" t="s">
        <v>102</v>
      </c>
      <c r="B69" s="69" t="s">
        <v>103</v>
      </c>
      <c r="C69" s="70">
        <f>[12]С2.3!E11</f>
        <v>9.89</v>
      </c>
    </row>
    <row r="70" spans="1:3" ht="25.5" x14ac:dyDescent="0.2">
      <c r="A70" s="60" t="s">
        <v>104</v>
      </c>
      <c r="B70" s="69" t="s">
        <v>105</v>
      </c>
      <c r="C70" s="65">
        <f>[12]С2.3!E13</f>
        <v>300</v>
      </c>
    </row>
    <row r="71" spans="1:3" ht="25.5" x14ac:dyDescent="0.2">
      <c r="A71" s="60" t="s">
        <v>106</v>
      </c>
      <c r="B71" s="68" t="s">
        <v>107</v>
      </c>
      <c r="C71" s="71">
        <f>IF([12]С2.3!E22&gt;0,[12]С2.3!E22,[12]С2.3!E14)</f>
        <v>61211</v>
      </c>
    </row>
    <row r="72" spans="1:3" ht="38.25" x14ac:dyDescent="0.2">
      <c r="A72" s="60" t="s">
        <v>108</v>
      </c>
      <c r="B72" s="68" t="s">
        <v>109</v>
      </c>
      <c r="C72" s="71">
        <f>IF([12]С2.3!E23&gt;0,[12]С2.3!E23,[12]С2.3!E15)</f>
        <v>45675</v>
      </c>
    </row>
    <row r="73" spans="1:3" ht="30" x14ac:dyDescent="0.2">
      <c r="A73" s="60" t="s">
        <v>110</v>
      </c>
      <c r="B73" s="53" t="s">
        <v>111</v>
      </c>
      <c r="C73" s="33">
        <f>[12]С2.1!E28</f>
        <v>9541.9567200000001</v>
      </c>
    </row>
    <row r="74" spans="1:3" ht="38.25" x14ac:dyDescent="0.2">
      <c r="A74" s="60" t="s">
        <v>112</v>
      </c>
      <c r="B74" s="68" t="s">
        <v>113</v>
      </c>
      <c r="C74" s="52">
        <f>[12]С2.3!E25</f>
        <v>0</v>
      </c>
    </row>
    <row r="75" spans="1:3" ht="25.5" x14ac:dyDescent="0.2">
      <c r="A75" s="60" t="s">
        <v>114</v>
      </c>
      <c r="B75" s="69" t="s">
        <v>115</v>
      </c>
      <c r="C75" s="70">
        <f>[12]С2.3!E12</f>
        <v>0.56000000000000005</v>
      </c>
    </row>
    <row r="76" spans="1:3" ht="25.5" x14ac:dyDescent="0.2">
      <c r="A76" s="60" t="s">
        <v>116</v>
      </c>
      <c r="B76" s="69" t="s">
        <v>105</v>
      </c>
      <c r="C76" s="65">
        <f>[12]С2.3!E13</f>
        <v>300</v>
      </c>
    </row>
    <row r="77" spans="1:3" ht="25.5" x14ac:dyDescent="0.2">
      <c r="A77" s="60" t="s">
        <v>117</v>
      </c>
      <c r="B77" s="72" t="s">
        <v>118</v>
      </c>
      <c r="C77" s="71">
        <f>IF([12]С2.3!E26&gt;0,[12]С2.3!E26,[12]С2.3!E16)</f>
        <v>65637</v>
      </c>
    </row>
    <row r="78" spans="1:3" ht="38.25" x14ac:dyDescent="0.2">
      <c r="A78" s="60" t="s">
        <v>119</v>
      </c>
      <c r="B78" s="72" t="s">
        <v>120</v>
      </c>
      <c r="C78" s="71">
        <f>IF([12]С2.3!E27&gt;0,[12]С2.3!E27,[12]С2.3!E17)</f>
        <v>31684</v>
      </c>
    </row>
    <row r="79" spans="1:3" ht="17.25" x14ac:dyDescent="0.2">
      <c r="A79" s="60" t="s">
        <v>123</v>
      </c>
      <c r="B79" s="32" t="s">
        <v>124</v>
      </c>
      <c r="C79" s="35">
        <f>[12]С2!F29</f>
        <v>0.128978033685065</v>
      </c>
    </row>
    <row r="80" spans="1:3" ht="30" x14ac:dyDescent="0.2">
      <c r="A80" s="60" t="s">
        <v>125</v>
      </c>
      <c r="B80" s="53" t="s">
        <v>126</v>
      </c>
      <c r="C80" s="73">
        <f>[12]С2!F30</f>
        <v>0.11668498168498169</v>
      </c>
    </row>
    <row r="81" spans="1:3" ht="17.25" x14ac:dyDescent="0.2">
      <c r="A81" s="60" t="s">
        <v>127</v>
      </c>
      <c r="B81" s="74" t="s">
        <v>128</v>
      </c>
      <c r="C81" s="35">
        <f>[12]С2!F31</f>
        <v>0.13880000000000001</v>
      </c>
    </row>
    <row r="82" spans="1:3" s="66" customFormat="1" ht="18" thickBot="1" x14ac:dyDescent="0.25">
      <c r="A82" s="75" t="s">
        <v>129</v>
      </c>
      <c r="B82" s="76" t="s">
        <v>130</v>
      </c>
      <c r="C82" s="77">
        <f>[12]С2!F32</f>
        <v>0.12640000000000001</v>
      </c>
    </row>
    <row r="83" spans="1:3" ht="13.5" thickBot="1" x14ac:dyDescent="0.25">
      <c r="A83" s="48"/>
      <c r="B83" s="49"/>
      <c r="C83" s="14"/>
    </row>
    <row r="84" spans="1:3" s="66" customFormat="1" ht="30" customHeight="1" x14ac:dyDescent="0.2">
      <c r="A84" s="78" t="s">
        <v>131</v>
      </c>
      <c r="B84" s="146" t="s">
        <v>132</v>
      </c>
      <c r="C84" s="146"/>
    </row>
    <row r="85" spans="1:3" s="66" customFormat="1" ht="30" x14ac:dyDescent="0.2">
      <c r="A85" s="79" t="s">
        <v>133</v>
      </c>
      <c r="B85" s="32" t="s">
        <v>134</v>
      </c>
      <c r="C85" s="33">
        <f>[12]С3!F14</f>
        <v>7000.4488806189811</v>
      </c>
    </row>
    <row r="86" spans="1:3" s="66" customFormat="1" ht="42.75" x14ac:dyDescent="0.2">
      <c r="A86" s="79" t="s">
        <v>135</v>
      </c>
      <c r="B86" s="53" t="s">
        <v>136</v>
      </c>
      <c r="C86" s="80">
        <f>[12]С3!F15</f>
        <v>0.2</v>
      </c>
    </row>
    <row r="87" spans="1:3" s="66" customFormat="1" ht="14.25" x14ac:dyDescent="0.2">
      <c r="A87" s="79" t="s">
        <v>137</v>
      </c>
      <c r="B87" s="81" t="s">
        <v>138</v>
      </c>
      <c r="C87" s="65">
        <f>[12]С3!F18</f>
        <v>15</v>
      </c>
    </row>
    <row r="88" spans="1:3" s="66" customFormat="1" ht="17.25" x14ac:dyDescent="0.2">
      <c r="A88" s="79" t="s">
        <v>139</v>
      </c>
      <c r="B88" s="32" t="s">
        <v>140</v>
      </c>
      <c r="C88" s="33">
        <f>[12]С3!F19</f>
        <v>3487.1555421534131</v>
      </c>
    </row>
    <row r="89" spans="1:3" s="66" customFormat="1" ht="55.5" x14ac:dyDescent="0.2">
      <c r="A89" s="79" t="s">
        <v>141</v>
      </c>
      <c r="B89" s="53" t="s">
        <v>142</v>
      </c>
      <c r="C89" s="82">
        <f>[12]С3!F20</f>
        <v>2.1999999999999999E-2</v>
      </c>
    </row>
    <row r="90" spans="1:3" s="66" customFormat="1" ht="14.25" x14ac:dyDescent="0.2">
      <c r="A90" s="79" t="s">
        <v>143</v>
      </c>
      <c r="B90" s="59" t="s">
        <v>87</v>
      </c>
      <c r="C90" s="65">
        <f>[12]С3!F21</f>
        <v>10</v>
      </c>
    </row>
    <row r="91" spans="1:3" s="66" customFormat="1" ht="17.25" x14ac:dyDescent="0.2">
      <c r="A91" s="79" t="s">
        <v>144</v>
      </c>
      <c r="B91" s="32" t="s">
        <v>145</v>
      </c>
      <c r="C91" s="33">
        <f>[12]С3!F22</f>
        <v>3.5065032141054981</v>
      </c>
    </row>
    <row r="92" spans="1:3" s="66" customFormat="1" ht="55.5" x14ac:dyDescent="0.2">
      <c r="A92" s="79" t="s">
        <v>146</v>
      </c>
      <c r="B92" s="53" t="s">
        <v>147</v>
      </c>
      <c r="C92" s="82">
        <f>[12]С3!F23</f>
        <v>3.0000000000000001E-3</v>
      </c>
    </row>
    <row r="93" spans="1:3" s="66" customFormat="1" ht="27.75" thickBot="1" x14ac:dyDescent="0.25">
      <c r="A93" s="83" t="s">
        <v>148</v>
      </c>
      <c r="B93" s="84" t="s">
        <v>241</v>
      </c>
      <c r="C93" s="85">
        <f>[12]С3!F24</f>
        <v>1168.8344047018327</v>
      </c>
    </row>
    <row r="94" spans="1:3" ht="13.5" thickBot="1" x14ac:dyDescent="0.25">
      <c r="A94" s="48"/>
      <c r="B94" s="49"/>
      <c r="C94" s="14"/>
    </row>
    <row r="95" spans="1:3" ht="30" customHeight="1" x14ac:dyDescent="0.2">
      <c r="A95" s="86" t="s">
        <v>149</v>
      </c>
      <c r="B95" s="146" t="s">
        <v>150</v>
      </c>
      <c r="C95" s="146"/>
    </row>
    <row r="96" spans="1:3" ht="30" x14ac:dyDescent="0.2">
      <c r="A96" s="60" t="s">
        <v>151</v>
      </c>
      <c r="B96" s="32" t="s">
        <v>242</v>
      </c>
      <c r="C96" s="33">
        <f>[12]С4!F16</f>
        <v>1652.5</v>
      </c>
    </row>
    <row r="97" spans="1:3" ht="30" x14ac:dyDescent="0.2">
      <c r="A97" s="60" t="s">
        <v>153</v>
      </c>
      <c r="B97" s="59" t="s">
        <v>243</v>
      </c>
      <c r="C97" s="33">
        <f>[12]С4!F17</f>
        <v>73547</v>
      </c>
    </row>
    <row r="98" spans="1:3" ht="33" x14ac:dyDescent="0.2">
      <c r="A98" s="60" t="s">
        <v>155</v>
      </c>
      <c r="B98" s="59" t="s">
        <v>156</v>
      </c>
      <c r="C98" s="41">
        <f>[12]С4!F18</f>
        <v>0.02</v>
      </c>
    </row>
    <row r="99" spans="1:3" ht="30" x14ac:dyDescent="0.2">
      <c r="A99" s="60" t="s">
        <v>157</v>
      </c>
      <c r="B99" s="59" t="s">
        <v>158</v>
      </c>
      <c r="C99" s="33">
        <f>[12]С4!F19</f>
        <v>12104</v>
      </c>
    </row>
    <row r="100" spans="1:3" ht="28.5" x14ac:dyDescent="0.2">
      <c r="A100" s="60" t="s">
        <v>159</v>
      </c>
      <c r="B100" s="59" t="s">
        <v>160</v>
      </c>
      <c r="C100" s="41">
        <f>[12]С4!F20</f>
        <v>1.4999999999999999E-2</v>
      </c>
    </row>
    <row r="101" spans="1:3" ht="30" x14ac:dyDescent="0.2">
      <c r="A101" s="60" t="s">
        <v>161</v>
      </c>
      <c r="B101" s="32" t="s">
        <v>244</v>
      </c>
      <c r="C101" s="33">
        <f>[12]С4!F21</f>
        <v>1933.1949342509995</v>
      </c>
    </row>
    <row r="102" spans="1:3" ht="24" customHeight="1" x14ac:dyDescent="0.2">
      <c r="A102" s="60" t="s">
        <v>163</v>
      </c>
      <c r="B102" s="53" t="s">
        <v>164</v>
      </c>
      <c r="C102" s="34">
        <f>IF([12]С4.2!F8="да",[12]С4.2!D21,[12]С4.2!D15)</f>
        <v>0</v>
      </c>
    </row>
    <row r="103" spans="1:3" ht="68.25" x14ac:dyDescent="0.2">
      <c r="A103" s="60" t="s">
        <v>165</v>
      </c>
      <c r="B103" s="53" t="s">
        <v>166</v>
      </c>
      <c r="C103" s="33">
        <f>[12]С4!F22</f>
        <v>3.6112641666666665</v>
      </c>
    </row>
    <row r="104" spans="1:3" ht="30" x14ac:dyDescent="0.2">
      <c r="A104" s="60" t="s">
        <v>167</v>
      </c>
      <c r="B104" s="59" t="s">
        <v>245</v>
      </c>
      <c r="C104" s="33">
        <f>[12]С4!F23</f>
        <v>180</v>
      </c>
    </row>
    <row r="105" spans="1:3" ht="14.25" x14ac:dyDescent="0.2">
      <c r="A105" s="60" t="s">
        <v>169</v>
      </c>
      <c r="B105" s="53" t="s">
        <v>170</v>
      </c>
      <c r="C105" s="33">
        <f>[12]С4!F24</f>
        <v>8497.1999999999989</v>
      </c>
    </row>
    <row r="106" spans="1:3" ht="14.25" x14ac:dyDescent="0.2">
      <c r="A106" s="60" t="s">
        <v>171</v>
      </c>
      <c r="B106" s="59" t="s">
        <v>172</v>
      </c>
      <c r="C106" s="41">
        <f>[12]С4!F25</f>
        <v>0.35</v>
      </c>
    </row>
    <row r="107" spans="1:3" ht="17.25" x14ac:dyDescent="0.2">
      <c r="A107" s="60" t="s">
        <v>173</v>
      </c>
      <c r="B107" s="32" t="s">
        <v>174</v>
      </c>
      <c r="C107" s="33">
        <f>[12]С4!F26</f>
        <v>97.367349999999988</v>
      </c>
    </row>
    <row r="108" spans="1:3" ht="25.5" x14ac:dyDescent="0.2">
      <c r="A108" s="60" t="s">
        <v>175</v>
      </c>
      <c r="B108" s="53" t="s">
        <v>101</v>
      </c>
      <c r="C108" s="34">
        <f>[12]С4.3!E16</f>
        <v>0</v>
      </c>
    </row>
    <row r="109" spans="1:3" ht="25.5" x14ac:dyDescent="0.2">
      <c r="A109" s="60" t="s">
        <v>176</v>
      </c>
      <c r="B109" s="53" t="s">
        <v>177</v>
      </c>
      <c r="C109" s="33">
        <f>[12]С4.3!E17</f>
        <v>25.016666666666666</v>
      </c>
    </row>
    <row r="110" spans="1:3" ht="38.25" x14ac:dyDescent="0.2">
      <c r="A110" s="60" t="s">
        <v>178</v>
      </c>
      <c r="B110" s="53" t="s">
        <v>113</v>
      </c>
      <c r="C110" s="34">
        <f>[12]С4.3!E18</f>
        <v>0</v>
      </c>
    </row>
    <row r="111" spans="1:3" x14ac:dyDescent="0.2">
      <c r="A111" s="60" t="s">
        <v>179</v>
      </c>
      <c r="B111" s="53" t="s">
        <v>180</v>
      </c>
      <c r="C111" s="33">
        <f>[12]С4.3!E19</f>
        <v>47.225000000000001</v>
      </c>
    </row>
    <row r="112" spans="1:3" x14ac:dyDescent="0.2">
      <c r="A112" s="60" t="s">
        <v>181</v>
      </c>
      <c r="B112" s="59" t="s">
        <v>182</v>
      </c>
      <c r="C112" s="33">
        <f>[12]С4.3!E11</f>
        <v>1871</v>
      </c>
    </row>
    <row r="113" spans="1:3" x14ac:dyDescent="0.2">
      <c r="A113" s="60" t="s">
        <v>183</v>
      </c>
      <c r="B113" s="59" t="s">
        <v>184</v>
      </c>
      <c r="C113" s="52">
        <f>[12]С4.3!E12</f>
        <v>1636</v>
      </c>
    </row>
    <row r="114" spans="1:3" x14ac:dyDescent="0.2">
      <c r="A114" s="60" t="s">
        <v>185</v>
      </c>
      <c r="B114" s="59" t="s">
        <v>186</v>
      </c>
      <c r="C114" s="52">
        <f>[12]С4.3!E13</f>
        <v>204</v>
      </c>
    </row>
    <row r="115" spans="1:3" ht="30" x14ac:dyDescent="0.2">
      <c r="A115" s="60" t="s">
        <v>187</v>
      </c>
      <c r="B115" s="32" t="s">
        <v>246</v>
      </c>
      <c r="C115" s="33">
        <f>[12]С4!F27</f>
        <v>1351.1912129385403</v>
      </c>
    </row>
    <row r="116" spans="1:3" ht="25.5" x14ac:dyDescent="0.2">
      <c r="A116" s="60" t="s">
        <v>189</v>
      </c>
      <c r="B116" s="53" t="s">
        <v>247</v>
      </c>
      <c r="C116" s="33">
        <f>[12]С4!F28</f>
        <v>1037.7812695380494</v>
      </c>
    </row>
    <row r="117" spans="1:3" ht="42.75" x14ac:dyDescent="0.2">
      <c r="A117" s="60" t="s">
        <v>191</v>
      </c>
      <c r="B117" s="53" t="s">
        <v>192</v>
      </c>
      <c r="C117" s="33">
        <f>[12]С4!F29</f>
        <v>313.40994340049093</v>
      </c>
    </row>
    <row r="118" spans="1:3" ht="30" x14ac:dyDescent="0.2">
      <c r="A118" s="60" t="s">
        <v>193</v>
      </c>
      <c r="B118" s="40" t="s">
        <v>194</v>
      </c>
      <c r="C118" s="33">
        <f>[12]С4!F30</f>
        <v>2044.9957921607263</v>
      </c>
    </row>
    <row r="119" spans="1:3" ht="42.75" x14ac:dyDescent="0.2">
      <c r="A119" s="60" t="s">
        <v>248</v>
      </c>
      <c r="B119" s="90" t="s">
        <v>249</v>
      </c>
      <c r="C119" s="33">
        <f>[12]С4!F33</f>
        <v>1306.1145028823801</v>
      </c>
    </row>
    <row r="120" spans="1:3" ht="30" x14ac:dyDescent="0.2">
      <c r="A120" s="60" t="s">
        <v>250</v>
      </c>
      <c r="B120" s="123" t="s">
        <v>251</v>
      </c>
      <c r="C120" s="33">
        <f>[12]С4!F35</f>
        <v>17.040680999999999</v>
      </c>
    </row>
    <row r="121" spans="1:3" ht="14.25" x14ac:dyDescent="0.2">
      <c r="A121" s="60" t="s">
        <v>252</v>
      </c>
      <c r="B121" s="56" t="s">
        <v>253</v>
      </c>
      <c r="C121" s="33">
        <f>[12]С4!F36</f>
        <v>14319.9</v>
      </c>
    </row>
    <row r="122" spans="1:3" ht="28.5" thickBot="1" x14ac:dyDescent="0.25">
      <c r="A122" s="75" t="s">
        <v>254</v>
      </c>
      <c r="B122" s="124" t="s">
        <v>255</v>
      </c>
      <c r="C122" s="85">
        <f>[12]С4!F37</f>
        <v>1.19</v>
      </c>
    </row>
    <row r="123" spans="1:3" s="88" customFormat="1" ht="13.5" thickBot="1" x14ac:dyDescent="0.25">
      <c r="A123" s="48"/>
      <c r="B123" s="49"/>
      <c r="C123" s="14"/>
    </row>
    <row r="124" spans="1:3" s="66" customFormat="1" ht="30" customHeight="1" x14ac:dyDescent="0.2">
      <c r="A124" s="78" t="s">
        <v>195</v>
      </c>
      <c r="B124" s="146" t="s">
        <v>196</v>
      </c>
      <c r="C124" s="146"/>
    </row>
    <row r="125" spans="1:3" ht="16.5" thickBot="1" x14ac:dyDescent="0.25">
      <c r="A125" s="26" t="s">
        <v>197</v>
      </c>
      <c r="B125" s="87" t="s">
        <v>198</v>
      </c>
      <c r="C125" s="85">
        <f>[12]С5!F17</f>
        <v>0.02</v>
      </c>
    </row>
    <row r="126" spans="1:3" s="88" customFormat="1" ht="13.5" thickBot="1" x14ac:dyDescent="0.25">
      <c r="A126" s="48"/>
      <c r="B126" s="49"/>
      <c r="C126" s="14"/>
    </row>
    <row r="127" spans="1:3" ht="42.75" customHeight="1" x14ac:dyDescent="0.2">
      <c r="A127" s="86" t="s">
        <v>199</v>
      </c>
      <c r="B127" s="148" t="s">
        <v>200</v>
      </c>
      <c r="C127" s="148"/>
    </row>
    <row r="128" spans="1:3" ht="68.25" x14ac:dyDescent="0.2">
      <c r="A128" s="60" t="s">
        <v>201</v>
      </c>
      <c r="B128" s="89" t="s">
        <v>202</v>
      </c>
      <c r="C128" s="33" t="s">
        <v>256</v>
      </c>
    </row>
    <row r="129" spans="1:4" ht="42.75" hidden="1" x14ac:dyDescent="0.2">
      <c r="A129" s="60" t="s">
        <v>203</v>
      </c>
      <c r="B129" s="90" t="s">
        <v>204</v>
      </c>
      <c r="C129" s="91"/>
    </row>
    <row r="130" spans="1:4" ht="69" thickBot="1" x14ac:dyDescent="0.25">
      <c r="A130" s="75" t="s">
        <v>205</v>
      </c>
      <c r="B130" s="125" t="s">
        <v>206</v>
      </c>
      <c r="C130" s="126" t="s">
        <v>256</v>
      </c>
    </row>
    <row r="131" spans="1:4" ht="62.25" hidden="1" customHeight="1" x14ac:dyDescent="0.2">
      <c r="A131" s="127" t="s">
        <v>207</v>
      </c>
      <c r="B131" s="128" t="s">
        <v>208</v>
      </c>
      <c r="C131" s="129"/>
    </row>
    <row r="132" spans="1:4" ht="68.25" hidden="1" x14ac:dyDescent="0.2">
      <c r="A132" s="60" t="s">
        <v>209</v>
      </c>
      <c r="B132" s="90" t="s">
        <v>257</v>
      </c>
      <c r="C132" s="35"/>
    </row>
    <row r="133" spans="1:4" ht="69" hidden="1" thickBot="1" x14ac:dyDescent="0.25">
      <c r="A133" s="75" t="s">
        <v>211</v>
      </c>
      <c r="B133" s="93" t="s">
        <v>212</v>
      </c>
      <c r="C133" s="77"/>
    </row>
    <row r="134" spans="1:4" s="88" customFormat="1" ht="13.5" thickBot="1" x14ac:dyDescent="0.25">
      <c r="A134" s="48"/>
      <c r="B134" s="49"/>
      <c r="C134" s="14"/>
    </row>
    <row r="135" spans="1:4" ht="26.25" customHeight="1" x14ac:dyDescent="0.2">
      <c r="A135" s="86" t="s">
        <v>213</v>
      </c>
      <c r="B135" s="94" t="s">
        <v>214</v>
      </c>
      <c r="C135" s="95">
        <f>[12]С2!F37</f>
        <v>20.818139999999996</v>
      </c>
    </row>
    <row r="136" spans="1:4" ht="14.25" x14ac:dyDescent="0.2">
      <c r="A136" s="60" t="s">
        <v>215</v>
      </c>
      <c r="B136" s="130" t="s">
        <v>216</v>
      </c>
      <c r="C136" s="33">
        <f>[12]С2!F38</f>
        <v>7</v>
      </c>
    </row>
    <row r="137" spans="1:4" ht="17.25" x14ac:dyDescent="0.2">
      <c r="A137" s="60" t="s">
        <v>217</v>
      </c>
      <c r="B137" s="130" t="s">
        <v>218</v>
      </c>
      <c r="C137" s="33">
        <f>[12]С2!F40</f>
        <v>0.97</v>
      </c>
    </row>
    <row r="138" spans="1:4" ht="15" thickBot="1" x14ac:dyDescent="0.25">
      <c r="A138" s="75" t="s">
        <v>219</v>
      </c>
      <c r="B138" s="131" t="s">
        <v>220</v>
      </c>
      <c r="C138" s="47">
        <f>[12]С2!F42</f>
        <v>0.35</v>
      </c>
    </row>
    <row r="139" spans="1:4" s="88" customFormat="1" ht="13.5" thickBot="1" x14ac:dyDescent="0.25">
      <c r="A139" s="48"/>
      <c r="B139" s="49"/>
      <c r="C139" s="14"/>
    </row>
    <row r="140" spans="1:4" ht="30" x14ac:dyDescent="0.2">
      <c r="A140" s="86" t="s">
        <v>221</v>
      </c>
      <c r="B140" s="96" t="s">
        <v>258</v>
      </c>
      <c r="C140" s="132">
        <f>[12]С2!F35</f>
        <v>1.3822747209000001</v>
      </c>
      <c r="D140" s="88"/>
    </row>
    <row r="141" spans="1:4" ht="22.7" customHeight="1" thickBot="1" x14ac:dyDescent="0.25">
      <c r="A141" s="75" t="s">
        <v>223</v>
      </c>
      <c r="B141" s="145" t="s">
        <v>224</v>
      </c>
      <c r="C141" s="145"/>
      <c r="D141" s="88"/>
    </row>
    <row r="142" spans="1:4" ht="13.5" thickBot="1" x14ac:dyDescent="0.25">
      <c r="A142" s="99"/>
      <c r="B142" s="133" t="s">
        <v>0</v>
      </c>
      <c r="C142" s="134"/>
      <c r="D142" s="88"/>
    </row>
    <row r="143" spans="1:4" x14ac:dyDescent="0.2">
      <c r="A143" s="99"/>
      <c r="B143" s="135">
        <v>2020</v>
      </c>
      <c r="C143" s="136">
        <f>[12]С2.5!$E$11</f>
        <v>-2.9000000000000026E-2</v>
      </c>
      <c r="D143" s="88"/>
    </row>
    <row r="144" spans="1:4" x14ac:dyDescent="0.2">
      <c r="A144" s="99"/>
      <c r="B144" s="106">
        <f>B143+1</f>
        <v>2021</v>
      </c>
      <c r="C144" s="137">
        <f>[12]С2.5!$F$11</f>
        <v>0.245</v>
      </c>
      <c r="D144" s="88"/>
    </row>
    <row r="145" spans="1:4" x14ac:dyDescent="0.2">
      <c r="A145" s="99"/>
      <c r="B145" s="106">
        <f t="shared" ref="B145:B208" si="0">B144+1</f>
        <v>2022</v>
      </c>
      <c r="C145" s="137">
        <f>[12]С2.5!$G$11</f>
        <v>0.121</v>
      </c>
      <c r="D145" s="88"/>
    </row>
    <row r="146" spans="1:4" ht="13.5" thickBot="1" x14ac:dyDescent="0.25">
      <c r="A146" s="99"/>
      <c r="B146" s="108">
        <f t="shared" si="0"/>
        <v>2023</v>
      </c>
      <c r="C146" s="138">
        <f>[12]С2.5!$H$11</f>
        <v>0.02</v>
      </c>
      <c r="D146" s="88"/>
    </row>
    <row r="147" spans="1:4" hidden="1" x14ac:dyDescent="0.2">
      <c r="A147" s="99"/>
      <c r="B147" s="139">
        <f t="shared" si="0"/>
        <v>2024</v>
      </c>
      <c r="C147" s="140">
        <f>[12]С2.5!$I$11</f>
        <v>-2.93E-2</v>
      </c>
      <c r="D147" s="88"/>
    </row>
    <row r="148" spans="1:4" hidden="1" x14ac:dyDescent="0.2">
      <c r="A148" s="99"/>
      <c r="B148" s="106">
        <f t="shared" si="0"/>
        <v>2025</v>
      </c>
      <c r="C148" s="137">
        <f>[12]С2.5!$J$11</f>
        <v>0.21215960863291</v>
      </c>
      <c r="D148" s="88"/>
    </row>
    <row r="149" spans="1:4" hidden="1" x14ac:dyDescent="0.2">
      <c r="A149" s="99"/>
      <c r="B149" s="106">
        <f t="shared" si="0"/>
        <v>2026</v>
      </c>
      <c r="C149" s="137">
        <f>[12]С2.5!$K$11</f>
        <v>3.5813361771260002E-2</v>
      </c>
      <c r="D149" s="88"/>
    </row>
    <row r="150" spans="1:4" hidden="1" x14ac:dyDescent="0.2">
      <c r="A150" s="99"/>
      <c r="B150" s="106">
        <f t="shared" si="0"/>
        <v>2027</v>
      </c>
      <c r="C150" s="137">
        <f>[12]С2.5!$L$11</f>
        <v>3.2682303599220003E-2</v>
      </c>
      <c r="D150" s="88"/>
    </row>
    <row r="151" spans="1:4" hidden="1" x14ac:dyDescent="0.2">
      <c r="A151" s="99"/>
      <c r="B151" s="106">
        <f t="shared" si="0"/>
        <v>2028</v>
      </c>
      <c r="C151" s="137">
        <f>[12]С2.5!$M$11</f>
        <v>0</v>
      </c>
      <c r="D151" s="88"/>
    </row>
    <row r="152" spans="1:4" hidden="1" x14ac:dyDescent="0.2">
      <c r="A152" s="99"/>
      <c r="B152" s="106">
        <f t="shared" si="0"/>
        <v>2029</v>
      </c>
      <c r="C152" s="137">
        <f>[12]С2.5!$N$11</f>
        <v>0</v>
      </c>
      <c r="D152" s="88"/>
    </row>
    <row r="153" spans="1:4" hidden="1" x14ac:dyDescent="0.2">
      <c r="A153" s="99"/>
      <c r="B153" s="106">
        <f t="shared" si="0"/>
        <v>2030</v>
      </c>
      <c r="C153" s="137">
        <f>[12]С2.5!$O$11</f>
        <v>0</v>
      </c>
      <c r="D153" s="88"/>
    </row>
    <row r="154" spans="1:4" hidden="1" x14ac:dyDescent="0.2">
      <c r="A154" s="99"/>
      <c r="B154" s="106">
        <f t="shared" si="0"/>
        <v>2031</v>
      </c>
      <c r="C154" s="137">
        <f>[12]С2.5!$P$11</f>
        <v>0</v>
      </c>
      <c r="D154" s="88"/>
    </row>
    <row r="155" spans="1:4" hidden="1" x14ac:dyDescent="0.2">
      <c r="A155" s="88"/>
      <c r="B155" s="106">
        <f t="shared" si="0"/>
        <v>2032</v>
      </c>
      <c r="C155" s="137">
        <f>[12]С2.5!$Q$11</f>
        <v>0</v>
      </c>
      <c r="D155" s="88"/>
    </row>
    <row r="156" spans="1:4" hidden="1" x14ac:dyDescent="0.2">
      <c r="A156" s="88"/>
      <c r="B156" s="106">
        <f t="shared" si="0"/>
        <v>2033</v>
      </c>
      <c r="C156" s="137">
        <f>[12]С2.5!$R$11</f>
        <v>0</v>
      </c>
      <c r="D156" s="88"/>
    </row>
    <row r="157" spans="1:4" hidden="1" x14ac:dyDescent="0.2">
      <c r="B157" s="106">
        <f t="shared" si="0"/>
        <v>2034</v>
      </c>
      <c r="C157" s="137">
        <f>[12]С2.5!$S$11</f>
        <v>0</v>
      </c>
    </row>
    <row r="158" spans="1:4" hidden="1" x14ac:dyDescent="0.2">
      <c r="B158" s="106">
        <f t="shared" si="0"/>
        <v>2035</v>
      </c>
      <c r="C158" s="137">
        <f>[12]С2.5!$T$11</f>
        <v>0</v>
      </c>
    </row>
    <row r="159" spans="1:4" hidden="1" x14ac:dyDescent="0.2">
      <c r="B159" s="106">
        <f t="shared" si="0"/>
        <v>2036</v>
      </c>
      <c r="C159" s="137">
        <f>[12]С2.5!$U$11</f>
        <v>0</v>
      </c>
    </row>
    <row r="160" spans="1:4" hidden="1" x14ac:dyDescent="0.2">
      <c r="B160" s="106">
        <f t="shared" si="0"/>
        <v>2037</v>
      </c>
      <c r="C160" s="137">
        <f>[12]С2.5!$V$11</f>
        <v>0</v>
      </c>
    </row>
    <row r="161" spans="2:3" hidden="1" x14ac:dyDescent="0.2">
      <c r="B161" s="106">
        <f t="shared" si="0"/>
        <v>2038</v>
      </c>
      <c r="C161" s="137">
        <f>[12]С2.5!$W$11</f>
        <v>0</v>
      </c>
    </row>
    <row r="162" spans="2:3" hidden="1" x14ac:dyDescent="0.2">
      <c r="B162" s="106">
        <f t="shared" si="0"/>
        <v>2039</v>
      </c>
      <c r="C162" s="137">
        <f>[12]С2.5!$X$11</f>
        <v>0</v>
      </c>
    </row>
    <row r="163" spans="2:3" hidden="1" x14ac:dyDescent="0.2">
      <c r="B163" s="106">
        <f t="shared" si="0"/>
        <v>2040</v>
      </c>
      <c r="C163" s="137">
        <f>[12]С2.5!$Y$11</f>
        <v>0</v>
      </c>
    </row>
    <row r="164" spans="2:3" hidden="1" x14ac:dyDescent="0.2">
      <c r="B164" s="106">
        <f t="shared" si="0"/>
        <v>2041</v>
      </c>
      <c r="C164" s="137">
        <f>[12]С2.5!$Z$11</f>
        <v>0</v>
      </c>
    </row>
    <row r="165" spans="2:3" hidden="1" x14ac:dyDescent="0.2">
      <c r="B165" s="106">
        <f t="shared" si="0"/>
        <v>2042</v>
      </c>
      <c r="C165" s="137">
        <f>[12]С2.5!$AA$11</f>
        <v>0</v>
      </c>
    </row>
    <row r="166" spans="2:3" hidden="1" x14ac:dyDescent="0.2">
      <c r="B166" s="106">
        <f t="shared" si="0"/>
        <v>2043</v>
      </c>
      <c r="C166" s="137">
        <f>[12]С2.5!$AB$11</f>
        <v>0</v>
      </c>
    </row>
    <row r="167" spans="2:3" hidden="1" x14ac:dyDescent="0.2">
      <c r="B167" s="106">
        <f t="shared" si="0"/>
        <v>2044</v>
      </c>
      <c r="C167" s="137">
        <f>[12]С2.5!$AC$11</f>
        <v>0</v>
      </c>
    </row>
    <row r="168" spans="2:3" hidden="1" x14ac:dyDescent="0.2">
      <c r="B168" s="106">
        <f t="shared" si="0"/>
        <v>2045</v>
      </c>
      <c r="C168" s="137">
        <f>[12]С2.5!$AD$11</f>
        <v>0</v>
      </c>
    </row>
    <row r="169" spans="2:3" hidden="1" x14ac:dyDescent="0.2">
      <c r="B169" s="106">
        <f t="shared" si="0"/>
        <v>2046</v>
      </c>
      <c r="C169" s="137">
        <f>[12]С2.5!$AE$11</f>
        <v>0</v>
      </c>
    </row>
    <row r="170" spans="2:3" hidden="1" x14ac:dyDescent="0.2">
      <c r="B170" s="106">
        <f t="shared" si="0"/>
        <v>2047</v>
      </c>
      <c r="C170" s="137">
        <f>[12]С2.5!$AF$11</f>
        <v>0</v>
      </c>
    </row>
    <row r="171" spans="2:3" hidden="1" x14ac:dyDescent="0.2">
      <c r="B171" s="106">
        <f t="shared" si="0"/>
        <v>2048</v>
      </c>
      <c r="C171" s="137">
        <f>[12]С2.5!$AG$11</f>
        <v>0</v>
      </c>
    </row>
    <row r="172" spans="2:3" hidden="1" x14ac:dyDescent="0.2">
      <c r="B172" s="106">
        <f t="shared" si="0"/>
        <v>2049</v>
      </c>
      <c r="C172" s="137">
        <f>[12]С2.5!$AH$11</f>
        <v>0</v>
      </c>
    </row>
    <row r="173" spans="2:3" hidden="1" x14ac:dyDescent="0.2">
      <c r="B173" s="106">
        <f t="shared" si="0"/>
        <v>2050</v>
      </c>
      <c r="C173" s="137">
        <f>[12]С2.5!$AI$11</f>
        <v>0</v>
      </c>
    </row>
    <row r="174" spans="2:3" hidden="1" x14ac:dyDescent="0.2">
      <c r="B174" s="106">
        <f t="shared" si="0"/>
        <v>2051</v>
      </c>
      <c r="C174" s="137">
        <f>[12]С2.5!$AJ$11</f>
        <v>0</v>
      </c>
    </row>
    <row r="175" spans="2:3" hidden="1" x14ac:dyDescent="0.2">
      <c r="B175" s="106">
        <f t="shared" si="0"/>
        <v>2052</v>
      </c>
      <c r="C175" s="137">
        <f>[12]С2.5!$AK$11</f>
        <v>0</v>
      </c>
    </row>
    <row r="176" spans="2:3" hidden="1" x14ac:dyDescent="0.2">
      <c r="B176" s="106">
        <f t="shared" si="0"/>
        <v>2053</v>
      </c>
      <c r="C176" s="137">
        <f>[12]С2.5!$AL$11</f>
        <v>0</v>
      </c>
    </row>
    <row r="177" spans="2:3" hidden="1" x14ac:dyDescent="0.2">
      <c r="B177" s="106">
        <f t="shared" si="0"/>
        <v>2054</v>
      </c>
      <c r="C177" s="137">
        <f>[12]С2.5!$AM$11</f>
        <v>0</v>
      </c>
    </row>
    <row r="178" spans="2:3" hidden="1" x14ac:dyDescent="0.2">
      <c r="B178" s="106">
        <f t="shared" si="0"/>
        <v>2055</v>
      </c>
      <c r="C178" s="137">
        <f>[12]С2.5!$AN$11</f>
        <v>0</v>
      </c>
    </row>
    <row r="179" spans="2:3" hidden="1" x14ac:dyDescent="0.2">
      <c r="B179" s="106">
        <f t="shared" si="0"/>
        <v>2056</v>
      </c>
      <c r="C179" s="137">
        <f>[12]С2.5!$AO$11</f>
        <v>0</v>
      </c>
    </row>
    <row r="180" spans="2:3" hidden="1" x14ac:dyDescent="0.2">
      <c r="B180" s="106">
        <f t="shared" si="0"/>
        <v>2057</v>
      </c>
      <c r="C180" s="137">
        <f>[12]С2.5!$AP$11</f>
        <v>0</v>
      </c>
    </row>
    <row r="181" spans="2:3" hidden="1" x14ac:dyDescent="0.2">
      <c r="B181" s="106">
        <f t="shared" si="0"/>
        <v>2058</v>
      </c>
      <c r="C181" s="137">
        <f>[12]С2.5!$AQ$11</f>
        <v>0</v>
      </c>
    </row>
    <row r="182" spans="2:3" hidden="1" x14ac:dyDescent="0.2">
      <c r="B182" s="106">
        <f t="shared" si="0"/>
        <v>2059</v>
      </c>
      <c r="C182" s="137">
        <f>[12]С2.5!$AR$11</f>
        <v>0</v>
      </c>
    </row>
    <row r="183" spans="2:3" hidden="1" x14ac:dyDescent="0.2">
      <c r="B183" s="106">
        <f t="shared" si="0"/>
        <v>2060</v>
      </c>
      <c r="C183" s="137">
        <f>[12]С2.5!$AS$11</f>
        <v>0</v>
      </c>
    </row>
    <row r="184" spans="2:3" hidden="1" x14ac:dyDescent="0.2">
      <c r="B184" s="106">
        <f t="shared" si="0"/>
        <v>2061</v>
      </c>
      <c r="C184" s="137">
        <f>[12]С2.5!$AT$11</f>
        <v>0</v>
      </c>
    </row>
    <row r="185" spans="2:3" hidden="1" x14ac:dyDescent="0.2">
      <c r="B185" s="106">
        <f t="shared" si="0"/>
        <v>2062</v>
      </c>
      <c r="C185" s="137">
        <f>[12]С2.5!$AU$11</f>
        <v>0</v>
      </c>
    </row>
    <row r="186" spans="2:3" hidden="1" x14ac:dyDescent="0.2">
      <c r="B186" s="106">
        <f t="shared" si="0"/>
        <v>2063</v>
      </c>
      <c r="C186" s="137">
        <f>[12]С2.5!$AV$11</f>
        <v>0</v>
      </c>
    </row>
    <row r="187" spans="2:3" hidden="1" x14ac:dyDescent="0.2">
      <c r="B187" s="106">
        <f t="shared" si="0"/>
        <v>2064</v>
      </c>
      <c r="C187" s="137">
        <f>[12]С2.5!$AW$11</f>
        <v>0</v>
      </c>
    </row>
    <row r="188" spans="2:3" hidden="1" x14ac:dyDescent="0.2">
      <c r="B188" s="106">
        <f t="shared" si="0"/>
        <v>2065</v>
      </c>
      <c r="C188" s="137">
        <f>[12]С2.5!$AX$11</f>
        <v>0</v>
      </c>
    </row>
    <row r="189" spans="2:3" hidden="1" x14ac:dyDescent="0.2">
      <c r="B189" s="106">
        <f t="shared" si="0"/>
        <v>2066</v>
      </c>
      <c r="C189" s="137">
        <f>[12]С2.5!$AY$11</f>
        <v>0</v>
      </c>
    </row>
    <row r="190" spans="2:3" hidden="1" x14ac:dyDescent="0.2">
      <c r="B190" s="106">
        <f t="shared" si="0"/>
        <v>2067</v>
      </c>
      <c r="C190" s="137">
        <f>[12]С2.5!$AZ$11</f>
        <v>0</v>
      </c>
    </row>
    <row r="191" spans="2:3" hidden="1" x14ac:dyDescent="0.2">
      <c r="B191" s="106">
        <f t="shared" si="0"/>
        <v>2068</v>
      </c>
      <c r="C191" s="137">
        <f>[12]С2.5!$BA$11</f>
        <v>0</v>
      </c>
    </row>
    <row r="192" spans="2:3" hidden="1" x14ac:dyDescent="0.2">
      <c r="B192" s="106">
        <f t="shared" si="0"/>
        <v>2069</v>
      </c>
      <c r="C192" s="137">
        <f>[12]С2.5!$BB$11</f>
        <v>0</v>
      </c>
    </row>
    <row r="193" spans="2:3" hidden="1" x14ac:dyDescent="0.2">
      <c r="B193" s="106">
        <f t="shared" si="0"/>
        <v>2070</v>
      </c>
      <c r="C193" s="137">
        <f>[12]С2.5!$BC$11</f>
        <v>0</v>
      </c>
    </row>
    <row r="194" spans="2:3" hidden="1" x14ac:dyDescent="0.2">
      <c r="B194" s="106">
        <f t="shared" si="0"/>
        <v>2071</v>
      </c>
      <c r="C194" s="137">
        <f>[12]С2.5!$BD$11</f>
        <v>0</v>
      </c>
    </row>
    <row r="195" spans="2:3" hidden="1" x14ac:dyDescent="0.2">
      <c r="B195" s="106">
        <f t="shared" si="0"/>
        <v>2072</v>
      </c>
      <c r="C195" s="137">
        <f>[12]С2.5!$BE$11</f>
        <v>0</v>
      </c>
    </row>
    <row r="196" spans="2:3" hidden="1" x14ac:dyDescent="0.2">
      <c r="B196" s="106">
        <f t="shared" si="0"/>
        <v>2073</v>
      </c>
      <c r="C196" s="137">
        <f>[12]С2.5!$BF$11</f>
        <v>0</v>
      </c>
    </row>
    <row r="197" spans="2:3" hidden="1" x14ac:dyDescent="0.2">
      <c r="B197" s="106">
        <f t="shared" si="0"/>
        <v>2074</v>
      </c>
      <c r="C197" s="137">
        <f>[12]С2.5!$BG$11</f>
        <v>0</v>
      </c>
    </row>
    <row r="198" spans="2:3" hidden="1" x14ac:dyDescent="0.2">
      <c r="B198" s="106">
        <f t="shared" si="0"/>
        <v>2075</v>
      </c>
      <c r="C198" s="137">
        <f>[12]С2.5!$BH$11</f>
        <v>0</v>
      </c>
    </row>
    <row r="199" spans="2:3" hidden="1" x14ac:dyDescent="0.2">
      <c r="B199" s="106">
        <f t="shared" si="0"/>
        <v>2076</v>
      </c>
      <c r="C199" s="137">
        <f>[12]С2.5!$BI$11</f>
        <v>0</v>
      </c>
    </row>
    <row r="200" spans="2:3" hidden="1" x14ac:dyDescent="0.2">
      <c r="B200" s="106">
        <f t="shared" si="0"/>
        <v>2077</v>
      </c>
      <c r="C200" s="137">
        <f>[12]С2.5!$BJ$11</f>
        <v>0</v>
      </c>
    </row>
    <row r="201" spans="2:3" hidden="1" x14ac:dyDescent="0.2">
      <c r="B201" s="106">
        <f t="shared" si="0"/>
        <v>2078</v>
      </c>
      <c r="C201" s="137">
        <f>[12]С2.5!$BK$11</f>
        <v>0</v>
      </c>
    </row>
    <row r="202" spans="2:3" hidden="1" x14ac:dyDescent="0.2">
      <c r="B202" s="106">
        <f t="shared" si="0"/>
        <v>2079</v>
      </c>
      <c r="C202" s="137">
        <f>[12]С2.5!$BL$11</f>
        <v>0</v>
      </c>
    </row>
    <row r="203" spans="2:3" hidden="1" x14ac:dyDescent="0.2">
      <c r="B203" s="106">
        <f t="shared" si="0"/>
        <v>2080</v>
      </c>
      <c r="C203" s="137">
        <f>[12]С2.5!$BM$11</f>
        <v>0</v>
      </c>
    </row>
    <row r="204" spans="2:3" hidden="1" x14ac:dyDescent="0.2">
      <c r="B204" s="106">
        <f t="shared" si="0"/>
        <v>2081</v>
      </c>
      <c r="C204" s="137">
        <f>[12]С2.5!$BN$11</f>
        <v>0</v>
      </c>
    </row>
    <row r="205" spans="2:3" hidden="1" x14ac:dyDescent="0.2">
      <c r="B205" s="106">
        <f t="shared" si="0"/>
        <v>2082</v>
      </c>
      <c r="C205" s="137">
        <f>[12]С2.5!$BO$11</f>
        <v>0</v>
      </c>
    </row>
    <row r="206" spans="2:3" hidden="1" x14ac:dyDescent="0.2">
      <c r="B206" s="106">
        <f t="shared" si="0"/>
        <v>2083</v>
      </c>
      <c r="C206" s="137">
        <f>[12]С2.5!$BP$11</f>
        <v>0</v>
      </c>
    </row>
    <row r="207" spans="2:3" hidden="1" x14ac:dyDescent="0.2">
      <c r="B207" s="106">
        <f t="shared" si="0"/>
        <v>2084</v>
      </c>
      <c r="C207" s="137">
        <f>[12]С2.5!$BQ$11</f>
        <v>0</v>
      </c>
    </row>
    <row r="208" spans="2:3" hidden="1" x14ac:dyDescent="0.2">
      <c r="B208" s="106">
        <f t="shared" si="0"/>
        <v>2085</v>
      </c>
      <c r="C208" s="137">
        <f>[12]С2.5!$BR$11</f>
        <v>0</v>
      </c>
    </row>
    <row r="209" spans="2:3" hidden="1" x14ac:dyDescent="0.2">
      <c r="B209" s="106">
        <f t="shared" ref="B209:B223" si="1">B208+1</f>
        <v>2086</v>
      </c>
      <c r="C209" s="137">
        <f>[12]С2.5!$BS$11</f>
        <v>0</v>
      </c>
    </row>
    <row r="210" spans="2:3" hidden="1" x14ac:dyDescent="0.2">
      <c r="B210" s="106">
        <f t="shared" si="1"/>
        <v>2087</v>
      </c>
      <c r="C210" s="137">
        <f>[12]С2.5!$BT$11</f>
        <v>0</v>
      </c>
    </row>
    <row r="211" spans="2:3" hidden="1" x14ac:dyDescent="0.2">
      <c r="B211" s="106">
        <f t="shared" si="1"/>
        <v>2088</v>
      </c>
      <c r="C211" s="137">
        <f>[12]С2.5!$BU$11</f>
        <v>0</v>
      </c>
    </row>
    <row r="212" spans="2:3" hidden="1" x14ac:dyDescent="0.2">
      <c r="B212" s="106">
        <f t="shared" si="1"/>
        <v>2089</v>
      </c>
      <c r="C212" s="137">
        <f>[12]С2.5!$BV$11</f>
        <v>0</v>
      </c>
    </row>
    <row r="213" spans="2:3" hidden="1" x14ac:dyDescent="0.2">
      <c r="B213" s="106">
        <f t="shared" si="1"/>
        <v>2090</v>
      </c>
      <c r="C213" s="137">
        <f>[12]С2.5!$BW$11</f>
        <v>0</v>
      </c>
    </row>
    <row r="214" spans="2:3" hidden="1" x14ac:dyDescent="0.2">
      <c r="B214" s="106">
        <f t="shared" si="1"/>
        <v>2091</v>
      </c>
      <c r="C214" s="137">
        <f>[12]С2.5!$BX$11</f>
        <v>0</v>
      </c>
    </row>
    <row r="215" spans="2:3" hidden="1" x14ac:dyDescent="0.2">
      <c r="B215" s="106">
        <f t="shared" si="1"/>
        <v>2092</v>
      </c>
      <c r="C215" s="137">
        <f>[12]С2.5!$BY$11</f>
        <v>0</v>
      </c>
    </row>
    <row r="216" spans="2:3" hidden="1" x14ac:dyDescent="0.2">
      <c r="B216" s="106">
        <f t="shared" si="1"/>
        <v>2093</v>
      </c>
      <c r="C216" s="137">
        <f>[12]С2.5!$BZ$11</f>
        <v>0</v>
      </c>
    </row>
    <row r="217" spans="2:3" hidden="1" x14ac:dyDescent="0.2">
      <c r="B217" s="106">
        <f t="shared" si="1"/>
        <v>2094</v>
      </c>
      <c r="C217" s="137">
        <f>[12]С2.5!$CA$11</f>
        <v>0</v>
      </c>
    </row>
    <row r="218" spans="2:3" hidden="1" x14ac:dyDescent="0.2">
      <c r="B218" s="106">
        <f t="shared" si="1"/>
        <v>2095</v>
      </c>
      <c r="C218" s="137">
        <f>[12]С2.5!$CB$11</f>
        <v>0</v>
      </c>
    </row>
    <row r="219" spans="2:3" hidden="1" x14ac:dyDescent="0.2">
      <c r="B219" s="106">
        <f t="shared" si="1"/>
        <v>2096</v>
      </c>
      <c r="C219" s="137">
        <f>[12]С2.5!$CC$11</f>
        <v>0</v>
      </c>
    </row>
    <row r="220" spans="2:3" hidden="1" x14ac:dyDescent="0.2">
      <c r="B220" s="106">
        <f t="shared" si="1"/>
        <v>2097</v>
      </c>
      <c r="C220" s="137">
        <f>[12]С2.5!$CD$11</f>
        <v>0</v>
      </c>
    </row>
    <row r="221" spans="2:3" hidden="1" x14ac:dyDescent="0.2">
      <c r="B221" s="106">
        <f t="shared" si="1"/>
        <v>2098</v>
      </c>
      <c r="C221" s="137">
        <f>[12]С2.5!$CE$11</f>
        <v>0</v>
      </c>
    </row>
    <row r="222" spans="2:3" hidden="1" x14ac:dyDescent="0.2">
      <c r="B222" s="106">
        <f t="shared" si="1"/>
        <v>2099</v>
      </c>
      <c r="C222" s="137">
        <f>[12]С2.5!$CF$11</f>
        <v>0</v>
      </c>
    </row>
    <row r="223" spans="2:3" ht="13.5" hidden="1" thickBot="1" x14ac:dyDescent="0.25">
      <c r="B223" s="108">
        <f t="shared" si="1"/>
        <v>2100</v>
      </c>
      <c r="C223" s="138">
        <f>[12]С2.5!$CG$11</f>
        <v>0</v>
      </c>
    </row>
    <row r="224" spans="2:3" hidden="1" x14ac:dyDescent="0.2">
      <c r="C224" s="141"/>
    </row>
    <row r="225" spans="3:3" hidden="1" x14ac:dyDescent="0.2">
      <c r="C225" s="141"/>
    </row>
    <row r="226" spans="3:3" x14ac:dyDescent="0.2">
      <c r="C226" s="141"/>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265" r:id="rId4" name="Button 1">
              <controlPr defaultSize="0" print="0" autoFill="0" autoPict="0" macro="[12]!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13"/>
      <c r="B1" s="142" t="s">
        <v>225</v>
      </c>
      <c r="C1" s="142"/>
    </row>
    <row r="2" spans="1:3" x14ac:dyDescent="0.2">
      <c r="A2" s="1"/>
      <c r="B2" s="3" t="s">
        <v>2</v>
      </c>
      <c r="C2" s="4">
        <f ca="1">TODAY()</f>
        <v>44944</v>
      </c>
    </row>
    <row r="3" spans="1:3" x14ac:dyDescent="0.2">
      <c r="A3" s="1"/>
      <c r="B3" s="114" t="s">
        <v>3</v>
      </c>
    </row>
    <row r="4" spans="1:3" ht="25.5" x14ac:dyDescent="0.2">
      <c r="A4" s="7"/>
      <c r="B4" s="8" t="str">
        <f>[13]И1!D13</f>
        <v>Субъект Российской Федерации</v>
      </c>
      <c r="C4" s="9" t="str">
        <f>[13]И1!E13</f>
        <v>Новосибирская область</v>
      </c>
    </row>
    <row r="5" spans="1:3" ht="38.25" x14ac:dyDescent="0.2">
      <c r="A5" s="7"/>
      <c r="B5" s="8" t="str">
        <f>[13]И1!D14</f>
        <v>Тип муниципального образования (выберите из списка)</v>
      </c>
      <c r="C5" s="9" t="str">
        <f>[13]И1!E14</f>
        <v>село Чингис, Ордынский муниципальный район</v>
      </c>
    </row>
    <row r="6" spans="1:3" x14ac:dyDescent="0.2">
      <c r="A6" s="7"/>
      <c r="B6" s="8" t="str">
        <f>IF([13]И1!E15="","",[13]И1!D15)</f>
        <v/>
      </c>
      <c r="C6" s="9" t="str">
        <f>IF([13]И1!E15="","",[13]И1!E15)</f>
        <v/>
      </c>
    </row>
    <row r="7" spans="1:3" x14ac:dyDescent="0.2">
      <c r="A7" s="7"/>
      <c r="B7" s="8" t="str">
        <f>[13]И1!D16</f>
        <v>Код ОКТМО</v>
      </c>
      <c r="C7" s="10" t="str">
        <f>[13]И1!E16</f>
        <v>50642437101</v>
      </c>
    </row>
    <row r="8" spans="1:3" x14ac:dyDescent="0.2">
      <c r="A8" s="7"/>
      <c r="B8" s="11" t="str">
        <f>[13]И1!D17</f>
        <v>Система теплоснабжения</v>
      </c>
      <c r="C8" s="12">
        <f>[13]И1!E17</f>
        <v>0</v>
      </c>
    </row>
    <row r="9" spans="1:3" x14ac:dyDescent="0.2">
      <c r="A9" s="7"/>
      <c r="B9" s="8" t="str">
        <f>[13]И1!D8</f>
        <v>Период регулирования (i)-й</v>
      </c>
      <c r="C9" s="13">
        <f>[13]И1!E8</f>
        <v>2023</v>
      </c>
    </row>
    <row r="10" spans="1:3" x14ac:dyDescent="0.2">
      <c r="A10" s="7"/>
      <c r="B10" s="8" t="str">
        <f>[13]И1!D9</f>
        <v>Период регулирования (i-1)-й</v>
      </c>
      <c r="C10" s="13">
        <f>[13]И1!E9</f>
        <v>2022</v>
      </c>
    </row>
    <row r="11" spans="1:3" x14ac:dyDescent="0.2">
      <c r="A11" s="7"/>
      <c r="B11" s="8" t="str">
        <f>[13]И1!D10</f>
        <v>Период регулирования (i-2)-й</v>
      </c>
      <c r="C11" s="13">
        <f>[13]И1!E10</f>
        <v>2021</v>
      </c>
    </row>
    <row r="12" spans="1:3" x14ac:dyDescent="0.2">
      <c r="A12" s="7"/>
      <c r="B12" s="8" t="str">
        <f>[13]И1!D11</f>
        <v>Базовый год (б)</v>
      </c>
      <c r="C12" s="13">
        <f>[13]И1!E11</f>
        <v>2019</v>
      </c>
    </row>
    <row r="13" spans="1:3" ht="38.25" x14ac:dyDescent="0.2">
      <c r="A13" s="7"/>
      <c r="B13" s="8" t="str">
        <f>[13]И1!D18</f>
        <v>Вид топлива, использование которого преобладает в системе теплоснабжения</v>
      </c>
      <c r="C13" s="14" t="str">
        <f>[13]С1.1!E13</f>
        <v>уголь (вид угля не указан в топливном балансе)</v>
      </c>
    </row>
    <row r="14" spans="1:3" ht="31.7" customHeight="1" thickBot="1" x14ac:dyDescent="0.25">
      <c r="A14" s="147" t="s">
        <v>4</v>
      </c>
      <c r="B14" s="147"/>
      <c r="C14" s="147"/>
    </row>
    <row r="15" spans="1:3" x14ac:dyDescent="0.2">
      <c r="A15" s="15" t="s">
        <v>5</v>
      </c>
      <c r="B15" s="115" t="s">
        <v>6</v>
      </c>
      <c r="C15" s="116" t="s">
        <v>7</v>
      </c>
    </row>
    <row r="16" spans="1:3" x14ac:dyDescent="0.2">
      <c r="A16" s="18">
        <v>1</v>
      </c>
      <c r="B16" s="117">
        <v>2</v>
      </c>
      <c r="C16" s="118">
        <v>3</v>
      </c>
    </row>
    <row r="17" spans="1:3" x14ac:dyDescent="0.2">
      <c r="A17" s="21">
        <v>1</v>
      </c>
      <c r="B17" s="22" t="s">
        <v>8</v>
      </c>
      <c r="C17" s="23">
        <f>SUM(C18:C22)</f>
        <v>4296.2873347150853</v>
      </c>
    </row>
    <row r="18" spans="1:3" ht="42.75" x14ac:dyDescent="0.2">
      <c r="A18" s="21" t="s">
        <v>9</v>
      </c>
      <c r="B18" s="24" t="s">
        <v>10</v>
      </c>
      <c r="C18" s="25">
        <f>[13]С1!F12</f>
        <v>1151.8021760407769</v>
      </c>
    </row>
    <row r="19" spans="1:3" ht="42.75" x14ac:dyDescent="0.2">
      <c r="A19" s="21" t="s">
        <v>11</v>
      </c>
      <c r="B19" s="24" t="s">
        <v>12</v>
      </c>
      <c r="C19" s="25">
        <f>[13]С2!F12</f>
        <v>2106.4563180122805</v>
      </c>
    </row>
    <row r="20" spans="1:3" ht="30" x14ac:dyDescent="0.2">
      <c r="A20" s="21" t="s">
        <v>13</v>
      </c>
      <c r="B20" s="24" t="s">
        <v>14</v>
      </c>
      <c r="C20" s="25">
        <f>[13]С3!F12</f>
        <v>503.94083842199643</v>
      </c>
    </row>
    <row r="21" spans="1:3" ht="42.75" x14ac:dyDescent="0.2">
      <c r="A21" s="21" t="s">
        <v>15</v>
      </c>
      <c r="B21" s="24" t="s">
        <v>226</v>
      </c>
      <c r="C21" s="25">
        <f>[13]С4!F12</f>
        <v>449.84707410836302</v>
      </c>
    </row>
    <row r="22" spans="1:3" ht="30" x14ac:dyDescent="0.2">
      <c r="A22" s="21" t="s">
        <v>17</v>
      </c>
      <c r="B22" s="24" t="s">
        <v>227</v>
      </c>
      <c r="C22" s="25">
        <f>[13]С5!F12</f>
        <v>84.24092813166834</v>
      </c>
    </row>
    <row r="23" spans="1:3" ht="43.5" thickBot="1" x14ac:dyDescent="0.25">
      <c r="A23" s="26" t="s">
        <v>19</v>
      </c>
      <c r="B23" s="98" t="s">
        <v>228</v>
      </c>
      <c r="C23" s="28" t="str">
        <f>[13]С6!F12</f>
        <v>-</v>
      </c>
    </row>
    <row r="24" spans="1:3" ht="13.5" thickBot="1" x14ac:dyDescent="0.25">
      <c r="A24" s="1"/>
    </row>
    <row r="25" spans="1:3" x14ac:dyDescent="0.2">
      <c r="A25" s="15" t="s">
        <v>5</v>
      </c>
      <c r="B25" s="29" t="s">
        <v>6</v>
      </c>
      <c r="C25" s="16" t="s">
        <v>7</v>
      </c>
    </row>
    <row r="26" spans="1:3" x14ac:dyDescent="0.2">
      <c r="A26" s="18">
        <v>1</v>
      </c>
      <c r="B26" s="30">
        <v>2</v>
      </c>
      <c r="C26" s="31">
        <v>3</v>
      </c>
    </row>
    <row r="27" spans="1:3" ht="30" customHeight="1" x14ac:dyDescent="0.2">
      <c r="A27" s="21">
        <v>1</v>
      </c>
      <c r="B27" s="144" t="s">
        <v>21</v>
      </c>
      <c r="C27" s="144"/>
    </row>
    <row r="28" spans="1:3" x14ac:dyDescent="0.2">
      <c r="A28" s="21" t="s">
        <v>9</v>
      </c>
      <c r="B28" s="32" t="s">
        <v>229</v>
      </c>
      <c r="C28" s="33">
        <f>[13]С1.1!E16</f>
        <v>5100</v>
      </c>
    </row>
    <row r="29" spans="1:3" ht="42.75" x14ac:dyDescent="0.2">
      <c r="A29" s="21" t="s">
        <v>11</v>
      </c>
      <c r="B29" s="32" t="s">
        <v>230</v>
      </c>
      <c r="C29" s="33">
        <f>[13]С1.1!E27</f>
        <v>3097.0035607289806</v>
      </c>
    </row>
    <row r="30" spans="1:3" ht="17.25" x14ac:dyDescent="0.2">
      <c r="A30" s="21" t="s">
        <v>13</v>
      </c>
      <c r="B30" s="32" t="s">
        <v>30</v>
      </c>
      <c r="C30" s="35">
        <f>[13]С1.1!E19</f>
        <v>0.59499999999999997</v>
      </c>
    </row>
    <row r="31" spans="1:3" ht="17.25" x14ac:dyDescent="0.2">
      <c r="A31" s="21" t="s">
        <v>15</v>
      </c>
      <c r="B31" s="32" t="s">
        <v>31</v>
      </c>
      <c r="C31" s="35">
        <f>[13]С1.1!E20</f>
        <v>-0.113</v>
      </c>
    </row>
    <row r="32" spans="1:3" ht="30" x14ac:dyDescent="0.2">
      <c r="A32" s="21" t="s">
        <v>17</v>
      </c>
      <c r="B32" s="36" t="s">
        <v>231</v>
      </c>
      <c r="C32" s="119">
        <f>[13]С1!F13</f>
        <v>176.4</v>
      </c>
    </row>
    <row r="33" spans="1:3" x14ac:dyDescent="0.2">
      <c r="A33" s="21" t="s">
        <v>19</v>
      </c>
      <c r="B33" s="36" t="s">
        <v>33</v>
      </c>
      <c r="C33" s="38">
        <f>[13]С1!F16</f>
        <v>7000</v>
      </c>
    </row>
    <row r="34" spans="1:3" ht="14.25" x14ac:dyDescent="0.2">
      <c r="A34" s="21" t="s">
        <v>34</v>
      </c>
      <c r="B34" s="40" t="s">
        <v>232</v>
      </c>
      <c r="C34" s="41">
        <f>[13]С1!F17</f>
        <v>0.72857142857142854</v>
      </c>
    </row>
    <row r="35" spans="1:3" ht="15.75" x14ac:dyDescent="0.2">
      <c r="A35" s="120" t="s">
        <v>36</v>
      </c>
      <c r="B35" s="43" t="s">
        <v>37</v>
      </c>
      <c r="C35" s="41">
        <f>[13]С1!F20</f>
        <v>21.588411179999994</v>
      </c>
    </row>
    <row r="36" spans="1:3" ht="15.75" x14ac:dyDescent="0.2">
      <c r="A36" s="120" t="s">
        <v>38</v>
      </c>
      <c r="B36" s="44" t="s">
        <v>39</v>
      </c>
      <c r="C36" s="41">
        <f>[13]С1!F21</f>
        <v>20.818139999999996</v>
      </c>
    </row>
    <row r="37" spans="1:3" ht="14.25" x14ac:dyDescent="0.2">
      <c r="A37" s="120" t="s">
        <v>40</v>
      </c>
      <c r="B37" s="45" t="s">
        <v>41</v>
      </c>
      <c r="C37" s="41">
        <f>[13]С1!F22</f>
        <v>1.0369999999999999</v>
      </c>
    </row>
    <row r="38" spans="1:3" ht="53.25" thickBot="1" x14ac:dyDescent="0.25">
      <c r="A38" s="26" t="s">
        <v>42</v>
      </c>
      <c r="B38" s="46" t="s">
        <v>43</v>
      </c>
      <c r="C38" s="47">
        <f>[13]С1!F23</f>
        <v>1.0469999999999999</v>
      </c>
    </row>
    <row r="39" spans="1:3" ht="13.5" thickBot="1" x14ac:dyDescent="0.25">
      <c r="A39" s="48"/>
      <c r="B39" s="121"/>
      <c r="C39" s="122"/>
    </row>
    <row r="40" spans="1:3" ht="30" customHeight="1" x14ac:dyDescent="0.2">
      <c r="A40" s="50" t="s">
        <v>44</v>
      </c>
      <c r="B40" s="146" t="s">
        <v>45</v>
      </c>
      <c r="C40" s="146"/>
    </row>
    <row r="41" spans="1:3" ht="25.5" x14ac:dyDescent="0.2">
      <c r="A41" s="21" t="s">
        <v>46</v>
      </c>
      <c r="B41" s="36" t="s">
        <v>47</v>
      </c>
      <c r="C41" s="51" t="str">
        <f>[13]С2.1!E12</f>
        <v>V</v>
      </c>
    </row>
    <row r="42" spans="1:3" ht="25.5" x14ac:dyDescent="0.2">
      <c r="A42" s="21" t="s">
        <v>48</v>
      </c>
      <c r="B42" s="32" t="s">
        <v>49</v>
      </c>
      <c r="C42" s="51" t="str">
        <f>[13]С2.1!E13</f>
        <v>6 и менее баллов</v>
      </c>
    </row>
    <row r="43" spans="1:3" ht="25.5" x14ac:dyDescent="0.2">
      <c r="A43" s="21" t="s">
        <v>50</v>
      </c>
      <c r="B43" s="32" t="s">
        <v>233</v>
      </c>
      <c r="C43" s="51" t="str">
        <f>[13]С2.1!E14</f>
        <v>от 200 до 500</v>
      </c>
    </row>
    <row r="44" spans="1:3" ht="25.5" x14ac:dyDescent="0.2">
      <c r="A44" s="21" t="s">
        <v>52</v>
      </c>
      <c r="B44" s="32" t="s">
        <v>234</v>
      </c>
      <c r="C44" s="52" t="str">
        <f>[13]С2.1!E15</f>
        <v>нет</v>
      </c>
    </row>
    <row r="45" spans="1:3" ht="30" x14ac:dyDescent="0.2">
      <c r="A45" s="21" t="s">
        <v>54</v>
      </c>
      <c r="B45" s="32" t="s">
        <v>55</v>
      </c>
      <c r="C45" s="33">
        <f>[13]С2!F18</f>
        <v>32402.627334033532</v>
      </c>
    </row>
    <row r="46" spans="1:3" ht="30" x14ac:dyDescent="0.2">
      <c r="A46" s="21" t="s">
        <v>56</v>
      </c>
      <c r="B46" s="53" t="s">
        <v>57</v>
      </c>
      <c r="C46" s="33">
        <f>IF([13]С2!F19&gt;0,[13]С2!F19,[13]С2!F20)</f>
        <v>23441.524932855718</v>
      </c>
    </row>
    <row r="47" spans="1:3" ht="25.5" x14ac:dyDescent="0.2">
      <c r="A47" s="21" t="s">
        <v>58</v>
      </c>
      <c r="B47" s="54" t="s">
        <v>59</v>
      </c>
      <c r="C47" s="33">
        <f>[13]С2.1!E19</f>
        <v>-37</v>
      </c>
    </row>
    <row r="48" spans="1:3" ht="25.5" x14ac:dyDescent="0.2">
      <c r="A48" s="21" t="s">
        <v>60</v>
      </c>
      <c r="B48" s="54" t="s">
        <v>61</v>
      </c>
      <c r="C48" s="33" t="str">
        <f>[13]С2.1!E22</f>
        <v>нет</v>
      </c>
    </row>
    <row r="49" spans="1:3" ht="38.25" x14ac:dyDescent="0.2">
      <c r="A49" s="21" t="s">
        <v>62</v>
      </c>
      <c r="B49" s="55" t="s">
        <v>63</v>
      </c>
      <c r="C49" s="33">
        <f>[13]С2.2!E10</f>
        <v>1287</v>
      </c>
    </row>
    <row r="50" spans="1:3" ht="25.5" x14ac:dyDescent="0.2">
      <c r="A50" s="21" t="s">
        <v>64</v>
      </c>
      <c r="B50" s="56" t="s">
        <v>65</v>
      </c>
      <c r="C50" s="33">
        <f>[13]С2.2!E12</f>
        <v>5.97</v>
      </c>
    </row>
    <row r="51" spans="1:3" ht="52.5" x14ac:dyDescent="0.2">
      <c r="A51" s="21" t="s">
        <v>66</v>
      </c>
      <c r="B51" s="57" t="s">
        <v>67</v>
      </c>
      <c r="C51" s="33">
        <f>[13]С2.2!E13</f>
        <v>1</v>
      </c>
    </row>
    <row r="52" spans="1:3" ht="27.75" x14ac:dyDescent="0.2">
      <c r="A52" s="21" t="s">
        <v>68</v>
      </c>
      <c r="B52" s="56" t="s">
        <v>69</v>
      </c>
      <c r="C52" s="33">
        <f>[13]С2.2!E14</f>
        <v>12104</v>
      </c>
    </row>
    <row r="53" spans="1:3" ht="25.5" x14ac:dyDescent="0.2">
      <c r="A53" s="21" t="s">
        <v>70</v>
      </c>
      <c r="B53" s="57" t="s">
        <v>71</v>
      </c>
      <c r="C53" s="35">
        <f>[13]С2.2!E15</f>
        <v>4.8000000000000001E-2</v>
      </c>
    </row>
    <row r="54" spans="1:3" x14ac:dyDescent="0.2">
      <c r="A54" s="21" t="s">
        <v>72</v>
      </c>
      <c r="B54" s="57" t="s">
        <v>73</v>
      </c>
      <c r="C54" s="33">
        <f>[13]С2.2!E16</f>
        <v>1</v>
      </c>
    </row>
    <row r="55" spans="1:3" ht="15.75" x14ac:dyDescent="0.2">
      <c r="A55" s="21" t="s">
        <v>74</v>
      </c>
      <c r="B55" s="59" t="s">
        <v>75</v>
      </c>
      <c r="C55" s="33">
        <f>[13]С2!F21</f>
        <v>1</v>
      </c>
    </row>
    <row r="56" spans="1:3" ht="30" x14ac:dyDescent="0.2">
      <c r="A56" s="60" t="s">
        <v>76</v>
      </c>
      <c r="B56" s="32" t="s">
        <v>235</v>
      </c>
      <c r="C56" s="33">
        <f>[13]С2!F13</f>
        <v>169640.22915965237</v>
      </c>
    </row>
    <row r="57" spans="1:3" ht="30" x14ac:dyDescent="0.2">
      <c r="A57" s="60" t="s">
        <v>78</v>
      </c>
      <c r="B57" s="59" t="s">
        <v>236</v>
      </c>
      <c r="C57" s="33">
        <f>[13]С2!F14</f>
        <v>113455</v>
      </c>
    </row>
    <row r="58" spans="1:3" ht="15.75" x14ac:dyDescent="0.2">
      <c r="A58" s="60" t="s">
        <v>80</v>
      </c>
      <c r="B58" s="61" t="s">
        <v>81</v>
      </c>
      <c r="C58" s="41">
        <f>[13]С2!F15</f>
        <v>1.071</v>
      </c>
    </row>
    <row r="59" spans="1:3" ht="15.75" x14ac:dyDescent="0.2">
      <c r="A59" s="60" t="s">
        <v>82</v>
      </c>
      <c r="B59" s="61" t="s">
        <v>83</v>
      </c>
      <c r="C59" s="41">
        <f>[13]С2!F16</f>
        <v>1</v>
      </c>
    </row>
    <row r="60" spans="1:3" ht="17.25" x14ac:dyDescent="0.2">
      <c r="A60" s="60" t="s">
        <v>84</v>
      </c>
      <c r="B60" s="59" t="s">
        <v>85</v>
      </c>
      <c r="C60" s="33">
        <f>[13]С2!F17</f>
        <v>1.01</v>
      </c>
    </row>
    <row r="61" spans="1:3" s="66" customFormat="1" ht="14.25" x14ac:dyDescent="0.2">
      <c r="A61" s="60" t="s">
        <v>86</v>
      </c>
      <c r="B61" s="64" t="s">
        <v>87</v>
      </c>
      <c r="C61" s="65">
        <f>[13]С2!F33</f>
        <v>10</v>
      </c>
    </row>
    <row r="62" spans="1:3" ht="30" x14ac:dyDescent="0.2">
      <c r="A62" s="60" t="s">
        <v>88</v>
      </c>
      <c r="B62" s="67" t="s">
        <v>89</v>
      </c>
      <c r="C62" s="33">
        <f>[13]С2!F26</f>
        <v>1168.8344047018327</v>
      </c>
    </row>
    <row r="63" spans="1:3" ht="17.25" x14ac:dyDescent="0.2">
      <c r="A63" s="60" t="s">
        <v>90</v>
      </c>
      <c r="B63" s="53" t="s">
        <v>237</v>
      </c>
      <c r="C63" s="33">
        <f>[13]С2!F27</f>
        <v>0.201330388</v>
      </c>
    </row>
    <row r="64" spans="1:3" ht="17.25" x14ac:dyDescent="0.2">
      <c r="A64" s="60" t="s">
        <v>92</v>
      </c>
      <c r="B64" s="59" t="s">
        <v>238</v>
      </c>
      <c r="C64" s="65">
        <f>[13]С2!F28</f>
        <v>4200</v>
      </c>
    </row>
    <row r="65" spans="1:3" ht="42.75" x14ac:dyDescent="0.2">
      <c r="A65" s="60" t="s">
        <v>94</v>
      </c>
      <c r="B65" s="32" t="s">
        <v>239</v>
      </c>
      <c r="C65" s="33">
        <f>[13]С2!F22</f>
        <v>35717.748653137714</v>
      </c>
    </row>
    <row r="66" spans="1:3" ht="30" x14ac:dyDescent="0.2">
      <c r="A66" s="60" t="s">
        <v>96</v>
      </c>
      <c r="B66" s="61" t="s">
        <v>240</v>
      </c>
      <c r="C66" s="33">
        <f>[13]С2!F23</f>
        <v>1990</v>
      </c>
    </row>
    <row r="67" spans="1:3" ht="30" x14ac:dyDescent="0.2">
      <c r="A67" s="60" t="s">
        <v>98</v>
      </c>
      <c r="B67" s="53" t="s">
        <v>99</v>
      </c>
      <c r="C67" s="33">
        <f>[13]С2.1!E27</f>
        <v>14307.876789999998</v>
      </c>
    </row>
    <row r="68" spans="1:3" ht="38.25" x14ac:dyDescent="0.2">
      <c r="A68" s="60" t="s">
        <v>100</v>
      </c>
      <c r="B68" s="68" t="s">
        <v>101</v>
      </c>
      <c r="C68" s="52">
        <f>[13]С2.3!E21</f>
        <v>0</v>
      </c>
    </row>
    <row r="69" spans="1:3" ht="25.5" x14ac:dyDescent="0.2">
      <c r="A69" s="60" t="s">
        <v>102</v>
      </c>
      <c r="B69" s="69" t="s">
        <v>103</v>
      </c>
      <c r="C69" s="70">
        <f>[13]С2.3!E11</f>
        <v>9.89</v>
      </c>
    </row>
    <row r="70" spans="1:3" ht="25.5" x14ac:dyDescent="0.2">
      <c r="A70" s="60" t="s">
        <v>104</v>
      </c>
      <c r="B70" s="69" t="s">
        <v>105</v>
      </c>
      <c r="C70" s="65">
        <f>[13]С2.3!E13</f>
        <v>300</v>
      </c>
    </row>
    <row r="71" spans="1:3" ht="25.5" x14ac:dyDescent="0.2">
      <c r="A71" s="60" t="s">
        <v>106</v>
      </c>
      <c r="B71" s="68" t="s">
        <v>107</v>
      </c>
      <c r="C71" s="71">
        <f>IF([13]С2.3!E22&gt;0,[13]С2.3!E22,[13]С2.3!E14)</f>
        <v>61211</v>
      </c>
    </row>
    <row r="72" spans="1:3" ht="38.25" x14ac:dyDescent="0.2">
      <c r="A72" s="60" t="s">
        <v>108</v>
      </c>
      <c r="B72" s="68" t="s">
        <v>109</v>
      </c>
      <c r="C72" s="71">
        <f>IF([13]С2.3!E23&gt;0,[13]С2.3!E23,[13]С2.3!E15)</f>
        <v>45675</v>
      </c>
    </row>
    <row r="73" spans="1:3" ht="30" x14ac:dyDescent="0.2">
      <c r="A73" s="60" t="s">
        <v>110</v>
      </c>
      <c r="B73" s="53" t="s">
        <v>111</v>
      </c>
      <c r="C73" s="33">
        <f>[13]С2.1!E28</f>
        <v>9541.9567200000001</v>
      </c>
    </row>
    <row r="74" spans="1:3" ht="38.25" x14ac:dyDescent="0.2">
      <c r="A74" s="60" t="s">
        <v>112</v>
      </c>
      <c r="B74" s="68" t="s">
        <v>113</v>
      </c>
      <c r="C74" s="52">
        <f>[13]С2.3!E25</f>
        <v>0</v>
      </c>
    </row>
    <row r="75" spans="1:3" ht="25.5" x14ac:dyDescent="0.2">
      <c r="A75" s="60" t="s">
        <v>114</v>
      </c>
      <c r="B75" s="69" t="s">
        <v>115</v>
      </c>
      <c r="C75" s="70">
        <f>[13]С2.3!E12</f>
        <v>0.56000000000000005</v>
      </c>
    </row>
    <row r="76" spans="1:3" ht="25.5" x14ac:dyDescent="0.2">
      <c r="A76" s="60" t="s">
        <v>116</v>
      </c>
      <c r="B76" s="69" t="s">
        <v>105</v>
      </c>
      <c r="C76" s="65">
        <f>[13]С2.3!E13</f>
        <v>300</v>
      </c>
    </row>
    <row r="77" spans="1:3" ht="25.5" x14ac:dyDescent="0.2">
      <c r="A77" s="60" t="s">
        <v>117</v>
      </c>
      <c r="B77" s="72" t="s">
        <v>118</v>
      </c>
      <c r="C77" s="71">
        <f>IF([13]С2.3!E26&gt;0,[13]С2.3!E26,[13]С2.3!E16)</f>
        <v>65637</v>
      </c>
    </row>
    <row r="78" spans="1:3" ht="38.25" x14ac:dyDescent="0.2">
      <c r="A78" s="60" t="s">
        <v>119</v>
      </c>
      <c r="B78" s="72" t="s">
        <v>120</v>
      </c>
      <c r="C78" s="71">
        <f>IF([13]С2.3!E27&gt;0,[13]С2.3!E27,[13]С2.3!E17)</f>
        <v>31684</v>
      </c>
    </row>
    <row r="79" spans="1:3" ht="17.25" x14ac:dyDescent="0.2">
      <c r="A79" s="60" t="s">
        <v>123</v>
      </c>
      <c r="B79" s="32" t="s">
        <v>124</v>
      </c>
      <c r="C79" s="35">
        <f>[13]С2!F29</f>
        <v>0.128978033685065</v>
      </c>
    </row>
    <row r="80" spans="1:3" ht="30" x14ac:dyDescent="0.2">
      <c r="A80" s="60" t="s">
        <v>125</v>
      </c>
      <c r="B80" s="53" t="s">
        <v>126</v>
      </c>
      <c r="C80" s="73">
        <f>[13]С2!F30</f>
        <v>0.11668498168498169</v>
      </c>
    </row>
    <row r="81" spans="1:3" ht="17.25" x14ac:dyDescent="0.2">
      <c r="A81" s="60" t="s">
        <v>127</v>
      </c>
      <c r="B81" s="74" t="s">
        <v>128</v>
      </c>
      <c r="C81" s="35">
        <f>[13]С2!F31</f>
        <v>0.13880000000000001</v>
      </c>
    </row>
    <row r="82" spans="1:3" s="66" customFormat="1" ht="18" thickBot="1" x14ac:dyDescent="0.25">
      <c r="A82" s="75" t="s">
        <v>129</v>
      </c>
      <c r="B82" s="76" t="s">
        <v>130</v>
      </c>
      <c r="C82" s="77">
        <f>[13]С2!F32</f>
        <v>0.12640000000000001</v>
      </c>
    </row>
    <row r="83" spans="1:3" ht="13.5" thickBot="1" x14ac:dyDescent="0.25">
      <c r="A83" s="48"/>
      <c r="B83" s="49"/>
      <c r="C83" s="14"/>
    </row>
    <row r="84" spans="1:3" s="66" customFormat="1" ht="30" customHeight="1" x14ac:dyDescent="0.2">
      <c r="A84" s="78" t="s">
        <v>131</v>
      </c>
      <c r="B84" s="146" t="s">
        <v>132</v>
      </c>
      <c r="C84" s="146"/>
    </row>
    <row r="85" spans="1:3" s="66" customFormat="1" ht="30" x14ac:dyDescent="0.2">
      <c r="A85" s="79" t="s">
        <v>133</v>
      </c>
      <c r="B85" s="32" t="s">
        <v>134</v>
      </c>
      <c r="C85" s="33">
        <f>[13]С3!F14</f>
        <v>7000.4488806189811</v>
      </c>
    </row>
    <row r="86" spans="1:3" s="66" customFormat="1" ht="42.75" x14ac:dyDescent="0.2">
      <c r="A86" s="79" t="s">
        <v>135</v>
      </c>
      <c r="B86" s="53" t="s">
        <v>136</v>
      </c>
      <c r="C86" s="80">
        <f>[13]С3!F15</f>
        <v>0.2</v>
      </c>
    </row>
    <row r="87" spans="1:3" s="66" customFormat="1" ht="14.25" x14ac:dyDescent="0.2">
      <c r="A87" s="79" t="s">
        <v>137</v>
      </c>
      <c r="B87" s="81" t="s">
        <v>138</v>
      </c>
      <c r="C87" s="65">
        <f>[13]С3!F18</f>
        <v>15</v>
      </c>
    </row>
    <row r="88" spans="1:3" s="66" customFormat="1" ht="17.25" x14ac:dyDescent="0.2">
      <c r="A88" s="79" t="s">
        <v>139</v>
      </c>
      <c r="B88" s="32" t="s">
        <v>140</v>
      </c>
      <c r="C88" s="33">
        <f>[13]С3!F19</f>
        <v>3487.1555421534131</v>
      </c>
    </row>
    <row r="89" spans="1:3" s="66" customFormat="1" ht="55.5" x14ac:dyDescent="0.2">
      <c r="A89" s="79" t="s">
        <v>141</v>
      </c>
      <c r="B89" s="53" t="s">
        <v>142</v>
      </c>
      <c r="C89" s="82">
        <f>[13]С3!F20</f>
        <v>2.1999999999999999E-2</v>
      </c>
    </row>
    <row r="90" spans="1:3" s="66" customFormat="1" ht="14.25" x14ac:dyDescent="0.2">
      <c r="A90" s="79" t="s">
        <v>143</v>
      </c>
      <c r="B90" s="59" t="s">
        <v>87</v>
      </c>
      <c r="C90" s="65">
        <f>[13]С3!F21</f>
        <v>10</v>
      </c>
    </row>
    <row r="91" spans="1:3" s="66" customFormat="1" ht="17.25" x14ac:dyDescent="0.2">
      <c r="A91" s="79" t="s">
        <v>144</v>
      </c>
      <c r="B91" s="32" t="s">
        <v>145</v>
      </c>
      <c r="C91" s="33">
        <f>[13]С3!F22</f>
        <v>3.5065032141054981</v>
      </c>
    </row>
    <row r="92" spans="1:3" s="66" customFormat="1" ht="55.5" x14ac:dyDescent="0.2">
      <c r="A92" s="79" t="s">
        <v>146</v>
      </c>
      <c r="B92" s="53" t="s">
        <v>147</v>
      </c>
      <c r="C92" s="82">
        <f>[13]С3!F23</f>
        <v>3.0000000000000001E-3</v>
      </c>
    </row>
    <row r="93" spans="1:3" s="66" customFormat="1" ht="27.75" thickBot="1" x14ac:dyDescent="0.25">
      <c r="A93" s="83" t="s">
        <v>148</v>
      </c>
      <c r="B93" s="84" t="s">
        <v>241</v>
      </c>
      <c r="C93" s="85">
        <f>[13]С3!F24</f>
        <v>1168.8344047018327</v>
      </c>
    </row>
    <row r="94" spans="1:3" ht="13.5" thickBot="1" x14ac:dyDescent="0.25">
      <c r="A94" s="48"/>
      <c r="B94" s="49"/>
      <c r="C94" s="14"/>
    </row>
    <row r="95" spans="1:3" ht="30" customHeight="1" x14ac:dyDescent="0.2">
      <c r="A95" s="86" t="s">
        <v>149</v>
      </c>
      <c r="B95" s="146" t="s">
        <v>150</v>
      </c>
      <c r="C95" s="146"/>
    </row>
    <row r="96" spans="1:3" ht="30" x14ac:dyDescent="0.2">
      <c r="A96" s="60" t="s">
        <v>151</v>
      </c>
      <c r="B96" s="32" t="s">
        <v>242</v>
      </c>
      <c r="C96" s="33">
        <f>[13]С4!F16</f>
        <v>1652.5</v>
      </c>
    </row>
    <row r="97" spans="1:3" ht="30" x14ac:dyDescent="0.2">
      <c r="A97" s="60" t="s">
        <v>153</v>
      </c>
      <c r="B97" s="59" t="s">
        <v>243</v>
      </c>
      <c r="C97" s="33">
        <f>[13]С4!F17</f>
        <v>73547</v>
      </c>
    </row>
    <row r="98" spans="1:3" ht="33" x14ac:dyDescent="0.2">
      <c r="A98" s="60" t="s">
        <v>155</v>
      </c>
      <c r="B98" s="59" t="s">
        <v>156</v>
      </c>
      <c r="C98" s="41">
        <f>[13]С4!F18</f>
        <v>0.02</v>
      </c>
    </row>
    <row r="99" spans="1:3" ht="30" x14ac:dyDescent="0.2">
      <c r="A99" s="60" t="s">
        <v>157</v>
      </c>
      <c r="B99" s="59" t="s">
        <v>158</v>
      </c>
      <c r="C99" s="33">
        <f>[13]С4!F19</f>
        <v>12104</v>
      </c>
    </row>
    <row r="100" spans="1:3" ht="28.5" x14ac:dyDescent="0.2">
      <c r="A100" s="60" t="s">
        <v>159</v>
      </c>
      <c r="B100" s="59" t="s">
        <v>160</v>
      </c>
      <c r="C100" s="41">
        <f>[13]С4!F20</f>
        <v>1.4999999999999999E-2</v>
      </c>
    </row>
    <row r="101" spans="1:3" ht="30" x14ac:dyDescent="0.2">
      <c r="A101" s="60" t="s">
        <v>161</v>
      </c>
      <c r="B101" s="32" t="s">
        <v>244</v>
      </c>
      <c r="C101" s="33">
        <f>[13]С4!F21</f>
        <v>1933.1949342509995</v>
      </c>
    </row>
    <row r="102" spans="1:3" ht="24" customHeight="1" x14ac:dyDescent="0.2">
      <c r="A102" s="60" t="s">
        <v>163</v>
      </c>
      <c r="B102" s="53" t="s">
        <v>164</v>
      </c>
      <c r="C102" s="34">
        <f>IF([13]С4.2!F8="да",[13]С4.2!D21,[13]С4.2!D15)</f>
        <v>0</v>
      </c>
    </row>
    <row r="103" spans="1:3" ht="68.25" x14ac:dyDescent="0.2">
      <c r="A103" s="60" t="s">
        <v>165</v>
      </c>
      <c r="B103" s="53" t="s">
        <v>166</v>
      </c>
      <c r="C103" s="33">
        <f>[13]С4!F22</f>
        <v>3.6112641666666665</v>
      </c>
    </row>
    <row r="104" spans="1:3" ht="30" x14ac:dyDescent="0.2">
      <c r="A104" s="60" t="s">
        <v>167</v>
      </c>
      <c r="B104" s="59" t="s">
        <v>245</v>
      </c>
      <c r="C104" s="33">
        <f>[13]С4!F23</f>
        <v>180</v>
      </c>
    </row>
    <row r="105" spans="1:3" ht="14.25" x14ac:dyDescent="0.2">
      <c r="A105" s="60" t="s">
        <v>169</v>
      </c>
      <c r="B105" s="53" t="s">
        <v>170</v>
      </c>
      <c r="C105" s="33">
        <f>[13]С4!F24</f>
        <v>8497.1999999999989</v>
      </c>
    </row>
    <row r="106" spans="1:3" ht="14.25" x14ac:dyDescent="0.2">
      <c r="A106" s="60" t="s">
        <v>171</v>
      </c>
      <c r="B106" s="59" t="s">
        <v>172</v>
      </c>
      <c r="C106" s="41">
        <f>[13]С4!F25</f>
        <v>0.35</v>
      </c>
    </row>
    <row r="107" spans="1:3" ht="17.25" x14ac:dyDescent="0.2">
      <c r="A107" s="60" t="s">
        <v>173</v>
      </c>
      <c r="B107" s="32" t="s">
        <v>174</v>
      </c>
      <c r="C107" s="33">
        <f>[13]С4!F26</f>
        <v>77.971800000000002</v>
      </c>
    </row>
    <row r="108" spans="1:3" ht="25.5" x14ac:dyDescent="0.2">
      <c r="A108" s="60" t="s">
        <v>175</v>
      </c>
      <c r="B108" s="53" t="s">
        <v>101</v>
      </c>
      <c r="C108" s="34">
        <f>[13]С4.3!E16</f>
        <v>0</v>
      </c>
    </row>
    <row r="109" spans="1:3" ht="25.5" x14ac:dyDescent="0.2">
      <c r="A109" s="60" t="s">
        <v>176</v>
      </c>
      <c r="B109" s="53" t="s">
        <v>177</v>
      </c>
      <c r="C109" s="33">
        <f>[13]С4.3!E17</f>
        <v>19.3</v>
      </c>
    </row>
    <row r="110" spans="1:3" ht="38.25" x14ac:dyDescent="0.2">
      <c r="A110" s="60" t="s">
        <v>178</v>
      </c>
      <c r="B110" s="53" t="s">
        <v>113</v>
      </c>
      <c r="C110" s="34">
        <f>[13]С4.3!E18</f>
        <v>0</v>
      </c>
    </row>
    <row r="111" spans="1:3" x14ac:dyDescent="0.2">
      <c r="A111" s="60" t="s">
        <v>179</v>
      </c>
      <c r="B111" s="53" t="s">
        <v>180</v>
      </c>
      <c r="C111" s="33">
        <f>[13]С4.3!E19</f>
        <v>50.424999999999997</v>
      </c>
    </row>
    <row r="112" spans="1:3" x14ac:dyDescent="0.2">
      <c r="A112" s="60" t="s">
        <v>181</v>
      </c>
      <c r="B112" s="59" t="s">
        <v>182</v>
      </c>
      <c r="C112" s="33">
        <f>[13]С4.3!E11</f>
        <v>1871</v>
      </c>
    </row>
    <row r="113" spans="1:3" x14ac:dyDescent="0.2">
      <c r="A113" s="60" t="s">
        <v>183</v>
      </c>
      <c r="B113" s="59" t="s">
        <v>184</v>
      </c>
      <c r="C113" s="52">
        <f>[13]С4.3!E12</f>
        <v>1636</v>
      </c>
    </row>
    <row r="114" spans="1:3" x14ac:dyDescent="0.2">
      <c r="A114" s="60" t="s">
        <v>185</v>
      </c>
      <c r="B114" s="59" t="s">
        <v>186</v>
      </c>
      <c r="C114" s="52">
        <f>[13]С4.3!E13</f>
        <v>204</v>
      </c>
    </row>
    <row r="115" spans="1:3" ht="30" x14ac:dyDescent="0.2">
      <c r="A115" s="60" t="s">
        <v>187</v>
      </c>
      <c r="B115" s="32" t="s">
        <v>246</v>
      </c>
      <c r="C115" s="33">
        <f>[13]С4!F27</f>
        <v>1351.1912129385403</v>
      </c>
    </row>
    <row r="116" spans="1:3" ht="25.5" x14ac:dyDescent="0.2">
      <c r="A116" s="60" t="s">
        <v>189</v>
      </c>
      <c r="B116" s="53" t="s">
        <v>247</v>
      </c>
      <c r="C116" s="33">
        <f>[13]С4!F28</f>
        <v>1037.7812695380494</v>
      </c>
    </row>
    <row r="117" spans="1:3" ht="42.75" x14ac:dyDescent="0.2">
      <c r="A117" s="60" t="s">
        <v>191</v>
      </c>
      <c r="B117" s="53" t="s">
        <v>192</v>
      </c>
      <c r="C117" s="33">
        <f>[13]С4!F29</f>
        <v>313.40994340049093</v>
      </c>
    </row>
    <row r="118" spans="1:3" ht="30" x14ac:dyDescent="0.2">
      <c r="A118" s="60" t="s">
        <v>193</v>
      </c>
      <c r="B118" s="40" t="s">
        <v>194</v>
      </c>
      <c r="C118" s="33">
        <f>[13]С4!F30</f>
        <v>2433.0679980737063</v>
      </c>
    </row>
    <row r="119" spans="1:3" ht="42.75" x14ac:dyDescent="0.2">
      <c r="A119" s="60" t="s">
        <v>248</v>
      </c>
      <c r="B119" s="90" t="s">
        <v>249</v>
      </c>
      <c r="C119" s="33">
        <f>[13]С4!F33</f>
        <v>1695.5272077185077</v>
      </c>
    </row>
    <row r="120" spans="1:3" ht="30" x14ac:dyDescent="0.2">
      <c r="A120" s="60" t="s">
        <v>250</v>
      </c>
      <c r="B120" s="123" t="s">
        <v>251</v>
      </c>
      <c r="C120" s="33">
        <f>[13]С4!F35</f>
        <v>17.040680999999999</v>
      </c>
    </row>
    <row r="121" spans="1:3" ht="14.25" x14ac:dyDescent="0.2">
      <c r="A121" s="60" t="s">
        <v>252</v>
      </c>
      <c r="B121" s="56" t="s">
        <v>253</v>
      </c>
      <c r="C121" s="33">
        <f>[13]С4!F36</f>
        <v>14319.9</v>
      </c>
    </row>
    <row r="122" spans="1:3" ht="28.5" thickBot="1" x14ac:dyDescent="0.25">
      <c r="A122" s="75" t="s">
        <v>254</v>
      </c>
      <c r="B122" s="124" t="s">
        <v>255</v>
      </c>
      <c r="C122" s="85">
        <f>[13]С4!F37</f>
        <v>1.19</v>
      </c>
    </row>
    <row r="123" spans="1:3" s="88" customFormat="1" ht="13.5" thickBot="1" x14ac:dyDescent="0.25">
      <c r="A123" s="48"/>
      <c r="B123" s="49"/>
      <c r="C123" s="14"/>
    </row>
    <row r="124" spans="1:3" s="66" customFormat="1" ht="30" customHeight="1" x14ac:dyDescent="0.2">
      <c r="A124" s="78" t="s">
        <v>195</v>
      </c>
      <c r="B124" s="146" t="s">
        <v>196</v>
      </c>
      <c r="C124" s="146"/>
    </row>
    <row r="125" spans="1:3" ht="16.5" thickBot="1" x14ac:dyDescent="0.25">
      <c r="A125" s="26" t="s">
        <v>197</v>
      </c>
      <c r="B125" s="87" t="s">
        <v>198</v>
      </c>
      <c r="C125" s="85">
        <f>[13]С5!F17</f>
        <v>0.02</v>
      </c>
    </row>
    <row r="126" spans="1:3" s="88" customFormat="1" ht="13.5" thickBot="1" x14ac:dyDescent="0.25">
      <c r="A126" s="48"/>
      <c r="B126" s="49"/>
      <c r="C126" s="14"/>
    </row>
    <row r="127" spans="1:3" ht="42.75" customHeight="1" x14ac:dyDescent="0.2">
      <c r="A127" s="86" t="s">
        <v>199</v>
      </c>
      <c r="B127" s="148" t="s">
        <v>200</v>
      </c>
      <c r="C127" s="148"/>
    </row>
    <row r="128" spans="1:3" ht="68.25" x14ac:dyDescent="0.2">
      <c r="A128" s="60" t="s">
        <v>201</v>
      </c>
      <c r="B128" s="89" t="s">
        <v>202</v>
      </c>
      <c r="C128" s="33" t="s">
        <v>256</v>
      </c>
    </row>
    <row r="129" spans="1:4" ht="42.75" hidden="1" x14ac:dyDescent="0.2">
      <c r="A129" s="60" t="s">
        <v>203</v>
      </c>
      <c r="B129" s="90" t="s">
        <v>204</v>
      </c>
      <c r="C129" s="91"/>
    </row>
    <row r="130" spans="1:4" ht="69" thickBot="1" x14ac:dyDescent="0.25">
      <c r="A130" s="75" t="s">
        <v>205</v>
      </c>
      <c r="B130" s="125" t="s">
        <v>206</v>
      </c>
      <c r="C130" s="126" t="s">
        <v>256</v>
      </c>
    </row>
    <row r="131" spans="1:4" ht="62.25" hidden="1" customHeight="1" x14ac:dyDescent="0.2">
      <c r="A131" s="127" t="s">
        <v>207</v>
      </c>
      <c r="B131" s="128" t="s">
        <v>208</v>
      </c>
      <c r="C131" s="129"/>
    </row>
    <row r="132" spans="1:4" ht="68.25" hidden="1" x14ac:dyDescent="0.2">
      <c r="A132" s="60" t="s">
        <v>209</v>
      </c>
      <c r="B132" s="90" t="s">
        <v>257</v>
      </c>
      <c r="C132" s="35"/>
    </row>
    <row r="133" spans="1:4" ht="69" hidden="1" thickBot="1" x14ac:dyDescent="0.25">
      <c r="A133" s="75" t="s">
        <v>211</v>
      </c>
      <c r="B133" s="93" t="s">
        <v>212</v>
      </c>
      <c r="C133" s="77"/>
    </row>
    <row r="134" spans="1:4" s="88" customFormat="1" ht="13.5" thickBot="1" x14ac:dyDescent="0.25">
      <c r="A134" s="48"/>
      <c r="B134" s="49"/>
      <c r="C134" s="14"/>
    </row>
    <row r="135" spans="1:4" ht="26.25" customHeight="1" x14ac:dyDescent="0.2">
      <c r="A135" s="86" t="s">
        <v>213</v>
      </c>
      <c r="B135" s="94" t="s">
        <v>214</v>
      </c>
      <c r="C135" s="95">
        <f>[13]С2!F37</f>
        <v>20.818139999999996</v>
      </c>
    </row>
    <row r="136" spans="1:4" ht="14.25" x14ac:dyDescent="0.2">
      <c r="A136" s="60" t="s">
        <v>215</v>
      </c>
      <c r="B136" s="130" t="s">
        <v>216</v>
      </c>
      <c r="C136" s="33">
        <f>[13]С2!F38</f>
        <v>7</v>
      </c>
    </row>
    <row r="137" spans="1:4" ht="17.25" x14ac:dyDescent="0.2">
      <c r="A137" s="60" t="s">
        <v>217</v>
      </c>
      <c r="B137" s="130" t="s">
        <v>218</v>
      </c>
      <c r="C137" s="33">
        <f>[13]С2!F40</f>
        <v>0.97</v>
      </c>
    </row>
    <row r="138" spans="1:4" ht="15" thickBot="1" x14ac:dyDescent="0.25">
      <c r="A138" s="75" t="s">
        <v>219</v>
      </c>
      <c r="B138" s="131" t="s">
        <v>220</v>
      </c>
      <c r="C138" s="47">
        <f>[13]С2!F42</f>
        <v>0.35</v>
      </c>
    </row>
    <row r="139" spans="1:4" s="88" customFormat="1" ht="13.5" thickBot="1" x14ac:dyDescent="0.25">
      <c r="A139" s="48"/>
      <c r="B139" s="49"/>
      <c r="C139" s="14"/>
    </row>
    <row r="140" spans="1:4" ht="30" x14ac:dyDescent="0.2">
      <c r="A140" s="86" t="s">
        <v>221</v>
      </c>
      <c r="B140" s="96" t="s">
        <v>258</v>
      </c>
      <c r="C140" s="132">
        <f>[13]С2!F35</f>
        <v>1.3822747209000001</v>
      </c>
      <c r="D140" s="88"/>
    </row>
    <row r="141" spans="1:4" ht="22.7" customHeight="1" thickBot="1" x14ac:dyDescent="0.25">
      <c r="A141" s="75" t="s">
        <v>223</v>
      </c>
      <c r="B141" s="145" t="s">
        <v>224</v>
      </c>
      <c r="C141" s="145"/>
      <c r="D141" s="88"/>
    </row>
    <row r="142" spans="1:4" ht="13.5" thickBot="1" x14ac:dyDescent="0.25">
      <c r="A142" s="99"/>
      <c r="B142" s="133" t="s">
        <v>0</v>
      </c>
      <c r="C142" s="134"/>
      <c r="D142" s="88"/>
    </row>
    <row r="143" spans="1:4" x14ac:dyDescent="0.2">
      <c r="A143" s="99"/>
      <c r="B143" s="135">
        <v>2020</v>
      </c>
      <c r="C143" s="136">
        <f>[13]С2.5!$E$11</f>
        <v>-2.9000000000000026E-2</v>
      </c>
      <c r="D143" s="88"/>
    </row>
    <row r="144" spans="1:4" x14ac:dyDescent="0.2">
      <c r="A144" s="99"/>
      <c r="B144" s="106">
        <f>B143+1</f>
        <v>2021</v>
      </c>
      <c r="C144" s="137">
        <f>[13]С2.5!$F$11</f>
        <v>0.245</v>
      </c>
      <c r="D144" s="88"/>
    </row>
    <row r="145" spans="1:4" x14ac:dyDescent="0.2">
      <c r="A145" s="99"/>
      <c r="B145" s="106">
        <f t="shared" ref="B145:B208" si="0">B144+1</f>
        <v>2022</v>
      </c>
      <c r="C145" s="137">
        <f>[13]С2.5!$G$11</f>
        <v>0.121</v>
      </c>
      <c r="D145" s="88"/>
    </row>
    <row r="146" spans="1:4" ht="13.5" thickBot="1" x14ac:dyDescent="0.25">
      <c r="A146" s="99"/>
      <c r="B146" s="108">
        <f t="shared" si="0"/>
        <v>2023</v>
      </c>
      <c r="C146" s="138">
        <f>[13]С2.5!$H$11</f>
        <v>0.02</v>
      </c>
      <c r="D146" s="88"/>
    </row>
    <row r="147" spans="1:4" hidden="1" x14ac:dyDescent="0.2">
      <c r="A147" s="99"/>
      <c r="B147" s="139">
        <f t="shared" si="0"/>
        <v>2024</v>
      </c>
      <c r="C147" s="140">
        <f>[13]С2.5!$I$11</f>
        <v>-2.93E-2</v>
      </c>
      <c r="D147" s="88"/>
    </row>
    <row r="148" spans="1:4" hidden="1" x14ac:dyDescent="0.2">
      <c r="A148" s="99"/>
      <c r="B148" s="106">
        <f t="shared" si="0"/>
        <v>2025</v>
      </c>
      <c r="C148" s="137">
        <f>[13]С2.5!$J$11</f>
        <v>0.21215960863291</v>
      </c>
      <c r="D148" s="88"/>
    </row>
    <row r="149" spans="1:4" hidden="1" x14ac:dyDescent="0.2">
      <c r="A149" s="99"/>
      <c r="B149" s="106">
        <f t="shared" si="0"/>
        <v>2026</v>
      </c>
      <c r="C149" s="137">
        <f>[13]С2.5!$K$11</f>
        <v>3.5813361771260002E-2</v>
      </c>
      <c r="D149" s="88"/>
    </row>
    <row r="150" spans="1:4" hidden="1" x14ac:dyDescent="0.2">
      <c r="A150" s="99"/>
      <c r="B150" s="106">
        <f t="shared" si="0"/>
        <v>2027</v>
      </c>
      <c r="C150" s="137">
        <f>[13]С2.5!$L$11</f>
        <v>3.2682303599220003E-2</v>
      </c>
      <c r="D150" s="88"/>
    </row>
    <row r="151" spans="1:4" hidden="1" x14ac:dyDescent="0.2">
      <c r="A151" s="99"/>
      <c r="B151" s="106">
        <f t="shared" si="0"/>
        <v>2028</v>
      </c>
      <c r="C151" s="137">
        <f>[13]С2.5!$M$11</f>
        <v>0</v>
      </c>
      <c r="D151" s="88"/>
    </row>
    <row r="152" spans="1:4" hidden="1" x14ac:dyDescent="0.2">
      <c r="A152" s="99"/>
      <c r="B152" s="106">
        <f t="shared" si="0"/>
        <v>2029</v>
      </c>
      <c r="C152" s="137">
        <f>[13]С2.5!$N$11</f>
        <v>0</v>
      </c>
      <c r="D152" s="88"/>
    </row>
    <row r="153" spans="1:4" hidden="1" x14ac:dyDescent="0.2">
      <c r="A153" s="99"/>
      <c r="B153" s="106">
        <f t="shared" si="0"/>
        <v>2030</v>
      </c>
      <c r="C153" s="137">
        <f>[13]С2.5!$O$11</f>
        <v>0</v>
      </c>
      <c r="D153" s="88"/>
    </row>
    <row r="154" spans="1:4" hidden="1" x14ac:dyDescent="0.2">
      <c r="A154" s="99"/>
      <c r="B154" s="106">
        <f t="shared" si="0"/>
        <v>2031</v>
      </c>
      <c r="C154" s="137">
        <f>[13]С2.5!$P$11</f>
        <v>0</v>
      </c>
      <c r="D154" s="88"/>
    </row>
    <row r="155" spans="1:4" hidden="1" x14ac:dyDescent="0.2">
      <c r="A155" s="88"/>
      <c r="B155" s="106">
        <f t="shared" si="0"/>
        <v>2032</v>
      </c>
      <c r="C155" s="137">
        <f>[13]С2.5!$Q$11</f>
        <v>0</v>
      </c>
      <c r="D155" s="88"/>
    </row>
    <row r="156" spans="1:4" hidden="1" x14ac:dyDescent="0.2">
      <c r="A156" s="88"/>
      <c r="B156" s="106">
        <f t="shared" si="0"/>
        <v>2033</v>
      </c>
      <c r="C156" s="137">
        <f>[13]С2.5!$R$11</f>
        <v>0</v>
      </c>
      <c r="D156" s="88"/>
    </row>
    <row r="157" spans="1:4" hidden="1" x14ac:dyDescent="0.2">
      <c r="B157" s="106">
        <f t="shared" si="0"/>
        <v>2034</v>
      </c>
      <c r="C157" s="137">
        <f>[13]С2.5!$S$11</f>
        <v>0</v>
      </c>
    </row>
    <row r="158" spans="1:4" hidden="1" x14ac:dyDescent="0.2">
      <c r="B158" s="106">
        <f t="shared" si="0"/>
        <v>2035</v>
      </c>
      <c r="C158" s="137">
        <f>[13]С2.5!$T$11</f>
        <v>0</v>
      </c>
    </row>
    <row r="159" spans="1:4" hidden="1" x14ac:dyDescent="0.2">
      <c r="B159" s="106">
        <f t="shared" si="0"/>
        <v>2036</v>
      </c>
      <c r="C159" s="137">
        <f>[13]С2.5!$U$11</f>
        <v>0</v>
      </c>
    </row>
    <row r="160" spans="1:4" hidden="1" x14ac:dyDescent="0.2">
      <c r="B160" s="106">
        <f t="shared" si="0"/>
        <v>2037</v>
      </c>
      <c r="C160" s="137">
        <f>[13]С2.5!$V$11</f>
        <v>0</v>
      </c>
    </row>
    <row r="161" spans="2:3" hidden="1" x14ac:dyDescent="0.2">
      <c r="B161" s="106">
        <f t="shared" si="0"/>
        <v>2038</v>
      </c>
      <c r="C161" s="137">
        <f>[13]С2.5!$W$11</f>
        <v>0</v>
      </c>
    </row>
    <row r="162" spans="2:3" hidden="1" x14ac:dyDescent="0.2">
      <c r="B162" s="106">
        <f t="shared" si="0"/>
        <v>2039</v>
      </c>
      <c r="C162" s="137">
        <f>[13]С2.5!$X$11</f>
        <v>0</v>
      </c>
    </row>
    <row r="163" spans="2:3" hidden="1" x14ac:dyDescent="0.2">
      <c r="B163" s="106">
        <f t="shared" si="0"/>
        <v>2040</v>
      </c>
      <c r="C163" s="137">
        <f>[13]С2.5!$Y$11</f>
        <v>0</v>
      </c>
    </row>
    <row r="164" spans="2:3" hidden="1" x14ac:dyDescent="0.2">
      <c r="B164" s="106">
        <f t="shared" si="0"/>
        <v>2041</v>
      </c>
      <c r="C164" s="137">
        <f>[13]С2.5!$Z$11</f>
        <v>0</v>
      </c>
    </row>
    <row r="165" spans="2:3" hidden="1" x14ac:dyDescent="0.2">
      <c r="B165" s="106">
        <f t="shared" si="0"/>
        <v>2042</v>
      </c>
      <c r="C165" s="137">
        <f>[13]С2.5!$AA$11</f>
        <v>0</v>
      </c>
    </row>
    <row r="166" spans="2:3" hidden="1" x14ac:dyDescent="0.2">
      <c r="B166" s="106">
        <f t="shared" si="0"/>
        <v>2043</v>
      </c>
      <c r="C166" s="137">
        <f>[13]С2.5!$AB$11</f>
        <v>0</v>
      </c>
    </row>
    <row r="167" spans="2:3" hidden="1" x14ac:dyDescent="0.2">
      <c r="B167" s="106">
        <f t="shared" si="0"/>
        <v>2044</v>
      </c>
      <c r="C167" s="137">
        <f>[13]С2.5!$AC$11</f>
        <v>0</v>
      </c>
    </row>
    <row r="168" spans="2:3" hidden="1" x14ac:dyDescent="0.2">
      <c r="B168" s="106">
        <f t="shared" si="0"/>
        <v>2045</v>
      </c>
      <c r="C168" s="137">
        <f>[13]С2.5!$AD$11</f>
        <v>0</v>
      </c>
    </row>
    <row r="169" spans="2:3" hidden="1" x14ac:dyDescent="0.2">
      <c r="B169" s="106">
        <f t="shared" si="0"/>
        <v>2046</v>
      </c>
      <c r="C169" s="137">
        <f>[13]С2.5!$AE$11</f>
        <v>0</v>
      </c>
    </row>
    <row r="170" spans="2:3" hidden="1" x14ac:dyDescent="0.2">
      <c r="B170" s="106">
        <f t="shared" si="0"/>
        <v>2047</v>
      </c>
      <c r="C170" s="137">
        <f>[13]С2.5!$AF$11</f>
        <v>0</v>
      </c>
    </row>
    <row r="171" spans="2:3" hidden="1" x14ac:dyDescent="0.2">
      <c r="B171" s="106">
        <f t="shared" si="0"/>
        <v>2048</v>
      </c>
      <c r="C171" s="137">
        <f>[13]С2.5!$AG$11</f>
        <v>0</v>
      </c>
    </row>
    <row r="172" spans="2:3" hidden="1" x14ac:dyDescent="0.2">
      <c r="B172" s="106">
        <f t="shared" si="0"/>
        <v>2049</v>
      </c>
      <c r="C172" s="137">
        <f>[13]С2.5!$AH$11</f>
        <v>0</v>
      </c>
    </row>
    <row r="173" spans="2:3" hidden="1" x14ac:dyDescent="0.2">
      <c r="B173" s="106">
        <f t="shared" si="0"/>
        <v>2050</v>
      </c>
      <c r="C173" s="137">
        <f>[13]С2.5!$AI$11</f>
        <v>0</v>
      </c>
    </row>
    <row r="174" spans="2:3" hidden="1" x14ac:dyDescent="0.2">
      <c r="B174" s="106">
        <f t="shared" si="0"/>
        <v>2051</v>
      </c>
      <c r="C174" s="137">
        <f>[13]С2.5!$AJ$11</f>
        <v>0</v>
      </c>
    </row>
    <row r="175" spans="2:3" hidden="1" x14ac:dyDescent="0.2">
      <c r="B175" s="106">
        <f t="shared" si="0"/>
        <v>2052</v>
      </c>
      <c r="C175" s="137">
        <f>[13]С2.5!$AK$11</f>
        <v>0</v>
      </c>
    </row>
    <row r="176" spans="2:3" hidden="1" x14ac:dyDescent="0.2">
      <c r="B176" s="106">
        <f t="shared" si="0"/>
        <v>2053</v>
      </c>
      <c r="C176" s="137">
        <f>[13]С2.5!$AL$11</f>
        <v>0</v>
      </c>
    </row>
    <row r="177" spans="2:3" hidden="1" x14ac:dyDescent="0.2">
      <c r="B177" s="106">
        <f t="shared" si="0"/>
        <v>2054</v>
      </c>
      <c r="C177" s="137">
        <f>[13]С2.5!$AM$11</f>
        <v>0</v>
      </c>
    </row>
    <row r="178" spans="2:3" hidden="1" x14ac:dyDescent="0.2">
      <c r="B178" s="106">
        <f t="shared" si="0"/>
        <v>2055</v>
      </c>
      <c r="C178" s="137">
        <f>[13]С2.5!$AN$11</f>
        <v>0</v>
      </c>
    </row>
    <row r="179" spans="2:3" hidden="1" x14ac:dyDescent="0.2">
      <c r="B179" s="106">
        <f t="shared" si="0"/>
        <v>2056</v>
      </c>
      <c r="C179" s="137">
        <f>[13]С2.5!$AO$11</f>
        <v>0</v>
      </c>
    </row>
    <row r="180" spans="2:3" hidden="1" x14ac:dyDescent="0.2">
      <c r="B180" s="106">
        <f t="shared" si="0"/>
        <v>2057</v>
      </c>
      <c r="C180" s="137">
        <f>[13]С2.5!$AP$11</f>
        <v>0</v>
      </c>
    </row>
    <row r="181" spans="2:3" hidden="1" x14ac:dyDescent="0.2">
      <c r="B181" s="106">
        <f t="shared" si="0"/>
        <v>2058</v>
      </c>
      <c r="C181" s="137">
        <f>[13]С2.5!$AQ$11</f>
        <v>0</v>
      </c>
    </row>
    <row r="182" spans="2:3" hidden="1" x14ac:dyDescent="0.2">
      <c r="B182" s="106">
        <f t="shared" si="0"/>
        <v>2059</v>
      </c>
      <c r="C182" s="137">
        <f>[13]С2.5!$AR$11</f>
        <v>0</v>
      </c>
    </row>
    <row r="183" spans="2:3" hidden="1" x14ac:dyDescent="0.2">
      <c r="B183" s="106">
        <f t="shared" si="0"/>
        <v>2060</v>
      </c>
      <c r="C183" s="137">
        <f>[13]С2.5!$AS$11</f>
        <v>0</v>
      </c>
    </row>
    <row r="184" spans="2:3" hidden="1" x14ac:dyDescent="0.2">
      <c r="B184" s="106">
        <f t="shared" si="0"/>
        <v>2061</v>
      </c>
      <c r="C184" s="137">
        <f>[13]С2.5!$AT$11</f>
        <v>0</v>
      </c>
    </row>
    <row r="185" spans="2:3" hidden="1" x14ac:dyDescent="0.2">
      <c r="B185" s="106">
        <f t="shared" si="0"/>
        <v>2062</v>
      </c>
      <c r="C185" s="137">
        <f>[13]С2.5!$AU$11</f>
        <v>0</v>
      </c>
    </row>
    <row r="186" spans="2:3" hidden="1" x14ac:dyDescent="0.2">
      <c r="B186" s="106">
        <f t="shared" si="0"/>
        <v>2063</v>
      </c>
      <c r="C186" s="137">
        <f>[13]С2.5!$AV$11</f>
        <v>0</v>
      </c>
    </row>
    <row r="187" spans="2:3" hidden="1" x14ac:dyDescent="0.2">
      <c r="B187" s="106">
        <f t="shared" si="0"/>
        <v>2064</v>
      </c>
      <c r="C187" s="137">
        <f>[13]С2.5!$AW$11</f>
        <v>0</v>
      </c>
    </row>
    <row r="188" spans="2:3" hidden="1" x14ac:dyDescent="0.2">
      <c r="B188" s="106">
        <f t="shared" si="0"/>
        <v>2065</v>
      </c>
      <c r="C188" s="137">
        <f>[13]С2.5!$AX$11</f>
        <v>0</v>
      </c>
    </row>
    <row r="189" spans="2:3" hidden="1" x14ac:dyDescent="0.2">
      <c r="B189" s="106">
        <f t="shared" si="0"/>
        <v>2066</v>
      </c>
      <c r="C189" s="137">
        <f>[13]С2.5!$AY$11</f>
        <v>0</v>
      </c>
    </row>
    <row r="190" spans="2:3" hidden="1" x14ac:dyDescent="0.2">
      <c r="B190" s="106">
        <f t="shared" si="0"/>
        <v>2067</v>
      </c>
      <c r="C190" s="137">
        <f>[13]С2.5!$AZ$11</f>
        <v>0</v>
      </c>
    </row>
    <row r="191" spans="2:3" hidden="1" x14ac:dyDescent="0.2">
      <c r="B191" s="106">
        <f t="shared" si="0"/>
        <v>2068</v>
      </c>
      <c r="C191" s="137">
        <f>[13]С2.5!$BA$11</f>
        <v>0</v>
      </c>
    </row>
    <row r="192" spans="2:3" hidden="1" x14ac:dyDescent="0.2">
      <c r="B192" s="106">
        <f t="shared" si="0"/>
        <v>2069</v>
      </c>
      <c r="C192" s="137">
        <f>[13]С2.5!$BB$11</f>
        <v>0</v>
      </c>
    </row>
    <row r="193" spans="2:3" hidden="1" x14ac:dyDescent="0.2">
      <c r="B193" s="106">
        <f t="shared" si="0"/>
        <v>2070</v>
      </c>
      <c r="C193" s="137">
        <f>[13]С2.5!$BC$11</f>
        <v>0</v>
      </c>
    </row>
    <row r="194" spans="2:3" hidden="1" x14ac:dyDescent="0.2">
      <c r="B194" s="106">
        <f t="shared" si="0"/>
        <v>2071</v>
      </c>
      <c r="C194" s="137">
        <f>[13]С2.5!$BD$11</f>
        <v>0</v>
      </c>
    </row>
    <row r="195" spans="2:3" hidden="1" x14ac:dyDescent="0.2">
      <c r="B195" s="106">
        <f t="shared" si="0"/>
        <v>2072</v>
      </c>
      <c r="C195" s="137">
        <f>[13]С2.5!$BE$11</f>
        <v>0</v>
      </c>
    </row>
    <row r="196" spans="2:3" hidden="1" x14ac:dyDescent="0.2">
      <c r="B196" s="106">
        <f t="shared" si="0"/>
        <v>2073</v>
      </c>
      <c r="C196" s="137">
        <f>[13]С2.5!$BF$11</f>
        <v>0</v>
      </c>
    </row>
    <row r="197" spans="2:3" hidden="1" x14ac:dyDescent="0.2">
      <c r="B197" s="106">
        <f t="shared" si="0"/>
        <v>2074</v>
      </c>
      <c r="C197" s="137">
        <f>[13]С2.5!$BG$11</f>
        <v>0</v>
      </c>
    </row>
    <row r="198" spans="2:3" hidden="1" x14ac:dyDescent="0.2">
      <c r="B198" s="106">
        <f t="shared" si="0"/>
        <v>2075</v>
      </c>
      <c r="C198" s="137">
        <f>[13]С2.5!$BH$11</f>
        <v>0</v>
      </c>
    </row>
    <row r="199" spans="2:3" hidden="1" x14ac:dyDescent="0.2">
      <c r="B199" s="106">
        <f t="shared" si="0"/>
        <v>2076</v>
      </c>
      <c r="C199" s="137">
        <f>[13]С2.5!$BI$11</f>
        <v>0</v>
      </c>
    </row>
    <row r="200" spans="2:3" hidden="1" x14ac:dyDescent="0.2">
      <c r="B200" s="106">
        <f t="shared" si="0"/>
        <v>2077</v>
      </c>
      <c r="C200" s="137">
        <f>[13]С2.5!$BJ$11</f>
        <v>0</v>
      </c>
    </row>
    <row r="201" spans="2:3" hidden="1" x14ac:dyDescent="0.2">
      <c r="B201" s="106">
        <f t="shared" si="0"/>
        <v>2078</v>
      </c>
      <c r="C201" s="137">
        <f>[13]С2.5!$BK$11</f>
        <v>0</v>
      </c>
    </row>
    <row r="202" spans="2:3" hidden="1" x14ac:dyDescent="0.2">
      <c r="B202" s="106">
        <f t="shared" si="0"/>
        <v>2079</v>
      </c>
      <c r="C202" s="137">
        <f>[13]С2.5!$BL$11</f>
        <v>0</v>
      </c>
    </row>
    <row r="203" spans="2:3" hidden="1" x14ac:dyDescent="0.2">
      <c r="B203" s="106">
        <f t="shared" si="0"/>
        <v>2080</v>
      </c>
      <c r="C203" s="137">
        <f>[13]С2.5!$BM$11</f>
        <v>0</v>
      </c>
    </row>
    <row r="204" spans="2:3" hidden="1" x14ac:dyDescent="0.2">
      <c r="B204" s="106">
        <f t="shared" si="0"/>
        <v>2081</v>
      </c>
      <c r="C204" s="137">
        <f>[13]С2.5!$BN$11</f>
        <v>0</v>
      </c>
    </row>
    <row r="205" spans="2:3" hidden="1" x14ac:dyDescent="0.2">
      <c r="B205" s="106">
        <f t="shared" si="0"/>
        <v>2082</v>
      </c>
      <c r="C205" s="137">
        <f>[13]С2.5!$BO$11</f>
        <v>0</v>
      </c>
    </row>
    <row r="206" spans="2:3" hidden="1" x14ac:dyDescent="0.2">
      <c r="B206" s="106">
        <f t="shared" si="0"/>
        <v>2083</v>
      </c>
      <c r="C206" s="137">
        <f>[13]С2.5!$BP$11</f>
        <v>0</v>
      </c>
    </row>
    <row r="207" spans="2:3" hidden="1" x14ac:dyDescent="0.2">
      <c r="B207" s="106">
        <f t="shared" si="0"/>
        <v>2084</v>
      </c>
      <c r="C207" s="137">
        <f>[13]С2.5!$BQ$11</f>
        <v>0</v>
      </c>
    </row>
    <row r="208" spans="2:3" hidden="1" x14ac:dyDescent="0.2">
      <c r="B208" s="106">
        <f t="shared" si="0"/>
        <v>2085</v>
      </c>
      <c r="C208" s="137">
        <f>[13]С2.5!$BR$11</f>
        <v>0</v>
      </c>
    </row>
    <row r="209" spans="2:3" hidden="1" x14ac:dyDescent="0.2">
      <c r="B209" s="106">
        <f t="shared" ref="B209:B223" si="1">B208+1</f>
        <v>2086</v>
      </c>
      <c r="C209" s="137">
        <f>[13]С2.5!$BS$11</f>
        <v>0</v>
      </c>
    </row>
    <row r="210" spans="2:3" hidden="1" x14ac:dyDescent="0.2">
      <c r="B210" s="106">
        <f t="shared" si="1"/>
        <v>2087</v>
      </c>
      <c r="C210" s="137">
        <f>[13]С2.5!$BT$11</f>
        <v>0</v>
      </c>
    </row>
    <row r="211" spans="2:3" hidden="1" x14ac:dyDescent="0.2">
      <c r="B211" s="106">
        <f t="shared" si="1"/>
        <v>2088</v>
      </c>
      <c r="C211" s="137">
        <f>[13]С2.5!$BU$11</f>
        <v>0</v>
      </c>
    </row>
    <row r="212" spans="2:3" hidden="1" x14ac:dyDescent="0.2">
      <c r="B212" s="106">
        <f t="shared" si="1"/>
        <v>2089</v>
      </c>
      <c r="C212" s="137">
        <f>[13]С2.5!$BV$11</f>
        <v>0</v>
      </c>
    </row>
    <row r="213" spans="2:3" hidden="1" x14ac:dyDescent="0.2">
      <c r="B213" s="106">
        <f t="shared" si="1"/>
        <v>2090</v>
      </c>
      <c r="C213" s="137">
        <f>[13]С2.5!$BW$11</f>
        <v>0</v>
      </c>
    </row>
    <row r="214" spans="2:3" hidden="1" x14ac:dyDescent="0.2">
      <c r="B214" s="106">
        <f t="shared" si="1"/>
        <v>2091</v>
      </c>
      <c r="C214" s="137">
        <f>[13]С2.5!$BX$11</f>
        <v>0</v>
      </c>
    </row>
    <row r="215" spans="2:3" hidden="1" x14ac:dyDescent="0.2">
      <c r="B215" s="106">
        <f t="shared" si="1"/>
        <v>2092</v>
      </c>
      <c r="C215" s="137">
        <f>[13]С2.5!$BY$11</f>
        <v>0</v>
      </c>
    </row>
    <row r="216" spans="2:3" hidden="1" x14ac:dyDescent="0.2">
      <c r="B216" s="106">
        <f t="shared" si="1"/>
        <v>2093</v>
      </c>
      <c r="C216" s="137">
        <f>[13]С2.5!$BZ$11</f>
        <v>0</v>
      </c>
    </row>
    <row r="217" spans="2:3" hidden="1" x14ac:dyDescent="0.2">
      <c r="B217" s="106">
        <f t="shared" si="1"/>
        <v>2094</v>
      </c>
      <c r="C217" s="137">
        <f>[13]С2.5!$CA$11</f>
        <v>0</v>
      </c>
    </row>
    <row r="218" spans="2:3" hidden="1" x14ac:dyDescent="0.2">
      <c r="B218" s="106">
        <f t="shared" si="1"/>
        <v>2095</v>
      </c>
      <c r="C218" s="137">
        <f>[13]С2.5!$CB$11</f>
        <v>0</v>
      </c>
    </row>
    <row r="219" spans="2:3" hidden="1" x14ac:dyDescent="0.2">
      <c r="B219" s="106">
        <f t="shared" si="1"/>
        <v>2096</v>
      </c>
      <c r="C219" s="137">
        <f>[13]С2.5!$CC$11</f>
        <v>0</v>
      </c>
    </row>
    <row r="220" spans="2:3" hidden="1" x14ac:dyDescent="0.2">
      <c r="B220" s="106">
        <f t="shared" si="1"/>
        <v>2097</v>
      </c>
      <c r="C220" s="137">
        <f>[13]С2.5!$CD$11</f>
        <v>0</v>
      </c>
    </row>
    <row r="221" spans="2:3" hidden="1" x14ac:dyDescent="0.2">
      <c r="B221" s="106">
        <f t="shared" si="1"/>
        <v>2098</v>
      </c>
      <c r="C221" s="137">
        <f>[13]С2.5!$CE$11</f>
        <v>0</v>
      </c>
    </row>
    <row r="222" spans="2:3" hidden="1" x14ac:dyDescent="0.2">
      <c r="B222" s="106">
        <f t="shared" si="1"/>
        <v>2099</v>
      </c>
      <c r="C222" s="137">
        <f>[13]С2.5!$CF$11</f>
        <v>0</v>
      </c>
    </row>
    <row r="223" spans="2:3" ht="13.5" hidden="1" thickBot="1" x14ac:dyDescent="0.25">
      <c r="B223" s="108">
        <f t="shared" si="1"/>
        <v>2100</v>
      </c>
      <c r="C223" s="138">
        <f>[13]С2.5!$CG$11</f>
        <v>0</v>
      </c>
    </row>
    <row r="224" spans="2:3" hidden="1" x14ac:dyDescent="0.2">
      <c r="C224" s="141"/>
    </row>
    <row r="225" spans="3:3" hidden="1" x14ac:dyDescent="0.2">
      <c r="C225" s="141"/>
    </row>
    <row r="226" spans="3:3" x14ac:dyDescent="0.2">
      <c r="C226" s="141"/>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289" r:id="rId4" name="Button 1">
              <controlPr defaultSize="0" print="0" autoFill="0" autoPict="0" macro="[13]!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13"/>
      <c r="B1" s="142" t="s">
        <v>225</v>
      </c>
      <c r="C1" s="142"/>
    </row>
    <row r="2" spans="1:3" x14ac:dyDescent="0.2">
      <c r="A2" s="1"/>
      <c r="B2" s="3" t="s">
        <v>2</v>
      </c>
      <c r="C2" s="4">
        <f ca="1">TODAY()</f>
        <v>44944</v>
      </c>
    </row>
    <row r="3" spans="1:3" x14ac:dyDescent="0.2">
      <c r="A3" s="1"/>
      <c r="B3" s="114" t="s">
        <v>3</v>
      </c>
    </row>
    <row r="4" spans="1:3" ht="25.5" x14ac:dyDescent="0.2">
      <c r="A4" s="7"/>
      <c r="B4" s="8" t="str">
        <f>[14]И1!D13</f>
        <v>Субъект Российской Федерации</v>
      </c>
      <c r="C4" s="9" t="str">
        <f>[14]И1!E13</f>
        <v>Новосибирская область</v>
      </c>
    </row>
    <row r="5" spans="1:3" ht="51" x14ac:dyDescent="0.2">
      <c r="A5" s="7"/>
      <c r="B5" s="8" t="str">
        <f>[14]И1!D14</f>
        <v>Тип муниципального образования (выберите из списка)</v>
      </c>
      <c r="C5" s="9" t="str">
        <f>[14]И1!E14</f>
        <v>поселок Шайдуровский, Ордынский муниципальный район</v>
      </c>
    </row>
    <row r="6" spans="1:3" x14ac:dyDescent="0.2">
      <c r="A6" s="7"/>
      <c r="B6" s="8" t="str">
        <f>IF([14]И1!E15="","",[14]И1!D15)</f>
        <v/>
      </c>
      <c r="C6" s="9" t="str">
        <f>IF([14]И1!E15="","",[14]И1!E15)</f>
        <v/>
      </c>
    </row>
    <row r="7" spans="1:3" x14ac:dyDescent="0.2">
      <c r="A7" s="7"/>
      <c r="B7" s="8" t="str">
        <f>[14]И1!D16</f>
        <v>Код ОКТМО</v>
      </c>
      <c r="C7" s="10" t="str">
        <f>[14]И1!E16</f>
        <v>50642440101</v>
      </c>
    </row>
    <row r="8" spans="1:3" x14ac:dyDescent="0.2">
      <c r="A8" s="7"/>
      <c r="B8" s="11" t="str">
        <f>[14]И1!D17</f>
        <v>Система теплоснабжения</v>
      </c>
      <c r="C8" s="12">
        <f>[14]И1!E17</f>
        <v>0</v>
      </c>
    </row>
    <row r="9" spans="1:3" x14ac:dyDescent="0.2">
      <c r="A9" s="7"/>
      <c r="B9" s="8" t="str">
        <f>[14]И1!D8</f>
        <v>Период регулирования (i)-й</v>
      </c>
      <c r="C9" s="13">
        <f>[14]И1!E8</f>
        <v>2023</v>
      </c>
    </row>
    <row r="10" spans="1:3" x14ac:dyDescent="0.2">
      <c r="A10" s="7"/>
      <c r="B10" s="8" t="str">
        <f>[14]И1!D9</f>
        <v>Период регулирования (i-1)-й</v>
      </c>
      <c r="C10" s="13">
        <f>[14]И1!E9</f>
        <v>2022</v>
      </c>
    </row>
    <row r="11" spans="1:3" x14ac:dyDescent="0.2">
      <c r="A11" s="7"/>
      <c r="B11" s="8" t="str">
        <f>[14]И1!D10</f>
        <v>Период регулирования (i-2)-й</v>
      </c>
      <c r="C11" s="13">
        <f>[14]И1!E10</f>
        <v>2021</v>
      </c>
    </row>
    <row r="12" spans="1:3" x14ac:dyDescent="0.2">
      <c r="A12" s="7"/>
      <c r="B12" s="8" t="str">
        <f>[14]И1!D11</f>
        <v>Базовый год (б)</v>
      </c>
      <c r="C12" s="13">
        <f>[14]И1!E11</f>
        <v>2019</v>
      </c>
    </row>
    <row r="13" spans="1:3" ht="38.25" x14ac:dyDescent="0.2">
      <c r="A13" s="7"/>
      <c r="B13" s="8" t="str">
        <f>[14]И1!D18</f>
        <v>Вид топлива, использование которого преобладает в системе теплоснабжения</v>
      </c>
      <c r="C13" s="14" t="str">
        <f>[14]С1.1!E13</f>
        <v>уголь (вид угля не указан в топливном балансе)</v>
      </c>
    </row>
    <row r="14" spans="1:3" ht="31.7" customHeight="1" thickBot="1" x14ac:dyDescent="0.25">
      <c r="A14" s="147" t="s">
        <v>4</v>
      </c>
      <c r="B14" s="147"/>
      <c r="C14" s="147"/>
    </row>
    <row r="15" spans="1:3" x14ac:dyDescent="0.2">
      <c r="A15" s="15" t="s">
        <v>5</v>
      </c>
      <c r="B15" s="115" t="s">
        <v>6</v>
      </c>
      <c r="C15" s="116" t="s">
        <v>7</v>
      </c>
    </row>
    <row r="16" spans="1:3" x14ac:dyDescent="0.2">
      <c r="A16" s="18">
        <v>1</v>
      </c>
      <c r="B16" s="117">
        <v>2</v>
      </c>
      <c r="C16" s="118">
        <v>3</v>
      </c>
    </row>
    <row r="17" spans="1:3" x14ac:dyDescent="0.2">
      <c r="A17" s="21">
        <v>1</v>
      </c>
      <c r="B17" s="22" t="s">
        <v>8</v>
      </c>
      <c r="C17" s="23">
        <f>SUM(C18:C22)</f>
        <v>4296.2873347150853</v>
      </c>
    </row>
    <row r="18" spans="1:3" ht="42.75" x14ac:dyDescent="0.2">
      <c r="A18" s="21" t="s">
        <v>9</v>
      </c>
      <c r="B18" s="24" t="s">
        <v>10</v>
      </c>
      <c r="C18" s="25">
        <f>[14]С1!F12</f>
        <v>1151.8021760407769</v>
      </c>
    </row>
    <row r="19" spans="1:3" ht="42.75" x14ac:dyDescent="0.2">
      <c r="A19" s="21" t="s">
        <v>11</v>
      </c>
      <c r="B19" s="24" t="s">
        <v>12</v>
      </c>
      <c r="C19" s="25">
        <f>[14]С2!F12</f>
        <v>2106.4563180122805</v>
      </c>
    </row>
    <row r="20" spans="1:3" ht="30" x14ac:dyDescent="0.2">
      <c r="A20" s="21" t="s">
        <v>13</v>
      </c>
      <c r="B20" s="24" t="s">
        <v>14</v>
      </c>
      <c r="C20" s="25">
        <f>[14]С3!F12</f>
        <v>503.94083842199643</v>
      </c>
    </row>
    <row r="21" spans="1:3" ht="42.75" x14ac:dyDescent="0.2">
      <c r="A21" s="21" t="s">
        <v>15</v>
      </c>
      <c r="B21" s="24" t="s">
        <v>226</v>
      </c>
      <c r="C21" s="25">
        <f>[14]С4!F12</f>
        <v>449.84707410836302</v>
      </c>
    </row>
    <row r="22" spans="1:3" ht="30" x14ac:dyDescent="0.2">
      <c r="A22" s="21" t="s">
        <v>17</v>
      </c>
      <c r="B22" s="24" t="s">
        <v>227</v>
      </c>
      <c r="C22" s="25">
        <f>[14]С5!F12</f>
        <v>84.24092813166834</v>
      </c>
    </row>
    <row r="23" spans="1:3" ht="43.5" thickBot="1" x14ac:dyDescent="0.25">
      <c r="A23" s="26" t="s">
        <v>19</v>
      </c>
      <c r="B23" s="98" t="s">
        <v>228</v>
      </c>
      <c r="C23" s="28" t="str">
        <f>[14]С6!F12</f>
        <v>-</v>
      </c>
    </row>
    <row r="24" spans="1:3" ht="13.5" thickBot="1" x14ac:dyDescent="0.25">
      <c r="A24" s="1"/>
    </row>
    <row r="25" spans="1:3" x14ac:dyDescent="0.2">
      <c r="A25" s="15" t="s">
        <v>5</v>
      </c>
      <c r="B25" s="29" t="s">
        <v>6</v>
      </c>
      <c r="C25" s="16" t="s">
        <v>7</v>
      </c>
    </row>
    <row r="26" spans="1:3" x14ac:dyDescent="0.2">
      <c r="A26" s="18">
        <v>1</v>
      </c>
      <c r="B26" s="30">
        <v>2</v>
      </c>
      <c r="C26" s="31">
        <v>3</v>
      </c>
    </row>
    <row r="27" spans="1:3" ht="30" customHeight="1" x14ac:dyDescent="0.2">
      <c r="A27" s="21">
        <v>1</v>
      </c>
      <c r="B27" s="144" t="s">
        <v>21</v>
      </c>
      <c r="C27" s="144"/>
    </row>
    <row r="28" spans="1:3" x14ac:dyDescent="0.2">
      <c r="A28" s="21" t="s">
        <v>9</v>
      </c>
      <c r="B28" s="32" t="s">
        <v>229</v>
      </c>
      <c r="C28" s="33">
        <f>[14]С1.1!E16</f>
        <v>5100</v>
      </c>
    </row>
    <row r="29" spans="1:3" ht="42.75" x14ac:dyDescent="0.2">
      <c r="A29" s="21" t="s">
        <v>11</v>
      </c>
      <c r="B29" s="32" t="s">
        <v>230</v>
      </c>
      <c r="C29" s="33">
        <f>[14]С1.1!E27</f>
        <v>3097.0035607289806</v>
      </c>
    </row>
    <row r="30" spans="1:3" ht="17.25" x14ac:dyDescent="0.2">
      <c r="A30" s="21" t="s">
        <v>13</v>
      </c>
      <c r="B30" s="32" t="s">
        <v>30</v>
      </c>
      <c r="C30" s="35">
        <f>[14]С1.1!E19</f>
        <v>0.59499999999999997</v>
      </c>
    </row>
    <row r="31" spans="1:3" ht="17.25" x14ac:dyDescent="0.2">
      <c r="A31" s="21" t="s">
        <v>15</v>
      </c>
      <c r="B31" s="32" t="s">
        <v>31</v>
      </c>
      <c r="C31" s="35">
        <f>[14]С1.1!E20</f>
        <v>-0.113</v>
      </c>
    </row>
    <row r="32" spans="1:3" ht="30" x14ac:dyDescent="0.2">
      <c r="A32" s="21" t="s">
        <v>17</v>
      </c>
      <c r="B32" s="36" t="s">
        <v>231</v>
      </c>
      <c r="C32" s="119">
        <f>[14]С1!F13</f>
        <v>176.4</v>
      </c>
    </row>
    <row r="33" spans="1:3" x14ac:dyDescent="0.2">
      <c r="A33" s="21" t="s">
        <v>19</v>
      </c>
      <c r="B33" s="36" t="s">
        <v>33</v>
      </c>
      <c r="C33" s="38">
        <f>[14]С1!F16</f>
        <v>7000</v>
      </c>
    </row>
    <row r="34" spans="1:3" ht="14.25" x14ac:dyDescent="0.2">
      <c r="A34" s="21" t="s">
        <v>34</v>
      </c>
      <c r="B34" s="40" t="s">
        <v>232</v>
      </c>
      <c r="C34" s="41">
        <f>[14]С1!F17</f>
        <v>0.72857142857142854</v>
      </c>
    </row>
    <row r="35" spans="1:3" ht="15.75" x14ac:dyDescent="0.2">
      <c r="A35" s="120" t="s">
        <v>36</v>
      </c>
      <c r="B35" s="43" t="s">
        <v>37</v>
      </c>
      <c r="C35" s="41">
        <f>[14]С1!F20</f>
        <v>21.588411179999994</v>
      </c>
    </row>
    <row r="36" spans="1:3" ht="15.75" x14ac:dyDescent="0.2">
      <c r="A36" s="120" t="s">
        <v>38</v>
      </c>
      <c r="B36" s="44" t="s">
        <v>39</v>
      </c>
      <c r="C36" s="41">
        <f>[14]С1!F21</f>
        <v>20.818139999999996</v>
      </c>
    </row>
    <row r="37" spans="1:3" ht="14.25" x14ac:dyDescent="0.2">
      <c r="A37" s="120" t="s">
        <v>40</v>
      </c>
      <c r="B37" s="45" t="s">
        <v>41</v>
      </c>
      <c r="C37" s="41">
        <f>[14]С1!F22</f>
        <v>1.0369999999999999</v>
      </c>
    </row>
    <row r="38" spans="1:3" ht="53.25" thickBot="1" x14ac:dyDescent="0.25">
      <c r="A38" s="26" t="s">
        <v>42</v>
      </c>
      <c r="B38" s="46" t="s">
        <v>43</v>
      </c>
      <c r="C38" s="47">
        <f>[14]С1!F23</f>
        <v>1.0469999999999999</v>
      </c>
    </row>
    <row r="39" spans="1:3" ht="13.5" thickBot="1" x14ac:dyDescent="0.25">
      <c r="A39" s="48"/>
      <c r="B39" s="121"/>
      <c r="C39" s="122"/>
    </row>
    <row r="40" spans="1:3" ht="30" customHeight="1" x14ac:dyDescent="0.2">
      <c r="A40" s="50" t="s">
        <v>44</v>
      </c>
      <c r="B40" s="146" t="s">
        <v>45</v>
      </c>
      <c r="C40" s="146"/>
    </row>
    <row r="41" spans="1:3" ht="25.5" x14ac:dyDescent="0.2">
      <c r="A41" s="21" t="s">
        <v>46</v>
      </c>
      <c r="B41" s="36" t="s">
        <v>47</v>
      </c>
      <c r="C41" s="51" t="str">
        <f>[14]С2.1!E12</f>
        <v>V</v>
      </c>
    </row>
    <row r="42" spans="1:3" ht="25.5" x14ac:dyDescent="0.2">
      <c r="A42" s="21" t="s">
        <v>48</v>
      </c>
      <c r="B42" s="32" t="s">
        <v>49</v>
      </c>
      <c r="C42" s="51" t="str">
        <f>[14]С2.1!E13</f>
        <v>6 и менее баллов</v>
      </c>
    </row>
    <row r="43" spans="1:3" ht="25.5" x14ac:dyDescent="0.2">
      <c r="A43" s="21" t="s">
        <v>50</v>
      </c>
      <c r="B43" s="32" t="s">
        <v>233</v>
      </c>
      <c r="C43" s="51" t="str">
        <f>[14]С2.1!E14</f>
        <v>от 200 до 500</v>
      </c>
    </row>
    <row r="44" spans="1:3" ht="25.5" x14ac:dyDescent="0.2">
      <c r="A44" s="21" t="s">
        <v>52</v>
      </c>
      <c r="B44" s="32" t="s">
        <v>234</v>
      </c>
      <c r="C44" s="52" t="str">
        <f>[14]С2.1!E15</f>
        <v>нет</v>
      </c>
    </row>
    <row r="45" spans="1:3" ht="30" x14ac:dyDescent="0.2">
      <c r="A45" s="21" t="s">
        <v>54</v>
      </c>
      <c r="B45" s="32" t="s">
        <v>55</v>
      </c>
      <c r="C45" s="33">
        <f>[14]С2!F18</f>
        <v>32402.627334033532</v>
      </c>
    </row>
    <row r="46" spans="1:3" ht="30" x14ac:dyDescent="0.2">
      <c r="A46" s="21" t="s">
        <v>56</v>
      </c>
      <c r="B46" s="53" t="s">
        <v>57</v>
      </c>
      <c r="C46" s="33">
        <f>IF([14]С2!F19&gt;0,[14]С2!F19,[14]С2!F20)</f>
        <v>23441.524932855718</v>
      </c>
    </row>
    <row r="47" spans="1:3" ht="25.5" x14ac:dyDescent="0.2">
      <c r="A47" s="21" t="s">
        <v>58</v>
      </c>
      <c r="B47" s="54" t="s">
        <v>59</v>
      </c>
      <c r="C47" s="33">
        <f>[14]С2.1!E19</f>
        <v>-37</v>
      </c>
    </row>
    <row r="48" spans="1:3" ht="25.5" x14ac:dyDescent="0.2">
      <c r="A48" s="21" t="s">
        <v>60</v>
      </c>
      <c r="B48" s="54" t="s">
        <v>61</v>
      </c>
      <c r="C48" s="33" t="str">
        <f>[14]С2.1!E22</f>
        <v>нет</v>
      </c>
    </row>
    <row r="49" spans="1:3" ht="38.25" x14ac:dyDescent="0.2">
      <c r="A49" s="21" t="s">
        <v>62</v>
      </c>
      <c r="B49" s="55" t="s">
        <v>63</v>
      </c>
      <c r="C49" s="33">
        <f>[14]С2.2!E10</f>
        <v>1287</v>
      </c>
    </row>
    <row r="50" spans="1:3" ht="25.5" x14ac:dyDescent="0.2">
      <c r="A50" s="21" t="s">
        <v>64</v>
      </c>
      <c r="B50" s="56" t="s">
        <v>65</v>
      </c>
      <c r="C50" s="33">
        <f>[14]С2.2!E12</f>
        <v>5.97</v>
      </c>
    </row>
    <row r="51" spans="1:3" ht="52.5" x14ac:dyDescent="0.2">
      <c r="A51" s="21" t="s">
        <v>66</v>
      </c>
      <c r="B51" s="57" t="s">
        <v>67</v>
      </c>
      <c r="C51" s="33">
        <f>[14]С2.2!E13</f>
        <v>1</v>
      </c>
    </row>
    <row r="52" spans="1:3" ht="27.75" x14ac:dyDescent="0.2">
      <c r="A52" s="21" t="s">
        <v>68</v>
      </c>
      <c r="B52" s="56" t="s">
        <v>69</v>
      </c>
      <c r="C52" s="33">
        <f>[14]С2.2!E14</f>
        <v>12104</v>
      </c>
    </row>
    <row r="53" spans="1:3" ht="25.5" x14ac:dyDescent="0.2">
      <c r="A53" s="21" t="s">
        <v>70</v>
      </c>
      <c r="B53" s="57" t="s">
        <v>71</v>
      </c>
      <c r="C53" s="35">
        <f>[14]С2.2!E15</f>
        <v>4.8000000000000001E-2</v>
      </c>
    </row>
    <row r="54" spans="1:3" x14ac:dyDescent="0.2">
      <c r="A54" s="21" t="s">
        <v>72</v>
      </c>
      <c r="B54" s="57" t="s">
        <v>73</v>
      </c>
      <c r="C54" s="33">
        <f>[14]С2.2!E16</f>
        <v>1</v>
      </c>
    </row>
    <row r="55" spans="1:3" ht="15.75" x14ac:dyDescent="0.2">
      <c r="A55" s="21" t="s">
        <v>74</v>
      </c>
      <c r="B55" s="59" t="s">
        <v>75</v>
      </c>
      <c r="C55" s="33">
        <f>[14]С2!F21</f>
        <v>1</v>
      </c>
    </row>
    <row r="56" spans="1:3" ht="30" x14ac:dyDescent="0.2">
      <c r="A56" s="60" t="s">
        <v>76</v>
      </c>
      <c r="B56" s="32" t="s">
        <v>235</v>
      </c>
      <c r="C56" s="33">
        <f>[14]С2!F13</f>
        <v>169640.22915965237</v>
      </c>
    </row>
    <row r="57" spans="1:3" ht="30" x14ac:dyDescent="0.2">
      <c r="A57" s="60" t="s">
        <v>78</v>
      </c>
      <c r="B57" s="59" t="s">
        <v>236</v>
      </c>
      <c r="C57" s="33">
        <f>[14]С2!F14</f>
        <v>113455</v>
      </c>
    </row>
    <row r="58" spans="1:3" ht="15.75" x14ac:dyDescent="0.2">
      <c r="A58" s="60" t="s">
        <v>80</v>
      </c>
      <c r="B58" s="61" t="s">
        <v>81</v>
      </c>
      <c r="C58" s="41">
        <f>[14]С2!F15</f>
        <v>1.071</v>
      </c>
    </row>
    <row r="59" spans="1:3" ht="15.75" x14ac:dyDescent="0.2">
      <c r="A59" s="60" t="s">
        <v>82</v>
      </c>
      <c r="B59" s="61" t="s">
        <v>83</v>
      </c>
      <c r="C59" s="41">
        <f>[14]С2!F16</f>
        <v>1</v>
      </c>
    </row>
    <row r="60" spans="1:3" ht="17.25" x14ac:dyDescent="0.2">
      <c r="A60" s="60" t="s">
        <v>84</v>
      </c>
      <c r="B60" s="59" t="s">
        <v>85</v>
      </c>
      <c r="C60" s="33">
        <f>[14]С2!F17</f>
        <v>1.01</v>
      </c>
    </row>
    <row r="61" spans="1:3" s="66" customFormat="1" ht="14.25" x14ac:dyDescent="0.2">
      <c r="A61" s="60" t="s">
        <v>86</v>
      </c>
      <c r="B61" s="64" t="s">
        <v>87</v>
      </c>
      <c r="C61" s="65">
        <f>[14]С2!F33</f>
        <v>10</v>
      </c>
    </row>
    <row r="62" spans="1:3" ht="30" x14ac:dyDescent="0.2">
      <c r="A62" s="60" t="s">
        <v>88</v>
      </c>
      <c r="B62" s="67" t="s">
        <v>89</v>
      </c>
      <c r="C62" s="33">
        <f>[14]С2!F26</f>
        <v>1168.8344047018327</v>
      </c>
    </row>
    <row r="63" spans="1:3" ht="17.25" x14ac:dyDescent="0.2">
      <c r="A63" s="60" t="s">
        <v>90</v>
      </c>
      <c r="B63" s="53" t="s">
        <v>237</v>
      </c>
      <c r="C63" s="33">
        <f>[14]С2!F27</f>
        <v>0.201330388</v>
      </c>
    </row>
    <row r="64" spans="1:3" ht="17.25" x14ac:dyDescent="0.2">
      <c r="A64" s="60" t="s">
        <v>92</v>
      </c>
      <c r="B64" s="59" t="s">
        <v>238</v>
      </c>
      <c r="C64" s="65">
        <f>[14]С2!F28</f>
        <v>4200</v>
      </c>
    </row>
    <row r="65" spans="1:3" ht="42.75" x14ac:dyDescent="0.2">
      <c r="A65" s="60" t="s">
        <v>94</v>
      </c>
      <c r="B65" s="32" t="s">
        <v>239</v>
      </c>
      <c r="C65" s="33">
        <f>[14]С2!F22</f>
        <v>35717.748653137714</v>
      </c>
    </row>
    <row r="66" spans="1:3" ht="30" x14ac:dyDescent="0.2">
      <c r="A66" s="60" t="s">
        <v>96</v>
      </c>
      <c r="B66" s="61" t="s">
        <v>240</v>
      </c>
      <c r="C66" s="33">
        <f>[14]С2!F23</f>
        <v>1990</v>
      </c>
    </row>
    <row r="67" spans="1:3" ht="30" x14ac:dyDescent="0.2">
      <c r="A67" s="60" t="s">
        <v>98</v>
      </c>
      <c r="B67" s="53" t="s">
        <v>99</v>
      </c>
      <c r="C67" s="33">
        <f>[14]С2.1!E27</f>
        <v>14307.876789999998</v>
      </c>
    </row>
    <row r="68" spans="1:3" ht="38.25" x14ac:dyDescent="0.2">
      <c r="A68" s="60" t="s">
        <v>100</v>
      </c>
      <c r="B68" s="68" t="s">
        <v>101</v>
      </c>
      <c r="C68" s="52">
        <f>[14]С2.3!E21</f>
        <v>0</v>
      </c>
    </row>
    <row r="69" spans="1:3" ht="25.5" x14ac:dyDescent="0.2">
      <c r="A69" s="60" t="s">
        <v>102</v>
      </c>
      <c r="B69" s="69" t="s">
        <v>103</v>
      </c>
      <c r="C69" s="70">
        <f>[14]С2.3!E11</f>
        <v>9.89</v>
      </c>
    </row>
    <row r="70" spans="1:3" ht="25.5" x14ac:dyDescent="0.2">
      <c r="A70" s="60" t="s">
        <v>104</v>
      </c>
      <c r="B70" s="69" t="s">
        <v>105</v>
      </c>
      <c r="C70" s="65">
        <f>[14]С2.3!E13</f>
        <v>300</v>
      </c>
    </row>
    <row r="71" spans="1:3" ht="25.5" x14ac:dyDescent="0.2">
      <c r="A71" s="60" t="s">
        <v>106</v>
      </c>
      <c r="B71" s="68" t="s">
        <v>107</v>
      </c>
      <c r="C71" s="71">
        <f>IF([14]С2.3!E22&gt;0,[14]С2.3!E22,[14]С2.3!E14)</f>
        <v>61211</v>
      </c>
    </row>
    <row r="72" spans="1:3" ht="38.25" x14ac:dyDescent="0.2">
      <c r="A72" s="60" t="s">
        <v>108</v>
      </c>
      <c r="B72" s="68" t="s">
        <v>109</v>
      </c>
      <c r="C72" s="71">
        <f>IF([14]С2.3!E23&gt;0,[14]С2.3!E23,[14]С2.3!E15)</f>
        <v>45675</v>
      </c>
    </row>
    <row r="73" spans="1:3" ht="30" x14ac:dyDescent="0.2">
      <c r="A73" s="60" t="s">
        <v>110</v>
      </c>
      <c r="B73" s="53" t="s">
        <v>111</v>
      </c>
      <c r="C73" s="33">
        <f>[14]С2.1!E28</f>
        <v>9541.9567200000001</v>
      </c>
    </row>
    <row r="74" spans="1:3" ht="38.25" x14ac:dyDescent="0.2">
      <c r="A74" s="60" t="s">
        <v>112</v>
      </c>
      <c r="B74" s="68" t="s">
        <v>113</v>
      </c>
      <c r="C74" s="52">
        <f>[14]С2.3!E25</f>
        <v>0</v>
      </c>
    </row>
    <row r="75" spans="1:3" ht="25.5" x14ac:dyDescent="0.2">
      <c r="A75" s="60" t="s">
        <v>114</v>
      </c>
      <c r="B75" s="69" t="s">
        <v>115</v>
      </c>
      <c r="C75" s="70">
        <f>[14]С2.3!E12</f>
        <v>0.56000000000000005</v>
      </c>
    </row>
    <row r="76" spans="1:3" ht="25.5" x14ac:dyDescent="0.2">
      <c r="A76" s="60" t="s">
        <v>116</v>
      </c>
      <c r="B76" s="69" t="s">
        <v>105</v>
      </c>
      <c r="C76" s="65">
        <f>[14]С2.3!E13</f>
        <v>300</v>
      </c>
    </row>
    <row r="77" spans="1:3" ht="25.5" x14ac:dyDescent="0.2">
      <c r="A77" s="60" t="s">
        <v>117</v>
      </c>
      <c r="B77" s="72" t="s">
        <v>118</v>
      </c>
      <c r="C77" s="71">
        <f>IF([14]С2.3!E26&gt;0,[14]С2.3!E26,[14]С2.3!E16)</f>
        <v>65637</v>
      </c>
    </row>
    <row r="78" spans="1:3" ht="38.25" x14ac:dyDescent="0.2">
      <c r="A78" s="60" t="s">
        <v>119</v>
      </c>
      <c r="B78" s="72" t="s">
        <v>120</v>
      </c>
      <c r="C78" s="71">
        <f>IF([14]С2.3!E27&gt;0,[14]С2.3!E27,[14]С2.3!E17)</f>
        <v>31684</v>
      </c>
    </row>
    <row r="79" spans="1:3" ht="17.25" x14ac:dyDescent="0.2">
      <c r="A79" s="60" t="s">
        <v>123</v>
      </c>
      <c r="B79" s="32" t="s">
        <v>124</v>
      </c>
      <c r="C79" s="35">
        <f>[14]С2!F29</f>
        <v>0.128978033685065</v>
      </c>
    </row>
    <row r="80" spans="1:3" ht="30" x14ac:dyDescent="0.2">
      <c r="A80" s="60" t="s">
        <v>125</v>
      </c>
      <c r="B80" s="53" t="s">
        <v>126</v>
      </c>
      <c r="C80" s="73">
        <f>[14]С2!F30</f>
        <v>0.11668498168498169</v>
      </c>
    </row>
    <row r="81" spans="1:3" ht="17.25" x14ac:dyDescent="0.2">
      <c r="A81" s="60" t="s">
        <v>127</v>
      </c>
      <c r="B81" s="74" t="s">
        <v>128</v>
      </c>
      <c r="C81" s="35">
        <f>[14]С2!F31</f>
        <v>0.13880000000000001</v>
      </c>
    </row>
    <row r="82" spans="1:3" s="66" customFormat="1" ht="18" thickBot="1" x14ac:dyDescent="0.25">
      <c r="A82" s="75" t="s">
        <v>129</v>
      </c>
      <c r="B82" s="76" t="s">
        <v>130</v>
      </c>
      <c r="C82" s="77">
        <f>[14]С2!F32</f>
        <v>0.12640000000000001</v>
      </c>
    </row>
    <row r="83" spans="1:3" ht="13.5" thickBot="1" x14ac:dyDescent="0.25">
      <c r="A83" s="48"/>
      <c r="B83" s="49"/>
      <c r="C83" s="14"/>
    </row>
    <row r="84" spans="1:3" s="66" customFormat="1" ht="30" customHeight="1" x14ac:dyDescent="0.2">
      <c r="A84" s="78" t="s">
        <v>131</v>
      </c>
      <c r="B84" s="146" t="s">
        <v>132</v>
      </c>
      <c r="C84" s="146"/>
    </row>
    <row r="85" spans="1:3" s="66" customFormat="1" ht="30" x14ac:dyDescent="0.2">
      <c r="A85" s="79" t="s">
        <v>133</v>
      </c>
      <c r="B85" s="32" t="s">
        <v>134</v>
      </c>
      <c r="C85" s="33">
        <f>[14]С3!F14</f>
        <v>7000.4488806189811</v>
      </c>
    </row>
    <row r="86" spans="1:3" s="66" customFormat="1" ht="42.75" x14ac:dyDescent="0.2">
      <c r="A86" s="79" t="s">
        <v>135</v>
      </c>
      <c r="B86" s="53" t="s">
        <v>136</v>
      </c>
      <c r="C86" s="80">
        <f>[14]С3!F15</f>
        <v>0.2</v>
      </c>
    </row>
    <row r="87" spans="1:3" s="66" customFormat="1" ht="14.25" x14ac:dyDescent="0.2">
      <c r="A87" s="79" t="s">
        <v>137</v>
      </c>
      <c r="B87" s="81" t="s">
        <v>138</v>
      </c>
      <c r="C87" s="65">
        <f>[14]С3!F18</f>
        <v>15</v>
      </c>
    </row>
    <row r="88" spans="1:3" s="66" customFormat="1" ht="17.25" x14ac:dyDescent="0.2">
      <c r="A88" s="79" t="s">
        <v>139</v>
      </c>
      <c r="B88" s="32" t="s">
        <v>140</v>
      </c>
      <c r="C88" s="33">
        <f>[14]С3!F19</f>
        <v>3487.1555421534131</v>
      </c>
    </row>
    <row r="89" spans="1:3" s="66" customFormat="1" ht="55.5" x14ac:dyDescent="0.2">
      <c r="A89" s="79" t="s">
        <v>141</v>
      </c>
      <c r="B89" s="53" t="s">
        <v>142</v>
      </c>
      <c r="C89" s="82">
        <f>[14]С3!F20</f>
        <v>2.1999999999999999E-2</v>
      </c>
    </row>
    <row r="90" spans="1:3" s="66" customFormat="1" ht="14.25" x14ac:dyDescent="0.2">
      <c r="A90" s="79" t="s">
        <v>143</v>
      </c>
      <c r="B90" s="59" t="s">
        <v>87</v>
      </c>
      <c r="C90" s="65">
        <f>[14]С3!F21</f>
        <v>10</v>
      </c>
    </row>
    <row r="91" spans="1:3" s="66" customFormat="1" ht="17.25" x14ac:dyDescent="0.2">
      <c r="A91" s="79" t="s">
        <v>144</v>
      </c>
      <c r="B91" s="32" t="s">
        <v>145</v>
      </c>
      <c r="C91" s="33">
        <f>[14]С3!F22</f>
        <v>3.5065032141054981</v>
      </c>
    </row>
    <row r="92" spans="1:3" s="66" customFormat="1" ht="55.5" x14ac:dyDescent="0.2">
      <c r="A92" s="79" t="s">
        <v>146</v>
      </c>
      <c r="B92" s="53" t="s">
        <v>147</v>
      </c>
      <c r="C92" s="82">
        <f>[14]С3!F23</f>
        <v>3.0000000000000001E-3</v>
      </c>
    </row>
    <row r="93" spans="1:3" s="66" customFormat="1" ht="27.75" thickBot="1" x14ac:dyDescent="0.25">
      <c r="A93" s="83" t="s">
        <v>148</v>
      </c>
      <c r="B93" s="84" t="s">
        <v>241</v>
      </c>
      <c r="C93" s="85">
        <f>[14]С3!F24</f>
        <v>1168.8344047018327</v>
      </c>
    </row>
    <row r="94" spans="1:3" ht="13.5" thickBot="1" x14ac:dyDescent="0.25">
      <c r="A94" s="48"/>
      <c r="B94" s="49"/>
      <c r="C94" s="14"/>
    </row>
    <row r="95" spans="1:3" ht="30" customHeight="1" x14ac:dyDescent="0.2">
      <c r="A95" s="86" t="s">
        <v>149</v>
      </c>
      <c r="B95" s="146" t="s">
        <v>150</v>
      </c>
      <c r="C95" s="146"/>
    </row>
    <row r="96" spans="1:3" ht="30" x14ac:dyDescent="0.2">
      <c r="A96" s="60" t="s">
        <v>151</v>
      </c>
      <c r="B96" s="32" t="s">
        <v>242</v>
      </c>
      <c r="C96" s="33">
        <f>[14]С4!F16</f>
        <v>1652.5</v>
      </c>
    </row>
    <row r="97" spans="1:3" ht="30" x14ac:dyDescent="0.2">
      <c r="A97" s="60" t="s">
        <v>153</v>
      </c>
      <c r="B97" s="59" t="s">
        <v>243</v>
      </c>
      <c r="C97" s="33">
        <f>[14]С4!F17</f>
        <v>73547</v>
      </c>
    </row>
    <row r="98" spans="1:3" ht="33" x14ac:dyDescent="0.2">
      <c r="A98" s="60" t="s">
        <v>155</v>
      </c>
      <c r="B98" s="59" t="s">
        <v>156</v>
      </c>
      <c r="C98" s="41">
        <f>[14]С4!F18</f>
        <v>0.02</v>
      </c>
    </row>
    <row r="99" spans="1:3" ht="30" x14ac:dyDescent="0.2">
      <c r="A99" s="60" t="s">
        <v>157</v>
      </c>
      <c r="B99" s="59" t="s">
        <v>158</v>
      </c>
      <c r="C99" s="33">
        <f>[14]С4!F19</f>
        <v>12104</v>
      </c>
    </row>
    <row r="100" spans="1:3" ht="28.5" x14ac:dyDescent="0.2">
      <c r="A100" s="60" t="s">
        <v>159</v>
      </c>
      <c r="B100" s="59" t="s">
        <v>160</v>
      </c>
      <c r="C100" s="41">
        <f>[14]С4!F20</f>
        <v>1.4999999999999999E-2</v>
      </c>
    </row>
    <row r="101" spans="1:3" ht="30" x14ac:dyDescent="0.2">
      <c r="A101" s="60" t="s">
        <v>161</v>
      </c>
      <c r="B101" s="32" t="s">
        <v>244</v>
      </c>
      <c r="C101" s="33">
        <f>[14]С4!F21</f>
        <v>1933.1949342509995</v>
      </c>
    </row>
    <row r="102" spans="1:3" ht="24" customHeight="1" x14ac:dyDescent="0.2">
      <c r="A102" s="60" t="s">
        <v>163</v>
      </c>
      <c r="B102" s="53" t="s">
        <v>164</v>
      </c>
      <c r="C102" s="34">
        <f>IF([14]С4.2!F8="да",[14]С4.2!D21,[14]С4.2!D15)</f>
        <v>0</v>
      </c>
    </row>
    <row r="103" spans="1:3" ht="68.25" x14ac:dyDescent="0.2">
      <c r="A103" s="60" t="s">
        <v>165</v>
      </c>
      <c r="B103" s="53" t="s">
        <v>166</v>
      </c>
      <c r="C103" s="33">
        <f>[14]С4!F22</f>
        <v>3.6112641666666665</v>
      </c>
    </row>
    <row r="104" spans="1:3" ht="30" x14ac:dyDescent="0.2">
      <c r="A104" s="60" t="s">
        <v>167</v>
      </c>
      <c r="B104" s="59" t="s">
        <v>245</v>
      </c>
      <c r="C104" s="33">
        <f>[14]С4!F23</f>
        <v>180</v>
      </c>
    </row>
    <row r="105" spans="1:3" ht="14.25" x14ac:dyDescent="0.2">
      <c r="A105" s="60" t="s">
        <v>169</v>
      </c>
      <c r="B105" s="53" t="s">
        <v>170</v>
      </c>
      <c r="C105" s="33">
        <f>[14]С4!F24</f>
        <v>8497.1999999999989</v>
      </c>
    </row>
    <row r="106" spans="1:3" ht="14.25" x14ac:dyDescent="0.2">
      <c r="A106" s="60" t="s">
        <v>171</v>
      </c>
      <c r="B106" s="59" t="s">
        <v>172</v>
      </c>
      <c r="C106" s="41">
        <f>[14]С4!F25</f>
        <v>0.35</v>
      </c>
    </row>
    <row r="107" spans="1:3" ht="17.25" x14ac:dyDescent="0.2">
      <c r="A107" s="60" t="s">
        <v>173</v>
      </c>
      <c r="B107" s="32" t="s">
        <v>174</v>
      </c>
      <c r="C107" s="33">
        <f>[14]С4!F26</f>
        <v>77.971800000000002</v>
      </c>
    </row>
    <row r="108" spans="1:3" ht="25.5" x14ac:dyDescent="0.2">
      <c r="A108" s="60" t="s">
        <v>175</v>
      </c>
      <c r="B108" s="53" t="s">
        <v>101</v>
      </c>
      <c r="C108" s="34">
        <f>[14]С4.3!E16</f>
        <v>0</v>
      </c>
    </row>
    <row r="109" spans="1:3" ht="25.5" x14ac:dyDescent="0.2">
      <c r="A109" s="60" t="s">
        <v>176</v>
      </c>
      <c r="B109" s="53" t="s">
        <v>177</v>
      </c>
      <c r="C109" s="33">
        <f>[14]С4.3!E17</f>
        <v>19.3</v>
      </c>
    </row>
    <row r="110" spans="1:3" ht="38.25" x14ac:dyDescent="0.2">
      <c r="A110" s="60" t="s">
        <v>178</v>
      </c>
      <c r="B110" s="53" t="s">
        <v>113</v>
      </c>
      <c r="C110" s="34">
        <f>[14]С4.3!E18</f>
        <v>0</v>
      </c>
    </row>
    <row r="111" spans="1:3" x14ac:dyDescent="0.2">
      <c r="A111" s="60" t="s">
        <v>179</v>
      </c>
      <c r="B111" s="53" t="s">
        <v>180</v>
      </c>
      <c r="C111" s="33">
        <f>[14]С4.3!E19</f>
        <v>50.424999999999997</v>
      </c>
    </row>
    <row r="112" spans="1:3" x14ac:dyDescent="0.2">
      <c r="A112" s="60" t="s">
        <v>181</v>
      </c>
      <c r="B112" s="59" t="s">
        <v>182</v>
      </c>
      <c r="C112" s="33">
        <f>[14]С4.3!E11</f>
        <v>1871</v>
      </c>
    </row>
    <row r="113" spans="1:3" x14ac:dyDescent="0.2">
      <c r="A113" s="60" t="s">
        <v>183</v>
      </c>
      <c r="B113" s="59" t="s">
        <v>184</v>
      </c>
      <c r="C113" s="52">
        <f>[14]С4.3!E12</f>
        <v>1636</v>
      </c>
    </row>
    <row r="114" spans="1:3" x14ac:dyDescent="0.2">
      <c r="A114" s="60" t="s">
        <v>185</v>
      </c>
      <c r="B114" s="59" t="s">
        <v>186</v>
      </c>
      <c r="C114" s="52">
        <f>[14]С4.3!E13</f>
        <v>204</v>
      </c>
    </row>
    <row r="115" spans="1:3" ht="30" x14ac:dyDescent="0.2">
      <c r="A115" s="60" t="s">
        <v>187</v>
      </c>
      <c r="B115" s="32" t="s">
        <v>246</v>
      </c>
      <c r="C115" s="33">
        <f>[14]С4!F27</f>
        <v>1351.1912129385403</v>
      </c>
    </row>
    <row r="116" spans="1:3" ht="25.5" x14ac:dyDescent="0.2">
      <c r="A116" s="60" t="s">
        <v>189</v>
      </c>
      <c r="B116" s="53" t="s">
        <v>247</v>
      </c>
      <c r="C116" s="33">
        <f>[14]С4!F28</f>
        <v>1037.7812695380494</v>
      </c>
    </row>
    <row r="117" spans="1:3" ht="42.75" x14ac:dyDescent="0.2">
      <c r="A117" s="60" t="s">
        <v>191</v>
      </c>
      <c r="B117" s="53" t="s">
        <v>192</v>
      </c>
      <c r="C117" s="33">
        <f>[14]С4!F29</f>
        <v>313.40994340049093</v>
      </c>
    </row>
    <row r="118" spans="1:3" ht="30" x14ac:dyDescent="0.2">
      <c r="A118" s="60" t="s">
        <v>193</v>
      </c>
      <c r="B118" s="40" t="s">
        <v>194</v>
      </c>
      <c r="C118" s="33">
        <f>[14]С4!F30</f>
        <v>2433.0679980737063</v>
      </c>
    </row>
    <row r="119" spans="1:3" ht="42.75" x14ac:dyDescent="0.2">
      <c r="A119" s="60" t="s">
        <v>248</v>
      </c>
      <c r="B119" s="90" t="s">
        <v>249</v>
      </c>
      <c r="C119" s="33">
        <f>[14]С4!F33</f>
        <v>1695.5272077185077</v>
      </c>
    </row>
    <row r="120" spans="1:3" ht="30" x14ac:dyDescent="0.2">
      <c r="A120" s="60" t="s">
        <v>250</v>
      </c>
      <c r="B120" s="123" t="s">
        <v>251</v>
      </c>
      <c r="C120" s="33">
        <f>[14]С4!F35</f>
        <v>17.040680999999999</v>
      </c>
    </row>
    <row r="121" spans="1:3" ht="14.25" x14ac:dyDescent="0.2">
      <c r="A121" s="60" t="s">
        <v>252</v>
      </c>
      <c r="B121" s="56" t="s">
        <v>253</v>
      </c>
      <c r="C121" s="33">
        <f>[14]С4!F36</f>
        <v>14319.9</v>
      </c>
    </row>
    <row r="122" spans="1:3" ht="28.5" thickBot="1" x14ac:dyDescent="0.25">
      <c r="A122" s="75" t="s">
        <v>254</v>
      </c>
      <c r="B122" s="124" t="s">
        <v>255</v>
      </c>
      <c r="C122" s="85">
        <f>[14]С4!F37</f>
        <v>1.19</v>
      </c>
    </row>
    <row r="123" spans="1:3" s="88" customFormat="1" ht="13.5" thickBot="1" x14ac:dyDescent="0.25">
      <c r="A123" s="48"/>
      <c r="B123" s="49"/>
      <c r="C123" s="14"/>
    </row>
    <row r="124" spans="1:3" s="66" customFormat="1" ht="30" customHeight="1" x14ac:dyDescent="0.2">
      <c r="A124" s="78" t="s">
        <v>195</v>
      </c>
      <c r="B124" s="146" t="s">
        <v>196</v>
      </c>
      <c r="C124" s="146"/>
    </row>
    <row r="125" spans="1:3" ht="16.5" thickBot="1" x14ac:dyDescent="0.25">
      <c r="A125" s="26" t="s">
        <v>197</v>
      </c>
      <c r="B125" s="87" t="s">
        <v>198</v>
      </c>
      <c r="C125" s="85">
        <f>[14]С5!F17</f>
        <v>0.02</v>
      </c>
    </row>
    <row r="126" spans="1:3" s="88" customFormat="1" ht="13.5" thickBot="1" x14ac:dyDescent="0.25">
      <c r="A126" s="48"/>
      <c r="B126" s="49"/>
      <c r="C126" s="14"/>
    </row>
    <row r="127" spans="1:3" ht="42.75" customHeight="1" x14ac:dyDescent="0.2">
      <c r="A127" s="86" t="s">
        <v>199</v>
      </c>
      <c r="B127" s="148" t="s">
        <v>200</v>
      </c>
      <c r="C127" s="148"/>
    </row>
    <row r="128" spans="1:3" ht="68.25" x14ac:dyDescent="0.2">
      <c r="A128" s="60" t="s">
        <v>201</v>
      </c>
      <c r="B128" s="89" t="s">
        <v>202</v>
      </c>
      <c r="C128" s="33" t="s">
        <v>256</v>
      </c>
    </row>
    <row r="129" spans="1:4" ht="42.75" hidden="1" x14ac:dyDescent="0.2">
      <c r="A129" s="60" t="s">
        <v>203</v>
      </c>
      <c r="B129" s="90" t="s">
        <v>204</v>
      </c>
      <c r="C129" s="91"/>
    </row>
    <row r="130" spans="1:4" ht="69" thickBot="1" x14ac:dyDescent="0.25">
      <c r="A130" s="75" t="s">
        <v>205</v>
      </c>
      <c r="B130" s="125" t="s">
        <v>206</v>
      </c>
      <c r="C130" s="126" t="s">
        <v>256</v>
      </c>
    </row>
    <row r="131" spans="1:4" ht="62.25" hidden="1" customHeight="1" x14ac:dyDescent="0.2">
      <c r="A131" s="127" t="s">
        <v>207</v>
      </c>
      <c r="B131" s="128" t="s">
        <v>208</v>
      </c>
      <c r="C131" s="129"/>
    </row>
    <row r="132" spans="1:4" ht="68.25" hidden="1" x14ac:dyDescent="0.2">
      <c r="A132" s="60" t="s">
        <v>209</v>
      </c>
      <c r="B132" s="90" t="s">
        <v>257</v>
      </c>
      <c r="C132" s="35"/>
    </row>
    <row r="133" spans="1:4" ht="69" hidden="1" thickBot="1" x14ac:dyDescent="0.25">
      <c r="A133" s="75" t="s">
        <v>211</v>
      </c>
      <c r="B133" s="93" t="s">
        <v>212</v>
      </c>
      <c r="C133" s="77"/>
    </row>
    <row r="134" spans="1:4" s="88" customFormat="1" ht="13.5" thickBot="1" x14ac:dyDescent="0.25">
      <c r="A134" s="48"/>
      <c r="B134" s="49"/>
      <c r="C134" s="14"/>
    </row>
    <row r="135" spans="1:4" ht="26.25" customHeight="1" x14ac:dyDescent="0.2">
      <c r="A135" s="86" t="s">
        <v>213</v>
      </c>
      <c r="B135" s="94" t="s">
        <v>214</v>
      </c>
      <c r="C135" s="95">
        <f>[14]С2!F37</f>
        <v>20.818139999999996</v>
      </c>
    </row>
    <row r="136" spans="1:4" ht="14.25" x14ac:dyDescent="0.2">
      <c r="A136" s="60" t="s">
        <v>215</v>
      </c>
      <c r="B136" s="130" t="s">
        <v>216</v>
      </c>
      <c r="C136" s="33">
        <f>[14]С2!F38</f>
        <v>7</v>
      </c>
    </row>
    <row r="137" spans="1:4" ht="17.25" x14ac:dyDescent="0.2">
      <c r="A137" s="60" t="s">
        <v>217</v>
      </c>
      <c r="B137" s="130" t="s">
        <v>218</v>
      </c>
      <c r="C137" s="33">
        <f>[14]С2!F40</f>
        <v>0.97</v>
      </c>
    </row>
    <row r="138" spans="1:4" ht="15" thickBot="1" x14ac:dyDescent="0.25">
      <c r="A138" s="75" t="s">
        <v>219</v>
      </c>
      <c r="B138" s="131" t="s">
        <v>220</v>
      </c>
      <c r="C138" s="47">
        <f>[14]С2!F42</f>
        <v>0.35</v>
      </c>
    </row>
    <row r="139" spans="1:4" s="88" customFormat="1" ht="13.5" thickBot="1" x14ac:dyDescent="0.25">
      <c r="A139" s="48"/>
      <c r="B139" s="49"/>
      <c r="C139" s="14"/>
    </row>
    <row r="140" spans="1:4" ht="30" x14ac:dyDescent="0.2">
      <c r="A140" s="86" t="s">
        <v>221</v>
      </c>
      <c r="B140" s="96" t="s">
        <v>258</v>
      </c>
      <c r="C140" s="132">
        <f>[14]С2!F35</f>
        <v>1.3822747209000001</v>
      </c>
      <c r="D140" s="88"/>
    </row>
    <row r="141" spans="1:4" ht="22.7" customHeight="1" thickBot="1" x14ac:dyDescent="0.25">
      <c r="A141" s="75" t="s">
        <v>223</v>
      </c>
      <c r="B141" s="145" t="s">
        <v>224</v>
      </c>
      <c r="C141" s="145"/>
      <c r="D141" s="88"/>
    </row>
    <row r="142" spans="1:4" ht="13.5" thickBot="1" x14ac:dyDescent="0.25">
      <c r="A142" s="99"/>
      <c r="B142" s="133" t="s">
        <v>0</v>
      </c>
      <c r="C142" s="134"/>
      <c r="D142" s="88"/>
    </row>
    <row r="143" spans="1:4" x14ac:dyDescent="0.2">
      <c r="A143" s="99"/>
      <c r="B143" s="135">
        <v>2020</v>
      </c>
      <c r="C143" s="136">
        <f>[14]С2.5!$E$11</f>
        <v>-2.9000000000000026E-2</v>
      </c>
      <c r="D143" s="88"/>
    </row>
    <row r="144" spans="1:4" x14ac:dyDescent="0.2">
      <c r="A144" s="99"/>
      <c r="B144" s="106">
        <f>B143+1</f>
        <v>2021</v>
      </c>
      <c r="C144" s="137">
        <f>[14]С2.5!$F$11</f>
        <v>0.245</v>
      </c>
      <c r="D144" s="88"/>
    </row>
    <row r="145" spans="1:4" x14ac:dyDescent="0.2">
      <c r="A145" s="99"/>
      <c r="B145" s="106">
        <f t="shared" ref="B145:B208" si="0">B144+1</f>
        <v>2022</v>
      </c>
      <c r="C145" s="137">
        <f>[14]С2.5!$G$11</f>
        <v>0.121</v>
      </c>
      <c r="D145" s="88"/>
    </row>
    <row r="146" spans="1:4" ht="13.5" thickBot="1" x14ac:dyDescent="0.25">
      <c r="A146" s="99"/>
      <c r="B146" s="108">
        <f t="shared" si="0"/>
        <v>2023</v>
      </c>
      <c r="C146" s="138">
        <f>[14]С2.5!$H$11</f>
        <v>0.02</v>
      </c>
      <c r="D146" s="88"/>
    </row>
    <row r="147" spans="1:4" hidden="1" x14ac:dyDescent="0.2">
      <c r="A147" s="99"/>
      <c r="B147" s="139">
        <f t="shared" si="0"/>
        <v>2024</v>
      </c>
      <c r="C147" s="140">
        <f>[14]С2.5!$I$11</f>
        <v>-2.93E-2</v>
      </c>
      <c r="D147" s="88"/>
    </row>
    <row r="148" spans="1:4" hidden="1" x14ac:dyDescent="0.2">
      <c r="A148" s="99"/>
      <c r="B148" s="106">
        <f t="shared" si="0"/>
        <v>2025</v>
      </c>
      <c r="C148" s="137">
        <f>[14]С2.5!$J$11</f>
        <v>0.21215960863291</v>
      </c>
      <c r="D148" s="88"/>
    </row>
    <row r="149" spans="1:4" hidden="1" x14ac:dyDescent="0.2">
      <c r="A149" s="99"/>
      <c r="B149" s="106">
        <f t="shared" si="0"/>
        <v>2026</v>
      </c>
      <c r="C149" s="137">
        <f>[14]С2.5!$K$11</f>
        <v>3.5813361771260002E-2</v>
      </c>
      <c r="D149" s="88"/>
    </row>
    <row r="150" spans="1:4" hidden="1" x14ac:dyDescent="0.2">
      <c r="A150" s="99"/>
      <c r="B150" s="106">
        <f t="shared" si="0"/>
        <v>2027</v>
      </c>
      <c r="C150" s="137">
        <f>[14]С2.5!$L$11</f>
        <v>3.2682303599220003E-2</v>
      </c>
      <c r="D150" s="88"/>
    </row>
    <row r="151" spans="1:4" hidden="1" x14ac:dyDescent="0.2">
      <c r="A151" s="99"/>
      <c r="B151" s="106">
        <f t="shared" si="0"/>
        <v>2028</v>
      </c>
      <c r="C151" s="137">
        <f>[14]С2.5!$M$11</f>
        <v>0</v>
      </c>
      <c r="D151" s="88"/>
    </row>
    <row r="152" spans="1:4" hidden="1" x14ac:dyDescent="0.2">
      <c r="A152" s="99"/>
      <c r="B152" s="106">
        <f t="shared" si="0"/>
        <v>2029</v>
      </c>
      <c r="C152" s="137">
        <f>[14]С2.5!$N$11</f>
        <v>0</v>
      </c>
      <c r="D152" s="88"/>
    </row>
    <row r="153" spans="1:4" hidden="1" x14ac:dyDescent="0.2">
      <c r="A153" s="99"/>
      <c r="B153" s="106">
        <f t="shared" si="0"/>
        <v>2030</v>
      </c>
      <c r="C153" s="137">
        <f>[14]С2.5!$O$11</f>
        <v>0</v>
      </c>
      <c r="D153" s="88"/>
    </row>
    <row r="154" spans="1:4" hidden="1" x14ac:dyDescent="0.2">
      <c r="A154" s="99"/>
      <c r="B154" s="106">
        <f t="shared" si="0"/>
        <v>2031</v>
      </c>
      <c r="C154" s="137">
        <f>[14]С2.5!$P$11</f>
        <v>0</v>
      </c>
      <c r="D154" s="88"/>
    </row>
    <row r="155" spans="1:4" hidden="1" x14ac:dyDescent="0.2">
      <c r="A155" s="88"/>
      <c r="B155" s="106">
        <f t="shared" si="0"/>
        <v>2032</v>
      </c>
      <c r="C155" s="137">
        <f>[14]С2.5!$Q$11</f>
        <v>0</v>
      </c>
      <c r="D155" s="88"/>
    </row>
    <row r="156" spans="1:4" hidden="1" x14ac:dyDescent="0.2">
      <c r="A156" s="88"/>
      <c r="B156" s="106">
        <f t="shared" si="0"/>
        <v>2033</v>
      </c>
      <c r="C156" s="137">
        <f>[14]С2.5!$R$11</f>
        <v>0</v>
      </c>
      <c r="D156" s="88"/>
    </row>
    <row r="157" spans="1:4" hidden="1" x14ac:dyDescent="0.2">
      <c r="B157" s="106">
        <f t="shared" si="0"/>
        <v>2034</v>
      </c>
      <c r="C157" s="137">
        <f>[14]С2.5!$S$11</f>
        <v>0</v>
      </c>
    </row>
    <row r="158" spans="1:4" hidden="1" x14ac:dyDescent="0.2">
      <c r="B158" s="106">
        <f t="shared" si="0"/>
        <v>2035</v>
      </c>
      <c r="C158" s="137">
        <f>[14]С2.5!$T$11</f>
        <v>0</v>
      </c>
    </row>
    <row r="159" spans="1:4" hidden="1" x14ac:dyDescent="0.2">
      <c r="B159" s="106">
        <f t="shared" si="0"/>
        <v>2036</v>
      </c>
      <c r="C159" s="137">
        <f>[14]С2.5!$U$11</f>
        <v>0</v>
      </c>
    </row>
    <row r="160" spans="1:4" hidden="1" x14ac:dyDescent="0.2">
      <c r="B160" s="106">
        <f t="shared" si="0"/>
        <v>2037</v>
      </c>
      <c r="C160" s="137">
        <f>[14]С2.5!$V$11</f>
        <v>0</v>
      </c>
    </row>
    <row r="161" spans="2:3" hidden="1" x14ac:dyDescent="0.2">
      <c r="B161" s="106">
        <f t="shared" si="0"/>
        <v>2038</v>
      </c>
      <c r="C161" s="137">
        <f>[14]С2.5!$W$11</f>
        <v>0</v>
      </c>
    </row>
    <row r="162" spans="2:3" hidden="1" x14ac:dyDescent="0.2">
      <c r="B162" s="106">
        <f t="shared" si="0"/>
        <v>2039</v>
      </c>
      <c r="C162" s="137">
        <f>[14]С2.5!$X$11</f>
        <v>0</v>
      </c>
    </row>
    <row r="163" spans="2:3" hidden="1" x14ac:dyDescent="0.2">
      <c r="B163" s="106">
        <f t="shared" si="0"/>
        <v>2040</v>
      </c>
      <c r="C163" s="137">
        <f>[14]С2.5!$Y$11</f>
        <v>0</v>
      </c>
    </row>
    <row r="164" spans="2:3" hidden="1" x14ac:dyDescent="0.2">
      <c r="B164" s="106">
        <f t="shared" si="0"/>
        <v>2041</v>
      </c>
      <c r="C164" s="137">
        <f>[14]С2.5!$Z$11</f>
        <v>0</v>
      </c>
    </row>
    <row r="165" spans="2:3" hidden="1" x14ac:dyDescent="0.2">
      <c r="B165" s="106">
        <f t="shared" si="0"/>
        <v>2042</v>
      </c>
      <c r="C165" s="137">
        <f>[14]С2.5!$AA$11</f>
        <v>0</v>
      </c>
    </row>
    <row r="166" spans="2:3" hidden="1" x14ac:dyDescent="0.2">
      <c r="B166" s="106">
        <f t="shared" si="0"/>
        <v>2043</v>
      </c>
      <c r="C166" s="137">
        <f>[14]С2.5!$AB$11</f>
        <v>0</v>
      </c>
    </row>
    <row r="167" spans="2:3" hidden="1" x14ac:dyDescent="0.2">
      <c r="B167" s="106">
        <f t="shared" si="0"/>
        <v>2044</v>
      </c>
      <c r="C167" s="137">
        <f>[14]С2.5!$AC$11</f>
        <v>0</v>
      </c>
    </row>
    <row r="168" spans="2:3" hidden="1" x14ac:dyDescent="0.2">
      <c r="B168" s="106">
        <f t="shared" si="0"/>
        <v>2045</v>
      </c>
      <c r="C168" s="137">
        <f>[14]С2.5!$AD$11</f>
        <v>0</v>
      </c>
    </row>
    <row r="169" spans="2:3" hidden="1" x14ac:dyDescent="0.2">
      <c r="B169" s="106">
        <f t="shared" si="0"/>
        <v>2046</v>
      </c>
      <c r="C169" s="137">
        <f>[14]С2.5!$AE$11</f>
        <v>0</v>
      </c>
    </row>
    <row r="170" spans="2:3" hidden="1" x14ac:dyDescent="0.2">
      <c r="B170" s="106">
        <f t="shared" si="0"/>
        <v>2047</v>
      </c>
      <c r="C170" s="137">
        <f>[14]С2.5!$AF$11</f>
        <v>0</v>
      </c>
    </row>
    <row r="171" spans="2:3" hidden="1" x14ac:dyDescent="0.2">
      <c r="B171" s="106">
        <f t="shared" si="0"/>
        <v>2048</v>
      </c>
      <c r="C171" s="137">
        <f>[14]С2.5!$AG$11</f>
        <v>0</v>
      </c>
    </row>
    <row r="172" spans="2:3" hidden="1" x14ac:dyDescent="0.2">
      <c r="B172" s="106">
        <f t="shared" si="0"/>
        <v>2049</v>
      </c>
      <c r="C172" s="137">
        <f>[14]С2.5!$AH$11</f>
        <v>0</v>
      </c>
    </row>
    <row r="173" spans="2:3" hidden="1" x14ac:dyDescent="0.2">
      <c r="B173" s="106">
        <f t="shared" si="0"/>
        <v>2050</v>
      </c>
      <c r="C173" s="137">
        <f>[14]С2.5!$AI$11</f>
        <v>0</v>
      </c>
    </row>
    <row r="174" spans="2:3" hidden="1" x14ac:dyDescent="0.2">
      <c r="B174" s="106">
        <f t="shared" si="0"/>
        <v>2051</v>
      </c>
      <c r="C174" s="137">
        <f>[14]С2.5!$AJ$11</f>
        <v>0</v>
      </c>
    </row>
    <row r="175" spans="2:3" hidden="1" x14ac:dyDescent="0.2">
      <c r="B175" s="106">
        <f t="shared" si="0"/>
        <v>2052</v>
      </c>
      <c r="C175" s="137">
        <f>[14]С2.5!$AK$11</f>
        <v>0</v>
      </c>
    </row>
    <row r="176" spans="2:3" hidden="1" x14ac:dyDescent="0.2">
      <c r="B176" s="106">
        <f t="shared" si="0"/>
        <v>2053</v>
      </c>
      <c r="C176" s="137">
        <f>[14]С2.5!$AL$11</f>
        <v>0</v>
      </c>
    </row>
    <row r="177" spans="2:3" hidden="1" x14ac:dyDescent="0.2">
      <c r="B177" s="106">
        <f t="shared" si="0"/>
        <v>2054</v>
      </c>
      <c r="C177" s="137">
        <f>[14]С2.5!$AM$11</f>
        <v>0</v>
      </c>
    </row>
    <row r="178" spans="2:3" hidden="1" x14ac:dyDescent="0.2">
      <c r="B178" s="106">
        <f t="shared" si="0"/>
        <v>2055</v>
      </c>
      <c r="C178" s="137">
        <f>[14]С2.5!$AN$11</f>
        <v>0</v>
      </c>
    </row>
    <row r="179" spans="2:3" hidden="1" x14ac:dyDescent="0.2">
      <c r="B179" s="106">
        <f t="shared" si="0"/>
        <v>2056</v>
      </c>
      <c r="C179" s="137">
        <f>[14]С2.5!$AO$11</f>
        <v>0</v>
      </c>
    </row>
    <row r="180" spans="2:3" hidden="1" x14ac:dyDescent="0.2">
      <c r="B180" s="106">
        <f t="shared" si="0"/>
        <v>2057</v>
      </c>
      <c r="C180" s="137">
        <f>[14]С2.5!$AP$11</f>
        <v>0</v>
      </c>
    </row>
    <row r="181" spans="2:3" hidden="1" x14ac:dyDescent="0.2">
      <c r="B181" s="106">
        <f t="shared" si="0"/>
        <v>2058</v>
      </c>
      <c r="C181" s="137">
        <f>[14]С2.5!$AQ$11</f>
        <v>0</v>
      </c>
    </row>
    <row r="182" spans="2:3" hidden="1" x14ac:dyDescent="0.2">
      <c r="B182" s="106">
        <f t="shared" si="0"/>
        <v>2059</v>
      </c>
      <c r="C182" s="137">
        <f>[14]С2.5!$AR$11</f>
        <v>0</v>
      </c>
    </row>
    <row r="183" spans="2:3" hidden="1" x14ac:dyDescent="0.2">
      <c r="B183" s="106">
        <f t="shared" si="0"/>
        <v>2060</v>
      </c>
      <c r="C183" s="137">
        <f>[14]С2.5!$AS$11</f>
        <v>0</v>
      </c>
    </row>
    <row r="184" spans="2:3" hidden="1" x14ac:dyDescent="0.2">
      <c r="B184" s="106">
        <f t="shared" si="0"/>
        <v>2061</v>
      </c>
      <c r="C184" s="137">
        <f>[14]С2.5!$AT$11</f>
        <v>0</v>
      </c>
    </row>
    <row r="185" spans="2:3" hidden="1" x14ac:dyDescent="0.2">
      <c r="B185" s="106">
        <f t="shared" si="0"/>
        <v>2062</v>
      </c>
      <c r="C185" s="137">
        <f>[14]С2.5!$AU$11</f>
        <v>0</v>
      </c>
    </row>
    <row r="186" spans="2:3" hidden="1" x14ac:dyDescent="0.2">
      <c r="B186" s="106">
        <f t="shared" si="0"/>
        <v>2063</v>
      </c>
      <c r="C186" s="137">
        <f>[14]С2.5!$AV$11</f>
        <v>0</v>
      </c>
    </row>
    <row r="187" spans="2:3" hidden="1" x14ac:dyDescent="0.2">
      <c r="B187" s="106">
        <f t="shared" si="0"/>
        <v>2064</v>
      </c>
      <c r="C187" s="137">
        <f>[14]С2.5!$AW$11</f>
        <v>0</v>
      </c>
    </row>
    <row r="188" spans="2:3" hidden="1" x14ac:dyDescent="0.2">
      <c r="B188" s="106">
        <f t="shared" si="0"/>
        <v>2065</v>
      </c>
      <c r="C188" s="137">
        <f>[14]С2.5!$AX$11</f>
        <v>0</v>
      </c>
    </row>
    <row r="189" spans="2:3" hidden="1" x14ac:dyDescent="0.2">
      <c r="B189" s="106">
        <f t="shared" si="0"/>
        <v>2066</v>
      </c>
      <c r="C189" s="137">
        <f>[14]С2.5!$AY$11</f>
        <v>0</v>
      </c>
    </row>
    <row r="190" spans="2:3" hidden="1" x14ac:dyDescent="0.2">
      <c r="B190" s="106">
        <f t="shared" si="0"/>
        <v>2067</v>
      </c>
      <c r="C190" s="137">
        <f>[14]С2.5!$AZ$11</f>
        <v>0</v>
      </c>
    </row>
    <row r="191" spans="2:3" hidden="1" x14ac:dyDescent="0.2">
      <c r="B191" s="106">
        <f t="shared" si="0"/>
        <v>2068</v>
      </c>
      <c r="C191" s="137">
        <f>[14]С2.5!$BA$11</f>
        <v>0</v>
      </c>
    </row>
    <row r="192" spans="2:3" hidden="1" x14ac:dyDescent="0.2">
      <c r="B192" s="106">
        <f t="shared" si="0"/>
        <v>2069</v>
      </c>
      <c r="C192" s="137">
        <f>[14]С2.5!$BB$11</f>
        <v>0</v>
      </c>
    </row>
    <row r="193" spans="2:3" hidden="1" x14ac:dyDescent="0.2">
      <c r="B193" s="106">
        <f t="shared" si="0"/>
        <v>2070</v>
      </c>
      <c r="C193" s="137">
        <f>[14]С2.5!$BC$11</f>
        <v>0</v>
      </c>
    </row>
    <row r="194" spans="2:3" hidden="1" x14ac:dyDescent="0.2">
      <c r="B194" s="106">
        <f t="shared" si="0"/>
        <v>2071</v>
      </c>
      <c r="C194" s="137">
        <f>[14]С2.5!$BD$11</f>
        <v>0</v>
      </c>
    </row>
    <row r="195" spans="2:3" hidden="1" x14ac:dyDescent="0.2">
      <c r="B195" s="106">
        <f t="shared" si="0"/>
        <v>2072</v>
      </c>
      <c r="C195" s="137">
        <f>[14]С2.5!$BE$11</f>
        <v>0</v>
      </c>
    </row>
    <row r="196" spans="2:3" hidden="1" x14ac:dyDescent="0.2">
      <c r="B196" s="106">
        <f t="shared" si="0"/>
        <v>2073</v>
      </c>
      <c r="C196" s="137">
        <f>[14]С2.5!$BF$11</f>
        <v>0</v>
      </c>
    </row>
    <row r="197" spans="2:3" hidden="1" x14ac:dyDescent="0.2">
      <c r="B197" s="106">
        <f t="shared" si="0"/>
        <v>2074</v>
      </c>
      <c r="C197" s="137">
        <f>[14]С2.5!$BG$11</f>
        <v>0</v>
      </c>
    </row>
    <row r="198" spans="2:3" hidden="1" x14ac:dyDescent="0.2">
      <c r="B198" s="106">
        <f t="shared" si="0"/>
        <v>2075</v>
      </c>
      <c r="C198" s="137">
        <f>[14]С2.5!$BH$11</f>
        <v>0</v>
      </c>
    </row>
    <row r="199" spans="2:3" hidden="1" x14ac:dyDescent="0.2">
      <c r="B199" s="106">
        <f t="shared" si="0"/>
        <v>2076</v>
      </c>
      <c r="C199" s="137">
        <f>[14]С2.5!$BI$11</f>
        <v>0</v>
      </c>
    </row>
    <row r="200" spans="2:3" hidden="1" x14ac:dyDescent="0.2">
      <c r="B200" s="106">
        <f t="shared" si="0"/>
        <v>2077</v>
      </c>
      <c r="C200" s="137">
        <f>[14]С2.5!$BJ$11</f>
        <v>0</v>
      </c>
    </row>
    <row r="201" spans="2:3" hidden="1" x14ac:dyDescent="0.2">
      <c r="B201" s="106">
        <f t="shared" si="0"/>
        <v>2078</v>
      </c>
      <c r="C201" s="137">
        <f>[14]С2.5!$BK$11</f>
        <v>0</v>
      </c>
    </row>
    <row r="202" spans="2:3" hidden="1" x14ac:dyDescent="0.2">
      <c r="B202" s="106">
        <f t="shared" si="0"/>
        <v>2079</v>
      </c>
      <c r="C202" s="137">
        <f>[14]С2.5!$BL$11</f>
        <v>0</v>
      </c>
    </row>
    <row r="203" spans="2:3" hidden="1" x14ac:dyDescent="0.2">
      <c r="B203" s="106">
        <f t="shared" si="0"/>
        <v>2080</v>
      </c>
      <c r="C203" s="137">
        <f>[14]С2.5!$BM$11</f>
        <v>0</v>
      </c>
    </row>
    <row r="204" spans="2:3" hidden="1" x14ac:dyDescent="0.2">
      <c r="B204" s="106">
        <f t="shared" si="0"/>
        <v>2081</v>
      </c>
      <c r="C204" s="137">
        <f>[14]С2.5!$BN$11</f>
        <v>0</v>
      </c>
    </row>
    <row r="205" spans="2:3" hidden="1" x14ac:dyDescent="0.2">
      <c r="B205" s="106">
        <f t="shared" si="0"/>
        <v>2082</v>
      </c>
      <c r="C205" s="137">
        <f>[14]С2.5!$BO$11</f>
        <v>0</v>
      </c>
    </row>
    <row r="206" spans="2:3" hidden="1" x14ac:dyDescent="0.2">
      <c r="B206" s="106">
        <f t="shared" si="0"/>
        <v>2083</v>
      </c>
      <c r="C206" s="137">
        <f>[14]С2.5!$BP$11</f>
        <v>0</v>
      </c>
    </row>
    <row r="207" spans="2:3" hidden="1" x14ac:dyDescent="0.2">
      <c r="B207" s="106">
        <f t="shared" si="0"/>
        <v>2084</v>
      </c>
      <c r="C207" s="137">
        <f>[14]С2.5!$BQ$11</f>
        <v>0</v>
      </c>
    </row>
    <row r="208" spans="2:3" hidden="1" x14ac:dyDescent="0.2">
      <c r="B208" s="106">
        <f t="shared" si="0"/>
        <v>2085</v>
      </c>
      <c r="C208" s="137">
        <f>[14]С2.5!$BR$11</f>
        <v>0</v>
      </c>
    </row>
    <row r="209" spans="2:3" hidden="1" x14ac:dyDescent="0.2">
      <c r="B209" s="106">
        <f t="shared" ref="B209:B223" si="1">B208+1</f>
        <v>2086</v>
      </c>
      <c r="C209" s="137">
        <f>[14]С2.5!$BS$11</f>
        <v>0</v>
      </c>
    </row>
    <row r="210" spans="2:3" hidden="1" x14ac:dyDescent="0.2">
      <c r="B210" s="106">
        <f t="shared" si="1"/>
        <v>2087</v>
      </c>
      <c r="C210" s="137">
        <f>[14]С2.5!$BT$11</f>
        <v>0</v>
      </c>
    </row>
    <row r="211" spans="2:3" hidden="1" x14ac:dyDescent="0.2">
      <c r="B211" s="106">
        <f t="shared" si="1"/>
        <v>2088</v>
      </c>
      <c r="C211" s="137">
        <f>[14]С2.5!$BU$11</f>
        <v>0</v>
      </c>
    </row>
    <row r="212" spans="2:3" hidden="1" x14ac:dyDescent="0.2">
      <c r="B212" s="106">
        <f t="shared" si="1"/>
        <v>2089</v>
      </c>
      <c r="C212" s="137">
        <f>[14]С2.5!$BV$11</f>
        <v>0</v>
      </c>
    </row>
    <row r="213" spans="2:3" hidden="1" x14ac:dyDescent="0.2">
      <c r="B213" s="106">
        <f t="shared" si="1"/>
        <v>2090</v>
      </c>
      <c r="C213" s="137">
        <f>[14]С2.5!$BW$11</f>
        <v>0</v>
      </c>
    </row>
    <row r="214" spans="2:3" hidden="1" x14ac:dyDescent="0.2">
      <c r="B214" s="106">
        <f t="shared" si="1"/>
        <v>2091</v>
      </c>
      <c r="C214" s="137">
        <f>[14]С2.5!$BX$11</f>
        <v>0</v>
      </c>
    </row>
    <row r="215" spans="2:3" hidden="1" x14ac:dyDescent="0.2">
      <c r="B215" s="106">
        <f t="shared" si="1"/>
        <v>2092</v>
      </c>
      <c r="C215" s="137">
        <f>[14]С2.5!$BY$11</f>
        <v>0</v>
      </c>
    </row>
    <row r="216" spans="2:3" hidden="1" x14ac:dyDescent="0.2">
      <c r="B216" s="106">
        <f t="shared" si="1"/>
        <v>2093</v>
      </c>
      <c r="C216" s="137">
        <f>[14]С2.5!$BZ$11</f>
        <v>0</v>
      </c>
    </row>
    <row r="217" spans="2:3" hidden="1" x14ac:dyDescent="0.2">
      <c r="B217" s="106">
        <f t="shared" si="1"/>
        <v>2094</v>
      </c>
      <c r="C217" s="137">
        <f>[14]С2.5!$CA$11</f>
        <v>0</v>
      </c>
    </row>
    <row r="218" spans="2:3" hidden="1" x14ac:dyDescent="0.2">
      <c r="B218" s="106">
        <f t="shared" si="1"/>
        <v>2095</v>
      </c>
      <c r="C218" s="137">
        <f>[14]С2.5!$CB$11</f>
        <v>0</v>
      </c>
    </row>
    <row r="219" spans="2:3" hidden="1" x14ac:dyDescent="0.2">
      <c r="B219" s="106">
        <f t="shared" si="1"/>
        <v>2096</v>
      </c>
      <c r="C219" s="137">
        <f>[14]С2.5!$CC$11</f>
        <v>0</v>
      </c>
    </row>
    <row r="220" spans="2:3" hidden="1" x14ac:dyDescent="0.2">
      <c r="B220" s="106">
        <f t="shared" si="1"/>
        <v>2097</v>
      </c>
      <c r="C220" s="137">
        <f>[14]С2.5!$CD$11</f>
        <v>0</v>
      </c>
    </row>
    <row r="221" spans="2:3" hidden="1" x14ac:dyDescent="0.2">
      <c r="B221" s="106">
        <f t="shared" si="1"/>
        <v>2098</v>
      </c>
      <c r="C221" s="137">
        <f>[14]С2.5!$CE$11</f>
        <v>0</v>
      </c>
    </row>
    <row r="222" spans="2:3" hidden="1" x14ac:dyDescent="0.2">
      <c r="B222" s="106">
        <f t="shared" si="1"/>
        <v>2099</v>
      </c>
      <c r="C222" s="137">
        <f>[14]С2.5!$CF$11</f>
        <v>0</v>
      </c>
    </row>
    <row r="223" spans="2:3" ht="13.5" hidden="1" thickBot="1" x14ac:dyDescent="0.25">
      <c r="B223" s="108">
        <f t="shared" si="1"/>
        <v>2100</v>
      </c>
      <c r="C223" s="138">
        <f>[14]С2.5!$CG$11</f>
        <v>0</v>
      </c>
    </row>
    <row r="224" spans="2:3" hidden="1" x14ac:dyDescent="0.2">
      <c r="C224" s="141"/>
    </row>
    <row r="225" spans="3:3" hidden="1" x14ac:dyDescent="0.2">
      <c r="C225" s="141"/>
    </row>
    <row r="226" spans="3:3" x14ac:dyDescent="0.2">
      <c r="C226" s="141"/>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3313" r:id="rId4" name="Button 1">
              <controlPr defaultSize="0" print="0" autoFill="0" autoPict="0" macro="[14]!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13"/>
      <c r="B1" s="142" t="s">
        <v>225</v>
      </c>
      <c r="C1" s="142"/>
    </row>
    <row r="2" spans="1:3" x14ac:dyDescent="0.2">
      <c r="A2" s="1"/>
      <c r="B2" s="3" t="s">
        <v>2</v>
      </c>
      <c r="C2" s="4">
        <f ca="1">TODAY()</f>
        <v>44944</v>
      </c>
    </row>
    <row r="3" spans="1:3" x14ac:dyDescent="0.2">
      <c r="A3" s="1"/>
      <c r="B3" s="114" t="s">
        <v>3</v>
      </c>
    </row>
    <row r="4" spans="1:3" ht="25.5" x14ac:dyDescent="0.2">
      <c r="A4" s="7"/>
      <c r="B4" s="8" t="str">
        <f>[15]И1!D13</f>
        <v>Субъект Российской Федерации</v>
      </c>
      <c r="C4" s="9" t="str">
        <f>[15]И1!E13</f>
        <v>Новосибирская область</v>
      </c>
    </row>
    <row r="5" spans="1:3" ht="38.25" x14ac:dyDescent="0.2">
      <c r="A5" s="7"/>
      <c r="B5" s="8" t="str">
        <f>[15]И1!D14</f>
        <v>Тип муниципального образования (выберите из списка)</v>
      </c>
      <c r="C5" s="9" t="str">
        <f>[15]И1!E14</f>
        <v>поселок Петровский, Ордынский муниципальный район</v>
      </c>
    </row>
    <row r="6" spans="1:3" x14ac:dyDescent="0.2">
      <c r="A6" s="7"/>
      <c r="B6" s="8" t="str">
        <f>IF([15]И1!E15="","",[15]И1!D15)</f>
        <v/>
      </c>
      <c r="C6" s="9" t="str">
        <f>IF([15]И1!E15="","",[15]И1!E15)</f>
        <v/>
      </c>
    </row>
    <row r="7" spans="1:3" x14ac:dyDescent="0.2">
      <c r="A7" s="7"/>
      <c r="B7" s="8" t="str">
        <f>[15]И1!D16</f>
        <v>Код ОКТМО</v>
      </c>
      <c r="C7" s="10" t="str">
        <f>[15]И1!E16</f>
        <v>50642419101</v>
      </c>
    </row>
    <row r="8" spans="1:3" x14ac:dyDescent="0.2">
      <c r="A8" s="7"/>
      <c r="B8" s="11" t="str">
        <f>[15]И1!D17</f>
        <v>Система теплоснабжения</v>
      </c>
      <c r="C8" s="12">
        <f>[15]И1!E17</f>
        <v>0</v>
      </c>
    </row>
    <row r="9" spans="1:3" x14ac:dyDescent="0.2">
      <c r="A9" s="7"/>
      <c r="B9" s="8" t="str">
        <f>[15]И1!D8</f>
        <v>Период регулирования (i)-й</v>
      </c>
      <c r="C9" s="13">
        <f>[15]И1!E8</f>
        <v>2023</v>
      </c>
    </row>
    <row r="10" spans="1:3" x14ac:dyDescent="0.2">
      <c r="A10" s="7"/>
      <c r="B10" s="8" t="str">
        <f>[15]И1!D9</f>
        <v>Период регулирования (i-1)-й</v>
      </c>
      <c r="C10" s="13">
        <f>[15]И1!E9</f>
        <v>2022</v>
      </c>
    </row>
    <row r="11" spans="1:3" x14ac:dyDescent="0.2">
      <c r="A11" s="7"/>
      <c r="B11" s="8" t="str">
        <f>[15]И1!D10</f>
        <v>Период регулирования (i-2)-й</v>
      </c>
      <c r="C11" s="13">
        <f>[15]И1!E10</f>
        <v>2021</v>
      </c>
    </row>
    <row r="12" spans="1:3" x14ac:dyDescent="0.2">
      <c r="A12" s="7"/>
      <c r="B12" s="8" t="str">
        <f>[15]И1!D11</f>
        <v>Базовый год (б)</v>
      </c>
      <c r="C12" s="13">
        <f>[15]И1!E11</f>
        <v>2019</v>
      </c>
    </row>
    <row r="13" spans="1:3" ht="38.25" x14ac:dyDescent="0.2">
      <c r="A13" s="7"/>
      <c r="B13" s="8" t="str">
        <f>[15]И1!D18</f>
        <v>Вид топлива, использование которого преобладает в системе теплоснабжения</v>
      </c>
      <c r="C13" s="14" t="str">
        <f>[15]С1.1!E13</f>
        <v>уголь (вид угля не указан в топливном балансе)</v>
      </c>
    </row>
    <row r="14" spans="1:3" ht="31.7" customHeight="1" thickBot="1" x14ac:dyDescent="0.25">
      <c r="A14" s="147" t="s">
        <v>4</v>
      </c>
      <c r="B14" s="147"/>
      <c r="C14" s="147"/>
    </row>
    <row r="15" spans="1:3" x14ac:dyDescent="0.2">
      <c r="A15" s="15" t="s">
        <v>5</v>
      </c>
      <c r="B15" s="115" t="s">
        <v>6</v>
      </c>
      <c r="C15" s="116" t="s">
        <v>7</v>
      </c>
    </row>
    <row r="16" spans="1:3" x14ac:dyDescent="0.2">
      <c r="A16" s="18">
        <v>1</v>
      </c>
      <c r="B16" s="117">
        <v>2</v>
      </c>
      <c r="C16" s="118">
        <v>3</v>
      </c>
    </row>
    <row r="17" spans="1:3" x14ac:dyDescent="0.2">
      <c r="A17" s="21">
        <v>1</v>
      </c>
      <c r="B17" s="22" t="s">
        <v>8</v>
      </c>
      <c r="C17" s="23">
        <f>SUM(C18:C22)</f>
        <v>4277.2214699783626</v>
      </c>
    </row>
    <row r="18" spans="1:3" ht="42.75" x14ac:dyDescent="0.2">
      <c r="A18" s="21" t="s">
        <v>9</v>
      </c>
      <c r="B18" s="24" t="s">
        <v>10</v>
      </c>
      <c r="C18" s="25">
        <f>[15]С1!F12</f>
        <v>1134.77400713722</v>
      </c>
    </row>
    <row r="19" spans="1:3" ht="42.75" x14ac:dyDescent="0.2">
      <c r="A19" s="21" t="s">
        <v>11</v>
      </c>
      <c r="B19" s="24" t="s">
        <v>12</v>
      </c>
      <c r="C19" s="25">
        <f>[15]С2!F12</f>
        <v>2106.4563180122805</v>
      </c>
    </row>
    <row r="20" spans="1:3" ht="30" x14ac:dyDescent="0.2">
      <c r="A20" s="21" t="s">
        <v>13</v>
      </c>
      <c r="B20" s="24" t="s">
        <v>14</v>
      </c>
      <c r="C20" s="25">
        <f>[15]С3!F12</f>
        <v>503.94083842199643</v>
      </c>
    </row>
    <row r="21" spans="1:3" ht="42.75" x14ac:dyDescent="0.2">
      <c r="A21" s="21" t="s">
        <v>15</v>
      </c>
      <c r="B21" s="24" t="s">
        <v>226</v>
      </c>
      <c r="C21" s="25">
        <f>[15]С4!F12</f>
        <v>448.18321876023066</v>
      </c>
    </row>
    <row r="22" spans="1:3" ht="30" x14ac:dyDescent="0.2">
      <c r="A22" s="21" t="s">
        <v>17</v>
      </c>
      <c r="B22" s="24" t="s">
        <v>227</v>
      </c>
      <c r="C22" s="25">
        <f>[15]С5!F12</f>
        <v>83.867087646634559</v>
      </c>
    </row>
    <row r="23" spans="1:3" ht="43.5" thickBot="1" x14ac:dyDescent="0.25">
      <c r="A23" s="26" t="s">
        <v>19</v>
      </c>
      <c r="B23" s="98" t="s">
        <v>228</v>
      </c>
      <c r="C23" s="28" t="str">
        <f>[15]С6!F12</f>
        <v>-</v>
      </c>
    </row>
    <row r="24" spans="1:3" ht="13.5" thickBot="1" x14ac:dyDescent="0.25">
      <c r="A24" s="1"/>
    </row>
    <row r="25" spans="1:3" x14ac:dyDescent="0.2">
      <c r="A25" s="15" t="s">
        <v>5</v>
      </c>
      <c r="B25" s="29" t="s">
        <v>6</v>
      </c>
      <c r="C25" s="16" t="s">
        <v>7</v>
      </c>
    </row>
    <row r="26" spans="1:3" x14ac:dyDescent="0.2">
      <c r="A26" s="18">
        <v>1</v>
      </c>
      <c r="B26" s="30">
        <v>2</v>
      </c>
      <c r="C26" s="31">
        <v>3</v>
      </c>
    </row>
    <row r="27" spans="1:3" ht="30" customHeight="1" x14ac:dyDescent="0.2">
      <c r="A27" s="21">
        <v>1</v>
      </c>
      <c r="B27" s="144" t="s">
        <v>21</v>
      </c>
      <c r="C27" s="144"/>
    </row>
    <row r="28" spans="1:3" x14ac:dyDescent="0.2">
      <c r="A28" s="21" t="s">
        <v>9</v>
      </c>
      <c r="B28" s="32" t="s">
        <v>229</v>
      </c>
      <c r="C28" s="33">
        <f>[15]С1.1!E16</f>
        <v>5100</v>
      </c>
    </row>
    <row r="29" spans="1:3" ht="42.75" x14ac:dyDescent="0.2">
      <c r="A29" s="21" t="s">
        <v>11</v>
      </c>
      <c r="B29" s="32" t="s">
        <v>230</v>
      </c>
      <c r="C29" s="33">
        <f>[15]С1.1!E27</f>
        <v>3051.2176603165626</v>
      </c>
    </row>
    <row r="30" spans="1:3" ht="17.25" x14ac:dyDescent="0.2">
      <c r="A30" s="21" t="s">
        <v>13</v>
      </c>
      <c r="B30" s="32" t="s">
        <v>30</v>
      </c>
      <c r="C30" s="35">
        <f>[15]С1.1!E19</f>
        <v>0.59499999999999997</v>
      </c>
    </row>
    <row r="31" spans="1:3" ht="17.25" x14ac:dyDescent="0.2">
      <c r="A31" s="21" t="s">
        <v>15</v>
      </c>
      <c r="B31" s="32" t="s">
        <v>31</v>
      </c>
      <c r="C31" s="35">
        <f>[15]С1.1!E20</f>
        <v>-0.113</v>
      </c>
    </row>
    <row r="32" spans="1:3" ht="30" x14ac:dyDescent="0.2">
      <c r="A32" s="21" t="s">
        <v>17</v>
      </c>
      <c r="B32" s="36" t="s">
        <v>231</v>
      </c>
      <c r="C32" s="119">
        <f>[15]С1!F13</f>
        <v>176.4</v>
      </c>
    </row>
    <row r="33" spans="1:3" x14ac:dyDescent="0.2">
      <c r="A33" s="21" t="s">
        <v>19</v>
      </c>
      <c r="B33" s="36" t="s">
        <v>33</v>
      </c>
      <c r="C33" s="38">
        <f>[15]С1!F16</f>
        <v>7000</v>
      </c>
    </row>
    <row r="34" spans="1:3" ht="14.25" x14ac:dyDescent="0.2">
      <c r="A34" s="21" t="s">
        <v>34</v>
      </c>
      <c r="B34" s="40" t="s">
        <v>232</v>
      </c>
      <c r="C34" s="41">
        <f>[15]С1!F17</f>
        <v>0.72857142857142854</v>
      </c>
    </row>
    <row r="35" spans="1:3" ht="15.75" x14ac:dyDescent="0.2">
      <c r="A35" s="120" t="s">
        <v>36</v>
      </c>
      <c r="B35" s="43" t="s">
        <v>37</v>
      </c>
      <c r="C35" s="41">
        <f>[15]С1!F20</f>
        <v>21.588411179999994</v>
      </c>
    </row>
    <row r="36" spans="1:3" ht="15.75" x14ac:dyDescent="0.2">
      <c r="A36" s="120" t="s">
        <v>38</v>
      </c>
      <c r="B36" s="44" t="s">
        <v>39</v>
      </c>
      <c r="C36" s="41">
        <f>[15]С1!F21</f>
        <v>20.818139999999996</v>
      </c>
    </row>
    <row r="37" spans="1:3" ht="14.25" x14ac:dyDescent="0.2">
      <c r="A37" s="120" t="s">
        <v>40</v>
      </c>
      <c r="B37" s="45" t="s">
        <v>41</v>
      </c>
      <c r="C37" s="41">
        <f>[15]С1!F22</f>
        <v>1.0369999999999999</v>
      </c>
    </row>
    <row r="38" spans="1:3" ht="53.25" thickBot="1" x14ac:dyDescent="0.25">
      <c r="A38" s="26" t="s">
        <v>42</v>
      </c>
      <c r="B38" s="46" t="s">
        <v>43</v>
      </c>
      <c r="C38" s="47">
        <f>[15]С1!F23</f>
        <v>1.0469999999999999</v>
      </c>
    </row>
    <row r="39" spans="1:3" ht="13.5" thickBot="1" x14ac:dyDescent="0.25">
      <c r="A39" s="48"/>
      <c r="B39" s="121"/>
      <c r="C39" s="122"/>
    </row>
    <row r="40" spans="1:3" ht="30" customHeight="1" x14ac:dyDescent="0.2">
      <c r="A40" s="50" t="s">
        <v>44</v>
      </c>
      <c r="B40" s="146" t="s">
        <v>45</v>
      </c>
      <c r="C40" s="146"/>
    </row>
    <row r="41" spans="1:3" ht="25.5" x14ac:dyDescent="0.2">
      <c r="A41" s="21" t="s">
        <v>46</v>
      </c>
      <c r="B41" s="36" t="s">
        <v>47</v>
      </c>
      <c r="C41" s="51" t="str">
        <f>[15]С2.1!E12</f>
        <v>V</v>
      </c>
    </row>
    <row r="42" spans="1:3" ht="25.5" x14ac:dyDescent="0.2">
      <c r="A42" s="21" t="s">
        <v>48</v>
      </c>
      <c r="B42" s="32" t="s">
        <v>49</v>
      </c>
      <c r="C42" s="51" t="str">
        <f>[15]С2.1!E13</f>
        <v>6 и менее баллов</v>
      </c>
    </row>
    <row r="43" spans="1:3" ht="25.5" x14ac:dyDescent="0.2">
      <c r="A43" s="21" t="s">
        <v>50</v>
      </c>
      <c r="B43" s="32" t="s">
        <v>233</v>
      </c>
      <c r="C43" s="51" t="str">
        <f>[15]С2.1!E14</f>
        <v>от 200 до 500</v>
      </c>
    </row>
    <row r="44" spans="1:3" ht="25.5" x14ac:dyDescent="0.2">
      <c r="A44" s="21" t="s">
        <v>52</v>
      </c>
      <c r="B44" s="32" t="s">
        <v>234</v>
      </c>
      <c r="C44" s="52" t="str">
        <f>[15]С2.1!E15</f>
        <v>нет</v>
      </c>
    </row>
    <row r="45" spans="1:3" ht="30" x14ac:dyDescent="0.2">
      <c r="A45" s="21" t="s">
        <v>54</v>
      </c>
      <c r="B45" s="32" t="s">
        <v>55</v>
      </c>
      <c r="C45" s="33">
        <f>[15]С2!F18</f>
        <v>32402.627334033532</v>
      </c>
    </row>
    <row r="46" spans="1:3" ht="30" x14ac:dyDescent="0.2">
      <c r="A46" s="21" t="s">
        <v>56</v>
      </c>
      <c r="B46" s="53" t="s">
        <v>57</v>
      </c>
      <c r="C46" s="33">
        <f>IF([15]С2!F19&gt;0,[15]С2!F19,[15]С2!F20)</f>
        <v>23441.524932855718</v>
      </c>
    </row>
    <row r="47" spans="1:3" ht="25.5" x14ac:dyDescent="0.2">
      <c r="A47" s="21" t="s">
        <v>58</v>
      </c>
      <c r="B47" s="54" t="s">
        <v>59</v>
      </c>
      <c r="C47" s="33">
        <f>[15]С2.1!E19</f>
        <v>-37</v>
      </c>
    </row>
    <row r="48" spans="1:3" ht="25.5" x14ac:dyDescent="0.2">
      <c r="A48" s="21" t="s">
        <v>60</v>
      </c>
      <c r="B48" s="54" t="s">
        <v>61</v>
      </c>
      <c r="C48" s="33" t="str">
        <f>[15]С2.1!E22</f>
        <v>нет</v>
      </c>
    </row>
    <row r="49" spans="1:3" ht="38.25" x14ac:dyDescent="0.2">
      <c r="A49" s="21" t="s">
        <v>62</v>
      </c>
      <c r="B49" s="55" t="s">
        <v>63</v>
      </c>
      <c r="C49" s="33">
        <f>[15]С2.2!E10</f>
        <v>1287</v>
      </c>
    </row>
    <row r="50" spans="1:3" ht="25.5" x14ac:dyDescent="0.2">
      <c r="A50" s="21" t="s">
        <v>64</v>
      </c>
      <c r="B50" s="56" t="s">
        <v>65</v>
      </c>
      <c r="C50" s="33">
        <f>[15]С2.2!E12</f>
        <v>5.97</v>
      </c>
    </row>
    <row r="51" spans="1:3" ht="52.5" x14ac:dyDescent="0.2">
      <c r="A51" s="21" t="s">
        <v>66</v>
      </c>
      <c r="B51" s="57" t="s">
        <v>67</v>
      </c>
      <c r="C51" s="33">
        <f>[15]С2.2!E13</f>
        <v>1</v>
      </c>
    </row>
    <row r="52" spans="1:3" ht="27.75" x14ac:dyDescent="0.2">
      <c r="A52" s="21" t="s">
        <v>68</v>
      </c>
      <c r="B52" s="56" t="s">
        <v>69</v>
      </c>
      <c r="C52" s="33">
        <f>[15]С2.2!E14</f>
        <v>12104</v>
      </c>
    </row>
    <row r="53" spans="1:3" ht="25.5" x14ac:dyDescent="0.2">
      <c r="A53" s="21" t="s">
        <v>70</v>
      </c>
      <c r="B53" s="57" t="s">
        <v>71</v>
      </c>
      <c r="C53" s="35">
        <f>[15]С2.2!E15</f>
        <v>4.8000000000000001E-2</v>
      </c>
    </row>
    <row r="54" spans="1:3" x14ac:dyDescent="0.2">
      <c r="A54" s="21" t="s">
        <v>72</v>
      </c>
      <c r="B54" s="57" t="s">
        <v>73</v>
      </c>
      <c r="C54" s="33">
        <f>[15]С2.2!E16</f>
        <v>1</v>
      </c>
    </row>
    <row r="55" spans="1:3" ht="15.75" x14ac:dyDescent="0.2">
      <c r="A55" s="21" t="s">
        <v>74</v>
      </c>
      <c r="B55" s="59" t="s">
        <v>75</v>
      </c>
      <c r="C55" s="33">
        <f>[15]С2!F21</f>
        <v>1</v>
      </c>
    </row>
    <row r="56" spans="1:3" ht="30" x14ac:dyDescent="0.2">
      <c r="A56" s="60" t="s">
        <v>76</v>
      </c>
      <c r="B56" s="32" t="s">
        <v>235</v>
      </c>
      <c r="C56" s="33">
        <f>[15]С2!F13</f>
        <v>169640.22915965237</v>
      </c>
    </row>
    <row r="57" spans="1:3" ht="30" x14ac:dyDescent="0.2">
      <c r="A57" s="60" t="s">
        <v>78</v>
      </c>
      <c r="B57" s="59" t="s">
        <v>236</v>
      </c>
      <c r="C57" s="33">
        <f>[15]С2!F14</f>
        <v>113455</v>
      </c>
    </row>
    <row r="58" spans="1:3" ht="15.75" x14ac:dyDescent="0.2">
      <c r="A58" s="60" t="s">
        <v>80</v>
      </c>
      <c r="B58" s="61" t="s">
        <v>81</v>
      </c>
      <c r="C58" s="41">
        <f>[15]С2!F15</f>
        <v>1.071</v>
      </c>
    </row>
    <row r="59" spans="1:3" ht="15.75" x14ac:dyDescent="0.2">
      <c r="A59" s="60" t="s">
        <v>82</v>
      </c>
      <c r="B59" s="61" t="s">
        <v>83</v>
      </c>
      <c r="C59" s="41">
        <f>[15]С2!F16</f>
        <v>1</v>
      </c>
    </row>
    <row r="60" spans="1:3" ht="17.25" x14ac:dyDescent="0.2">
      <c r="A60" s="60" t="s">
        <v>84</v>
      </c>
      <c r="B60" s="59" t="s">
        <v>85</v>
      </c>
      <c r="C60" s="33">
        <f>[15]С2!F17</f>
        <v>1.01</v>
      </c>
    </row>
    <row r="61" spans="1:3" s="66" customFormat="1" ht="14.25" x14ac:dyDescent="0.2">
      <c r="A61" s="60" t="s">
        <v>86</v>
      </c>
      <c r="B61" s="64" t="s">
        <v>87</v>
      </c>
      <c r="C61" s="65">
        <f>[15]С2!F33</f>
        <v>10</v>
      </c>
    </row>
    <row r="62" spans="1:3" ht="30" x14ac:dyDescent="0.2">
      <c r="A62" s="60" t="s">
        <v>88</v>
      </c>
      <c r="B62" s="67" t="s">
        <v>89</v>
      </c>
      <c r="C62" s="33">
        <f>[15]С2!F26</f>
        <v>1168.8344047018327</v>
      </c>
    </row>
    <row r="63" spans="1:3" ht="17.25" x14ac:dyDescent="0.2">
      <c r="A63" s="60" t="s">
        <v>90</v>
      </c>
      <c r="B63" s="53" t="s">
        <v>237</v>
      </c>
      <c r="C63" s="33">
        <f>[15]С2!F27</f>
        <v>0.201330388</v>
      </c>
    </row>
    <row r="64" spans="1:3" ht="17.25" x14ac:dyDescent="0.2">
      <c r="A64" s="60" t="s">
        <v>92</v>
      </c>
      <c r="B64" s="59" t="s">
        <v>238</v>
      </c>
      <c r="C64" s="65">
        <f>[15]С2!F28</f>
        <v>4200</v>
      </c>
    </row>
    <row r="65" spans="1:3" ht="42.75" x14ac:dyDescent="0.2">
      <c r="A65" s="60" t="s">
        <v>94</v>
      </c>
      <c r="B65" s="32" t="s">
        <v>239</v>
      </c>
      <c r="C65" s="33">
        <f>[15]С2!F22</f>
        <v>35717.748653137714</v>
      </c>
    </row>
    <row r="66" spans="1:3" ht="30" x14ac:dyDescent="0.2">
      <c r="A66" s="60" t="s">
        <v>96</v>
      </c>
      <c r="B66" s="61" t="s">
        <v>240</v>
      </c>
      <c r="C66" s="33">
        <f>[15]С2!F23</f>
        <v>1990</v>
      </c>
    </row>
    <row r="67" spans="1:3" ht="30" x14ac:dyDescent="0.2">
      <c r="A67" s="60" t="s">
        <v>98</v>
      </c>
      <c r="B67" s="53" t="s">
        <v>99</v>
      </c>
      <c r="C67" s="33">
        <f>[15]С2.1!E27</f>
        <v>14307.876789999998</v>
      </c>
    </row>
    <row r="68" spans="1:3" ht="38.25" x14ac:dyDescent="0.2">
      <c r="A68" s="60" t="s">
        <v>100</v>
      </c>
      <c r="B68" s="68" t="s">
        <v>101</v>
      </c>
      <c r="C68" s="52">
        <f>[15]С2.3!E21</f>
        <v>0</v>
      </c>
    </row>
    <row r="69" spans="1:3" ht="25.5" x14ac:dyDescent="0.2">
      <c r="A69" s="60" t="s">
        <v>102</v>
      </c>
      <c r="B69" s="69" t="s">
        <v>103</v>
      </c>
      <c r="C69" s="70">
        <f>[15]С2.3!E11</f>
        <v>9.89</v>
      </c>
    </row>
    <row r="70" spans="1:3" ht="25.5" x14ac:dyDescent="0.2">
      <c r="A70" s="60" t="s">
        <v>104</v>
      </c>
      <c r="B70" s="69" t="s">
        <v>105</v>
      </c>
      <c r="C70" s="65">
        <f>[15]С2.3!E13</f>
        <v>300</v>
      </c>
    </row>
    <row r="71" spans="1:3" ht="25.5" x14ac:dyDescent="0.2">
      <c r="A71" s="60" t="s">
        <v>106</v>
      </c>
      <c r="B71" s="68" t="s">
        <v>107</v>
      </c>
      <c r="C71" s="71">
        <f>IF([15]С2.3!E22&gt;0,[15]С2.3!E22,[15]С2.3!E14)</f>
        <v>61211</v>
      </c>
    </row>
    <row r="72" spans="1:3" ht="38.25" x14ac:dyDescent="0.2">
      <c r="A72" s="60" t="s">
        <v>108</v>
      </c>
      <c r="B72" s="68" t="s">
        <v>109</v>
      </c>
      <c r="C72" s="71">
        <f>IF([15]С2.3!E23&gt;0,[15]С2.3!E23,[15]С2.3!E15)</f>
        <v>45675</v>
      </c>
    </row>
    <row r="73" spans="1:3" ht="30" x14ac:dyDescent="0.2">
      <c r="A73" s="60" t="s">
        <v>110</v>
      </c>
      <c r="B73" s="53" t="s">
        <v>111</v>
      </c>
      <c r="C73" s="33">
        <f>[15]С2.1!E28</f>
        <v>9541.9567200000001</v>
      </c>
    </row>
    <row r="74" spans="1:3" ht="38.25" x14ac:dyDescent="0.2">
      <c r="A74" s="60" t="s">
        <v>112</v>
      </c>
      <c r="B74" s="68" t="s">
        <v>113</v>
      </c>
      <c r="C74" s="52">
        <f>[15]С2.3!E25</f>
        <v>0</v>
      </c>
    </row>
    <row r="75" spans="1:3" ht="25.5" x14ac:dyDescent="0.2">
      <c r="A75" s="60" t="s">
        <v>114</v>
      </c>
      <c r="B75" s="69" t="s">
        <v>115</v>
      </c>
      <c r="C75" s="70">
        <f>[15]С2.3!E12</f>
        <v>0.56000000000000005</v>
      </c>
    </row>
    <row r="76" spans="1:3" ht="25.5" x14ac:dyDescent="0.2">
      <c r="A76" s="60" t="s">
        <v>116</v>
      </c>
      <c r="B76" s="69" t="s">
        <v>105</v>
      </c>
      <c r="C76" s="65">
        <f>[15]С2.3!E13</f>
        <v>300</v>
      </c>
    </row>
    <row r="77" spans="1:3" ht="25.5" x14ac:dyDescent="0.2">
      <c r="A77" s="60" t="s">
        <v>117</v>
      </c>
      <c r="B77" s="72" t="s">
        <v>118</v>
      </c>
      <c r="C77" s="71">
        <f>IF([15]С2.3!E26&gt;0,[15]С2.3!E26,[15]С2.3!E16)</f>
        <v>65637</v>
      </c>
    </row>
    <row r="78" spans="1:3" ht="38.25" x14ac:dyDescent="0.2">
      <c r="A78" s="60" t="s">
        <v>119</v>
      </c>
      <c r="B78" s="72" t="s">
        <v>120</v>
      </c>
      <c r="C78" s="71">
        <f>IF([15]С2.3!E27&gt;0,[15]С2.3!E27,[15]С2.3!E17)</f>
        <v>31684</v>
      </c>
    </row>
    <row r="79" spans="1:3" ht="17.25" x14ac:dyDescent="0.2">
      <c r="A79" s="60" t="s">
        <v>123</v>
      </c>
      <c r="B79" s="32" t="s">
        <v>124</v>
      </c>
      <c r="C79" s="35">
        <f>[15]С2!F29</f>
        <v>0.128978033685065</v>
      </c>
    </row>
    <row r="80" spans="1:3" ht="30" x14ac:dyDescent="0.2">
      <c r="A80" s="60" t="s">
        <v>125</v>
      </c>
      <c r="B80" s="53" t="s">
        <v>126</v>
      </c>
      <c r="C80" s="73">
        <f>[15]С2!F30</f>
        <v>0.11668498168498169</v>
      </c>
    </row>
    <row r="81" spans="1:3" ht="17.25" x14ac:dyDescent="0.2">
      <c r="A81" s="60" t="s">
        <v>127</v>
      </c>
      <c r="B81" s="74" t="s">
        <v>128</v>
      </c>
      <c r="C81" s="35">
        <f>[15]С2!F31</f>
        <v>0.13880000000000001</v>
      </c>
    </row>
    <row r="82" spans="1:3" s="66" customFormat="1" ht="18" thickBot="1" x14ac:dyDescent="0.25">
      <c r="A82" s="75" t="s">
        <v>129</v>
      </c>
      <c r="B82" s="76" t="s">
        <v>130</v>
      </c>
      <c r="C82" s="77">
        <f>[15]С2!F32</f>
        <v>0.12640000000000001</v>
      </c>
    </row>
    <row r="83" spans="1:3" ht="13.5" thickBot="1" x14ac:dyDescent="0.25">
      <c r="A83" s="48"/>
      <c r="B83" s="49"/>
      <c r="C83" s="14"/>
    </row>
    <row r="84" spans="1:3" s="66" customFormat="1" ht="30" customHeight="1" x14ac:dyDescent="0.2">
      <c r="A84" s="78" t="s">
        <v>131</v>
      </c>
      <c r="B84" s="146" t="s">
        <v>132</v>
      </c>
      <c r="C84" s="146"/>
    </row>
    <row r="85" spans="1:3" s="66" customFormat="1" ht="30" x14ac:dyDescent="0.2">
      <c r="A85" s="79" t="s">
        <v>133</v>
      </c>
      <c r="B85" s="32" t="s">
        <v>134</v>
      </c>
      <c r="C85" s="33">
        <f>[15]С3!F14</f>
        <v>7000.4488806189811</v>
      </c>
    </row>
    <row r="86" spans="1:3" s="66" customFormat="1" ht="42.75" x14ac:dyDescent="0.2">
      <c r="A86" s="79" t="s">
        <v>135</v>
      </c>
      <c r="B86" s="53" t="s">
        <v>136</v>
      </c>
      <c r="C86" s="80">
        <f>[15]С3!F15</f>
        <v>0.2</v>
      </c>
    </row>
    <row r="87" spans="1:3" s="66" customFormat="1" ht="14.25" x14ac:dyDescent="0.2">
      <c r="A87" s="79" t="s">
        <v>137</v>
      </c>
      <c r="B87" s="81" t="s">
        <v>138</v>
      </c>
      <c r="C87" s="65">
        <f>[15]С3!F18</f>
        <v>15</v>
      </c>
    </row>
    <row r="88" spans="1:3" s="66" customFormat="1" ht="17.25" x14ac:dyDescent="0.2">
      <c r="A88" s="79" t="s">
        <v>139</v>
      </c>
      <c r="B88" s="32" t="s">
        <v>140</v>
      </c>
      <c r="C88" s="33">
        <f>[15]С3!F19</f>
        <v>3487.1555421534131</v>
      </c>
    </row>
    <row r="89" spans="1:3" s="66" customFormat="1" ht="55.5" x14ac:dyDescent="0.2">
      <c r="A89" s="79" t="s">
        <v>141</v>
      </c>
      <c r="B89" s="53" t="s">
        <v>142</v>
      </c>
      <c r="C89" s="82">
        <f>[15]С3!F20</f>
        <v>2.1999999999999999E-2</v>
      </c>
    </row>
    <row r="90" spans="1:3" s="66" customFormat="1" ht="14.25" x14ac:dyDescent="0.2">
      <c r="A90" s="79" t="s">
        <v>143</v>
      </c>
      <c r="B90" s="59" t="s">
        <v>87</v>
      </c>
      <c r="C90" s="65">
        <f>[15]С3!F21</f>
        <v>10</v>
      </c>
    </row>
    <row r="91" spans="1:3" s="66" customFormat="1" ht="17.25" x14ac:dyDescent="0.2">
      <c r="A91" s="79" t="s">
        <v>144</v>
      </c>
      <c r="B91" s="32" t="s">
        <v>145</v>
      </c>
      <c r="C91" s="33">
        <f>[15]С3!F22</f>
        <v>3.5065032141054981</v>
      </c>
    </row>
    <row r="92" spans="1:3" s="66" customFormat="1" ht="55.5" x14ac:dyDescent="0.2">
      <c r="A92" s="79" t="s">
        <v>146</v>
      </c>
      <c r="B92" s="53" t="s">
        <v>147</v>
      </c>
      <c r="C92" s="82">
        <f>[15]С3!F23</f>
        <v>3.0000000000000001E-3</v>
      </c>
    </row>
    <row r="93" spans="1:3" s="66" customFormat="1" ht="27.75" thickBot="1" x14ac:dyDescent="0.25">
      <c r="A93" s="83" t="s">
        <v>148</v>
      </c>
      <c r="B93" s="84" t="s">
        <v>241</v>
      </c>
      <c r="C93" s="85">
        <f>[15]С3!F24</f>
        <v>1168.8344047018327</v>
      </c>
    </row>
    <row r="94" spans="1:3" ht="13.5" thickBot="1" x14ac:dyDescent="0.25">
      <c r="A94" s="48"/>
      <c r="B94" s="49"/>
      <c r="C94" s="14"/>
    </row>
    <row r="95" spans="1:3" ht="30" customHeight="1" x14ac:dyDescent="0.2">
      <c r="A95" s="86" t="s">
        <v>149</v>
      </c>
      <c r="B95" s="146" t="s">
        <v>150</v>
      </c>
      <c r="C95" s="146"/>
    </row>
    <row r="96" spans="1:3" ht="30" x14ac:dyDescent="0.2">
      <c r="A96" s="60" t="s">
        <v>151</v>
      </c>
      <c r="B96" s="32" t="s">
        <v>242</v>
      </c>
      <c r="C96" s="33">
        <f>[15]С4!F16</f>
        <v>1652.5</v>
      </c>
    </row>
    <row r="97" spans="1:3" ht="30" x14ac:dyDescent="0.2">
      <c r="A97" s="60" t="s">
        <v>153</v>
      </c>
      <c r="B97" s="59" t="s">
        <v>243</v>
      </c>
      <c r="C97" s="33">
        <f>[15]С4!F17</f>
        <v>73547</v>
      </c>
    </row>
    <row r="98" spans="1:3" ht="33" x14ac:dyDescent="0.2">
      <c r="A98" s="60" t="s">
        <v>155</v>
      </c>
      <c r="B98" s="59" t="s">
        <v>156</v>
      </c>
      <c r="C98" s="41">
        <f>[15]С4!F18</f>
        <v>0.02</v>
      </c>
    </row>
    <row r="99" spans="1:3" ht="30" x14ac:dyDescent="0.2">
      <c r="A99" s="60" t="s">
        <v>157</v>
      </c>
      <c r="B99" s="59" t="s">
        <v>158</v>
      </c>
      <c r="C99" s="33">
        <f>[15]С4!F19</f>
        <v>12104</v>
      </c>
    </row>
    <row r="100" spans="1:3" ht="28.5" x14ac:dyDescent="0.2">
      <c r="A100" s="60" t="s">
        <v>159</v>
      </c>
      <c r="B100" s="59" t="s">
        <v>160</v>
      </c>
      <c r="C100" s="41">
        <f>[15]С4!F20</f>
        <v>1.4999999999999999E-2</v>
      </c>
    </row>
    <row r="101" spans="1:3" ht="30" x14ac:dyDescent="0.2">
      <c r="A101" s="60" t="s">
        <v>161</v>
      </c>
      <c r="B101" s="32" t="s">
        <v>244</v>
      </c>
      <c r="C101" s="33">
        <f>[15]С4!F21</f>
        <v>1933.1949342509995</v>
      </c>
    </row>
    <row r="102" spans="1:3" ht="24" customHeight="1" x14ac:dyDescent="0.2">
      <c r="A102" s="60" t="s">
        <v>163</v>
      </c>
      <c r="B102" s="53" t="s">
        <v>164</v>
      </c>
      <c r="C102" s="34">
        <f>IF([15]С4.2!F8="да",[15]С4.2!D21,[15]С4.2!D15)</f>
        <v>0</v>
      </c>
    </row>
    <row r="103" spans="1:3" ht="68.25" x14ac:dyDescent="0.2">
      <c r="A103" s="60" t="s">
        <v>165</v>
      </c>
      <c r="B103" s="53" t="s">
        <v>166</v>
      </c>
      <c r="C103" s="33">
        <f>[15]С4!F22</f>
        <v>3.6112641666666665</v>
      </c>
    </row>
    <row r="104" spans="1:3" ht="30" x14ac:dyDescent="0.2">
      <c r="A104" s="60" t="s">
        <v>167</v>
      </c>
      <c r="B104" s="59" t="s">
        <v>245</v>
      </c>
      <c r="C104" s="33">
        <f>[15]С4!F23</f>
        <v>180</v>
      </c>
    </row>
    <row r="105" spans="1:3" ht="14.25" x14ac:dyDescent="0.2">
      <c r="A105" s="60" t="s">
        <v>169</v>
      </c>
      <c r="B105" s="53" t="s">
        <v>170</v>
      </c>
      <c r="C105" s="33">
        <f>[15]С4!F24</f>
        <v>8497.1999999999989</v>
      </c>
    </row>
    <row r="106" spans="1:3" ht="14.25" x14ac:dyDescent="0.2">
      <c r="A106" s="60" t="s">
        <v>171</v>
      </c>
      <c r="B106" s="59" t="s">
        <v>172</v>
      </c>
      <c r="C106" s="41">
        <f>[15]С4!F25</f>
        <v>0.35</v>
      </c>
    </row>
    <row r="107" spans="1:3" ht="17.25" x14ac:dyDescent="0.2">
      <c r="A107" s="60" t="s">
        <v>173</v>
      </c>
      <c r="B107" s="32" t="s">
        <v>174</v>
      </c>
      <c r="C107" s="33">
        <f>[15]С4!F26</f>
        <v>71.20329000000001</v>
      </c>
    </row>
    <row r="108" spans="1:3" ht="25.5" x14ac:dyDescent="0.2">
      <c r="A108" s="60" t="s">
        <v>175</v>
      </c>
      <c r="B108" s="53" t="s">
        <v>101</v>
      </c>
      <c r="C108" s="34">
        <f>[15]С4.3!E16</f>
        <v>0</v>
      </c>
    </row>
    <row r="109" spans="1:3" ht="25.5" x14ac:dyDescent="0.2">
      <c r="A109" s="60" t="s">
        <v>176</v>
      </c>
      <c r="B109" s="53" t="s">
        <v>177</v>
      </c>
      <c r="C109" s="33">
        <f>[15]С4.3!E17</f>
        <v>17.37</v>
      </c>
    </row>
    <row r="110" spans="1:3" ht="38.25" x14ac:dyDescent="0.2">
      <c r="A110" s="60" t="s">
        <v>178</v>
      </c>
      <c r="B110" s="53" t="s">
        <v>113</v>
      </c>
      <c r="C110" s="34">
        <f>[15]С4.3!E18</f>
        <v>0</v>
      </c>
    </row>
    <row r="111" spans="1:3" x14ac:dyDescent="0.2">
      <c r="A111" s="60" t="s">
        <v>179</v>
      </c>
      <c r="B111" s="53" t="s">
        <v>180</v>
      </c>
      <c r="C111" s="33">
        <f>[15]С4.3!E19</f>
        <v>50.424999999999997</v>
      </c>
    </row>
    <row r="112" spans="1:3" x14ac:dyDescent="0.2">
      <c r="A112" s="60" t="s">
        <v>181</v>
      </c>
      <c r="B112" s="59" t="s">
        <v>182</v>
      </c>
      <c r="C112" s="33">
        <f>[15]С4.3!E11</f>
        <v>1871</v>
      </c>
    </row>
    <row r="113" spans="1:3" x14ac:dyDescent="0.2">
      <c r="A113" s="60" t="s">
        <v>183</v>
      </c>
      <c r="B113" s="59" t="s">
        <v>184</v>
      </c>
      <c r="C113" s="52">
        <f>[15]С4.3!E12</f>
        <v>1636</v>
      </c>
    </row>
    <row r="114" spans="1:3" x14ac:dyDescent="0.2">
      <c r="A114" s="60" t="s">
        <v>185</v>
      </c>
      <c r="B114" s="59" t="s">
        <v>186</v>
      </c>
      <c r="C114" s="52">
        <f>[15]С4.3!E13</f>
        <v>204</v>
      </c>
    </row>
    <row r="115" spans="1:3" ht="30" x14ac:dyDescent="0.2">
      <c r="A115" s="60" t="s">
        <v>187</v>
      </c>
      <c r="B115" s="32" t="s">
        <v>246</v>
      </c>
      <c r="C115" s="33">
        <f>[15]С4!F27</f>
        <v>1351.1912129385403</v>
      </c>
    </row>
    <row r="116" spans="1:3" ht="25.5" x14ac:dyDescent="0.2">
      <c r="A116" s="60" t="s">
        <v>189</v>
      </c>
      <c r="B116" s="53" t="s">
        <v>247</v>
      </c>
      <c r="C116" s="33">
        <f>[15]С4!F28</f>
        <v>1037.7812695380494</v>
      </c>
    </row>
    <row r="117" spans="1:3" ht="42.75" x14ac:dyDescent="0.2">
      <c r="A117" s="60" t="s">
        <v>191</v>
      </c>
      <c r="B117" s="53" t="s">
        <v>192</v>
      </c>
      <c r="C117" s="33">
        <f>[15]С4!F29</f>
        <v>313.40994340049093</v>
      </c>
    </row>
    <row r="118" spans="1:3" ht="30" x14ac:dyDescent="0.2">
      <c r="A118" s="60" t="s">
        <v>193</v>
      </c>
      <c r="B118" s="40" t="s">
        <v>194</v>
      </c>
      <c r="C118" s="33">
        <f>[15]С4!F30</f>
        <v>2407.7855647676956</v>
      </c>
    </row>
    <row r="119" spans="1:3" ht="42.75" x14ac:dyDescent="0.2">
      <c r="A119" s="60" t="s">
        <v>248</v>
      </c>
      <c r="B119" s="90" t="s">
        <v>249</v>
      </c>
      <c r="C119" s="33">
        <f>[15]С4!F33</f>
        <v>1670.7125714260549</v>
      </c>
    </row>
    <row r="120" spans="1:3" ht="30" x14ac:dyDescent="0.2">
      <c r="A120" s="60" t="s">
        <v>250</v>
      </c>
      <c r="B120" s="123" t="s">
        <v>251</v>
      </c>
      <c r="C120" s="33">
        <f>[15]С4!F35</f>
        <v>17.040680999999999</v>
      </c>
    </row>
    <row r="121" spans="1:3" ht="14.25" x14ac:dyDescent="0.2">
      <c r="A121" s="60" t="s">
        <v>252</v>
      </c>
      <c r="B121" s="56" t="s">
        <v>253</v>
      </c>
      <c r="C121" s="33">
        <f>[15]С4!F36</f>
        <v>14319.9</v>
      </c>
    </row>
    <row r="122" spans="1:3" ht="28.5" thickBot="1" x14ac:dyDescent="0.25">
      <c r="A122" s="75" t="s">
        <v>254</v>
      </c>
      <c r="B122" s="124" t="s">
        <v>255</v>
      </c>
      <c r="C122" s="85">
        <f>[15]С4!F37</f>
        <v>1.19</v>
      </c>
    </row>
    <row r="123" spans="1:3" s="88" customFormat="1" ht="13.5" thickBot="1" x14ac:dyDescent="0.25">
      <c r="A123" s="48"/>
      <c r="B123" s="49"/>
      <c r="C123" s="14"/>
    </row>
    <row r="124" spans="1:3" s="66" customFormat="1" ht="30" customHeight="1" x14ac:dyDescent="0.2">
      <c r="A124" s="78" t="s">
        <v>195</v>
      </c>
      <c r="B124" s="146" t="s">
        <v>196</v>
      </c>
      <c r="C124" s="146"/>
    </row>
    <row r="125" spans="1:3" ht="16.5" thickBot="1" x14ac:dyDescent="0.25">
      <c r="A125" s="26" t="s">
        <v>197</v>
      </c>
      <c r="B125" s="87" t="s">
        <v>198</v>
      </c>
      <c r="C125" s="85">
        <f>[15]С5!F17</f>
        <v>0.02</v>
      </c>
    </row>
    <row r="126" spans="1:3" s="88" customFormat="1" ht="13.5" thickBot="1" x14ac:dyDescent="0.25">
      <c r="A126" s="48"/>
      <c r="B126" s="49"/>
      <c r="C126" s="14"/>
    </row>
    <row r="127" spans="1:3" ht="42.75" customHeight="1" x14ac:dyDescent="0.2">
      <c r="A127" s="86" t="s">
        <v>199</v>
      </c>
      <c r="B127" s="148" t="s">
        <v>200</v>
      </c>
      <c r="C127" s="148"/>
    </row>
    <row r="128" spans="1:3" ht="68.25" x14ac:dyDescent="0.2">
      <c r="A128" s="60" t="s">
        <v>201</v>
      </c>
      <c r="B128" s="89" t="s">
        <v>202</v>
      </c>
      <c r="C128" s="33" t="s">
        <v>256</v>
      </c>
    </row>
    <row r="129" spans="1:4" ht="42.75" hidden="1" x14ac:dyDescent="0.2">
      <c r="A129" s="60" t="s">
        <v>203</v>
      </c>
      <c r="B129" s="90" t="s">
        <v>204</v>
      </c>
      <c r="C129" s="91"/>
    </row>
    <row r="130" spans="1:4" ht="69" thickBot="1" x14ac:dyDescent="0.25">
      <c r="A130" s="75" t="s">
        <v>205</v>
      </c>
      <c r="B130" s="125" t="s">
        <v>206</v>
      </c>
      <c r="C130" s="126" t="s">
        <v>256</v>
      </c>
    </row>
    <row r="131" spans="1:4" ht="62.25" hidden="1" customHeight="1" x14ac:dyDescent="0.2">
      <c r="A131" s="127" t="s">
        <v>207</v>
      </c>
      <c r="B131" s="128" t="s">
        <v>208</v>
      </c>
      <c r="C131" s="129"/>
    </row>
    <row r="132" spans="1:4" ht="68.25" hidden="1" x14ac:dyDescent="0.2">
      <c r="A132" s="60" t="s">
        <v>209</v>
      </c>
      <c r="B132" s="90" t="s">
        <v>257</v>
      </c>
      <c r="C132" s="35"/>
    </row>
    <row r="133" spans="1:4" ht="69" hidden="1" thickBot="1" x14ac:dyDescent="0.25">
      <c r="A133" s="75" t="s">
        <v>211</v>
      </c>
      <c r="B133" s="93" t="s">
        <v>212</v>
      </c>
      <c r="C133" s="77"/>
    </row>
    <row r="134" spans="1:4" s="88" customFormat="1" ht="13.5" thickBot="1" x14ac:dyDescent="0.25">
      <c r="A134" s="48"/>
      <c r="B134" s="49"/>
      <c r="C134" s="14"/>
    </row>
    <row r="135" spans="1:4" ht="26.25" customHeight="1" x14ac:dyDescent="0.2">
      <c r="A135" s="86" t="s">
        <v>213</v>
      </c>
      <c r="B135" s="94" t="s">
        <v>214</v>
      </c>
      <c r="C135" s="95">
        <f>[15]С2!F37</f>
        <v>20.818139999999996</v>
      </c>
    </row>
    <row r="136" spans="1:4" ht="14.25" x14ac:dyDescent="0.2">
      <c r="A136" s="60" t="s">
        <v>215</v>
      </c>
      <c r="B136" s="130" t="s">
        <v>216</v>
      </c>
      <c r="C136" s="33">
        <f>[15]С2!F38</f>
        <v>7</v>
      </c>
    </row>
    <row r="137" spans="1:4" ht="17.25" x14ac:dyDescent="0.2">
      <c r="A137" s="60" t="s">
        <v>217</v>
      </c>
      <c r="B137" s="130" t="s">
        <v>218</v>
      </c>
      <c r="C137" s="33">
        <f>[15]С2!F40</f>
        <v>0.97</v>
      </c>
    </row>
    <row r="138" spans="1:4" ht="15" thickBot="1" x14ac:dyDescent="0.25">
      <c r="A138" s="75" t="s">
        <v>219</v>
      </c>
      <c r="B138" s="131" t="s">
        <v>220</v>
      </c>
      <c r="C138" s="47">
        <f>[15]С2!F42</f>
        <v>0.35</v>
      </c>
    </row>
    <row r="139" spans="1:4" s="88" customFormat="1" ht="13.5" thickBot="1" x14ac:dyDescent="0.25">
      <c r="A139" s="48"/>
      <c r="B139" s="49"/>
      <c r="C139" s="14"/>
    </row>
    <row r="140" spans="1:4" ht="30" x14ac:dyDescent="0.2">
      <c r="A140" s="86" t="s">
        <v>221</v>
      </c>
      <c r="B140" s="96" t="s">
        <v>258</v>
      </c>
      <c r="C140" s="132">
        <f>[15]С2!F35</f>
        <v>1.3822747209000001</v>
      </c>
      <c r="D140" s="88"/>
    </row>
    <row r="141" spans="1:4" ht="22.7" customHeight="1" thickBot="1" x14ac:dyDescent="0.25">
      <c r="A141" s="75" t="s">
        <v>223</v>
      </c>
      <c r="B141" s="145" t="s">
        <v>224</v>
      </c>
      <c r="C141" s="145"/>
      <c r="D141" s="88"/>
    </row>
    <row r="142" spans="1:4" ht="13.5" thickBot="1" x14ac:dyDescent="0.25">
      <c r="A142" s="99"/>
      <c r="B142" s="133" t="s">
        <v>0</v>
      </c>
      <c r="C142" s="134"/>
      <c r="D142" s="88"/>
    </row>
    <row r="143" spans="1:4" x14ac:dyDescent="0.2">
      <c r="A143" s="99"/>
      <c r="B143" s="135">
        <v>2020</v>
      </c>
      <c r="C143" s="136">
        <f>[15]С2.5!$E$11</f>
        <v>-2.9000000000000026E-2</v>
      </c>
      <c r="D143" s="88"/>
    </row>
    <row r="144" spans="1:4" x14ac:dyDescent="0.2">
      <c r="A144" s="99"/>
      <c r="B144" s="106">
        <f>B143+1</f>
        <v>2021</v>
      </c>
      <c r="C144" s="137">
        <f>[15]С2.5!$F$11</f>
        <v>0.245</v>
      </c>
      <c r="D144" s="88"/>
    </row>
    <row r="145" spans="1:4" x14ac:dyDescent="0.2">
      <c r="A145" s="99"/>
      <c r="B145" s="106">
        <f t="shared" ref="B145:B208" si="0">B144+1</f>
        <v>2022</v>
      </c>
      <c r="C145" s="137">
        <f>[15]С2.5!$G$11</f>
        <v>0.121</v>
      </c>
      <c r="D145" s="88"/>
    </row>
    <row r="146" spans="1:4" ht="13.5" thickBot="1" x14ac:dyDescent="0.25">
      <c r="A146" s="99"/>
      <c r="B146" s="108">
        <f t="shared" si="0"/>
        <v>2023</v>
      </c>
      <c r="C146" s="138">
        <f>[15]С2.5!$H$11</f>
        <v>0.02</v>
      </c>
      <c r="D146" s="88"/>
    </row>
    <row r="147" spans="1:4" hidden="1" x14ac:dyDescent="0.2">
      <c r="A147" s="99"/>
      <c r="B147" s="139">
        <f t="shared" si="0"/>
        <v>2024</v>
      </c>
      <c r="C147" s="140">
        <f>[15]С2.5!$I$11</f>
        <v>-2.93E-2</v>
      </c>
      <c r="D147" s="88"/>
    </row>
    <row r="148" spans="1:4" hidden="1" x14ac:dyDescent="0.2">
      <c r="A148" s="99"/>
      <c r="B148" s="106">
        <f t="shared" si="0"/>
        <v>2025</v>
      </c>
      <c r="C148" s="137">
        <f>[15]С2.5!$J$11</f>
        <v>0.21215960863291</v>
      </c>
      <c r="D148" s="88"/>
    </row>
    <row r="149" spans="1:4" hidden="1" x14ac:dyDescent="0.2">
      <c r="A149" s="99"/>
      <c r="B149" s="106">
        <f t="shared" si="0"/>
        <v>2026</v>
      </c>
      <c r="C149" s="137">
        <f>[15]С2.5!$K$11</f>
        <v>3.5813361771260002E-2</v>
      </c>
      <c r="D149" s="88"/>
    </row>
    <row r="150" spans="1:4" hidden="1" x14ac:dyDescent="0.2">
      <c r="A150" s="99"/>
      <c r="B150" s="106">
        <f t="shared" si="0"/>
        <v>2027</v>
      </c>
      <c r="C150" s="137">
        <f>[15]С2.5!$L$11</f>
        <v>3.2682303599220003E-2</v>
      </c>
      <c r="D150" s="88"/>
    </row>
    <row r="151" spans="1:4" hidden="1" x14ac:dyDescent="0.2">
      <c r="A151" s="99"/>
      <c r="B151" s="106">
        <f t="shared" si="0"/>
        <v>2028</v>
      </c>
      <c r="C151" s="137">
        <f>[15]С2.5!$M$11</f>
        <v>0</v>
      </c>
      <c r="D151" s="88"/>
    </row>
    <row r="152" spans="1:4" hidden="1" x14ac:dyDescent="0.2">
      <c r="A152" s="99"/>
      <c r="B152" s="106">
        <f t="shared" si="0"/>
        <v>2029</v>
      </c>
      <c r="C152" s="137">
        <f>[15]С2.5!$N$11</f>
        <v>0</v>
      </c>
      <c r="D152" s="88"/>
    </row>
    <row r="153" spans="1:4" hidden="1" x14ac:dyDescent="0.2">
      <c r="A153" s="99"/>
      <c r="B153" s="106">
        <f t="shared" si="0"/>
        <v>2030</v>
      </c>
      <c r="C153" s="137">
        <f>[15]С2.5!$O$11</f>
        <v>0</v>
      </c>
      <c r="D153" s="88"/>
    </row>
    <row r="154" spans="1:4" hidden="1" x14ac:dyDescent="0.2">
      <c r="A154" s="99"/>
      <c r="B154" s="106">
        <f t="shared" si="0"/>
        <v>2031</v>
      </c>
      <c r="C154" s="137">
        <f>[15]С2.5!$P$11</f>
        <v>0</v>
      </c>
      <c r="D154" s="88"/>
    </row>
    <row r="155" spans="1:4" hidden="1" x14ac:dyDescent="0.2">
      <c r="A155" s="88"/>
      <c r="B155" s="106">
        <f t="shared" si="0"/>
        <v>2032</v>
      </c>
      <c r="C155" s="137">
        <f>[15]С2.5!$Q$11</f>
        <v>0</v>
      </c>
      <c r="D155" s="88"/>
    </row>
    <row r="156" spans="1:4" hidden="1" x14ac:dyDescent="0.2">
      <c r="A156" s="88"/>
      <c r="B156" s="106">
        <f t="shared" si="0"/>
        <v>2033</v>
      </c>
      <c r="C156" s="137">
        <f>[15]С2.5!$R$11</f>
        <v>0</v>
      </c>
      <c r="D156" s="88"/>
    </row>
    <row r="157" spans="1:4" hidden="1" x14ac:dyDescent="0.2">
      <c r="B157" s="106">
        <f t="shared" si="0"/>
        <v>2034</v>
      </c>
      <c r="C157" s="137">
        <f>[15]С2.5!$S$11</f>
        <v>0</v>
      </c>
    </row>
    <row r="158" spans="1:4" hidden="1" x14ac:dyDescent="0.2">
      <c r="B158" s="106">
        <f t="shared" si="0"/>
        <v>2035</v>
      </c>
      <c r="C158" s="137">
        <f>[15]С2.5!$T$11</f>
        <v>0</v>
      </c>
    </row>
    <row r="159" spans="1:4" hidden="1" x14ac:dyDescent="0.2">
      <c r="B159" s="106">
        <f t="shared" si="0"/>
        <v>2036</v>
      </c>
      <c r="C159" s="137">
        <f>[15]С2.5!$U$11</f>
        <v>0</v>
      </c>
    </row>
    <row r="160" spans="1:4" hidden="1" x14ac:dyDescent="0.2">
      <c r="B160" s="106">
        <f t="shared" si="0"/>
        <v>2037</v>
      </c>
      <c r="C160" s="137">
        <f>[15]С2.5!$V$11</f>
        <v>0</v>
      </c>
    </row>
    <row r="161" spans="2:3" hidden="1" x14ac:dyDescent="0.2">
      <c r="B161" s="106">
        <f t="shared" si="0"/>
        <v>2038</v>
      </c>
      <c r="C161" s="137">
        <f>[15]С2.5!$W$11</f>
        <v>0</v>
      </c>
    </row>
    <row r="162" spans="2:3" hidden="1" x14ac:dyDescent="0.2">
      <c r="B162" s="106">
        <f t="shared" si="0"/>
        <v>2039</v>
      </c>
      <c r="C162" s="137">
        <f>[15]С2.5!$X$11</f>
        <v>0</v>
      </c>
    </row>
    <row r="163" spans="2:3" hidden="1" x14ac:dyDescent="0.2">
      <c r="B163" s="106">
        <f t="shared" si="0"/>
        <v>2040</v>
      </c>
      <c r="C163" s="137">
        <f>[15]С2.5!$Y$11</f>
        <v>0</v>
      </c>
    </row>
    <row r="164" spans="2:3" hidden="1" x14ac:dyDescent="0.2">
      <c r="B164" s="106">
        <f t="shared" si="0"/>
        <v>2041</v>
      </c>
      <c r="C164" s="137">
        <f>[15]С2.5!$Z$11</f>
        <v>0</v>
      </c>
    </row>
    <row r="165" spans="2:3" hidden="1" x14ac:dyDescent="0.2">
      <c r="B165" s="106">
        <f t="shared" si="0"/>
        <v>2042</v>
      </c>
      <c r="C165" s="137">
        <f>[15]С2.5!$AA$11</f>
        <v>0</v>
      </c>
    </row>
    <row r="166" spans="2:3" hidden="1" x14ac:dyDescent="0.2">
      <c r="B166" s="106">
        <f t="shared" si="0"/>
        <v>2043</v>
      </c>
      <c r="C166" s="137">
        <f>[15]С2.5!$AB$11</f>
        <v>0</v>
      </c>
    </row>
    <row r="167" spans="2:3" hidden="1" x14ac:dyDescent="0.2">
      <c r="B167" s="106">
        <f t="shared" si="0"/>
        <v>2044</v>
      </c>
      <c r="C167" s="137">
        <f>[15]С2.5!$AC$11</f>
        <v>0</v>
      </c>
    </row>
    <row r="168" spans="2:3" hidden="1" x14ac:dyDescent="0.2">
      <c r="B168" s="106">
        <f t="shared" si="0"/>
        <v>2045</v>
      </c>
      <c r="C168" s="137">
        <f>[15]С2.5!$AD$11</f>
        <v>0</v>
      </c>
    </row>
    <row r="169" spans="2:3" hidden="1" x14ac:dyDescent="0.2">
      <c r="B169" s="106">
        <f t="shared" si="0"/>
        <v>2046</v>
      </c>
      <c r="C169" s="137">
        <f>[15]С2.5!$AE$11</f>
        <v>0</v>
      </c>
    </row>
    <row r="170" spans="2:3" hidden="1" x14ac:dyDescent="0.2">
      <c r="B170" s="106">
        <f t="shared" si="0"/>
        <v>2047</v>
      </c>
      <c r="C170" s="137">
        <f>[15]С2.5!$AF$11</f>
        <v>0</v>
      </c>
    </row>
    <row r="171" spans="2:3" hidden="1" x14ac:dyDescent="0.2">
      <c r="B171" s="106">
        <f t="shared" si="0"/>
        <v>2048</v>
      </c>
      <c r="C171" s="137">
        <f>[15]С2.5!$AG$11</f>
        <v>0</v>
      </c>
    </row>
    <row r="172" spans="2:3" hidden="1" x14ac:dyDescent="0.2">
      <c r="B172" s="106">
        <f t="shared" si="0"/>
        <v>2049</v>
      </c>
      <c r="C172" s="137">
        <f>[15]С2.5!$AH$11</f>
        <v>0</v>
      </c>
    </row>
    <row r="173" spans="2:3" hidden="1" x14ac:dyDescent="0.2">
      <c r="B173" s="106">
        <f t="shared" si="0"/>
        <v>2050</v>
      </c>
      <c r="C173" s="137">
        <f>[15]С2.5!$AI$11</f>
        <v>0</v>
      </c>
    </row>
    <row r="174" spans="2:3" hidden="1" x14ac:dyDescent="0.2">
      <c r="B174" s="106">
        <f t="shared" si="0"/>
        <v>2051</v>
      </c>
      <c r="C174" s="137">
        <f>[15]С2.5!$AJ$11</f>
        <v>0</v>
      </c>
    </row>
    <row r="175" spans="2:3" hidden="1" x14ac:dyDescent="0.2">
      <c r="B175" s="106">
        <f t="shared" si="0"/>
        <v>2052</v>
      </c>
      <c r="C175" s="137">
        <f>[15]С2.5!$AK$11</f>
        <v>0</v>
      </c>
    </row>
    <row r="176" spans="2:3" hidden="1" x14ac:dyDescent="0.2">
      <c r="B176" s="106">
        <f t="shared" si="0"/>
        <v>2053</v>
      </c>
      <c r="C176" s="137">
        <f>[15]С2.5!$AL$11</f>
        <v>0</v>
      </c>
    </row>
    <row r="177" spans="2:3" hidden="1" x14ac:dyDescent="0.2">
      <c r="B177" s="106">
        <f t="shared" si="0"/>
        <v>2054</v>
      </c>
      <c r="C177" s="137">
        <f>[15]С2.5!$AM$11</f>
        <v>0</v>
      </c>
    </row>
    <row r="178" spans="2:3" hidden="1" x14ac:dyDescent="0.2">
      <c r="B178" s="106">
        <f t="shared" si="0"/>
        <v>2055</v>
      </c>
      <c r="C178" s="137">
        <f>[15]С2.5!$AN$11</f>
        <v>0</v>
      </c>
    </row>
    <row r="179" spans="2:3" hidden="1" x14ac:dyDescent="0.2">
      <c r="B179" s="106">
        <f t="shared" si="0"/>
        <v>2056</v>
      </c>
      <c r="C179" s="137">
        <f>[15]С2.5!$AO$11</f>
        <v>0</v>
      </c>
    </row>
    <row r="180" spans="2:3" hidden="1" x14ac:dyDescent="0.2">
      <c r="B180" s="106">
        <f t="shared" si="0"/>
        <v>2057</v>
      </c>
      <c r="C180" s="137">
        <f>[15]С2.5!$AP$11</f>
        <v>0</v>
      </c>
    </row>
    <row r="181" spans="2:3" hidden="1" x14ac:dyDescent="0.2">
      <c r="B181" s="106">
        <f t="shared" si="0"/>
        <v>2058</v>
      </c>
      <c r="C181" s="137">
        <f>[15]С2.5!$AQ$11</f>
        <v>0</v>
      </c>
    </row>
    <row r="182" spans="2:3" hidden="1" x14ac:dyDescent="0.2">
      <c r="B182" s="106">
        <f t="shared" si="0"/>
        <v>2059</v>
      </c>
      <c r="C182" s="137">
        <f>[15]С2.5!$AR$11</f>
        <v>0</v>
      </c>
    </row>
    <row r="183" spans="2:3" hidden="1" x14ac:dyDescent="0.2">
      <c r="B183" s="106">
        <f t="shared" si="0"/>
        <v>2060</v>
      </c>
      <c r="C183" s="137">
        <f>[15]С2.5!$AS$11</f>
        <v>0</v>
      </c>
    </row>
    <row r="184" spans="2:3" hidden="1" x14ac:dyDescent="0.2">
      <c r="B184" s="106">
        <f t="shared" si="0"/>
        <v>2061</v>
      </c>
      <c r="C184" s="137">
        <f>[15]С2.5!$AT$11</f>
        <v>0</v>
      </c>
    </row>
    <row r="185" spans="2:3" hidden="1" x14ac:dyDescent="0.2">
      <c r="B185" s="106">
        <f t="shared" si="0"/>
        <v>2062</v>
      </c>
      <c r="C185" s="137">
        <f>[15]С2.5!$AU$11</f>
        <v>0</v>
      </c>
    </row>
    <row r="186" spans="2:3" hidden="1" x14ac:dyDescent="0.2">
      <c r="B186" s="106">
        <f t="shared" si="0"/>
        <v>2063</v>
      </c>
      <c r="C186" s="137">
        <f>[15]С2.5!$AV$11</f>
        <v>0</v>
      </c>
    </row>
    <row r="187" spans="2:3" hidden="1" x14ac:dyDescent="0.2">
      <c r="B187" s="106">
        <f t="shared" si="0"/>
        <v>2064</v>
      </c>
      <c r="C187" s="137">
        <f>[15]С2.5!$AW$11</f>
        <v>0</v>
      </c>
    </row>
    <row r="188" spans="2:3" hidden="1" x14ac:dyDescent="0.2">
      <c r="B188" s="106">
        <f t="shared" si="0"/>
        <v>2065</v>
      </c>
      <c r="C188" s="137">
        <f>[15]С2.5!$AX$11</f>
        <v>0</v>
      </c>
    </row>
    <row r="189" spans="2:3" hidden="1" x14ac:dyDescent="0.2">
      <c r="B189" s="106">
        <f t="shared" si="0"/>
        <v>2066</v>
      </c>
      <c r="C189" s="137">
        <f>[15]С2.5!$AY$11</f>
        <v>0</v>
      </c>
    </row>
    <row r="190" spans="2:3" hidden="1" x14ac:dyDescent="0.2">
      <c r="B190" s="106">
        <f t="shared" si="0"/>
        <v>2067</v>
      </c>
      <c r="C190" s="137">
        <f>[15]С2.5!$AZ$11</f>
        <v>0</v>
      </c>
    </row>
    <row r="191" spans="2:3" hidden="1" x14ac:dyDescent="0.2">
      <c r="B191" s="106">
        <f t="shared" si="0"/>
        <v>2068</v>
      </c>
      <c r="C191" s="137">
        <f>[15]С2.5!$BA$11</f>
        <v>0</v>
      </c>
    </row>
    <row r="192" spans="2:3" hidden="1" x14ac:dyDescent="0.2">
      <c r="B192" s="106">
        <f t="shared" si="0"/>
        <v>2069</v>
      </c>
      <c r="C192" s="137">
        <f>[15]С2.5!$BB$11</f>
        <v>0</v>
      </c>
    </row>
    <row r="193" spans="2:3" hidden="1" x14ac:dyDescent="0.2">
      <c r="B193" s="106">
        <f t="shared" si="0"/>
        <v>2070</v>
      </c>
      <c r="C193" s="137">
        <f>[15]С2.5!$BC$11</f>
        <v>0</v>
      </c>
    </row>
    <row r="194" spans="2:3" hidden="1" x14ac:dyDescent="0.2">
      <c r="B194" s="106">
        <f t="shared" si="0"/>
        <v>2071</v>
      </c>
      <c r="C194" s="137">
        <f>[15]С2.5!$BD$11</f>
        <v>0</v>
      </c>
    </row>
    <row r="195" spans="2:3" hidden="1" x14ac:dyDescent="0.2">
      <c r="B195" s="106">
        <f t="shared" si="0"/>
        <v>2072</v>
      </c>
      <c r="C195" s="137">
        <f>[15]С2.5!$BE$11</f>
        <v>0</v>
      </c>
    </row>
    <row r="196" spans="2:3" hidden="1" x14ac:dyDescent="0.2">
      <c r="B196" s="106">
        <f t="shared" si="0"/>
        <v>2073</v>
      </c>
      <c r="C196" s="137">
        <f>[15]С2.5!$BF$11</f>
        <v>0</v>
      </c>
    </row>
    <row r="197" spans="2:3" hidden="1" x14ac:dyDescent="0.2">
      <c r="B197" s="106">
        <f t="shared" si="0"/>
        <v>2074</v>
      </c>
      <c r="C197" s="137">
        <f>[15]С2.5!$BG$11</f>
        <v>0</v>
      </c>
    </row>
    <row r="198" spans="2:3" hidden="1" x14ac:dyDescent="0.2">
      <c r="B198" s="106">
        <f t="shared" si="0"/>
        <v>2075</v>
      </c>
      <c r="C198" s="137">
        <f>[15]С2.5!$BH$11</f>
        <v>0</v>
      </c>
    </row>
    <row r="199" spans="2:3" hidden="1" x14ac:dyDescent="0.2">
      <c r="B199" s="106">
        <f t="shared" si="0"/>
        <v>2076</v>
      </c>
      <c r="C199" s="137">
        <f>[15]С2.5!$BI$11</f>
        <v>0</v>
      </c>
    </row>
    <row r="200" spans="2:3" hidden="1" x14ac:dyDescent="0.2">
      <c r="B200" s="106">
        <f t="shared" si="0"/>
        <v>2077</v>
      </c>
      <c r="C200" s="137">
        <f>[15]С2.5!$BJ$11</f>
        <v>0</v>
      </c>
    </row>
    <row r="201" spans="2:3" hidden="1" x14ac:dyDescent="0.2">
      <c r="B201" s="106">
        <f t="shared" si="0"/>
        <v>2078</v>
      </c>
      <c r="C201" s="137">
        <f>[15]С2.5!$BK$11</f>
        <v>0</v>
      </c>
    </row>
    <row r="202" spans="2:3" hidden="1" x14ac:dyDescent="0.2">
      <c r="B202" s="106">
        <f t="shared" si="0"/>
        <v>2079</v>
      </c>
      <c r="C202" s="137">
        <f>[15]С2.5!$BL$11</f>
        <v>0</v>
      </c>
    </row>
    <row r="203" spans="2:3" hidden="1" x14ac:dyDescent="0.2">
      <c r="B203" s="106">
        <f t="shared" si="0"/>
        <v>2080</v>
      </c>
      <c r="C203" s="137">
        <f>[15]С2.5!$BM$11</f>
        <v>0</v>
      </c>
    </row>
    <row r="204" spans="2:3" hidden="1" x14ac:dyDescent="0.2">
      <c r="B204" s="106">
        <f t="shared" si="0"/>
        <v>2081</v>
      </c>
      <c r="C204" s="137">
        <f>[15]С2.5!$BN$11</f>
        <v>0</v>
      </c>
    </row>
    <row r="205" spans="2:3" hidden="1" x14ac:dyDescent="0.2">
      <c r="B205" s="106">
        <f t="shared" si="0"/>
        <v>2082</v>
      </c>
      <c r="C205" s="137">
        <f>[15]С2.5!$BO$11</f>
        <v>0</v>
      </c>
    </row>
    <row r="206" spans="2:3" hidden="1" x14ac:dyDescent="0.2">
      <c r="B206" s="106">
        <f t="shared" si="0"/>
        <v>2083</v>
      </c>
      <c r="C206" s="137">
        <f>[15]С2.5!$BP$11</f>
        <v>0</v>
      </c>
    </row>
    <row r="207" spans="2:3" hidden="1" x14ac:dyDescent="0.2">
      <c r="B207" s="106">
        <f t="shared" si="0"/>
        <v>2084</v>
      </c>
      <c r="C207" s="137">
        <f>[15]С2.5!$BQ$11</f>
        <v>0</v>
      </c>
    </row>
    <row r="208" spans="2:3" hidden="1" x14ac:dyDescent="0.2">
      <c r="B208" s="106">
        <f t="shared" si="0"/>
        <v>2085</v>
      </c>
      <c r="C208" s="137">
        <f>[15]С2.5!$BR$11</f>
        <v>0</v>
      </c>
    </row>
    <row r="209" spans="2:3" hidden="1" x14ac:dyDescent="0.2">
      <c r="B209" s="106">
        <f t="shared" ref="B209:B223" si="1">B208+1</f>
        <v>2086</v>
      </c>
      <c r="C209" s="137">
        <f>[15]С2.5!$BS$11</f>
        <v>0</v>
      </c>
    </row>
    <row r="210" spans="2:3" hidden="1" x14ac:dyDescent="0.2">
      <c r="B210" s="106">
        <f t="shared" si="1"/>
        <v>2087</v>
      </c>
      <c r="C210" s="137">
        <f>[15]С2.5!$BT$11</f>
        <v>0</v>
      </c>
    </row>
    <row r="211" spans="2:3" hidden="1" x14ac:dyDescent="0.2">
      <c r="B211" s="106">
        <f t="shared" si="1"/>
        <v>2088</v>
      </c>
      <c r="C211" s="137">
        <f>[15]С2.5!$BU$11</f>
        <v>0</v>
      </c>
    </row>
    <row r="212" spans="2:3" hidden="1" x14ac:dyDescent="0.2">
      <c r="B212" s="106">
        <f t="shared" si="1"/>
        <v>2089</v>
      </c>
      <c r="C212" s="137">
        <f>[15]С2.5!$BV$11</f>
        <v>0</v>
      </c>
    </row>
    <row r="213" spans="2:3" hidden="1" x14ac:dyDescent="0.2">
      <c r="B213" s="106">
        <f t="shared" si="1"/>
        <v>2090</v>
      </c>
      <c r="C213" s="137">
        <f>[15]С2.5!$BW$11</f>
        <v>0</v>
      </c>
    </row>
    <row r="214" spans="2:3" hidden="1" x14ac:dyDescent="0.2">
      <c r="B214" s="106">
        <f t="shared" si="1"/>
        <v>2091</v>
      </c>
      <c r="C214" s="137">
        <f>[15]С2.5!$BX$11</f>
        <v>0</v>
      </c>
    </row>
    <row r="215" spans="2:3" hidden="1" x14ac:dyDescent="0.2">
      <c r="B215" s="106">
        <f t="shared" si="1"/>
        <v>2092</v>
      </c>
      <c r="C215" s="137">
        <f>[15]С2.5!$BY$11</f>
        <v>0</v>
      </c>
    </row>
    <row r="216" spans="2:3" hidden="1" x14ac:dyDescent="0.2">
      <c r="B216" s="106">
        <f t="shared" si="1"/>
        <v>2093</v>
      </c>
      <c r="C216" s="137">
        <f>[15]С2.5!$BZ$11</f>
        <v>0</v>
      </c>
    </row>
    <row r="217" spans="2:3" hidden="1" x14ac:dyDescent="0.2">
      <c r="B217" s="106">
        <f t="shared" si="1"/>
        <v>2094</v>
      </c>
      <c r="C217" s="137">
        <f>[15]С2.5!$CA$11</f>
        <v>0</v>
      </c>
    </row>
    <row r="218" spans="2:3" hidden="1" x14ac:dyDescent="0.2">
      <c r="B218" s="106">
        <f t="shared" si="1"/>
        <v>2095</v>
      </c>
      <c r="C218" s="137">
        <f>[15]С2.5!$CB$11</f>
        <v>0</v>
      </c>
    </row>
    <row r="219" spans="2:3" hidden="1" x14ac:dyDescent="0.2">
      <c r="B219" s="106">
        <f t="shared" si="1"/>
        <v>2096</v>
      </c>
      <c r="C219" s="137">
        <f>[15]С2.5!$CC$11</f>
        <v>0</v>
      </c>
    </row>
    <row r="220" spans="2:3" hidden="1" x14ac:dyDescent="0.2">
      <c r="B220" s="106">
        <f t="shared" si="1"/>
        <v>2097</v>
      </c>
      <c r="C220" s="137">
        <f>[15]С2.5!$CD$11</f>
        <v>0</v>
      </c>
    </row>
    <row r="221" spans="2:3" hidden="1" x14ac:dyDescent="0.2">
      <c r="B221" s="106">
        <f t="shared" si="1"/>
        <v>2098</v>
      </c>
      <c r="C221" s="137">
        <f>[15]С2.5!$CE$11</f>
        <v>0</v>
      </c>
    </row>
    <row r="222" spans="2:3" hidden="1" x14ac:dyDescent="0.2">
      <c r="B222" s="106">
        <f t="shared" si="1"/>
        <v>2099</v>
      </c>
      <c r="C222" s="137">
        <f>[15]С2.5!$CF$11</f>
        <v>0</v>
      </c>
    </row>
    <row r="223" spans="2:3" ht="13.5" hidden="1" thickBot="1" x14ac:dyDescent="0.25">
      <c r="B223" s="108">
        <f t="shared" si="1"/>
        <v>2100</v>
      </c>
      <c r="C223" s="138">
        <f>[15]С2.5!$CG$11</f>
        <v>0</v>
      </c>
    </row>
    <row r="224" spans="2:3" hidden="1" x14ac:dyDescent="0.2">
      <c r="C224" s="141"/>
    </row>
    <row r="225" spans="3:3" hidden="1" x14ac:dyDescent="0.2">
      <c r="C225" s="141"/>
    </row>
    <row r="226" spans="3:3" x14ac:dyDescent="0.2">
      <c r="C226" s="141"/>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4337" r:id="rId4" name="Button 1">
              <controlPr defaultSize="0" print="0" autoFill="0" autoPict="0" macro="[15]!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13"/>
      <c r="B1" s="142" t="s">
        <v>225</v>
      </c>
      <c r="C1" s="142"/>
    </row>
    <row r="2" spans="1:3" x14ac:dyDescent="0.2">
      <c r="A2" s="1"/>
      <c r="B2" s="3" t="s">
        <v>2</v>
      </c>
      <c r="C2" s="4">
        <f ca="1">TODAY()</f>
        <v>44944</v>
      </c>
    </row>
    <row r="3" spans="1:3" x14ac:dyDescent="0.2">
      <c r="A3" s="1"/>
      <c r="B3" s="114" t="s">
        <v>3</v>
      </c>
    </row>
    <row r="4" spans="1:3" ht="25.5" x14ac:dyDescent="0.2">
      <c r="A4" s="7"/>
      <c r="B4" s="8" t="str">
        <f>[16]И1!D13</f>
        <v>Субъект Российской Федерации</v>
      </c>
      <c r="C4" s="9" t="str">
        <f>[16]И1!E13</f>
        <v>Новосибирская область</v>
      </c>
    </row>
    <row r="5" spans="1:3" ht="51" x14ac:dyDescent="0.2">
      <c r="A5" s="7"/>
      <c r="B5" s="8" t="str">
        <f>[16]И1!D14</f>
        <v>Тип муниципального образования (выберите из списка)</v>
      </c>
      <c r="C5" s="9" t="str">
        <f>[16]И1!E14</f>
        <v>поселок Пролетарский, Ордынский муниципальный район</v>
      </c>
    </row>
    <row r="6" spans="1:3" x14ac:dyDescent="0.2">
      <c r="A6" s="7"/>
      <c r="B6" s="8" t="str">
        <f>IF([16]И1!E15="","",[16]И1!D15)</f>
        <v/>
      </c>
      <c r="C6" s="9" t="str">
        <f>IF([16]И1!E15="","",[16]И1!E15)</f>
        <v/>
      </c>
    </row>
    <row r="7" spans="1:3" x14ac:dyDescent="0.2">
      <c r="A7" s="7"/>
      <c r="B7" s="8" t="str">
        <f>[16]И1!D16</f>
        <v>Код ОКТМО</v>
      </c>
      <c r="C7" s="10" t="str">
        <f>[16]И1!E16</f>
        <v>50642422101</v>
      </c>
    </row>
    <row r="8" spans="1:3" x14ac:dyDescent="0.2">
      <c r="A8" s="7"/>
      <c r="B8" s="11" t="str">
        <f>[16]И1!D17</f>
        <v>Система теплоснабжения</v>
      </c>
      <c r="C8" s="12">
        <f>[16]И1!E17</f>
        <v>0</v>
      </c>
    </row>
    <row r="9" spans="1:3" x14ac:dyDescent="0.2">
      <c r="A9" s="7"/>
      <c r="B9" s="8" t="str">
        <f>[16]И1!D8</f>
        <v>Период регулирования (i)-й</v>
      </c>
      <c r="C9" s="13">
        <f>[16]И1!E8</f>
        <v>2023</v>
      </c>
    </row>
    <row r="10" spans="1:3" x14ac:dyDescent="0.2">
      <c r="A10" s="7"/>
      <c r="B10" s="8" t="str">
        <f>[16]И1!D9</f>
        <v>Период регулирования (i-1)-й</v>
      </c>
      <c r="C10" s="13">
        <f>[16]И1!E9</f>
        <v>2022</v>
      </c>
    </row>
    <row r="11" spans="1:3" x14ac:dyDescent="0.2">
      <c r="A11" s="7"/>
      <c r="B11" s="8" t="str">
        <f>[16]И1!D10</f>
        <v>Период регулирования (i-2)-й</v>
      </c>
      <c r="C11" s="13">
        <f>[16]И1!E10</f>
        <v>2021</v>
      </c>
    </row>
    <row r="12" spans="1:3" x14ac:dyDescent="0.2">
      <c r="A12" s="7"/>
      <c r="B12" s="8" t="str">
        <f>[16]И1!D11</f>
        <v>Базовый год (б)</v>
      </c>
      <c r="C12" s="13">
        <f>[16]И1!E11</f>
        <v>2019</v>
      </c>
    </row>
    <row r="13" spans="1:3" ht="38.25" x14ac:dyDescent="0.2">
      <c r="A13" s="7"/>
      <c r="B13" s="8" t="str">
        <f>[16]И1!D18</f>
        <v>Вид топлива, использование которого преобладает в системе теплоснабжения</v>
      </c>
      <c r="C13" s="14" t="str">
        <f>[16]С1.1!E13</f>
        <v>уголь (вид угля не указан в топливном балансе)</v>
      </c>
    </row>
    <row r="14" spans="1:3" ht="31.7" customHeight="1" thickBot="1" x14ac:dyDescent="0.25">
      <c r="A14" s="147" t="s">
        <v>4</v>
      </c>
      <c r="B14" s="147"/>
      <c r="C14" s="147"/>
    </row>
    <row r="15" spans="1:3" x14ac:dyDescent="0.2">
      <c r="A15" s="15" t="s">
        <v>5</v>
      </c>
      <c r="B15" s="115" t="s">
        <v>6</v>
      </c>
      <c r="C15" s="116" t="s">
        <v>7</v>
      </c>
    </row>
    <row r="16" spans="1:3" x14ac:dyDescent="0.2">
      <c r="A16" s="18">
        <v>1</v>
      </c>
      <c r="B16" s="117">
        <v>2</v>
      </c>
      <c r="C16" s="118">
        <v>3</v>
      </c>
    </row>
    <row r="17" spans="1:3" x14ac:dyDescent="0.2">
      <c r="A17" s="21">
        <v>1</v>
      </c>
      <c r="B17" s="22" t="s">
        <v>8</v>
      </c>
      <c r="C17" s="23">
        <f>SUM(C18:C22)</f>
        <v>4276.6977526155115</v>
      </c>
    </row>
    <row r="18" spans="1:3" ht="42.75" x14ac:dyDescent="0.2">
      <c r="A18" s="21" t="s">
        <v>9</v>
      </c>
      <c r="B18" s="24" t="s">
        <v>10</v>
      </c>
      <c r="C18" s="25">
        <f>[16]С1!F12</f>
        <v>1134.77400713722</v>
      </c>
    </row>
    <row r="19" spans="1:3" ht="42.75" x14ac:dyDescent="0.2">
      <c r="A19" s="21" t="s">
        <v>11</v>
      </c>
      <c r="B19" s="24" t="s">
        <v>12</v>
      </c>
      <c r="C19" s="25">
        <f>[16]С2!F12</f>
        <v>2106.4563180122805</v>
      </c>
    </row>
    <row r="20" spans="1:3" ht="30" x14ac:dyDescent="0.2">
      <c r="A20" s="21" t="s">
        <v>13</v>
      </c>
      <c r="B20" s="24" t="s">
        <v>14</v>
      </c>
      <c r="C20" s="25">
        <f>[16]С3!F12</f>
        <v>503.94083842199643</v>
      </c>
    </row>
    <row r="21" spans="1:3" ht="42.75" x14ac:dyDescent="0.2">
      <c r="A21" s="21" t="s">
        <v>15</v>
      </c>
      <c r="B21" s="24" t="s">
        <v>226</v>
      </c>
      <c r="C21" s="25">
        <f>[16]С4!F12</f>
        <v>447.6697703652797</v>
      </c>
    </row>
    <row r="22" spans="1:3" ht="30" x14ac:dyDescent="0.2">
      <c r="A22" s="21" t="s">
        <v>17</v>
      </c>
      <c r="B22" s="24" t="s">
        <v>227</v>
      </c>
      <c r="C22" s="25">
        <f>[16]С5!F12</f>
        <v>83.856818678735522</v>
      </c>
    </row>
    <row r="23" spans="1:3" ht="43.5" thickBot="1" x14ac:dyDescent="0.25">
      <c r="A23" s="26" t="s">
        <v>19</v>
      </c>
      <c r="B23" s="98" t="s">
        <v>228</v>
      </c>
      <c r="C23" s="28" t="str">
        <f>[16]С6!F12</f>
        <v>-</v>
      </c>
    </row>
    <row r="24" spans="1:3" ht="13.5" thickBot="1" x14ac:dyDescent="0.25">
      <c r="A24" s="1"/>
    </row>
    <row r="25" spans="1:3" x14ac:dyDescent="0.2">
      <c r="A25" s="15" t="s">
        <v>5</v>
      </c>
      <c r="B25" s="29" t="s">
        <v>6</v>
      </c>
      <c r="C25" s="16" t="s">
        <v>7</v>
      </c>
    </row>
    <row r="26" spans="1:3" x14ac:dyDescent="0.2">
      <c r="A26" s="18">
        <v>1</v>
      </c>
      <c r="B26" s="30">
        <v>2</v>
      </c>
      <c r="C26" s="31">
        <v>3</v>
      </c>
    </row>
    <row r="27" spans="1:3" ht="30" customHeight="1" x14ac:dyDescent="0.2">
      <c r="A27" s="21">
        <v>1</v>
      </c>
      <c r="B27" s="144" t="s">
        <v>21</v>
      </c>
      <c r="C27" s="144"/>
    </row>
    <row r="28" spans="1:3" x14ac:dyDescent="0.2">
      <c r="A28" s="21" t="s">
        <v>9</v>
      </c>
      <c r="B28" s="32" t="s">
        <v>229</v>
      </c>
      <c r="C28" s="33">
        <f>[16]С1.1!E16</f>
        <v>5100</v>
      </c>
    </row>
    <row r="29" spans="1:3" ht="42.75" x14ac:dyDescent="0.2">
      <c r="A29" s="21" t="s">
        <v>11</v>
      </c>
      <c r="B29" s="32" t="s">
        <v>230</v>
      </c>
      <c r="C29" s="33">
        <f>[16]С1.1!E27</f>
        <v>3051.2176603165626</v>
      </c>
    </row>
    <row r="30" spans="1:3" ht="17.25" x14ac:dyDescent="0.2">
      <c r="A30" s="21" t="s">
        <v>13</v>
      </c>
      <c r="B30" s="32" t="s">
        <v>30</v>
      </c>
      <c r="C30" s="35">
        <f>[16]С1.1!E19</f>
        <v>0.59499999999999997</v>
      </c>
    </row>
    <row r="31" spans="1:3" ht="17.25" x14ac:dyDescent="0.2">
      <c r="A31" s="21" t="s">
        <v>15</v>
      </c>
      <c r="B31" s="32" t="s">
        <v>31</v>
      </c>
      <c r="C31" s="35">
        <f>[16]С1.1!E20</f>
        <v>-0.113</v>
      </c>
    </row>
    <row r="32" spans="1:3" ht="30" x14ac:dyDescent="0.2">
      <c r="A32" s="21" t="s">
        <v>17</v>
      </c>
      <c r="B32" s="36" t="s">
        <v>231</v>
      </c>
      <c r="C32" s="119">
        <f>[16]С1!F13</f>
        <v>176.4</v>
      </c>
    </row>
    <row r="33" spans="1:3" x14ac:dyDescent="0.2">
      <c r="A33" s="21" t="s">
        <v>19</v>
      </c>
      <c r="B33" s="36" t="s">
        <v>33</v>
      </c>
      <c r="C33" s="38">
        <f>[16]С1!F16</f>
        <v>7000</v>
      </c>
    </row>
    <row r="34" spans="1:3" ht="14.25" x14ac:dyDescent="0.2">
      <c r="A34" s="21" t="s">
        <v>34</v>
      </c>
      <c r="B34" s="40" t="s">
        <v>232</v>
      </c>
      <c r="C34" s="41">
        <f>[16]С1!F17</f>
        <v>0.72857142857142854</v>
      </c>
    </row>
    <row r="35" spans="1:3" ht="15.75" x14ac:dyDescent="0.2">
      <c r="A35" s="120" t="s">
        <v>36</v>
      </c>
      <c r="B35" s="43" t="s">
        <v>37</v>
      </c>
      <c r="C35" s="41">
        <f>[16]С1!F20</f>
        <v>21.588411179999994</v>
      </c>
    </row>
    <row r="36" spans="1:3" ht="15.75" x14ac:dyDescent="0.2">
      <c r="A36" s="120" t="s">
        <v>38</v>
      </c>
      <c r="B36" s="44" t="s">
        <v>39</v>
      </c>
      <c r="C36" s="41">
        <f>[16]С1!F21</f>
        <v>20.818139999999996</v>
      </c>
    </row>
    <row r="37" spans="1:3" ht="14.25" x14ac:dyDescent="0.2">
      <c r="A37" s="120" t="s">
        <v>40</v>
      </c>
      <c r="B37" s="45" t="s">
        <v>41</v>
      </c>
      <c r="C37" s="41">
        <f>[16]С1!F22</f>
        <v>1.0369999999999999</v>
      </c>
    </row>
    <row r="38" spans="1:3" ht="53.25" thickBot="1" x14ac:dyDescent="0.25">
      <c r="A38" s="26" t="s">
        <v>42</v>
      </c>
      <c r="B38" s="46" t="s">
        <v>43</v>
      </c>
      <c r="C38" s="47">
        <f>[16]С1!F23</f>
        <v>1.0469999999999999</v>
      </c>
    </row>
    <row r="39" spans="1:3" ht="13.5" thickBot="1" x14ac:dyDescent="0.25">
      <c r="A39" s="48"/>
      <c r="B39" s="121"/>
      <c r="C39" s="122"/>
    </row>
    <row r="40" spans="1:3" ht="30" customHeight="1" x14ac:dyDescent="0.2">
      <c r="A40" s="50" t="s">
        <v>44</v>
      </c>
      <c r="B40" s="146" t="s">
        <v>45</v>
      </c>
      <c r="C40" s="146"/>
    </row>
    <row r="41" spans="1:3" ht="25.5" x14ac:dyDescent="0.2">
      <c r="A41" s="21" t="s">
        <v>46</v>
      </c>
      <c r="B41" s="36" t="s">
        <v>47</v>
      </c>
      <c r="C41" s="51" t="str">
        <f>[16]С2.1!E12</f>
        <v>V</v>
      </c>
    </row>
    <row r="42" spans="1:3" ht="25.5" x14ac:dyDescent="0.2">
      <c r="A42" s="21" t="s">
        <v>48</v>
      </c>
      <c r="B42" s="32" t="s">
        <v>49</v>
      </c>
      <c r="C42" s="51" t="str">
        <f>[16]С2.1!E13</f>
        <v>6 и менее баллов</v>
      </c>
    </row>
    <row r="43" spans="1:3" ht="25.5" x14ac:dyDescent="0.2">
      <c r="A43" s="21" t="s">
        <v>50</v>
      </c>
      <c r="B43" s="32" t="s">
        <v>233</v>
      </c>
      <c r="C43" s="51" t="str">
        <f>[16]С2.1!E14</f>
        <v>от 200 до 500</v>
      </c>
    </row>
    <row r="44" spans="1:3" ht="25.5" x14ac:dyDescent="0.2">
      <c r="A44" s="21" t="s">
        <v>52</v>
      </c>
      <c r="B44" s="32" t="s">
        <v>234</v>
      </c>
      <c r="C44" s="52" t="str">
        <f>[16]С2.1!E15</f>
        <v>нет</v>
      </c>
    </row>
    <row r="45" spans="1:3" ht="30" x14ac:dyDescent="0.2">
      <c r="A45" s="21" t="s">
        <v>54</v>
      </c>
      <c r="B45" s="32" t="s">
        <v>55</v>
      </c>
      <c r="C45" s="33">
        <f>[16]С2!F18</f>
        <v>32402.627334033532</v>
      </c>
    </row>
    <row r="46" spans="1:3" ht="30" x14ac:dyDescent="0.2">
      <c r="A46" s="21" t="s">
        <v>56</v>
      </c>
      <c r="B46" s="53" t="s">
        <v>57</v>
      </c>
      <c r="C46" s="33">
        <f>IF([16]С2!F19&gt;0,[16]С2!F19,[16]С2!F20)</f>
        <v>23441.524932855718</v>
      </c>
    </row>
    <row r="47" spans="1:3" ht="25.5" x14ac:dyDescent="0.2">
      <c r="A47" s="21" t="s">
        <v>58</v>
      </c>
      <c r="B47" s="54" t="s">
        <v>59</v>
      </c>
      <c r="C47" s="33">
        <f>[16]С2.1!E19</f>
        <v>-37</v>
      </c>
    </row>
    <row r="48" spans="1:3" ht="25.5" x14ac:dyDescent="0.2">
      <c r="A48" s="21" t="s">
        <v>60</v>
      </c>
      <c r="B48" s="54" t="s">
        <v>61</v>
      </c>
      <c r="C48" s="33" t="str">
        <f>[16]С2.1!E22</f>
        <v>нет</v>
      </c>
    </row>
    <row r="49" spans="1:3" ht="38.25" x14ac:dyDescent="0.2">
      <c r="A49" s="21" t="s">
        <v>62</v>
      </c>
      <c r="B49" s="55" t="s">
        <v>63</v>
      </c>
      <c r="C49" s="33">
        <f>[16]С2.2!E10</f>
        <v>1287</v>
      </c>
    </row>
    <row r="50" spans="1:3" ht="25.5" x14ac:dyDescent="0.2">
      <c r="A50" s="21" t="s">
        <v>64</v>
      </c>
      <c r="B50" s="56" t="s">
        <v>65</v>
      </c>
      <c r="C50" s="33">
        <f>[16]С2.2!E12</f>
        <v>5.97</v>
      </c>
    </row>
    <row r="51" spans="1:3" ht="52.5" x14ac:dyDescent="0.2">
      <c r="A51" s="21" t="s">
        <v>66</v>
      </c>
      <c r="B51" s="57" t="s">
        <v>67</v>
      </c>
      <c r="C51" s="33">
        <f>[16]С2.2!E13</f>
        <v>1</v>
      </c>
    </row>
    <row r="52" spans="1:3" ht="27.75" x14ac:dyDescent="0.2">
      <c r="A52" s="21" t="s">
        <v>68</v>
      </c>
      <c r="B52" s="56" t="s">
        <v>69</v>
      </c>
      <c r="C52" s="33">
        <f>[16]С2.2!E14</f>
        <v>12104</v>
      </c>
    </row>
    <row r="53" spans="1:3" ht="25.5" x14ac:dyDescent="0.2">
      <c r="A53" s="21" t="s">
        <v>70</v>
      </c>
      <c r="B53" s="57" t="s">
        <v>71</v>
      </c>
      <c r="C53" s="35">
        <f>[16]С2.2!E15</f>
        <v>4.8000000000000001E-2</v>
      </c>
    </row>
    <row r="54" spans="1:3" x14ac:dyDescent="0.2">
      <c r="A54" s="21" t="s">
        <v>72</v>
      </c>
      <c r="B54" s="57" t="s">
        <v>73</v>
      </c>
      <c r="C54" s="33">
        <f>[16]С2.2!E16</f>
        <v>1</v>
      </c>
    </row>
    <row r="55" spans="1:3" ht="15.75" x14ac:dyDescent="0.2">
      <c r="A55" s="21" t="s">
        <v>74</v>
      </c>
      <c r="B55" s="59" t="s">
        <v>75</v>
      </c>
      <c r="C55" s="33">
        <f>[16]С2!F21</f>
        <v>1</v>
      </c>
    </row>
    <row r="56" spans="1:3" ht="30" x14ac:dyDescent="0.2">
      <c r="A56" s="60" t="s">
        <v>76</v>
      </c>
      <c r="B56" s="32" t="s">
        <v>235</v>
      </c>
      <c r="C56" s="33">
        <f>[16]С2!F13</f>
        <v>169640.22915965237</v>
      </c>
    </row>
    <row r="57" spans="1:3" ht="30" x14ac:dyDescent="0.2">
      <c r="A57" s="60" t="s">
        <v>78</v>
      </c>
      <c r="B57" s="59" t="s">
        <v>236</v>
      </c>
      <c r="C57" s="33">
        <f>[16]С2!F14</f>
        <v>113455</v>
      </c>
    </row>
    <row r="58" spans="1:3" ht="15.75" x14ac:dyDescent="0.2">
      <c r="A58" s="60" t="s">
        <v>80</v>
      </c>
      <c r="B58" s="61" t="s">
        <v>81</v>
      </c>
      <c r="C58" s="41">
        <f>[16]С2!F15</f>
        <v>1.071</v>
      </c>
    </row>
    <row r="59" spans="1:3" ht="15.75" x14ac:dyDescent="0.2">
      <c r="A59" s="60" t="s">
        <v>82</v>
      </c>
      <c r="B59" s="61" t="s">
        <v>83</v>
      </c>
      <c r="C59" s="41">
        <f>[16]С2!F16</f>
        <v>1</v>
      </c>
    </row>
    <row r="60" spans="1:3" ht="17.25" x14ac:dyDescent="0.2">
      <c r="A60" s="60" t="s">
        <v>84</v>
      </c>
      <c r="B60" s="59" t="s">
        <v>85</v>
      </c>
      <c r="C60" s="33">
        <f>[16]С2!F17</f>
        <v>1.01</v>
      </c>
    </row>
    <row r="61" spans="1:3" s="66" customFormat="1" ht="14.25" x14ac:dyDescent="0.2">
      <c r="A61" s="60" t="s">
        <v>86</v>
      </c>
      <c r="B61" s="64" t="s">
        <v>87</v>
      </c>
      <c r="C61" s="65">
        <f>[16]С2!F33</f>
        <v>10</v>
      </c>
    </row>
    <row r="62" spans="1:3" ht="30" x14ac:dyDescent="0.2">
      <c r="A62" s="60" t="s">
        <v>88</v>
      </c>
      <c r="B62" s="67" t="s">
        <v>89</v>
      </c>
      <c r="C62" s="33">
        <f>[16]С2!F26</f>
        <v>1168.8344047018327</v>
      </c>
    </row>
    <row r="63" spans="1:3" ht="17.25" x14ac:dyDescent="0.2">
      <c r="A63" s="60" t="s">
        <v>90</v>
      </c>
      <c r="B63" s="53" t="s">
        <v>237</v>
      </c>
      <c r="C63" s="33">
        <f>[16]С2!F27</f>
        <v>0.201330388</v>
      </c>
    </row>
    <row r="64" spans="1:3" ht="17.25" x14ac:dyDescent="0.2">
      <c r="A64" s="60" t="s">
        <v>92</v>
      </c>
      <c r="B64" s="59" t="s">
        <v>238</v>
      </c>
      <c r="C64" s="65">
        <f>[16]С2!F28</f>
        <v>4200</v>
      </c>
    </row>
    <row r="65" spans="1:3" ht="42.75" x14ac:dyDescent="0.2">
      <c r="A65" s="60" t="s">
        <v>94</v>
      </c>
      <c r="B65" s="32" t="s">
        <v>239</v>
      </c>
      <c r="C65" s="33">
        <f>[16]С2!F22</f>
        <v>35717.748653137714</v>
      </c>
    </row>
    <row r="66" spans="1:3" ht="30" x14ac:dyDescent="0.2">
      <c r="A66" s="60" t="s">
        <v>96</v>
      </c>
      <c r="B66" s="61" t="s">
        <v>240</v>
      </c>
      <c r="C66" s="33">
        <f>[16]С2!F23</f>
        <v>1990</v>
      </c>
    </row>
    <row r="67" spans="1:3" ht="30" x14ac:dyDescent="0.2">
      <c r="A67" s="60" t="s">
        <v>98</v>
      </c>
      <c r="B67" s="53" t="s">
        <v>99</v>
      </c>
      <c r="C67" s="33">
        <f>[16]С2.1!E27</f>
        <v>14307.876789999998</v>
      </c>
    </row>
    <row r="68" spans="1:3" ht="38.25" x14ac:dyDescent="0.2">
      <c r="A68" s="60" t="s">
        <v>100</v>
      </c>
      <c r="B68" s="68" t="s">
        <v>101</v>
      </c>
      <c r="C68" s="52">
        <f>[16]С2.3!E21</f>
        <v>0</v>
      </c>
    </row>
    <row r="69" spans="1:3" ht="25.5" x14ac:dyDescent="0.2">
      <c r="A69" s="60" t="s">
        <v>102</v>
      </c>
      <c r="B69" s="69" t="s">
        <v>103</v>
      </c>
      <c r="C69" s="70">
        <f>[16]С2.3!E11</f>
        <v>9.89</v>
      </c>
    </row>
    <row r="70" spans="1:3" ht="25.5" x14ac:dyDescent="0.2">
      <c r="A70" s="60" t="s">
        <v>104</v>
      </c>
      <c r="B70" s="69" t="s">
        <v>105</v>
      </c>
      <c r="C70" s="65">
        <f>[16]С2.3!E13</f>
        <v>300</v>
      </c>
    </row>
    <row r="71" spans="1:3" ht="25.5" x14ac:dyDescent="0.2">
      <c r="A71" s="60" t="s">
        <v>106</v>
      </c>
      <c r="B71" s="68" t="s">
        <v>107</v>
      </c>
      <c r="C71" s="71">
        <f>IF([16]С2.3!E22&gt;0,[16]С2.3!E22,[16]С2.3!E14)</f>
        <v>61211</v>
      </c>
    </row>
    <row r="72" spans="1:3" ht="38.25" x14ac:dyDescent="0.2">
      <c r="A72" s="60" t="s">
        <v>108</v>
      </c>
      <c r="B72" s="68" t="s">
        <v>109</v>
      </c>
      <c r="C72" s="71">
        <f>IF([16]С2.3!E23&gt;0,[16]С2.3!E23,[16]С2.3!E15)</f>
        <v>45675</v>
      </c>
    </row>
    <row r="73" spans="1:3" ht="30" x14ac:dyDescent="0.2">
      <c r="A73" s="60" t="s">
        <v>110</v>
      </c>
      <c r="B73" s="53" t="s">
        <v>111</v>
      </c>
      <c r="C73" s="33">
        <f>[16]С2.1!E28</f>
        <v>9541.9567200000001</v>
      </c>
    </row>
    <row r="74" spans="1:3" ht="38.25" x14ac:dyDescent="0.2">
      <c r="A74" s="60" t="s">
        <v>112</v>
      </c>
      <c r="B74" s="68" t="s">
        <v>113</v>
      </c>
      <c r="C74" s="52">
        <f>[16]С2.3!E25</f>
        <v>0</v>
      </c>
    </row>
    <row r="75" spans="1:3" ht="25.5" x14ac:dyDescent="0.2">
      <c r="A75" s="60" t="s">
        <v>114</v>
      </c>
      <c r="B75" s="69" t="s">
        <v>115</v>
      </c>
      <c r="C75" s="70">
        <f>[16]С2.3!E12</f>
        <v>0.56000000000000005</v>
      </c>
    </row>
    <row r="76" spans="1:3" ht="25.5" x14ac:dyDescent="0.2">
      <c r="A76" s="60" t="s">
        <v>116</v>
      </c>
      <c r="B76" s="69" t="s">
        <v>105</v>
      </c>
      <c r="C76" s="65">
        <f>[16]С2.3!E13</f>
        <v>300</v>
      </c>
    </row>
    <row r="77" spans="1:3" ht="25.5" x14ac:dyDescent="0.2">
      <c r="A77" s="60" t="s">
        <v>117</v>
      </c>
      <c r="B77" s="72" t="s">
        <v>118</v>
      </c>
      <c r="C77" s="71">
        <f>IF([16]С2.3!E26&gt;0,[16]С2.3!E26,[16]С2.3!E16)</f>
        <v>65637</v>
      </c>
    </row>
    <row r="78" spans="1:3" ht="38.25" x14ac:dyDescent="0.2">
      <c r="A78" s="60" t="s">
        <v>119</v>
      </c>
      <c r="B78" s="72" t="s">
        <v>120</v>
      </c>
      <c r="C78" s="71">
        <f>IF([16]С2.3!E27&gt;0,[16]С2.3!E27,[16]С2.3!E17)</f>
        <v>31684</v>
      </c>
    </row>
    <row r="79" spans="1:3" ht="17.25" x14ac:dyDescent="0.2">
      <c r="A79" s="60" t="s">
        <v>123</v>
      </c>
      <c r="B79" s="32" t="s">
        <v>124</v>
      </c>
      <c r="C79" s="35">
        <f>[16]С2!F29</f>
        <v>0.128978033685065</v>
      </c>
    </row>
    <row r="80" spans="1:3" ht="30" x14ac:dyDescent="0.2">
      <c r="A80" s="60" t="s">
        <v>125</v>
      </c>
      <c r="B80" s="53" t="s">
        <v>126</v>
      </c>
      <c r="C80" s="73">
        <f>[16]С2!F30</f>
        <v>0.11668498168498169</v>
      </c>
    </row>
    <row r="81" spans="1:3" ht="17.25" x14ac:dyDescent="0.2">
      <c r="A81" s="60" t="s">
        <v>127</v>
      </c>
      <c r="B81" s="74" t="s">
        <v>128</v>
      </c>
      <c r="C81" s="35">
        <f>[16]С2!F31</f>
        <v>0.13880000000000001</v>
      </c>
    </row>
    <row r="82" spans="1:3" s="66" customFormat="1" ht="18" thickBot="1" x14ac:dyDescent="0.25">
      <c r="A82" s="75" t="s">
        <v>129</v>
      </c>
      <c r="B82" s="76" t="s">
        <v>130</v>
      </c>
      <c r="C82" s="77">
        <f>[16]С2!F32</f>
        <v>0.12640000000000001</v>
      </c>
    </row>
    <row r="83" spans="1:3" ht="13.5" thickBot="1" x14ac:dyDescent="0.25">
      <c r="A83" s="48"/>
      <c r="B83" s="49"/>
      <c r="C83" s="14"/>
    </row>
    <row r="84" spans="1:3" s="66" customFormat="1" ht="30" customHeight="1" x14ac:dyDescent="0.2">
      <c r="A84" s="78" t="s">
        <v>131</v>
      </c>
      <c r="B84" s="146" t="s">
        <v>132</v>
      </c>
      <c r="C84" s="146"/>
    </row>
    <row r="85" spans="1:3" s="66" customFormat="1" ht="30" x14ac:dyDescent="0.2">
      <c r="A85" s="79" t="s">
        <v>133</v>
      </c>
      <c r="B85" s="32" t="s">
        <v>134</v>
      </c>
      <c r="C85" s="33">
        <f>[16]С3!F14</f>
        <v>7000.4488806189811</v>
      </c>
    </row>
    <row r="86" spans="1:3" s="66" customFormat="1" ht="42.75" x14ac:dyDescent="0.2">
      <c r="A86" s="79" t="s">
        <v>135</v>
      </c>
      <c r="B86" s="53" t="s">
        <v>136</v>
      </c>
      <c r="C86" s="80">
        <f>[16]С3!F15</f>
        <v>0.2</v>
      </c>
    </row>
    <row r="87" spans="1:3" s="66" customFormat="1" ht="14.25" x14ac:dyDescent="0.2">
      <c r="A87" s="79" t="s">
        <v>137</v>
      </c>
      <c r="B87" s="81" t="s">
        <v>138</v>
      </c>
      <c r="C87" s="65">
        <f>[16]С3!F18</f>
        <v>15</v>
      </c>
    </row>
    <row r="88" spans="1:3" s="66" customFormat="1" ht="17.25" x14ac:dyDescent="0.2">
      <c r="A88" s="79" t="s">
        <v>139</v>
      </c>
      <c r="B88" s="32" t="s">
        <v>140</v>
      </c>
      <c r="C88" s="33">
        <f>[16]С3!F19</f>
        <v>3487.1555421534131</v>
      </c>
    </row>
    <row r="89" spans="1:3" s="66" customFormat="1" ht="55.5" x14ac:dyDescent="0.2">
      <c r="A89" s="79" t="s">
        <v>141</v>
      </c>
      <c r="B89" s="53" t="s">
        <v>142</v>
      </c>
      <c r="C89" s="82">
        <f>[16]С3!F20</f>
        <v>2.1999999999999999E-2</v>
      </c>
    </row>
    <row r="90" spans="1:3" s="66" customFormat="1" ht="14.25" x14ac:dyDescent="0.2">
      <c r="A90" s="79" t="s">
        <v>143</v>
      </c>
      <c r="B90" s="59" t="s">
        <v>87</v>
      </c>
      <c r="C90" s="65">
        <f>[16]С3!F21</f>
        <v>10</v>
      </c>
    </row>
    <row r="91" spans="1:3" s="66" customFormat="1" ht="17.25" x14ac:dyDescent="0.2">
      <c r="A91" s="79" t="s">
        <v>144</v>
      </c>
      <c r="B91" s="32" t="s">
        <v>145</v>
      </c>
      <c r="C91" s="33">
        <f>[16]С3!F22</f>
        <v>3.5065032141054981</v>
      </c>
    </row>
    <row r="92" spans="1:3" s="66" customFormat="1" ht="55.5" x14ac:dyDescent="0.2">
      <c r="A92" s="79" t="s">
        <v>146</v>
      </c>
      <c r="B92" s="53" t="s">
        <v>147</v>
      </c>
      <c r="C92" s="82">
        <f>[16]С3!F23</f>
        <v>3.0000000000000001E-3</v>
      </c>
    </row>
    <row r="93" spans="1:3" s="66" customFormat="1" ht="27.75" thickBot="1" x14ac:dyDescent="0.25">
      <c r="A93" s="83" t="s">
        <v>148</v>
      </c>
      <c r="B93" s="84" t="s">
        <v>241</v>
      </c>
      <c r="C93" s="85">
        <f>[16]С3!F24</f>
        <v>1168.8344047018327</v>
      </c>
    </row>
    <row r="94" spans="1:3" ht="13.5" thickBot="1" x14ac:dyDescent="0.25">
      <c r="A94" s="48"/>
      <c r="B94" s="49"/>
      <c r="C94" s="14"/>
    </row>
    <row r="95" spans="1:3" ht="30" customHeight="1" x14ac:dyDescent="0.2">
      <c r="A95" s="86" t="s">
        <v>149</v>
      </c>
      <c r="B95" s="146" t="s">
        <v>150</v>
      </c>
      <c r="C95" s="146"/>
    </row>
    <row r="96" spans="1:3" ht="30" x14ac:dyDescent="0.2">
      <c r="A96" s="60" t="s">
        <v>151</v>
      </c>
      <c r="B96" s="32" t="s">
        <v>242</v>
      </c>
      <c r="C96" s="33">
        <f>[16]С4!F16</f>
        <v>1652.5</v>
      </c>
    </row>
    <row r="97" spans="1:3" ht="30" x14ac:dyDescent="0.2">
      <c r="A97" s="60" t="s">
        <v>153</v>
      </c>
      <c r="B97" s="59" t="s">
        <v>243</v>
      </c>
      <c r="C97" s="33">
        <f>[16]С4!F17</f>
        <v>73547</v>
      </c>
    </row>
    <row r="98" spans="1:3" ht="33" x14ac:dyDescent="0.2">
      <c r="A98" s="60" t="s">
        <v>155</v>
      </c>
      <c r="B98" s="59" t="s">
        <v>156</v>
      </c>
      <c r="C98" s="41">
        <f>[16]С4!F18</f>
        <v>0.02</v>
      </c>
    </row>
    <row r="99" spans="1:3" ht="30" x14ac:dyDescent="0.2">
      <c r="A99" s="60" t="s">
        <v>157</v>
      </c>
      <c r="B99" s="59" t="s">
        <v>158</v>
      </c>
      <c r="C99" s="33">
        <f>[16]С4!F19</f>
        <v>12104</v>
      </c>
    </row>
    <row r="100" spans="1:3" ht="28.5" x14ac:dyDescent="0.2">
      <c r="A100" s="60" t="s">
        <v>159</v>
      </c>
      <c r="B100" s="59" t="s">
        <v>160</v>
      </c>
      <c r="C100" s="41">
        <f>[16]С4!F20</f>
        <v>1.4999999999999999E-2</v>
      </c>
    </row>
    <row r="101" spans="1:3" ht="30" x14ac:dyDescent="0.2">
      <c r="A101" s="60" t="s">
        <v>161</v>
      </c>
      <c r="B101" s="32" t="s">
        <v>244</v>
      </c>
      <c r="C101" s="33">
        <f>[16]С4!F21</f>
        <v>1933.1949342509995</v>
      </c>
    </row>
    <row r="102" spans="1:3" ht="24" customHeight="1" x14ac:dyDescent="0.2">
      <c r="A102" s="60" t="s">
        <v>163</v>
      </c>
      <c r="B102" s="53" t="s">
        <v>164</v>
      </c>
      <c r="C102" s="34">
        <f>IF([16]С4.2!F8="да",[16]С4.2!D21,[16]С4.2!D15)</f>
        <v>0</v>
      </c>
    </row>
    <row r="103" spans="1:3" ht="68.25" x14ac:dyDescent="0.2">
      <c r="A103" s="60" t="s">
        <v>165</v>
      </c>
      <c r="B103" s="53" t="s">
        <v>166</v>
      </c>
      <c r="C103" s="33">
        <f>[16]С4!F22</f>
        <v>3.6112641666666665</v>
      </c>
    </row>
    <row r="104" spans="1:3" ht="30" x14ac:dyDescent="0.2">
      <c r="A104" s="60" t="s">
        <v>167</v>
      </c>
      <c r="B104" s="59" t="s">
        <v>245</v>
      </c>
      <c r="C104" s="33">
        <f>[16]С4!F23</f>
        <v>180</v>
      </c>
    </row>
    <row r="105" spans="1:3" ht="14.25" x14ac:dyDescent="0.2">
      <c r="A105" s="60" t="s">
        <v>169</v>
      </c>
      <c r="B105" s="53" t="s">
        <v>170</v>
      </c>
      <c r="C105" s="33">
        <f>[16]С4!F24</f>
        <v>8497.1999999999989</v>
      </c>
    </row>
    <row r="106" spans="1:3" ht="14.25" x14ac:dyDescent="0.2">
      <c r="A106" s="60" t="s">
        <v>171</v>
      </c>
      <c r="B106" s="59" t="s">
        <v>172</v>
      </c>
      <c r="C106" s="41">
        <f>[16]С4!F25</f>
        <v>0.35</v>
      </c>
    </row>
    <row r="107" spans="1:3" ht="17.25" x14ac:dyDescent="0.2">
      <c r="A107" s="60" t="s">
        <v>173</v>
      </c>
      <c r="B107" s="32" t="s">
        <v>174</v>
      </c>
      <c r="C107" s="33">
        <f>[16]С4!F26</f>
        <v>63.838589999999996</v>
      </c>
    </row>
    <row r="108" spans="1:3" ht="25.5" x14ac:dyDescent="0.2">
      <c r="A108" s="60" t="s">
        <v>175</v>
      </c>
      <c r="B108" s="53" t="s">
        <v>101</v>
      </c>
      <c r="C108" s="34">
        <f>[16]С4.3!E16</f>
        <v>0</v>
      </c>
    </row>
    <row r="109" spans="1:3" ht="25.5" x14ac:dyDescent="0.2">
      <c r="A109" s="60" t="s">
        <v>176</v>
      </c>
      <c r="B109" s="53" t="s">
        <v>177</v>
      </c>
      <c r="C109" s="33">
        <f>[16]С4.3!E17</f>
        <v>15.27</v>
      </c>
    </row>
    <row r="110" spans="1:3" ht="38.25" x14ac:dyDescent="0.2">
      <c r="A110" s="60" t="s">
        <v>178</v>
      </c>
      <c r="B110" s="53" t="s">
        <v>113</v>
      </c>
      <c r="C110" s="34">
        <f>[16]С4.3!E18</f>
        <v>0</v>
      </c>
    </row>
    <row r="111" spans="1:3" x14ac:dyDescent="0.2">
      <c r="A111" s="60" t="s">
        <v>179</v>
      </c>
      <c r="B111" s="53" t="s">
        <v>180</v>
      </c>
      <c r="C111" s="33">
        <f>[16]С4.3!E19</f>
        <v>50.424999999999997</v>
      </c>
    </row>
    <row r="112" spans="1:3" x14ac:dyDescent="0.2">
      <c r="A112" s="60" t="s">
        <v>181</v>
      </c>
      <c r="B112" s="59" t="s">
        <v>182</v>
      </c>
      <c r="C112" s="33">
        <f>[16]С4.3!E11</f>
        <v>1871</v>
      </c>
    </row>
    <row r="113" spans="1:3" x14ac:dyDescent="0.2">
      <c r="A113" s="60" t="s">
        <v>183</v>
      </c>
      <c r="B113" s="59" t="s">
        <v>184</v>
      </c>
      <c r="C113" s="52">
        <f>[16]С4.3!E12</f>
        <v>1636</v>
      </c>
    </row>
    <row r="114" spans="1:3" x14ac:dyDescent="0.2">
      <c r="A114" s="60" t="s">
        <v>185</v>
      </c>
      <c r="B114" s="59" t="s">
        <v>186</v>
      </c>
      <c r="C114" s="52">
        <f>[16]С4.3!E13</f>
        <v>204</v>
      </c>
    </row>
    <row r="115" spans="1:3" ht="30" x14ac:dyDescent="0.2">
      <c r="A115" s="60" t="s">
        <v>187</v>
      </c>
      <c r="B115" s="32" t="s">
        <v>246</v>
      </c>
      <c r="C115" s="33">
        <f>[16]С4!F27</f>
        <v>1351.1912129385403</v>
      </c>
    </row>
    <row r="116" spans="1:3" ht="25.5" x14ac:dyDescent="0.2">
      <c r="A116" s="60" t="s">
        <v>189</v>
      </c>
      <c r="B116" s="53" t="s">
        <v>247</v>
      </c>
      <c r="C116" s="33">
        <f>[16]С4!F28</f>
        <v>1037.7812695380494</v>
      </c>
    </row>
    <row r="117" spans="1:3" ht="42.75" x14ac:dyDescent="0.2">
      <c r="A117" s="60" t="s">
        <v>191</v>
      </c>
      <c r="B117" s="53" t="s">
        <v>192</v>
      </c>
      <c r="C117" s="33">
        <f>[16]С4!F29</f>
        <v>313.40994340049093</v>
      </c>
    </row>
    <row r="118" spans="1:3" ht="30" x14ac:dyDescent="0.2">
      <c r="A118" s="60" t="s">
        <v>193</v>
      </c>
      <c r="B118" s="40" t="s">
        <v>194</v>
      </c>
      <c r="C118" s="33">
        <f>[16]С4!F30</f>
        <v>2407.2765628358447</v>
      </c>
    </row>
    <row r="119" spans="1:3" ht="42.75" x14ac:dyDescent="0.2">
      <c r="A119" s="60" t="s">
        <v>248</v>
      </c>
      <c r="B119" s="90" t="s">
        <v>249</v>
      </c>
      <c r="C119" s="33">
        <f>[16]С4!F33</f>
        <v>1670.7125714260549</v>
      </c>
    </row>
    <row r="120" spans="1:3" ht="30" x14ac:dyDescent="0.2">
      <c r="A120" s="60" t="s">
        <v>250</v>
      </c>
      <c r="B120" s="123" t="s">
        <v>251</v>
      </c>
      <c r="C120" s="33">
        <f>[16]С4!F35</f>
        <v>17.040680999999999</v>
      </c>
    </row>
    <row r="121" spans="1:3" ht="14.25" x14ac:dyDescent="0.2">
      <c r="A121" s="60" t="s">
        <v>252</v>
      </c>
      <c r="B121" s="56" t="s">
        <v>253</v>
      </c>
      <c r="C121" s="33">
        <f>[16]С4!F36</f>
        <v>14319.9</v>
      </c>
    </row>
    <row r="122" spans="1:3" ht="28.5" thickBot="1" x14ac:dyDescent="0.25">
      <c r="A122" s="75" t="s">
        <v>254</v>
      </c>
      <c r="B122" s="124" t="s">
        <v>255</v>
      </c>
      <c r="C122" s="85">
        <f>[16]С4!F37</f>
        <v>1.19</v>
      </c>
    </row>
    <row r="123" spans="1:3" s="88" customFormat="1" ht="13.5" thickBot="1" x14ac:dyDescent="0.25">
      <c r="A123" s="48"/>
      <c r="B123" s="49"/>
      <c r="C123" s="14"/>
    </row>
    <row r="124" spans="1:3" s="66" customFormat="1" ht="30" customHeight="1" x14ac:dyDescent="0.2">
      <c r="A124" s="78" t="s">
        <v>195</v>
      </c>
      <c r="B124" s="146" t="s">
        <v>196</v>
      </c>
      <c r="C124" s="146"/>
    </row>
    <row r="125" spans="1:3" ht="16.5" thickBot="1" x14ac:dyDescent="0.25">
      <c r="A125" s="26" t="s">
        <v>197</v>
      </c>
      <c r="B125" s="87" t="s">
        <v>198</v>
      </c>
      <c r="C125" s="85">
        <f>[16]С5!F17</f>
        <v>0.02</v>
      </c>
    </row>
    <row r="126" spans="1:3" s="88" customFormat="1" ht="13.5" thickBot="1" x14ac:dyDescent="0.25">
      <c r="A126" s="48"/>
      <c r="B126" s="49"/>
      <c r="C126" s="14"/>
    </row>
    <row r="127" spans="1:3" ht="42.75" customHeight="1" x14ac:dyDescent="0.2">
      <c r="A127" s="86" t="s">
        <v>199</v>
      </c>
      <c r="B127" s="148" t="s">
        <v>200</v>
      </c>
      <c r="C127" s="148"/>
    </row>
    <row r="128" spans="1:3" ht="68.25" x14ac:dyDescent="0.2">
      <c r="A128" s="60" t="s">
        <v>201</v>
      </c>
      <c r="B128" s="89" t="s">
        <v>202</v>
      </c>
      <c r="C128" s="33" t="s">
        <v>256</v>
      </c>
    </row>
    <row r="129" spans="1:4" ht="42.75" hidden="1" x14ac:dyDescent="0.2">
      <c r="A129" s="60" t="s">
        <v>203</v>
      </c>
      <c r="B129" s="90" t="s">
        <v>204</v>
      </c>
      <c r="C129" s="91"/>
    </row>
    <row r="130" spans="1:4" ht="69" thickBot="1" x14ac:dyDescent="0.25">
      <c r="A130" s="75" t="s">
        <v>205</v>
      </c>
      <c r="B130" s="125" t="s">
        <v>206</v>
      </c>
      <c r="C130" s="126" t="s">
        <v>256</v>
      </c>
    </row>
    <row r="131" spans="1:4" ht="62.25" hidden="1" customHeight="1" x14ac:dyDescent="0.2">
      <c r="A131" s="127" t="s">
        <v>207</v>
      </c>
      <c r="B131" s="128" t="s">
        <v>208</v>
      </c>
      <c r="C131" s="129"/>
    </row>
    <row r="132" spans="1:4" ht="68.25" hidden="1" x14ac:dyDescent="0.2">
      <c r="A132" s="60" t="s">
        <v>209</v>
      </c>
      <c r="B132" s="90" t="s">
        <v>257</v>
      </c>
      <c r="C132" s="35"/>
    </row>
    <row r="133" spans="1:4" ht="69" hidden="1" thickBot="1" x14ac:dyDescent="0.25">
      <c r="A133" s="75" t="s">
        <v>211</v>
      </c>
      <c r="B133" s="93" t="s">
        <v>212</v>
      </c>
      <c r="C133" s="77"/>
    </row>
    <row r="134" spans="1:4" s="88" customFormat="1" ht="13.5" thickBot="1" x14ac:dyDescent="0.25">
      <c r="A134" s="48"/>
      <c r="B134" s="49"/>
      <c r="C134" s="14"/>
    </row>
    <row r="135" spans="1:4" ht="26.25" customHeight="1" x14ac:dyDescent="0.2">
      <c r="A135" s="86" t="s">
        <v>213</v>
      </c>
      <c r="B135" s="94" t="s">
        <v>214</v>
      </c>
      <c r="C135" s="95">
        <f>[16]С2!F37</f>
        <v>20.818139999999996</v>
      </c>
    </row>
    <row r="136" spans="1:4" ht="14.25" x14ac:dyDescent="0.2">
      <c r="A136" s="60" t="s">
        <v>215</v>
      </c>
      <c r="B136" s="130" t="s">
        <v>216</v>
      </c>
      <c r="C136" s="33">
        <f>[16]С2!F38</f>
        <v>7</v>
      </c>
    </row>
    <row r="137" spans="1:4" ht="17.25" x14ac:dyDescent="0.2">
      <c r="A137" s="60" t="s">
        <v>217</v>
      </c>
      <c r="B137" s="130" t="s">
        <v>218</v>
      </c>
      <c r="C137" s="33">
        <f>[16]С2!F40</f>
        <v>0.97</v>
      </c>
    </row>
    <row r="138" spans="1:4" ht="15" thickBot="1" x14ac:dyDescent="0.25">
      <c r="A138" s="75" t="s">
        <v>219</v>
      </c>
      <c r="B138" s="131" t="s">
        <v>220</v>
      </c>
      <c r="C138" s="47">
        <f>[16]С2!F42</f>
        <v>0.35</v>
      </c>
    </row>
    <row r="139" spans="1:4" s="88" customFormat="1" ht="13.5" thickBot="1" x14ac:dyDescent="0.25">
      <c r="A139" s="48"/>
      <c r="B139" s="49"/>
      <c r="C139" s="14"/>
    </row>
    <row r="140" spans="1:4" ht="30" x14ac:dyDescent="0.2">
      <c r="A140" s="86" t="s">
        <v>221</v>
      </c>
      <c r="B140" s="96" t="s">
        <v>258</v>
      </c>
      <c r="C140" s="132">
        <f>[16]С2!F35</f>
        <v>1.3822747209000001</v>
      </c>
      <c r="D140" s="88"/>
    </row>
    <row r="141" spans="1:4" ht="22.7" customHeight="1" thickBot="1" x14ac:dyDescent="0.25">
      <c r="A141" s="75" t="s">
        <v>223</v>
      </c>
      <c r="B141" s="145" t="s">
        <v>224</v>
      </c>
      <c r="C141" s="145"/>
      <c r="D141" s="88"/>
    </row>
    <row r="142" spans="1:4" ht="13.5" thickBot="1" x14ac:dyDescent="0.25">
      <c r="A142" s="99"/>
      <c r="B142" s="133" t="s">
        <v>0</v>
      </c>
      <c r="C142" s="134"/>
      <c r="D142" s="88"/>
    </row>
    <row r="143" spans="1:4" x14ac:dyDescent="0.2">
      <c r="A143" s="99"/>
      <c r="B143" s="135">
        <v>2020</v>
      </c>
      <c r="C143" s="136">
        <f>[16]С2.5!$E$11</f>
        <v>-2.9000000000000026E-2</v>
      </c>
      <c r="D143" s="88"/>
    </row>
    <row r="144" spans="1:4" x14ac:dyDescent="0.2">
      <c r="A144" s="99"/>
      <c r="B144" s="106">
        <f>B143+1</f>
        <v>2021</v>
      </c>
      <c r="C144" s="137">
        <f>[16]С2.5!$F$11</f>
        <v>0.245</v>
      </c>
      <c r="D144" s="88"/>
    </row>
    <row r="145" spans="1:4" x14ac:dyDescent="0.2">
      <c r="A145" s="99"/>
      <c r="B145" s="106">
        <f t="shared" ref="B145:B208" si="0">B144+1</f>
        <v>2022</v>
      </c>
      <c r="C145" s="137">
        <f>[16]С2.5!$G$11</f>
        <v>0.121</v>
      </c>
      <c r="D145" s="88"/>
    </row>
    <row r="146" spans="1:4" ht="13.5" thickBot="1" x14ac:dyDescent="0.25">
      <c r="A146" s="99"/>
      <c r="B146" s="108">
        <f t="shared" si="0"/>
        <v>2023</v>
      </c>
      <c r="C146" s="138">
        <f>[16]С2.5!$H$11</f>
        <v>0.02</v>
      </c>
      <c r="D146" s="88"/>
    </row>
    <row r="147" spans="1:4" hidden="1" x14ac:dyDescent="0.2">
      <c r="A147" s="99"/>
      <c r="B147" s="139">
        <f t="shared" si="0"/>
        <v>2024</v>
      </c>
      <c r="C147" s="140">
        <f>[16]С2.5!$I$11</f>
        <v>-2.93E-2</v>
      </c>
      <c r="D147" s="88"/>
    </row>
    <row r="148" spans="1:4" hidden="1" x14ac:dyDescent="0.2">
      <c r="A148" s="99"/>
      <c r="B148" s="106">
        <f t="shared" si="0"/>
        <v>2025</v>
      </c>
      <c r="C148" s="137">
        <f>[16]С2.5!$J$11</f>
        <v>0.21215960863291</v>
      </c>
      <c r="D148" s="88"/>
    </row>
    <row r="149" spans="1:4" hidden="1" x14ac:dyDescent="0.2">
      <c r="A149" s="99"/>
      <c r="B149" s="106">
        <f t="shared" si="0"/>
        <v>2026</v>
      </c>
      <c r="C149" s="137">
        <f>[16]С2.5!$K$11</f>
        <v>3.5813361771260002E-2</v>
      </c>
      <c r="D149" s="88"/>
    </row>
    <row r="150" spans="1:4" hidden="1" x14ac:dyDescent="0.2">
      <c r="A150" s="99"/>
      <c r="B150" s="106">
        <f t="shared" si="0"/>
        <v>2027</v>
      </c>
      <c r="C150" s="137">
        <f>[16]С2.5!$L$11</f>
        <v>3.2682303599220003E-2</v>
      </c>
      <c r="D150" s="88"/>
    </row>
    <row r="151" spans="1:4" hidden="1" x14ac:dyDescent="0.2">
      <c r="A151" s="99"/>
      <c r="B151" s="106">
        <f t="shared" si="0"/>
        <v>2028</v>
      </c>
      <c r="C151" s="137">
        <f>[16]С2.5!$M$11</f>
        <v>0</v>
      </c>
      <c r="D151" s="88"/>
    </row>
    <row r="152" spans="1:4" hidden="1" x14ac:dyDescent="0.2">
      <c r="A152" s="99"/>
      <c r="B152" s="106">
        <f t="shared" si="0"/>
        <v>2029</v>
      </c>
      <c r="C152" s="137">
        <f>[16]С2.5!$N$11</f>
        <v>0</v>
      </c>
      <c r="D152" s="88"/>
    </row>
    <row r="153" spans="1:4" hidden="1" x14ac:dyDescent="0.2">
      <c r="A153" s="99"/>
      <c r="B153" s="106">
        <f t="shared" si="0"/>
        <v>2030</v>
      </c>
      <c r="C153" s="137">
        <f>[16]С2.5!$O$11</f>
        <v>0</v>
      </c>
      <c r="D153" s="88"/>
    </row>
    <row r="154" spans="1:4" hidden="1" x14ac:dyDescent="0.2">
      <c r="A154" s="99"/>
      <c r="B154" s="106">
        <f t="shared" si="0"/>
        <v>2031</v>
      </c>
      <c r="C154" s="137">
        <f>[16]С2.5!$P$11</f>
        <v>0</v>
      </c>
      <c r="D154" s="88"/>
    </row>
    <row r="155" spans="1:4" hidden="1" x14ac:dyDescent="0.2">
      <c r="A155" s="88"/>
      <c r="B155" s="106">
        <f t="shared" si="0"/>
        <v>2032</v>
      </c>
      <c r="C155" s="137">
        <f>[16]С2.5!$Q$11</f>
        <v>0</v>
      </c>
      <c r="D155" s="88"/>
    </row>
    <row r="156" spans="1:4" hidden="1" x14ac:dyDescent="0.2">
      <c r="A156" s="88"/>
      <c r="B156" s="106">
        <f t="shared" si="0"/>
        <v>2033</v>
      </c>
      <c r="C156" s="137">
        <f>[16]С2.5!$R$11</f>
        <v>0</v>
      </c>
      <c r="D156" s="88"/>
    </row>
    <row r="157" spans="1:4" hidden="1" x14ac:dyDescent="0.2">
      <c r="B157" s="106">
        <f t="shared" si="0"/>
        <v>2034</v>
      </c>
      <c r="C157" s="137">
        <f>[16]С2.5!$S$11</f>
        <v>0</v>
      </c>
    </row>
    <row r="158" spans="1:4" hidden="1" x14ac:dyDescent="0.2">
      <c r="B158" s="106">
        <f t="shared" si="0"/>
        <v>2035</v>
      </c>
      <c r="C158" s="137">
        <f>[16]С2.5!$T$11</f>
        <v>0</v>
      </c>
    </row>
    <row r="159" spans="1:4" hidden="1" x14ac:dyDescent="0.2">
      <c r="B159" s="106">
        <f t="shared" si="0"/>
        <v>2036</v>
      </c>
      <c r="C159" s="137">
        <f>[16]С2.5!$U$11</f>
        <v>0</v>
      </c>
    </row>
    <row r="160" spans="1:4" hidden="1" x14ac:dyDescent="0.2">
      <c r="B160" s="106">
        <f t="shared" si="0"/>
        <v>2037</v>
      </c>
      <c r="C160" s="137">
        <f>[16]С2.5!$V$11</f>
        <v>0</v>
      </c>
    </row>
    <row r="161" spans="2:3" hidden="1" x14ac:dyDescent="0.2">
      <c r="B161" s="106">
        <f t="shared" si="0"/>
        <v>2038</v>
      </c>
      <c r="C161" s="137">
        <f>[16]С2.5!$W$11</f>
        <v>0</v>
      </c>
    </row>
    <row r="162" spans="2:3" hidden="1" x14ac:dyDescent="0.2">
      <c r="B162" s="106">
        <f t="shared" si="0"/>
        <v>2039</v>
      </c>
      <c r="C162" s="137">
        <f>[16]С2.5!$X$11</f>
        <v>0</v>
      </c>
    </row>
    <row r="163" spans="2:3" hidden="1" x14ac:dyDescent="0.2">
      <c r="B163" s="106">
        <f t="shared" si="0"/>
        <v>2040</v>
      </c>
      <c r="C163" s="137">
        <f>[16]С2.5!$Y$11</f>
        <v>0</v>
      </c>
    </row>
    <row r="164" spans="2:3" hidden="1" x14ac:dyDescent="0.2">
      <c r="B164" s="106">
        <f t="shared" si="0"/>
        <v>2041</v>
      </c>
      <c r="C164" s="137">
        <f>[16]С2.5!$Z$11</f>
        <v>0</v>
      </c>
    </row>
    <row r="165" spans="2:3" hidden="1" x14ac:dyDescent="0.2">
      <c r="B165" s="106">
        <f t="shared" si="0"/>
        <v>2042</v>
      </c>
      <c r="C165" s="137">
        <f>[16]С2.5!$AA$11</f>
        <v>0</v>
      </c>
    </row>
    <row r="166" spans="2:3" hidden="1" x14ac:dyDescent="0.2">
      <c r="B166" s="106">
        <f t="shared" si="0"/>
        <v>2043</v>
      </c>
      <c r="C166" s="137">
        <f>[16]С2.5!$AB$11</f>
        <v>0</v>
      </c>
    </row>
    <row r="167" spans="2:3" hidden="1" x14ac:dyDescent="0.2">
      <c r="B167" s="106">
        <f t="shared" si="0"/>
        <v>2044</v>
      </c>
      <c r="C167" s="137">
        <f>[16]С2.5!$AC$11</f>
        <v>0</v>
      </c>
    </row>
    <row r="168" spans="2:3" hidden="1" x14ac:dyDescent="0.2">
      <c r="B168" s="106">
        <f t="shared" si="0"/>
        <v>2045</v>
      </c>
      <c r="C168" s="137">
        <f>[16]С2.5!$AD$11</f>
        <v>0</v>
      </c>
    </row>
    <row r="169" spans="2:3" hidden="1" x14ac:dyDescent="0.2">
      <c r="B169" s="106">
        <f t="shared" si="0"/>
        <v>2046</v>
      </c>
      <c r="C169" s="137">
        <f>[16]С2.5!$AE$11</f>
        <v>0</v>
      </c>
    </row>
    <row r="170" spans="2:3" hidden="1" x14ac:dyDescent="0.2">
      <c r="B170" s="106">
        <f t="shared" si="0"/>
        <v>2047</v>
      </c>
      <c r="C170" s="137">
        <f>[16]С2.5!$AF$11</f>
        <v>0</v>
      </c>
    </row>
    <row r="171" spans="2:3" hidden="1" x14ac:dyDescent="0.2">
      <c r="B171" s="106">
        <f t="shared" si="0"/>
        <v>2048</v>
      </c>
      <c r="C171" s="137">
        <f>[16]С2.5!$AG$11</f>
        <v>0</v>
      </c>
    </row>
    <row r="172" spans="2:3" hidden="1" x14ac:dyDescent="0.2">
      <c r="B172" s="106">
        <f t="shared" si="0"/>
        <v>2049</v>
      </c>
      <c r="C172" s="137">
        <f>[16]С2.5!$AH$11</f>
        <v>0</v>
      </c>
    </row>
    <row r="173" spans="2:3" hidden="1" x14ac:dyDescent="0.2">
      <c r="B173" s="106">
        <f t="shared" si="0"/>
        <v>2050</v>
      </c>
      <c r="C173" s="137">
        <f>[16]С2.5!$AI$11</f>
        <v>0</v>
      </c>
    </row>
    <row r="174" spans="2:3" hidden="1" x14ac:dyDescent="0.2">
      <c r="B174" s="106">
        <f t="shared" si="0"/>
        <v>2051</v>
      </c>
      <c r="C174" s="137">
        <f>[16]С2.5!$AJ$11</f>
        <v>0</v>
      </c>
    </row>
    <row r="175" spans="2:3" hidden="1" x14ac:dyDescent="0.2">
      <c r="B175" s="106">
        <f t="shared" si="0"/>
        <v>2052</v>
      </c>
      <c r="C175" s="137">
        <f>[16]С2.5!$AK$11</f>
        <v>0</v>
      </c>
    </row>
    <row r="176" spans="2:3" hidden="1" x14ac:dyDescent="0.2">
      <c r="B176" s="106">
        <f t="shared" si="0"/>
        <v>2053</v>
      </c>
      <c r="C176" s="137">
        <f>[16]С2.5!$AL$11</f>
        <v>0</v>
      </c>
    </row>
    <row r="177" spans="2:3" hidden="1" x14ac:dyDescent="0.2">
      <c r="B177" s="106">
        <f t="shared" si="0"/>
        <v>2054</v>
      </c>
      <c r="C177" s="137">
        <f>[16]С2.5!$AM$11</f>
        <v>0</v>
      </c>
    </row>
    <row r="178" spans="2:3" hidden="1" x14ac:dyDescent="0.2">
      <c r="B178" s="106">
        <f t="shared" si="0"/>
        <v>2055</v>
      </c>
      <c r="C178" s="137">
        <f>[16]С2.5!$AN$11</f>
        <v>0</v>
      </c>
    </row>
    <row r="179" spans="2:3" hidden="1" x14ac:dyDescent="0.2">
      <c r="B179" s="106">
        <f t="shared" si="0"/>
        <v>2056</v>
      </c>
      <c r="C179" s="137">
        <f>[16]С2.5!$AO$11</f>
        <v>0</v>
      </c>
    </row>
    <row r="180" spans="2:3" hidden="1" x14ac:dyDescent="0.2">
      <c r="B180" s="106">
        <f t="shared" si="0"/>
        <v>2057</v>
      </c>
      <c r="C180" s="137">
        <f>[16]С2.5!$AP$11</f>
        <v>0</v>
      </c>
    </row>
    <row r="181" spans="2:3" hidden="1" x14ac:dyDescent="0.2">
      <c r="B181" s="106">
        <f t="shared" si="0"/>
        <v>2058</v>
      </c>
      <c r="C181" s="137">
        <f>[16]С2.5!$AQ$11</f>
        <v>0</v>
      </c>
    </row>
    <row r="182" spans="2:3" hidden="1" x14ac:dyDescent="0.2">
      <c r="B182" s="106">
        <f t="shared" si="0"/>
        <v>2059</v>
      </c>
      <c r="C182" s="137">
        <f>[16]С2.5!$AR$11</f>
        <v>0</v>
      </c>
    </row>
    <row r="183" spans="2:3" hidden="1" x14ac:dyDescent="0.2">
      <c r="B183" s="106">
        <f t="shared" si="0"/>
        <v>2060</v>
      </c>
      <c r="C183" s="137">
        <f>[16]С2.5!$AS$11</f>
        <v>0</v>
      </c>
    </row>
    <row r="184" spans="2:3" hidden="1" x14ac:dyDescent="0.2">
      <c r="B184" s="106">
        <f t="shared" si="0"/>
        <v>2061</v>
      </c>
      <c r="C184" s="137">
        <f>[16]С2.5!$AT$11</f>
        <v>0</v>
      </c>
    </row>
    <row r="185" spans="2:3" hidden="1" x14ac:dyDescent="0.2">
      <c r="B185" s="106">
        <f t="shared" si="0"/>
        <v>2062</v>
      </c>
      <c r="C185" s="137">
        <f>[16]С2.5!$AU$11</f>
        <v>0</v>
      </c>
    </row>
    <row r="186" spans="2:3" hidden="1" x14ac:dyDescent="0.2">
      <c r="B186" s="106">
        <f t="shared" si="0"/>
        <v>2063</v>
      </c>
      <c r="C186" s="137">
        <f>[16]С2.5!$AV$11</f>
        <v>0</v>
      </c>
    </row>
    <row r="187" spans="2:3" hidden="1" x14ac:dyDescent="0.2">
      <c r="B187" s="106">
        <f t="shared" si="0"/>
        <v>2064</v>
      </c>
      <c r="C187" s="137">
        <f>[16]С2.5!$AW$11</f>
        <v>0</v>
      </c>
    </row>
    <row r="188" spans="2:3" hidden="1" x14ac:dyDescent="0.2">
      <c r="B188" s="106">
        <f t="shared" si="0"/>
        <v>2065</v>
      </c>
      <c r="C188" s="137">
        <f>[16]С2.5!$AX$11</f>
        <v>0</v>
      </c>
    </row>
    <row r="189" spans="2:3" hidden="1" x14ac:dyDescent="0.2">
      <c r="B189" s="106">
        <f t="shared" si="0"/>
        <v>2066</v>
      </c>
      <c r="C189" s="137">
        <f>[16]С2.5!$AY$11</f>
        <v>0</v>
      </c>
    </row>
    <row r="190" spans="2:3" hidden="1" x14ac:dyDescent="0.2">
      <c r="B190" s="106">
        <f t="shared" si="0"/>
        <v>2067</v>
      </c>
      <c r="C190" s="137">
        <f>[16]С2.5!$AZ$11</f>
        <v>0</v>
      </c>
    </row>
    <row r="191" spans="2:3" hidden="1" x14ac:dyDescent="0.2">
      <c r="B191" s="106">
        <f t="shared" si="0"/>
        <v>2068</v>
      </c>
      <c r="C191" s="137">
        <f>[16]С2.5!$BA$11</f>
        <v>0</v>
      </c>
    </row>
    <row r="192" spans="2:3" hidden="1" x14ac:dyDescent="0.2">
      <c r="B192" s="106">
        <f t="shared" si="0"/>
        <v>2069</v>
      </c>
      <c r="C192" s="137">
        <f>[16]С2.5!$BB$11</f>
        <v>0</v>
      </c>
    </row>
    <row r="193" spans="2:3" hidden="1" x14ac:dyDescent="0.2">
      <c r="B193" s="106">
        <f t="shared" si="0"/>
        <v>2070</v>
      </c>
      <c r="C193" s="137">
        <f>[16]С2.5!$BC$11</f>
        <v>0</v>
      </c>
    </row>
    <row r="194" spans="2:3" hidden="1" x14ac:dyDescent="0.2">
      <c r="B194" s="106">
        <f t="shared" si="0"/>
        <v>2071</v>
      </c>
      <c r="C194" s="137">
        <f>[16]С2.5!$BD$11</f>
        <v>0</v>
      </c>
    </row>
    <row r="195" spans="2:3" hidden="1" x14ac:dyDescent="0.2">
      <c r="B195" s="106">
        <f t="shared" si="0"/>
        <v>2072</v>
      </c>
      <c r="C195" s="137">
        <f>[16]С2.5!$BE$11</f>
        <v>0</v>
      </c>
    </row>
    <row r="196" spans="2:3" hidden="1" x14ac:dyDescent="0.2">
      <c r="B196" s="106">
        <f t="shared" si="0"/>
        <v>2073</v>
      </c>
      <c r="C196" s="137">
        <f>[16]С2.5!$BF$11</f>
        <v>0</v>
      </c>
    </row>
    <row r="197" spans="2:3" hidden="1" x14ac:dyDescent="0.2">
      <c r="B197" s="106">
        <f t="shared" si="0"/>
        <v>2074</v>
      </c>
      <c r="C197" s="137">
        <f>[16]С2.5!$BG$11</f>
        <v>0</v>
      </c>
    </row>
    <row r="198" spans="2:3" hidden="1" x14ac:dyDescent="0.2">
      <c r="B198" s="106">
        <f t="shared" si="0"/>
        <v>2075</v>
      </c>
      <c r="C198" s="137">
        <f>[16]С2.5!$BH$11</f>
        <v>0</v>
      </c>
    </row>
    <row r="199" spans="2:3" hidden="1" x14ac:dyDescent="0.2">
      <c r="B199" s="106">
        <f t="shared" si="0"/>
        <v>2076</v>
      </c>
      <c r="C199" s="137">
        <f>[16]С2.5!$BI$11</f>
        <v>0</v>
      </c>
    </row>
    <row r="200" spans="2:3" hidden="1" x14ac:dyDescent="0.2">
      <c r="B200" s="106">
        <f t="shared" si="0"/>
        <v>2077</v>
      </c>
      <c r="C200" s="137">
        <f>[16]С2.5!$BJ$11</f>
        <v>0</v>
      </c>
    </row>
    <row r="201" spans="2:3" hidden="1" x14ac:dyDescent="0.2">
      <c r="B201" s="106">
        <f t="shared" si="0"/>
        <v>2078</v>
      </c>
      <c r="C201" s="137">
        <f>[16]С2.5!$BK$11</f>
        <v>0</v>
      </c>
    </row>
    <row r="202" spans="2:3" hidden="1" x14ac:dyDescent="0.2">
      <c r="B202" s="106">
        <f t="shared" si="0"/>
        <v>2079</v>
      </c>
      <c r="C202" s="137">
        <f>[16]С2.5!$BL$11</f>
        <v>0</v>
      </c>
    </row>
    <row r="203" spans="2:3" hidden="1" x14ac:dyDescent="0.2">
      <c r="B203" s="106">
        <f t="shared" si="0"/>
        <v>2080</v>
      </c>
      <c r="C203" s="137">
        <f>[16]С2.5!$BM$11</f>
        <v>0</v>
      </c>
    </row>
    <row r="204" spans="2:3" hidden="1" x14ac:dyDescent="0.2">
      <c r="B204" s="106">
        <f t="shared" si="0"/>
        <v>2081</v>
      </c>
      <c r="C204" s="137">
        <f>[16]С2.5!$BN$11</f>
        <v>0</v>
      </c>
    </row>
    <row r="205" spans="2:3" hidden="1" x14ac:dyDescent="0.2">
      <c r="B205" s="106">
        <f t="shared" si="0"/>
        <v>2082</v>
      </c>
      <c r="C205" s="137">
        <f>[16]С2.5!$BO$11</f>
        <v>0</v>
      </c>
    </row>
    <row r="206" spans="2:3" hidden="1" x14ac:dyDescent="0.2">
      <c r="B206" s="106">
        <f t="shared" si="0"/>
        <v>2083</v>
      </c>
      <c r="C206" s="137">
        <f>[16]С2.5!$BP$11</f>
        <v>0</v>
      </c>
    </row>
    <row r="207" spans="2:3" hidden="1" x14ac:dyDescent="0.2">
      <c r="B207" s="106">
        <f t="shared" si="0"/>
        <v>2084</v>
      </c>
      <c r="C207" s="137">
        <f>[16]С2.5!$BQ$11</f>
        <v>0</v>
      </c>
    </row>
    <row r="208" spans="2:3" hidden="1" x14ac:dyDescent="0.2">
      <c r="B208" s="106">
        <f t="shared" si="0"/>
        <v>2085</v>
      </c>
      <c r="C208" s="137">
        <f>[16]С2.5!$BR$11</f>
        <v>0</v>
      </c>
    </row>
    <row r="209" spans="2:3" hidden="1" x14ac:dyDescent="0.2">
      <c r="B209" s="106">
        <f t="shared" ref="B209:B223" si="1">B208+1</f>
        <v>2086</v>
      </c>
      <c r="C209" s="137">
        <f>[16]С2.5!$BS$11</f>
        <v>0</v>
      </c>
    </row>
    <row r="210" spans="2:3" hidden="1" x14ac:dyDescent="0.2">
      <c r="B210" s="106">
        <f t="shared" si="1"/>
        <v>2087</v>
      </c>
      <c r="C210" s="137">
        <f>[16]С2.5!$BT$11</f>
        <v>0</v>
      </c>
    </row>
    <row r="211" spans="2:3" hidden="1" x14ac:dyDescent="0.2">
      <c r="B211" s="106">
        <f t="shared" si="1"/>
        <v>2088</v>
      </c>
      <c r="C211" s="137">
        <f>[16]С2.5!$BU$11</f>
        <v>0</v>
      </c>
    </row>
    <row r="212" spans="2:3" hidden="1" x14ac:dyDescent="0.2">
      <c r="B212" s="106">
        <f t="shared" si="1"/>
        <v>2089</v>
      </c>
      <c r="C212" s="137">
        <f>[16]С2.5!$BV$11</f>
        <v>0</v>
      </c>
    </row>
    <row r="213" spans="2:3" hidden="1" x14ac:dyDescent="0.2">
      <c r="B213" s="106">
        <f t="shared" si="1"/>
        <v>2090</v>
      </c>
      <c r="C213" s="137">
        <f>[16]С2.5!$BW$11</f>
        <v>0</v>
      </c>
    </row>
    <row r="214" spans="2:3" hidden="1" x14ac:dyDescent="0.2">
      <c r="B214" s="106">
        <f t="shared" si="1"/>
        <v>2091</v>
      </c>
      <c r="C214" s="137">
        <f>[16]С2.5!$BX$11</f>
        <v>0</v>
      </c>
    </row>
    <row r="215" spans="2:3" hidden="1" x14ac:dyDescent="0.2">
      <c r="B215" s="106">
        <f t="shared" si="1"/>
        <v>2092</v>
      </c>
      <c r="C215" s="137">
        <f>[16]С2.5!$BY$11</f>
        <v>0</v>
      </c>
    </row>
    <row r="216" spans="2:3" hidden="1" x14ac:dyDescent="0.2">
      <c r="B216" s="106">
        <f t="shared" si="1"/>
        <v>2093</v>
      </c>
      <c r="C216" s="137">
        <f>[16]С2.5!$BZ$11</f>
        <v>0</v>
      </c>
    </row>
    <row r="217" spans="2:3" hidden="1" x14ac:dyDescent="0.2">
      <c r="B217" s="106">
        <f t="shared" si="1"/>
        <v>2094</v>
      </c>
      <c r="C217" s="137">
        <f>[16]С2.5!$CA$11</f>
        <v>0</v>
      </c>
    </row>
    <row r="218" spans="2:3" hidden="1" x14ac:dyDescent="0.2">
      <c r="B218" s="106">
        <f t="shared" si="1"/>
        <v>2095</v>
      </c>
      <c r="C218" s="137">
        <f>[16]С2.5!$CB$11</f>
        <v>0</v>
      </c>
    </row>
    <row r="219" spans="2:3" hidden="1" x14ac:dyDescent="0.2">
      <c r="B219" s="106">
        <f t="shared" si="1"/>
        <v>2096</v>
      </c>
      <c r="C219" s="137">
        <f>[16]С2.5!$CC$11</f>
        <v>0</v>
      </c>
    </row>
    <row r="220" spans="2:3" hidden="1" x14ac:dyDescent="0.2">
      <c r="B220" s="106">
        <f t="shared" si="1"/>
        <v>2097</v>
      </c>
      <c r="C220" s="137">
        <f>[16]С2.5!$CD$11</f>
        <v>0</v>
      </c>
    </row>
    <row r="221" spans="2:3" hidden="1" x14ac:dyDescent="0.2">
      <c r="B221" s="106">
        <f t="shared" si="1"/>
        <v>2098</v>
      </c>
      <c r="C221" s="137">
        <f>[16]С2.5!$CE$11</f>
        <v>0</v>
      </c>
    </row>
    <row r="222" spans="2:3" hidden="1" x14ac:dyDescent="0.2">
      <c r="B222" s="106">
        <f t="shared" si="1"/>
        <v>2099</v>
      </c>
      <c r="C222" s="137">
        <f>[16]С2.5!$CF$11</f>
        <v>0</v>
      </c>
    </row>
    <row r="223" spans="2:3" ht="13.5" hidden="1" thickBot="1" x14ac:dyDescent="0.25">
      <c r="B223" s="108">
        <f t="shared" si="1"/>
        <v>2100</v>
      </c>
      <c r="C223" s="138">
        <f>[16]С2.5!$CG$11</f>
        <v>0</v>
      </c>
    </row>
    <row r="224" spans="2:3" hidden="1" x14ac:dyDescent="0.2">
      <c r="C224" s="141"/>
    </row>
    <row r="225" spans="3:3" hidden="1" x14ac:dyDescent="0.2">
      <c r="C225" s="141"/>
    </row>
    <row r="226" spans="3:3" x14ac:dyDescent="0.2">
      <c r="C226" s="141"/>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5361" r:id="rId4" name="Button 1">
              <controlPr defaultSize="0" print="0" autoFill="0" autoPict="0" macro="[16]!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13"/>
      <c r="B1" s="142" t="s">
        <v>225</v>
      </c>
      <c r="C1" s="142"/>
    </row>
    <row r="2" spans="1:3" x14ac:dyDescent="0.2">
      <c r="A2" s="1"/>
      <c r="B2" s="3" t="s">
        <v>2</v>
      </c>
      <c r="C2" s="4">
        <f ca="1">TODAY()</f>
        <v>44944</v>
      </c>
    </row>
    <row r="3" spans="1:3" x14ac:dyDescent="0.2">
      <c r="A3" s="1"/>
      <c r="B3" s="114" t="s">
        <v>3</v>
      </c>
    </row>
    <row r="4" spans="1:3" ht="25.5" x14ac:dyDescent="0.2">
      <c r="A4" s="7"/>
      <c r="B4" s="8" t="str">
        <f>[17]И1!D13</f>
        <v>Субъект Российской Федерации</v>
      </c>
      <c r="C4" s="9" t="str">
        <f>[17]И1!E13</f>
        <v>Новосибирская область</v>
      </c>
    </row>
    <row r="5" spans="1:3" ht="38.25" x14ac:dyDescent="0.2">
      <c r="A5" s="7"/>
      <c r="B5" s="8" t="str">
        <f>[17]И1!D14</f>
        <v>Тип муниципального образования (выберите из списка)</v>
      </c>
      <c r="C5" s="9" t="str">
        <f>[17]И1!E14</f>
        <v>село Рогалево, Ордынский муниципальный район</v>
      </c>
    </row>
    <row r="6" spans="1:3" x14ac:dyDescent="0.2">
      <c r="A6" s="7"/>
      <c r="B6" s="8" t="str">
        <f>IF([17]И1!E15="","",[17]И1!D15)</f>
        <v/>
      </c>
      <c r="C6" s="9" t="str">
        <f>IF([17]И1!E15="","",[17]И1!E15)</f>
        <v/>
      </c>
    </row>
    <row r="7" spans="1:3" x14ac:dyDescent="0.2">
      <c r="A7" s="7"/>
      <c r="B7" s="8" t="str">
        <f>[17]И1!D16</f>
        <v>Код ОКТМО</v>
      </c>
      <c r="C7" s="10" t="str">
        <f>[17]И1!E16</f>
        <v>50642423101</v>
      </c>
    </row>
    <row r="8" spans="1:3" x14ac:dyDescent="0.2">
      <c r="A8" s="7"/>
      <c r="B8" s="11" t="str">
        <f>[17]И1!D17</f>
        <v>Система теплоснабжения</v>
      </c>
      <c r="C8" s="12">
        <f>[17]И1!E17</f>
        <v>0</v>
      </c>
    </row>
    <row r="9" spans="1:3" x14ac:dyDescent="0.2">
      <c r="A9" s="7"/>
      <c r="B9" s="8" t="str">
        <f>[17]И1!D8</f>
        <v>Период регулирования (i)-й</v>
      </c>
      <c r="C9" s="13">
        <f>[17]И1!E8</f>
        <v>2023</v>
      </c>
    </row>
    <row r="10" spans="1:3" x14ac:dyDescent="0.2">
      <c r="A10" s="7"/>
      <c r="B10" s="8" t="str">
        <f>[17]И1!D9</f>
        <v>Период регулирования (i-1)-й</v>
      </c>
      <c r="C10" s="13">
        <f>[17]И1!E9</f>
        <v>2022</v>
      </c>
    </row>
    <row r="11" spans="1:3" x14ac:dyDescent="0.2">
      <c r="A11" s="7"/>
      <c r="B11" s="8" t="str">
        <f>[17]И1!D10</f>
        <v>Период регулирования (i-2)-й</v>
      </c>
      <c r="C11" s="13">
        <f>[17]И1!E10</f>
        <v>2021</v>
      </c>
    </row>
    <row r="12" spans="1:3" x14ac:dyDescent="0.2">
      <c r="A12" s="7"/>
      <c r="B12" s="8" t="str">
        <f>[17]И1!D11</f>
        <v>Базовый год (б)</v>
      </c>
      <c r="C12" s="13">
        <f>[17]И1!E11</f>
        <v>2019</v>
      </c>
    </row>
    <row r="13" spans="1:3" ht="38.25" x14ac:dyDescent="0.2">
      <c r="A13" s="7"/>
      <c r="B13" s="8" t="str">
        <f>[17]И1!D18</f>
        <v>Вид топлива, использование которого преобладает в системе теплоснабжения</v>
      </c>
      <c r="C13" s="14" t="str">
        <f>[17]С1.1!E13</f>
        <v>уголь (вид угля не указан в топливном балансе)</v>
      </c>
    </row>
    <row r="14" spans="1:3" ht="31.7" customHeight="1" thickBot="1" x14ac:dyDescent="0.25">
      <c r="A14" s="147" t="s">
        <v>4</v>
      </c>
      <c r="B14" s="147"/>
      <c r="C14" s="147"/>
    </row>
    <row r="15" spans="1:3" x14ac:dyDescent="0.2">
      <c r="A15" s="15" t="s">
        <v>5</v>
      </c>
      <c r="B15" s="115" t="s">
        <v>6</v>
      </c>
      <c r="C15" s="116" t="s">
        <v>7</v>
      </c>
    </row>
    <row r="16" spans="1:3" x14ac:dyDescent="0.2">
      <c r="A16" s="18">
        <v>1</v>
      </c>
      <c r="B16" s="117">
        <v>2</v>
      </c>
      <c r="C16" s="118">
        <v>3</v>
      </c>
    </row>
    <row r="17" spans="1:3" x14ac:dyDescent="0.2">
      <c r="A17" s="21">
        <v>1</v>
      </c>
      <c r="B17" s="22" t="s">
        <v>8</v>
      </c>
      <c r="C17" s="23">
        <f>SUM(C18:C22)</f>
        <v>4199.1292686771403</v>
      </c>
    </row>
    <row r="18" spans="1:3" ht="42.75" x14ac:dyDescent="0.2">
      <c r="A18" s="21" t="s">
        <v>9</v>
      </c>
      <c r="B18" s="24" t="s">
        <v>10</v>
      </c>
      <c r="C18" s="25">
        <f>[17]С1!F12</f>
        <v>1151.8021760407769</v>
      </c>
    </row>
    <row r="19" spans="1:3" ht="42.75" x14ac:dyDescent="0.2">
      <c r="A19" s="21" t="s">
        <v>11</v>
      </c>
      <c r="B19" s="24" t="s">
        <v>12</v>
      </c>
      <c r="C19" s="25">
        <f>[17]С2!F12</f>
        <v>2106.4563180122805</v>
      </c>
    </row>
    <row r="20" spans="1:3" ht="30" x14ac:dyDescent="0.2">
      <c r="A20" s="21" t="s">
        <v>13</v>
      </c>
      <c r="B20" s="24" t="s">
        <v>14</v>
      </c>
      <c r="C20" s="25">
        <f>[17]С3!F12</f>
        <v>503.94083842199643</v>
      </c>
    </row>
    <row r="21" spans="1:3" ht="42.75" x14ac:dyDescent="0.2">
      <c r="A21" s="21" t="s">
        <v>15</v>
      </c>
      <c r="B21" s="24" t="s">
        <v>226</v>
      </c>
      <c r="C21" s="25">
        <f>[17]С4!F12</f>
        <v>354.59406818880984</v>
      </c>
    </row>
    <row r="22" spans="1:3" ht="30" x14ac:dyDescent="0.2">
      <c r="A22" s="21" t="s">
        <v>17</v>
      </c>
      <c r="B22" s="24" t="s">
        <v>227</v>
      </c>
      <c r="C22" s="25">
        <f>[17]С5!F12</f>
        <v>82.335868013277263</v>
      </c>
    </row>
    <row r="23" spans="1:3" ht="43.5" thickBot="1" x14ac:dyDescent="0.25">
      <c r="A23" s="26" t="s">
        <v>19</v>
      </c>
      <c r="B23" s="98" t="s">
        <v>228</v>
      </c>
      <c r="C23" s="28" t="str">
        <f>[17]С6!F12</f>
        <v>-</v>
      </c>
    </row>
    <row r="24" spans="1:3" ht="13.5" thickBot="1" x14ac:dyDescent="0.25">
      <c r="A24" s="1"/>
    </row>
    <row r="25" spans="1:3" x14ac:dyDescent="0.2">
      <c r="A25" s="15" t="s">
        <v>5</v>
      </c>
      <c r="B25" s="29" t="s">
        <v>6</v>
      </c>
      <c r="C25" s="16" t="s">
        <v>7</v>
      </c>
    </row>
    <row r="26" spans="1:3" x14ac:dyDescent="0.2">
      <c r="A26" s="18">
        <v>1</v>
      </c>
      <c r="B26" s="30">
        <v>2</v>
      </c>
      <c r="C26" s="31">
        <v>3</v>
      </c>
    </row>
    <row r="27" spans="1:3" ht="30" customHeight="1" x14ac:dyDescent="0.2">
      <c r="A27" s="21">
        <v>1</v>
      </c>
      <c r="B27" s="144" t="s">
        <v>21</v>
      </c>
      <c r="C27" s="144"/>
    </row>
    <row r="28" spans="1:3" x14ac:dyDescent="0.2">
      <c r="A28" s="21" t="s">
        <v>9</v>
      </c>
      <c r="B28" s="32" t="s">
        <v>229</v>
      </c>
      <c r="C28" s="33">
        <f>[17]С1.1!E16</f>
        <v>5100</v>
      </c>
    </row>
    <row r="29" spans="1:3" ht="42.75" x14ac:dyDescent="0.2">
      <c r="A29" s="21" t="s">
        <v>11</v>
      </c>
      <c r="B29" s="32" t="s">
        <v>230</v>
      </c>
      <c r="C29" s="33">
        <f>[17]С1.1!E27</f>
        <v>3097.0035607289806</v>
      </c>
    </row>
    <row r="30" spans="1:3" ht="17.25" x14ac:dyDescent="0.2">
      <c r="A30" s="21" t="s">
        <v>13</v>
      </c>
      <c r="B30" s="32" t="s">
        <v>30</v>
      </c>
      <c r="C30" s="35">
        <f>[17]С1.1!E19</f>
        <v>0.59499999999999997</v>
      </c>
    </row>
    <row r="31" spans="1:3" ht="17.25" x14ac:dyDescent="0.2">
      <c r="A31" s="21" t="s">
        <v>15</v>
      </c>
      <c r="B31" s="32" t="s">
        <v>31</v>
      </c>
      <c r="C31" s="35">
        <f>[17]С1.1!E20</f>
        <v>-0.113</v>
      </c>
    </row>
    <row r="32" spans="1:3" ht="30" x14ac:dyDescent="0.2">
      <c r="A32" s="21" t="s">
        <v>17</v>
      </c>
      <c r="B32" s="36" t="s">
        <v>231</v>
      </c>
      <c r="C32" s="119">
        <f>[17]С1!F13</f>
        <v>176.4</v>
      </c>
    </row>
    <row r="33" spans="1:3" x14ac:dyDescent="0.2">
      <c r="A33" s="21" t="s">
        <v>19</v>
      </c>
      <c r="B33" s="36" t="s">
        <v>33</v>
      </c>
      <c r="C33" s="38">
        <f>[17]С1!F16</f>
        <v>7000</v>
      </c>
    </row>
    <row r="34" spans="1:3" ht="14.25" x14ac:dyDescent="0.2">
      <c r="A34" s="21" t="s">
        <v>34</v>
      </c>
      <c r="B34" s="40" t="s">
        <v>232</v>
      </c>
      <c r="C34" s="41">
        <f>[17]С1!F17</f>
        <v>0.72857142857142854</v>
      </c>
    </row>
    <row r="35" spans="1:3" ht="15.75" x14ac:dyDescent="0.2">
      <c r="A35" s="120" t="s">
        <v>36</v>
      </c>
      <c r="B35" s="43" t="s">
        <v>37</v>
      </c>
      <c r="C35" s="41">
        <f>[17]С1!F20</f>
        <v>21.588411179999994</v>
      </c>
    </row>
    <row r="36" spans="1:3" ht="15.75" x14ac:dyDescent="0.2">
      <c r="A36" s="120" t="s">
        <v>38</v>
      </c>
      <c r="B36" s="44" t="s">
        <v>39</v>
      </c>
      <c r="C36" s="41">
        <f>[17]С1!F21</f>
        <v>20.818139999999996</v>
      </c>
    </row>
    <row r="37" spans="1:3" ht="14.25" x14ac:dyDescent="0.2">
      <c r="A37" s="120" t="s">
        <v>40</v>
      </c>
      <c r="B37" s="45" t="s">
        <v>41</v>
      </c>
      <c r="C37" s="41">
        <f>[17]С1!F22</f>
        <v>1.0369999999999999</v>
      </c>
    </row>
    <row r="38" spans="1:3" ht="53.25" thickBot="1" x14ac:dyDescent="0.25">
      <c r="A38" s="26" t="s">
        <v>42</v>
      </c>
      <c r="B38" s="46" t="s">
        <v>43</v>
      </c>
      <c r="C38" s="47">
        <f>[17]С1!F23</f>
        <v>1.0469999999999999</v>
      </c>
    </row>
    <row r="39" spans="1:3" ht="13.5" thickBot="1" x14ac:dyDescent="0.25">
      <c r="A39" s="48"/>
      <c r="B39" s="121"/>
      <c r="C39" s="122"/>
    </row>
    <row r="40" spans="1:3" ht="30" customHeight="1" x14ac:dyDescent="0.2">
      <c r="A40" s="50" t="s">
        <v>44</v>
      </c>
      <c r="B40" s="146" t="s">
        <v>45</v>
      </c>
      <c r="C40" s="146"/>
    </row>
    <row r="41" spans="1:3" ht="25.5" x14ac:dyDescent="0.2">
      <c r="A41" s="21" t="s">
        <v>46</v>
      </c>
      <c r="B41" s="36" t="s">
        <v>47</v>
      </c>
      <c r="C41" s="51" t="str">
        <f>[17]С2.1!E12</f>
        <v>V</v>
      </c>
    </row>
    <row r="42" spans="1:3" ht="25.5" x14ac:dyDescent="0.2">
      <c r="A42" s="21" t="s">
        <v>48</v>
      </c>
      <c r="B42" s="32" t="s">
        <v>49</v>
      </c>
      <c r="C42" s="51" t="str">
        <f>[17]С2.1!E13</f>
        <v>6 и менее баллов</v>
      </c>
    </row>
    <row r="43" spans="1:3" ht="25.5" x14ac:dyDescent="0.2">
      <c r="A43" s="21" t="s">
        <v>50</v>
      </c>
      <c r="B43" s="32" t="s">
        <v>233</v>
      </c>
      <c r="C43" s="51" t="str">
        <f>[17]С2.1!E14</f>
        <v>от 200 до 500</v>
      </c>
    </row>
    <row r="44" spans="1:3" ht="25.5" x14ac:dyDescent="0.2">
      <c r="A44" s="21" t="s">
        <v>52</v>
      </c>
      <c r="B44" s="32" t="s">
        <v>234</v>
      </c>
      <c r="C44" s="52" t="str">
        <f>[17]С2.1!E15</f>
        <v>нет</v>
      </c>
    </row>
    <row r="45" spans="1:3" ht="30" x14ac:dyDescent="0.2">
      <c r="A45" s="21" t="s">
        <v>54</v>
      </c>
      <c r="B45" s="32" t="s">
        <v>55</v>
      </c>
      <c r="C45" s="33">
        <f>[17]С2!F18</f>
        <v>32402.627334033532</v>
      </c>
    </row>
    <row r="46" spans="1:3" ht="30" x14ac:dyDescent="0.2">
      <c r="A46" s="21" t="s">
        <v>56</v>
      </c>
      <c r="B46" s="53" t="s">
        <v>57</v>
      </c>
      <c r="C46" s="33">
        <f>IF([17]С2!F19&gt;0,[17]С2!F19,[17]С2!F20)</f>
        <v>23441.524932855718</v>
      </c>
    </row>
    <row r="47" spans="1:3" ht="25.5" x14ac:dyDescent="0.2">
      <c r="A47" s="21" t="s">
        <v>58</v>
      </c>
      <c r="B47" s="54" t="s">
        <v>59</v>
      </c>
      <c r="C47" s="33">
        <f>[17]С2.1!E19</f>
        <v>-37</v>
      </c>
    </row>
    <row r="48" spans="1:3" ht="25.5" x14ac:dyDescent="0.2">
      <c r="A48" s="21" t="s">
        <v>60</v>
      </c>
      <c r="B48" s="54" t="s">
        <v>61</v>
      </c>
      <c r="C48" s="33" t="str">
        <f>[17]С2.1!E22</f>
        <v>нет</v>
      </c>
    </row>
    <row r="49" spans="1:3" ht="38.25" x14ac:dyDescent="0.2">
      <c r="A49" s="21" t="s">
        <v>62</v>
      </c>
      <c r="B49" s="55" t="s">
        <v>63</v>
      </c>
      <c r="C49" s="33">
        <f>[17]С2.2!E10</f>
        <v>1287</v>
      </c>
    </row>
    <row r="50" spans="1:3" ht="25.5" x14ac:dyDescent="0.2">
      <c r="A50" s="21" t="s">
        <v>64</v>
      </c>
      <c r="B50" s="56" t="s">
        <v>65</v>
      </c>
      <c r="C50" s="33">
        <f>[17]С2.2!E12</f>
        <v>5.97</v>
      </c>
    </row>
    <row r="51" spans="1:3" ht="52.5" x14ac:dyDescent="0.2">
      <c r="A51" s="21" t="s">
        <v>66</v>
      </c>
      <c r="B51" s="57" t="s">
        <v>67</v>
      </c>
      <c r="C51" s="33">
        <f>[17]С2.2!E13</f>
        <v>1</v>
      </c>
    </row>
    <row r="52" spans="1:3" ht="27.75" x14ac:dyDescent="0.2">
      <c r="A52" s="21" t="s">
        <v>68</v>
      </c>
      <c r="B52" s="56" t="s">
        <v>69</v>
      </c>
      <c r="C52" s="33">
        <f>[17]С2.2!E14</f>
        <v>12104</v>
      </c>
    </row>
    <row r="53" spans="1:3" ht="25.5" x14ac:dyDescent="0.2">
      <c r="A53" s="21" t="s">
        <v>70</v>
      </c>
      <c r="B53" s="57" t="s">
        <v>71</v>
      </c>
      <c r="C53" s="35">
        <f>[17]С2.2!E15</f>
        <v>4.8000000000000001E-2</v>
      </c>
    </row>
    <row r="54" spans="1:3" x14ac:dyDescent="0.2">
      <c r="A54" s="21" t="s">
        <v>72</v>
      </c>
      <c r="B54" s="57" t="s">
        <v>73</v>
      </c>
      <c r="C54" s="33">
        <f>[17]С2.2!E16</f>
        <v>1</v>
      </c>
    </row>
    <row r="55" spans="1:3" ht="15.75" x14ac:dyDescent="0.2">
      <c r="A55" s="21" t="s">
        <v>74</v>
      </c>
      <c r="B55" s="59" t="s">
        <v>75</v>
      </c>
      <c r="C55" s="33">
        <f>[17]С2!F21</f>
        <v>1</v>
      </c>
    </row>
    <row r="56" spans="1:3" ht="30" x14ac:dyDescent="0.2">
      <c r="A56" s="60" t="s">
        <v>76</v>
      </c>
      <c r="B56" s="32" t="s">
        <v>235</v>
      </c>
      <c r="C56" s="33">
        <f>[17]С2!F13</f>
        <v>169640.22915965237</v>
      </c>
    </row>
    <row r="57" spans="1:3" ht="30" x14ac:dyDescent="0.2">
      <c r="A57" s="60" t="s">
        <v>78</v>
      </c>
      <c r="B57" s="59" t="s">
        <v>236</v>
      </c>
      <c r="C57" s="33">
        <f>[17]С2!F14</f>
        <v>113455</v>
      </c>
    </row>
    <row r="58" spans="1:3" ht="15.75" x14ac:dyDescent="0.2">
      <c r="A58" s="60" t="s">
        <v>80</v>
      </c>
      <c r="B58" s="61" t="s">
        <v>81</v>
      </c>
      <c r="C58" s="41">
        <f>[17]С2!F15</f>
        <v>1.071</v>
      </c>
    </row>
    <row r="59" spans="1:3" ht="15.75" x14ac:dyDescent="0.2">
      <c r="A59" s="60" t="s">
        <v>82</v>
      </c>
      <c r="B59" s="61" t="s">
        <v>83</v>
      </c>
      <c r="C59" s="41">
        <f>[17]С2!F16</f>
        <v>1</v>
      </c>
    </row>
    <row r="60" spans="1:3" ht="17.25" x14ac:dyDescent="0.2">
      <c r="A60" s="60" t="s">
        <v>84</v>
      </c>
      <c r="B60" s="59" t="s">
        <v>85</v>
      </c>
      <c r="C60" s="33">
        <f>[17]С2!F17</f>
        <v>1.01</v>
      </c>
    </row>
    <row r="61" spans="1:3" s="66" customFormat="1" ht="14.25" x14ac:dyDescent="0.2">
      <c r="A61" s="60" t="s">
        <v>86</v>
      </c>
      <c r="B61" s="64" t="s">
        <v>87</v>
      </c>
      <c r="C61" s="65">
        <f>[17]С2!F33</f>
        <v>10</v>
      </c>
    </row>
    <row r="62" spans="1:3" ht="30" x14ac:dyDescent="0.2">
      <c r="A62" s="60" t="s">
        <v>88</v>
      </c>
      <c r="B62" s="67" t="s">
        <v>89</v>
      </c>
      <c r="C62" s="33">
        <f>[17]С2!F26</f>
        <v>1168.8344047018327</v>
      </c>
    </row>
    <row r="63" spans="1:3" ht="17.25" x14ac:dyDescent="0.2">
      <c r="A63" s="60" t="s">
        <v>90</v>
      </c>
      <c r="B63" s="53" t="s">
        <v>237</v>
      </c>
      <c r="C63" s="33">
        <f>[17]С2!F27</f>
        <v>0.201330388</v>
      </c>
    </row>
    <row r="64" spans="1:3" ht="17.25" x14ac:dyDescent="0.2">
      <c r="A64" s="60" t="s">
        <v>92</v>
      </c>
      <c r="B64" s="59" t="s">
        <v>238</v>
      </c>
      <c r="C64" s="65">
        <f>[17]С2!F28</f>
        <v>4200</v>
      </c>
    </row>
    <row r="65" spans="1:3" ht="42.75" x14ac:dyDescent="0.2">
      <c r="A65" s="60" t="s">
        <v>94</v>
      </c>
      <c r="B65" s="32" t="s">
        <v>239</v>
      </c>
      <c r="C65" s="33">
        <f>[17]С2!F22</f>
        <v>35717.748653137714</v>
      </c>
    </row>
    <row r="66" spans="1:3" ht="30" x14ac:dyDescent="0.2">
      <c r="A66" s="60" t="s">
        <v>96</v>
      </c>
      <c r="B66" s="61" t="s">
        <v>240</v>
      </c>
      <c r="C66" s="33">
        <f>[17]С2!F23</f>
        <v>1990</v>
      </c>
    </row>
    <row r="67" spans="1:3" ht="30" x14ac:dyDescent="0.2">
      <c r="A67" s="60" t="s">
        <v>98</v>
      </c>
      <c r="B67" s="53" t="s">
        <v>99</v>
      </c>
      <c r="C67" s="33">
        <f>[17]С2.1!E27</f>
        <v>14307.876789999998</v>
      </c>
    </row>
    <row r="68" spans="1:3" ht="38.25" x14ac:dyDescent="0.2">
      <c r="A68" s="60" t="s">
        <v>100</v>
      </c>
      <c r="B68" s="68" t="s">
        <v>101</v>
      </c>
      <c r="C68" s="52">
        <f>[17]С2.3!E21</f>
        <v>0</v>
      </c>
    </row>
    <row r="69" spans="1:3" ht="25.5" x14ac:dyDescent="0.2">
      <c r="A69" s="60" t="s">
        <v>102</v>
      </c>
      <c r="B69" s="69" t="s">
        <v>103</v>
      </c>
      <c r="C69" s="70">
        <f>[17]С2.3!E11</f>
        <v>9.89</v>
      </c>
    </row>
    <row r="70" spans="1:3" ht="25.5" x14ac:dyDescent="0.2">
      <c r="A70" s="60" t="s">
        <v>104</v>
      </c>
      <c r="B70" s="69" t="s">
        <v>105</v>
      </c>
      <c r="C70" s="65">
        <f>[17]С2.3!E13</f>
        <v>300</v>
      </c>
    </row>
    <row r="71" spans="1:3" ht="25.5" x14ac:dyDescent="0.2">
      <c r="A71" s="60" t="s">
        <v>106</v>
      </c>
      <c r="B71" s="68" t="s">
        <v>107</v>
      </c>
      <c r="C71" s="71">
        <f>IF([17]С2.3!E22&gt;0,[17]С2.3!E22,[17]С2.3!E14)</f>
        <v>61211</v>
      </c>
    </row>
    <row r="72" spans="1:3" ht="38.25" x14ac:dyDescent="0.2">
      <c r="A72" s="60" t="s">
        <v>108</v>
      </c>
      <c r="B72" s="68" t="s">
        <v>109</v>
      </c>
      <c r="C72" s="71">
        <f>IF([17]С2.3!E23&gt;0,[17]С2.3!E23,[17]С2.3!E15)</f>
        <v>45675</v>
      </c>
    </row>
    <row r="73" spans="1:3" ht="30" x14ac:dyDescent="0.2">
      <c r="A73" s="60" t="s">
        <v>110</v>
      </c>
      <c r="B73" s="53" t="s">
        <v>111</v>
      </c>
      <c r="C73" s="33">
        <f>[17]С2.1!E28</f>
        <v>9541.9567200000001</v>
      </c>
    </row>
    <row r="74" spans="1:3" ht="38.25" x14ac:dyDescent="0.2">
      <c r="A74" s="60" t="s">
        <v>112</v>
      </c>
      <c r="B74" s="68" t="s">
        <v>113</v>
      </c>
      <c r="C74" s="52">
        <f>[17]С2.3!E25</f>
        <v>0</v>
      </c>
    </row>
    <row r="75" spans="1:3" ht="25.5" x14ac:dyDescent="0.2">
      <c r="A75" s="60" t="s">
        <v>114</v>
      </c>
      <c r="B75" s="69" t="s">
        <v>115</v>
      </c>
      <c r="C75" s="70">
        <f>[17]С2.3!E12</f>
        <v>0.56000000000000005</v>
      </c>
    </row>
    <row r="76" spans="1:3" ht="25.5" x14ac:dyDescent="0.2">
      <c r="A76" s="60" t="s">
        <v>116</v>
      </c>
      <c r="B76" s="69" t="s">
        <v>105</v>
      </c>
      <c r="C76" s="65">
        <f>[17]С2.3!E13</f>
        <v>300</v>
      </c>
    </row>
    <row r="77" spans="1:3" ht="25.5" x14ac:dyDescent="0.2">
      <c r="A77" s="60" t="s">
        <v>117</v>
      </c>
      <c r="B77" s="72" t="s">
        <v>118</v>
      </c>
      <c r="C77" s="71">
        <f>IF([17]С2.3!E26&gt;0,[17]С2.3!E26,[17]С2.3!E16)</f>
        <v>65637</v>
      </c>
    </row>
    <row r="78" spans="1:3" ht="38.25" x14ac:dyDescent="0.2">
      <c r="A78" s="60" t="s">
        <v>119</v>
      </c>
      <c r="B78" s="72" t="s">
        <v>120</v>
      </c>
      <c r="C78" s="71">
        <f>IF([17]С2.3!E27&gt;0,[17]С2.3!E27,[17]С2.3!E17)</f>
        <v>31684</v>
      </c>
    </row>
    <row r="79" spans="1:3" ht="17.25" x14ac:dyDescent="0.2">
      <c r="A79" s="60" t="s">
        <v>123</v>
      </c>
      <c r="B79" s="32" t="s">
        <v>124</v>
      </c>
      <c r="C79" s="35">
        <f>[17]С2!F29</f>
        <v>0.128978033685065</v>
      </c>
    </row>
    <row r="80" spans="1:3" ht="30" x14ac:dyDescent="0.2">
      <c r="A80" s="60" t="s">
        <v>125</v>
      </c>
      <c r="B80" s="53" t="s">
        <v>126</v>
      </c>
      <c r="C80" s="73">
        <f>[17]С2!F30</f>
        <v>0.11668498168498169</v>
      </c>
    </row>
    <row r="81" spans="1:3" ht="17.25" x14ac:dyDescent="0.2">
      <c r="A81" s="60" t="s">
        <v>127</v>
      </c>
      <c r="B81" s="74" t="s">
        <v>128</v>
      </c>
      <c r="C81" s="35">
        <f>[17]С2!F31</f>
        <v>0.13880000000000001</v>
      </c>
    </row>
    <row r="82" spans="1:3" s="66" customFormat="1" ht="18" thickBot="1" x14ac:dyDescent="0.25">
      <c r="A82" s="75" t="s">
        <v>129</v>
      </c>
      <c r="B82" s="76" t="s">
        <v>130</v>
      </c>
      <c r="C82" s="77">
        <f>[17]С2!F32</f>
        <v>0.12640000000000001</v>
      </c>
    </row>
    <row r="83" spans="1:3" ht="13.5" thickBot="1" x14ac:dyDescent="0.25">
      <c r="A83" s="48"/>
      <c r="B83" s="49"/>
      <c r="C83" s="14"/>
    </row>
    <row r="84" spans="1:3" s="66" customFormat="1" ht="30" customHeight="1" x14ac:dyDescent="0.2">
      <c r="A84" s="78" t="s">
        <v>131</v>
      </c>
      <c r="B84" s="146" t="s">
        <v>132</v>
      </c>
      <c r="C84" s="146"/>
    </row>
    <row r="85" spans="1:3" s="66" customFormat="1" ht="30" x14ac:dyDescent="0.2">
      <c r="A85" s="79" t="s">
        <v>133</v>
      </c>
      <c r="B85" s="32" t="s">
        <v>134</v>
      </c>
      <c r="C85" s="33">
        <f>[17]С3!F14</f>
        <v>7000.4488806189811</v>
      </c>
    </row>
    <row r="86" spans="1:3" s="66" customFormat="1" ht="42.75" x14ac:dyDescent="0.2">
      <c r="A86" s="79" t="s">
        <v>135</v>
      </c>
      <c r="B86" s="53" t="s">
        <v>136</v>
      </c>
      <c r="C86" s="80">
        <f>[17]С3!F15</f>
        <v>0.2</v>
      </c>
    </row>
    <row r="87" spans="1:3" s="66" customFormat="1" ht="14.25" x14ac:dyDescent="0.2">
      <c r="A87" s="79" t="s">
        <v>137</v>
      </c>
      <c r="B87" s="81" t="s">
        <v>138</v>
      </c>
      <c r="C87" s="65">
        <f>[17]С3!F18</f>
        <v>15</v>
      </c>
    </row>
    <row r="88" spans="1:3" s="66" customFormat="1" ht="17.25" x14ac:dyDescent="0.2">
      <c r="A88" s="79" t="s">
        <v>139</v>
      </c>
      <c r="B88" s="32" t="s">
        <v>140</v>
      </c>
      <c r="C88" s="33">
        <f>[17]С3!F19</f>
        <v>3487.1555421534131</v>
      </c>
    </row>
    <row r="89" spans="1:3" s="66" customFormat="1" ht="55.5" x14ac:dyDescent="0.2">
      <c r="A89" s="79" t="s">
        <v>141</v>
      </c>
      <c r="B89" s="53" t="s">
        <v>142</v>
      </c>
      <c r="C89" s="82">
        <f>[17]С3!F20</f>
        <v>2.1999999999999999E-2</v>
      </c>
    </row>
    <row r="90" spans="1:3" s="66" customFormat="1" ht="14.25" x14ac:dyDescent="0.2">
      <c r="A90" s="79" t="s">
        <v>143</v>
      </c>
      <c r="B90" s="59" t="s">
        <v>87</v>
      </c>
      <c r="C90" s="65">
        <f>[17]С3!F21</f>
        <v>10</v>
      </c>
    </row>
    <row r="91" spans="1:3" s="66" customFormat="1" ht="17.25" x14ac:dyDescent="0.2">
      <c r="A91" s="79" t="s">
        <v>144</v>
      </c>
      <c r="B91" s="32" t="s">
        <v>145</v>
      </c>
      <c r="C91" s="33">
        <f>[17]С3!F22</f>
        <v>3.5065032141054981</v>
      </c>
    </row>
    <row r="92" spans="1:3" s="66" customFormat="1" ht="55.5" x14ac:dyDescent="0.2">
      <c r="A92" s="79" t="s">
        <v>146</v>
      </c>
      <c r="B92" s="53" t="s">
        <v>147</v>
      </c>
      <c r="C92" s="82">
        <f>[17]С3!F23</f>
        <v>3.0000000000000001E-3</v>
      </c>
    </row>
    <row r="93" spans="1:3" s="66" customFormat="1" ht="27.75" thickBot="1" x14ac:dyDescent="0.25">
      <c r="A93" s="83" t="s">
        <v>148</v>
      </c>
      <c r="B93" s="84" t="s">
        <v>241</v>
      </c>
      <c r="C93" s="85">
        <f>[17]С3!F24</f>
        <v>1168.8344047018327</v>
      </c>
    </row>
    <row r="94" spans="1:3" ht="13.5" thickBot="1" x14ac:dyDescent="0.25">
      <c r="A94" s="48"/>
      <c r="B94" s="49"/>
      <c r="C94" s="14"/>
    </row>
    <row r="95" spans="1:3" ht="30" customHeight="1" x14ac:dyDescent="0.2">
      <c r="A95" s="86" t="s">
        <v>149</v>
      </c>
      <c r="B95" s="146" t="s">
        <v>150</v>
      </c>
      <c r="C95" s="146"/>
    </row>
    <row r="96" spans="1:3" ht="30" x14ac:dyDescent="0.2">
      <c r="A96" s="60" t="s">
        <v>151</v>
      </c>
      <c r="B96" s="32" t="s">
        <v>242</v>
      </c>
      <c r="C96" s="33">
        <f>[17]С4!F16</f>
        <v>1652.5</v>
      </c>
    </row>
    <row r="97" spans="1:3" ht="30" x14ac:dyDescent="0.2">
      <c r="A97" s="60" t="s">
        <v>153</v>
      </c>
      <c r="B97" s="59" t="s">
        <v>243</v>
      </c>
      <c r="C97" s="33">
        <f>[17]С4!F17</f>
        <v>73547</v>
      </c>
    </row>
    <row r="98" spans="1:3" ht="33" x14ac:dyDescent="0.2">
      <c r="A98" s="60" t="s">
        <v>155</v>
      </c>
      <c r="B98" s="59" t="s">
        <v>156</v>
      </c>
      <c r="C98" s="41">
        <f>[17]С4!F18</f>
        <v>0.02</v>
      </c>
    </row>
    <row r="99" spans="1:3" ht="30" x14ac:dyDescent="0.2">
      <c r="A99" s="60" t="s">
        <v>157</v>
      </c>
      <c r="B99" s="59" t="s">
        <v>158</v>
      </c>
      <c r="C99" s="33">
        <f>[17]С4!F19</f>
        <v>12104</v>
      </c>
    </row>
    <row r="100" spans="1:3" ht="28.5" x14ac:dyDescent="0.2">
      <c r="A100" s="60" t="s">
        <v>159</v>
      </c>
      <c r="B100" s="59" t="s">
        <v>160</v>
      </c>
      <c r="C100" s="41">
        <f>[17]С4!F20</f>
        <v>1.4999999999999999E-2</v>
      </c>
    </row>
    <row r="101" spans="1:3" ht="30" x14ac:dyDescent="0.2">
      <c r="A101" s="60" t="s">
        <v>161</v>
      </c>
      <c r="B101" s="32" t="s">
        <v>244</v>
      </c>
      <c r="C101" s="33">
        <f>[17]С4!F21</f>
        <v>1933.1949342509995</v>
      </c>
    </row>
    <row r="102" spans="1:3" ht="24" customHeight="1" x14ac:dyDescent="0.2">
      <c r="A102" s="60" t="s">
        <v>163</v>
      </c>
      <c r="B102" s="53" t="s">
        <v>164</v>
      </c>
      <c r="C102" s="34">
        <f>IF([17]С4.2!F8="да",[17]С4.2!D21,[17]С4.2!D15)</f>
        <v>0</v>
      </c>
    </row>
    <row r="103" spans="1:3" ht="68.25" x14ac:dyDescent="0.2">
      <c r="A103" s="60" t="s">
        <v>165</v>
      </c>
      <c r="B103" s="53" t="s">
        <v>166</v>
      </c>
      <c r="C103" s="33">
        <f>[17]С4!F22</f>
        <v>3.6112641666666665</v>
      </c>
    </row>
    <row r="104" spans="1:3" ht="30" x14ac:dyDescent="0.2">
      <c r="A104" s="60" t="s">
        <v>167</v>
      </c>
      <c r="B104" s="59" t="s">
        <v>245</v>
      </c>
      <c r="C104" s="33">
        <f>[17]С4!F23</f>
        <v>180</v>
      </c>
    </row>
    <row r="105" spans="1:3" ht="14.25" x14ac:dyDescent="0.2">
      <c r="A105" s="60" t="s">
        <v>169</v>
      </c>
      <c r="B105" s="53" t="s">
        <v>170</v>
      </c>
      <c r="C105" s="33">
        <f>[17]С4!F24</f>
        <v>8497.1999999999989</v>
      </c>
    </row>
    <row r="106" spans="1:3" ht="14.25" x14ac:dyDescent="0.2">
      <c r="A106" s="60" t="s">
        <v>171</v>
      </c>
      <c r="B106" s="59" t="s">
        <v>172</v>
      </c>
      <c r="C106" s="41">
        <f>[17]С4!F25</f>
        <v>0.35</v>
      </c>
    </row>
    <row r="107" spans="1:3" ht="17.25" x14ac:dyDescent="0.2">
      <c r="A107" s="60" t="s">
        <v>173</v>
      </c>
      <c r="B107" s="32" t="s">
        <v>174</v>
      </c>
      <c r="C107" s="33">
        <f>[17]С4!F26</f>
        <v>62.8917</v>
      </c>
    </row>
    <row r="108" spans="1:3" ht="25.5" x14ac:dyDescent="0.2">
      <c r="A108" s="60" t="s">
        <v>175</v>
      </c>
      <c r="B108" s="53" t="s">
        <v>101</v>
      </c>
      <c r="C108" s="34">
        <f>[17]С4.3!E16</f>
        <v>0</v>
      </c>
    </row>
    <row r="109" spans="1:3" ht="25.5" x14ac:dyDescent="0.2">
      <c r="A109" s="60" t="s">
        <v>176</v>
      </c>
      <c r="B109" s="53" t="s">
        <v>177</v>
      </c>
      <c r="C109" s="33">
        <f>[17]С4.3!E17</f>
        <v>15</v>
      </c>
    </row>
    <row r="110" spans="1:3" ht="38.25" x14ac:dyDescent="0.2">
      <c r="A110" s="60" t="s">
        <v>178</v>
      </c>
      <c r="B110" s="53" t="s">
        <v>113</v>
      </c>
      <c r="C110" s="34">
        <f>[17]С4.3!E18</f>
        <v>0</v>
      </c>
    </row>
    <row r="111" spans="1:3" x14ac:dyDescent="0.2">
      <c r="A111" s="60" t="s">
        <v>179</v>
      </c>
      <c r="B111" s="53" t="s">
        <v>180</v>
      </c>
      <c r="C111" s="33">
        <f>[17]С4.3!E19</f>
        <v>50.424999999999997</v>
      </c>
    </row>
    <row r="112" spans="1:3" x14ac:dyDescent="0.2">
      <c r="A112" s="60" t="s">
        <v>181</v>
      </c>
      <c r="B112" s="59" t="s">
        <v>182</v>
      </c>
      <c r="C112" s="33">
        <f>[17]С4.3!E11</f>
        <v>1871</v>
      </c>
    </row>
    <row r="113" spans="1:3" x14ac:dyDescent="0.2">
      <c r="A113" s="60" t="s">
        <v>183</v>
      </c>
      <c r="B113" s="59" t="s">
        <v>184</v>
      </c>
      <c r="C113" s="52">
        <f>[17]С4.3!E12</f>
        <v>1636</v>
      </c>
    </row>
    <row r="114" spans="1:3" x14ac:dyDescent="0.2">
      <c r="A114" s="60" t="s">
        <v>185</v>
      </c>
      <c r="B114" s="59" t="s">
        <v>186</v>
      </c>
      <c r="C114" s="52">
        <f>[17]С4.3!E13</f>
        <v>204</v>
      </c>
    </row>
    <row r="115" spans="1:3" ht="30" x14ac:dyDescent="0.2">
      <c r="A115" s="60" t="s">
        <v>187</v>
      </c>
      <c r="B115" s="32" t="s">
        <v>246</v>
      </c>
      <c r="C115" s="33">
        <f>[17]С4!F27</f>
        <v>0</v>
      </c>
    </row>
    <row r="116" spans="1:3" ht="25.5" x14ac:dyDescent="0.2">
      <c r="A116" s="60" t="s">
        <v>189</v>
      </c>
      <c r="B116" s="53" t="s">
        <v>247</v>
      </c>
      <c r="C116" s="33">
        <f>[17]С4!F28</f>
        <v>0</v>
      </c>
    </row>
    <row r="117" spans="1:3" ht="42.75" x14ac:dyDescent="0.2">
      <c r="A117" s="60" t="s">
        <v>191</v>
      </c>
      <c r="B117" s="53" t="s">
        <v>192</v>
      </c>
      <c r="C117" s="33">
        <f>[17]С4!F29</f>
        <v>0</v>
      </c>
    </row>
    <row r="118" spans="1:3" ht="30" x14ac:dyDescent="0.2">
      <c r="A118" s="60" t="s">
        <v>193</v>
      </c>
      <c r="B118" s="40" t="s">
        <v>194</v>
      </c>
      <c r="C118" s="33">
        <f>[17]С4!F30</f>
        <v>2338.6398831854167</v>
      </c>
    </row>
    <row r="119" spans="1:3" ht="42.75" x14ac:dyDescent="0.2">
      <c r="A119" s="60" t="s">
        <v>248</v>
      </c>
      <c r="B119" s="90" t="s">
        <v>249</v>
      </c>
      <c r="C119" s="33">
        <f>[17]С4!F33</f>
        <v>1695.5272077185077</v>
      </c>
    </row>
    <row r="120" spans="1:3" ht="30" x14ac:dyDescent="0.2">
      <c r="A120" s="60" t="s">
        <v>250</v>
      </c>
      <c r="B120" s="123" t="s">
        <v>251</v>
      </c>
      <c r="C120" s="33">
        <f>[17]С4!F35</f>
        <v>17.040680999999999</v>
      </c>
    </row>
    <row r="121" spans="1:3" ht="14.25" x14ac:dyDescent="0.2">
      <c r="A121" s="60" t="s">
        <v>252</v>
      </c>
      <c r="B121" s="56" t="s">
        <v>253</v>
      </c>
      <c r="C121" s="33">
        <f>[17]С4!F36</f>
        <v>14319.9</v>
      </c>
    </row>
    <row r="122" spans="1:3" ht="28.5" thickBot="1" x14ac:dyDescent="0.25">
      <c r="A122" s="75" t="s">
        <v>254</v>
      </c>
      <c r="B122" s="124" t="s">
        <v>255</v>
      </c>
      <c r="C122" s="85">
        <f>[17]С4!F37</f>
        <v>1.19</v>
      </c>
    </row>
    <row r="123" spans="1:3" s="88" customFormat="1" ht="13.5" thickBot="1" x14ac:dyDescent="0.25">
      <c r="A123" s="48"/>
      <c r="B123" s="49"/>
      <c r="C123" s="14"/>
    </row>
    <row r="124" spans="1:3" s="66" customFormat="1" ht="30" customHeight="1" x14ac:dyDescent="0.2">
      <c r="A124" s="78" t="s">
        <v>195</v>
      </c>
      <c r="B124" s="146" t="s">
        <v>196</v>
      </c>
      <c r="C124" s="146"/>
    </row>
    <row r="125" spans="1:3" ht="16.5" thickBot="1" x14ac:dyDescent="0.25">
      <c r="A125" s="26" t="s">
        <v>197</v>
      </c>
      <c r="B125" s="87" t="s">
        <v>198</v>
      </c>
      <c r="C125" s="85">
        <f>[17]С5!F17</f>
        <v>0.02</v>
      </c>
    </row>
    <row r="126" spans="1:3" s="88" customFormat="1" ht="13.5" thickBot="1" x14ac:dyDescent="0.25">
      <c r="A126" s="48"/>
      <c r="B126" s="49"/>
      <c r="C126" s="14"/>
    </row>
    <row r="127" spans="1:3" ht="42.75" customHeight="1" x14ac:dyDescent="0.2">
      <c r="A127" s="86" t="s">
        <v>199</v>
      </c>
      <c r="B127" s="148" t="s">
        <v>200</v>
      </c>
      <c r="C127" s="148"/>
    </row>
    <row r="128" spans="1:3" ht="68.25" x14ac:dyDescent="0.2">
      <c r="A128" s="60" t="s">
        <v>201</v>
      </c>
      <c r="B128" s="89" t="s">
        <v>202</v>
      </c>
      <c r="C128" s="33" t="s">
        <v>256</v>
      </c>
    </row>
    <row r="129" spans="1:4" ht="42.75" hidden="1" x14ac:dyDescent="0.2">
      <c r="A129" s="60" t="s">
        <v>203</v>
      </c>
      <c r="B129" s="90" t="s">
        <v>204</v>
      </c>
      <c r="C129" s="91"/>
    </row>
    <row r="130" spans="1:4" ht="69" thickBot="1" x14ac:dyDescent="0.25">
      <c r="A130" s="75" t="s">
        <v>205</v>
      </c>
      <c r="B130" s="125" t="s">
        <v>206</v>
      </c>
      <c r="C130" s="126" t="s">
        <v>256</v>
      </c>
    </row>
    <row r="131" spans="1:4" ht="62.25" hidden="1" customHeight="1" x14ac:dyDescent="0.2">
      <c r="A131" s="127" t="s">
        <v>207</v>
      </c>
      <c r="B131" s="128" t="s">
        <v>208</v>
      </c>
      <c r="C131" s="129"/>
    </row>
    <row r="132" spans="1:4" ht="68.25" hidden="1" x14ac:dyDescent="0.2">
      <c r="A132" s="60" t="s">
        <v>209</v>
      </c>
      <c r="B132" s="90" t="s">
        <v>257</v>
      </c>
      <c r="C132" s="35"/>
    </row>
    <row r="133" spans="1:4" ht="69" hidden="1" thickBot="1" x14ac:dyDescent="0.25">
      <c r="A133" s="75" t="s">
        <v>211</v>
      </c>
      <c r="B133" s="93" t="s">
        <v>212</v>
      </c>
      <c r="C133" s="77"/>
    </row>
    <row r="134" spans="1:4" s="88" customFormat="1" ht="13.5" thickBot="1" x14ac:dyDescent="0.25">
      <c r="A134" s="48"/>
      <c r="B134" s="49"/>
      <c r="C134" s="14"/>
    </row>
    <row r="135" spans="1:4" ht="26.25" customHeight="1" x14ac:dyDescent="0.2">
      <c r="A135" s="86" t="s">
        <v>213</v>
      </c>
      <c r="B135" s="94" t="s">
        <v>214</v>
      </c>
      <c r="C135" s="95">
        <f>[17]С2!F37</f>
        <v>20.818139999999996</v>
      </c>
    </row>
    <row r="136" spans="1:4" ht="14.25" x14ac:dyDescent="0.2">
      <c r="A136" s="60" t="s">
        <v>215</v>
      </c>
      <c r="B136" s="130" t="s">
        <v>216</v>
      </c>
      <c r="C136" s="33">
        <f>[17]С2!F38</f>
        <v>7</v>
      </c>
    </row>
    <row r="137" spans="1:4" ht="17.25" x14ac:dyDescent="0.2">
      <c r="A137" s="60" t="s">
        <v>217</v>
      </c>
      <c r="B137" s="130" t="s">
        <v>218</v>
      </c>
      <c r="C137" s="33">
        <f>[17]С2!F40</f>
        <v>0.97</v>
      </c>
    </row>
    <row r="138" spans="1:4" ht="15" thickBot="1" x14ac:dyDescent="0.25">
      <c r="A138" s="75" t="s">
        <v>219</v>
      </c>
      <c r="B138" s="131" t="s">
        <v>220</v>
      </c>
      <c r="C138" s="47">
        <f>[17]С2!F42</f>
        <v>0.35</v>
      </c>
    </row>
    <row r="139" spans="1:4" s="88" customFormat="1" ht="13.5" thickBot="1" x14ac:dyDescent="0.25">
      <c r="A139" s="48"/>
      <c r="B139" s="49"/>
      <c r="C139" s="14"/>
    </row>
    <row r="140" spans="1:4" ht="30" x14ac:dyDescent="0.2">
      <c r="A140" s="86" t="s">
        <v>221</v>
      </c>
      <c r="B140" s="96" t="s">
        <v>258</v>
      </c>
      <c r="C140" s="132">
        <f>[17]С2!F35</f>
        <v>1.3822747209000001</v>
      </c>
      <c r="D140" s="88"/>
    </row>
    <row r="141" spans="1:4" ht="22.7" customHeight="1" thickBot="1" x14ac:dyDescent="0.25">
      <c r="A141" s="75" t="s">
        <v>223</v>
      </c>
      <c r="B141" s="145" t="s">
        <v>224</v>
      </c>
      <c r="C141" s="145"/>
      <c r="D141" s="88"/>
    </row>
    <row r="142" spans="1:4" ht="13.5" thickBot="1" x14ac:dyDescent="0.25">
      <c r="A142" s="99"/>
      <c r="B142" s="133" t="s">
        <v>0</v>
      </c>
      <c r="C142" s="134"/>
      <c r="D142" s="88"/>
    </row>
    <row r="143" spans="1:4" x14ac:dyDescent="0.2">
      <c r="A143" s="99"/>
      <c r="B143" s="135">
        <v>2020</v>
      </c>
      <c r="C143" s="136">
        <f>[17]С2.5!$E$11</f>
        <v>-2.9000000000000026E-2</v>
      </c>
      <c r="D143" s="88"/>
    </row>
    <row r="144" spans="1:4" x14ac:dyDescent="0.2">
      <c r="A144" s="99"/>
      <c r="B144" s="106">
        <f>B143+1</f>
        <v>2021</v>
      </c>
      <c r="C144" s="137">
        <f>[17]С2.5!$F$11</f>
        <v>0.245</v>
      </c>
      <c r="D144" s="88"/>
    </row>
    <row r="145" spans="1:4" x14ac:dyDescent="0.2">
      <c r="A145" s="99"/>
      <c r="B145" s="106">
        <f t="shared" ref="B145:B208" si="0">B144+1</f>
        <v>2022</v>
      </c>
      <c r="C145" s="137">
        <f>[17]С2.5!$G$11</f>
        <v>0.121</v>
      </c>
      <c r="D145" s="88"/>
    </row>
    <row r="146" spans="1:4" ht="13.5" thickBot="1" x14ac:dyDescent="0.25">
      <c r="A146" s="99"/>
      <c r="B146" s="108">
        <f t="shared" si="0"/>
        <v>2023</v>
      </c>
      <c r="C146" s="138">
        <f>[17]С2.5!$H$11</f>
        <v>0.02</v>
      </c>
      <c r="D146" s="88"/>
    </row>
    <row r="147" spans="1:4" hidden="1" x14ac:dyDescent="0.2">
      <c r="A147" s="99"/>
      <c r="B147" s="139">
        <f t="shared" si="0"/>
        <v>2024</v>
      </c>
      <c r="C147" s="140">
        <f>[17]С2.5!$I$11</f>
        <v>-2.93E-2</v>
      </c>
      <c r="D147" s="88"/>
    </row>
    <row r="148" spans="1:4" hidden="1" x14ac:dyDescent="0.2">
      <c r="A148" s="99"/>
      <c r="B148" s="106">
        <f t="shared" si="0"/>
        <v>2025</v>
      </c>
      <c r="C148" s="137">
        <f>[17]С2.5!$J$11</f>
        <v>0.21215960863291</v>
      </c>
      <c r="D148" s="88"/>
    </row>
    <row r="149" spans="1:4" hidden="1" x14ac:dyDescent="0.2">
      <c r="A149" s="99"/>
      <c r="B149" s="106">
        <f t="shared" si="0"/>
        <v>2026</v>
      </c>
      <c r="C149" s="137">
        <f>[17]С2.5!$K$11</f>
        <v>3.5813361771260002E-2</v>
      </c>
      <c r="D149" s="88"/>
    </row>
    <row r="150" spans="1:4" hidden="1" x14ac:dyDescent="0.2">
      <c r="A150" s="99"/>
      <c r="B150" s="106">
        <f t="shared" si="0"/>
        <v>2027</v>
      </c>
      <c r="C150" s="137">
        <f>[17]С2.5!$L$11</f>
        <v>3.2682303599220003E-2</v>
      </c>
      <c r="D150" s="88"/>
    </row>
    <row r="151" spans="1:4" hidden="1" x14ac:dyDescent="0.2">
      <c r="A151" s="99"/>
      <c r="B151" s="106">
        <f t="shared" si="0"/>
        <v>2028</v>
      </c>
      <c r="C151" s="137">
        <f>[17]С2.5!$M$11</f>
        <v>0</v>
      </c>
      <c r="D151" s="88"/>
    </row>
    <row r="152" spans="1:4" hidden="1" x14ac:dyDescent="0.2">
      <c r="A152" s="99"/>
      <c r="B152" s="106">
        <f t="shared" si="0"/>
        <v>2029</v>
      </c>
      <c r="C152" s="137">
        <f>[17]С2.5!$N$11</f>
        <v>0</v>
      </c>
      <c r="D152" s="88"/>
    </row>
    <row r="153" spans="1:4" hidden="1" x14ac:dyDescent="0.2">
      <c r="A153" s="99"/>
      <c r="B153" s="106">
        <f t="shared" si="0"/>
        <v>2030</v>
      </c>
      <c r="C153" s="137">
        <f>[17]С2.5!$O$11</f>
        <v>0</v>
      </c>
      <c r="D153" s="88"/>
    </row>
    <row r="154" spans="1:4" hidden="1" x14ac:dyDescent="0.2">
      <c r="A154" s="99"/>
      <c r="B154" s="106">
        <f t="shared" si="0"/>
        <v>2031</v>
      </c>
      <c r="C154" s="137">
        <f>[17]С2.5!$P$11</f>
        <v>0</v>
      </c>
      <c r="D154" s="88"/>
    </row>
    <row r="155" spans="1:4" hidden="1" x14ac:dyDescent="0.2">
      <c r="A155" s="88"/>
      <c r="B155" s="106">
        <f t="shared" si="0"/>
        <v>2032</v>
      </c>
      <c r="C155" s="137">
        <f>[17]С2.5!$Q$11</f>
        <v>0</v>
      </c>
      <c r="D155" s="88"/>
    </row>
    <row r="156" spans="1:4" hidden="1" x14ac:dyDescent="0.2">
      <c r="A156" s="88"/>
      <c r="B156" s="106">
        <f t="shared" si="0"/>
        <v>2033</v>
      </c>
      <c r="C156" s="137">
        <f>[17]С2.5!$R$11</f>
        <v>0</v>
      </c>
      <c r="D156" s="88"/>
    </row>
    <row r="157" spans="1:4" hidden="1" x14ac:dyDescent="0.2">
      <c r="B157" s="106">
        <f t="shared" si="0"/>
        <v>2034</v>
      </c>
      <c r="C157" s="137">
        <f>[17]С2.5!$S$11</f>
        <v>0</v>
      </c>
    </row>
    <row r="158" spans="1:4" hidden="1" x14ac:dyDescent="0.2">
      <c r="B158" s="106">
        <f t="shared" si="0"/>
        <v>2035</v>
      </c>
      <c r="C158" s="137">
        <f>[17]С2.5!$T$11</f>
        <v>0</v>
      </c>
    </row>
    <row r="159" spans="1:4" hidden="1" x14ac:dyDescent="0.2">
      <c r="B159" s="106">
        <f t="shared" si="0"/>
        <v>2036</v>
      </c>
      <c r="C159" s="137">
        <f>[17]С2.5!$U$11</f>
        <v>0</v>
      </c>
    </row>
    <row r="160" spans="1:4" hidden="1" x14ac:dyDescent="0.2">
      <c r="B160" s="106">
        <f t="shared" si="0"/>
        <v>2037</v>
      </c>
      <c r="C160" s="137">
        <f>[17]С2.5!$V$11</f>
        <v>0</v>
      </c>
    </row>
    <row r="161" spans="2:3" hidden="1" x14ac:dyDescent="0.2">
      <c r="B161" s="106">
        <f t="shared" si="0"/>
        <v>2038</v>
      </c>
      <c r="C161" s="137">
        <f>[17]С2.5!$W$11</f>
        <v>0</v>
      </c>
    </row>
    <row r="162" spans="2:3" hidden="1" x14ac:dyDescent="0.2">
      <c r="B162" s="106">
        <f t="shared" si="0"/>
        <v>2039</v>
      </c>
      <c r="C162" s="137">
        <f>[17]С2.5!$X$11</f>
        <v>0</v>
      </c>
    </row>
    <row r="163" spans="2:3" hidden="1" x14ac:dyDescent="0.2">
      <c r="B163" s="106">
        <f t="shared" si="0"/>
        <v>2040</v>
      </c>
      <c r="C163" s="137">
        <f>[17]С2.5!$Y$11</f>
        <v>0</v>
      </c>
    </row>
    <row r="164" spans="2:3" hidden="1" x14ac:dyDescent="0.2">
      <c r="B164" s="106">
        <f t="shared" si="0"/>
        <v>2041</v>
      </c>
      <c r="C164" s="137">
        <f>[17]С2.5!$Z$11</f>
        <v>0</v>
      </c>
    </row>
    <row r="165" spans="2:3" hidden="1" x14ac:dyDescent="0.2">
      <c r="B165" s="106">
        <f t="shared" si="0"/>
        <v>2042</v>
      </c>
      <c r="C165" s="137">
        <f>[17]С2.5!$AA$11</f>
        <v>0</v>
      </c>
    </row>
    <row r="166" spans="2:3" hidden="1" x14ac:dyDescent="0.2">
      <c r="B166" s="106">
        <f t="shared" si="0"/>
        <v>2043</v>
      </c>
      <c r="C166" s="137">
        <f>[17]С2.5!$AB$11</f>
        <v>0</v>
      </c>
    </row>
    <row r="167" spans="2:3" hidden="1" x14ac:dyDescent="0.2">
      <c r="B167" s="106">
        <f t="shared" si="0"/>
        <v>2044</v>
      </c>
      <c r="C167" s="137">
        <f>[17]С2.5!$AC$11</f>
        <v>0</v>
      </c>
    </row>
    <row r="168" spans="2:3" hidden="1" x14ac:dyDescent="0.2">
      <c r="B168" s="106">
        <f t="shared" si="0"/>
        <v>2045</v>
      </c>
      <c r="C168" s="137">
        <f>[17]С2.5!$AD$11</f>
        <v>0</v>
      </c>
    </row>
    <row r="169" spans="2:3" hidden="1" x14ac:dyDescent="0.2">
      <c r="B169" s="106">
        <f t="shared" si="0"/>
        <v>2046</v>
      </c>
      <c r="C169" s="137">
        <f>[17]С2.5!$AE$11</f>
        <v>0</v>
      </c>
    </row>
    <row r="170" spans="2:3" hidden="1" x14ac:dyDescent="0.2">
      <c r="B170" s="106">
        <f t="shared" si="0"/>
        <v>2047</v>
      </c>
      <c r="C170" s="137">
        <f>[17]С2.5!$AF$11</f>
        <v>0</v>
      </c>
    </row>
    <row r="171" spans="2:3" hidden="1" x14ac:dyDescent="0.2">
      <c r="B171" s="106">
        <f t="shared" si="0"/>
        <v>2048</v>
      </c>
      <c r="C171" s="137">
        <f>[17]С2.5!$AG$11</f>
        <v>0</v>
      </c>
    </row>
    <row r="172" spans="2:3" hidden="1" x14ac:dyDescent="0.2">
      <c r="B172" s="106">
        <f t="shared" si="0"/>
        <v>2049</v>
      </c>
      <c r="C172" s="137">
        <f>[17]С2.5!$AH$11</f>
        <v>0</v>
      </c>
    </row>
    <row r="173" spans="2:3" hidden="1" x14ac:dyDescent="0.2">
      <c r="B173" s="106">
        <f t="shared" si="0"/>
        <v>2050</v>
      </c>
      <c r="C173" s="137">
        <f>[17]С2.5!$AI$11</f>
        <v>0</v>
      </c>
    </row>
    <row r="174" spans="2:3" hidden="1" x14ac:dyDescent="0.2">
      <c r="B174" s="106">
        <f t="shared" si="0"/>
        <v>2051</v>
      </c>
      <c r="C174" s="137">
        <f>[17]С2.5!$AJ$11</f>
        <v>0</v>
      </c>
    </row>
    <row r="175" spans="2:3" hidden="1" x14ac:dyDescent="0.2">
      <c r="B175" s="106">
        <f t="shared" si="0"/>
        <v>2052</v>
      </c>
      <c r="C175" s="137">
        <f>[17]С2.5!$AK$11</f>
        <v>0</v>
      </c>
    </row>
    <row r="176" spans="2:3" hidden="1" x14ac:dyDescent="0.2">
      <c r="B176" s="106">
        <f t="shared" si="0"/>
        <v>2053</v>
      </c>
      <c r="C176" s="137">
        <f>[17]С2.5!$AL$11</f>
        <v>0</v>
      </c>
    </row>
    <row r="177" spans="2:3" hidden="1" x14ac:dyDescent="0.2">
      <c r="B177" s="106">
        <f t="shared" si="0"/>
        <v>2054</v>
      </c>
      <c r="C177" s="137">
        <f>[17]С2.5!$AM$11</f>
        <v>0</v>
      </c>
    </row>
    <row r="178" spans="2:3" hidden="1" x14ac:dyDescent="0.2">
      <c r="B178" s="106">
        <f t="shared" si="0"/>
        <v>2055</v>
      </c>
      <c r="C178" s="137">
        <f>[17]С2.5!$AN$11</f>
        <v>0</v>
      </c>
    </row>
    <row r="179" spans="2:3" hidden="1" x14ac:dyDescent="0.2">
      <c r="B179" s="106">
        <f t="shared" si="0"/>
        <v>2056</v>
      </c>
      <c r="C179" s="137">
        <f>[17]С2.5!$AO$11</f>
        <v>0</v>
      </c>
    </row>
    <row r="180" spans="2:3" hidden="1" x14ac:dyDescent="0.2">
      <c r="B180" s="106">
        <f t="shared" si="0"/>
        <v>2057</v>
      </c>
      <c r="C180" s="137">
        <f>[17]С2.5!$AP$11</f>
        <v>0</v>
      </c>
    </row>
    <row r="181" spans="2:3" hidden="1" x14ac:dyDescent="0.2">
      <c r="B181" s="106">
        <f t="shared" si="0"/>
        <v>2058</v>
      </c>
      <c r="C181" s="137">
        <f>[17]С2.5!$AQ$11</f>
        <v>0</v>
      </c>
    </row>
    <row r="182" spans="2:3" hidden="1" x14ac:dyDescent="0.2">
      <c r="B182" s="106">
        <f t="shared" si="0"/>
        <v>2059</v>
      </c>
      <c r="C182" s="137">
        <f>[17]С2.5!$AR$11</f>
        <v>0</v>
      </c>
    </row>
    <row r="183" spans="2:3" hidden="1" x14ac:dyDescent="0.2">
      <c r="B183" s="106">
        <f t="shared" si="0"/>
        <v>2060</v>
      </c>
      <c r="C183" s="137">
        <f>[17]С2.5!$AS$11</f>
        <v>0</v>
      </c>
    </row>
    <row r="184" spans="2:3" hidden="1" x14ac:dyDescent="0.2">
      <c r="B184" s="106">
        <f t="shared" si="0"/>
        <v>2061</v>
      </c>
      <c r="C184" s="137">
        <f>[17]С2.5!$AT$11</f>
        <v>0</v>
      </c>
    </row>
    <row r="185" spans="2:3" hidden="1" x14ac:dyDescent="0.2">
      <c r="B185" s="106">
        <f t="shared" si="0"/>
        <v>2062</v>
      </c>
      <c r="C185" s="137">
        <f>[17]С2.5!$AU$11</f>
        <v>0</v>
      </c>
    </row>
    <row r="186" spans="2:3" hidden="1" x14ac:dyDescent="0.2">
      <c r="B186" s="106">
        <f t="shared" si="0"/>
        <v>2063</v>
      </c>
      <c r="C186" s="137">
        <f>[17]С2.5!$AV$11</f>
        <v>0</v>
      </c>
    </row>
    <row r="187" spans="2:3" hidden="1" x14ac:dyDescent="0.2">
      <c r="B187" s="106">
        <f t="shared" si="0"/>
        <v>2064</v>
      </c>
      <c r="C187" s="137">
        <f>[17]С2.5!$AW$11</f>
        <v>0</v>
      </c>
    </row>
    <row r="188" spans="2:3" hidden="1" x14ac:dyDescent="0.2">
      <c r="B188" s="106">
        <f t="shared" si="0"/>
        <v>2065</v>
      </c>
      <c r="C188" s="137">
        <f>[17]С2.5!$AX$11</f>
        <v>0</v>
      </c>
    </row>
    <row r="189" spans="2:3" hidden="1" x14ac:dyDescent="0.2">
      <c r="B189" s="106">
        <f t="shared" si="0"/>
        <v>2066</v>
      </c>
      <c r="C189" s="137">
        <f>[17]С2.5!$AY$11</f>
        <v>0</v>
      </c>
    </row>
    <row r="190" spans="2:3" hidden="1" x14ac:dyDescent="0.2">
      <c r="B190" s="106">
        <f t="shared" si="0"/>
        <v>2067</v>
      </c>
      <c r="C190" s="137">
        <f>[17]С2.5!$AZ$11</f>
        <v>0</v>
      </c>
    </row>
    <row r="191" spans="2:3" hidden="1" x14ac:dyDescent="0.2">
      <c r="B191" s="106">
        <f t="shared" si="0"/>
        <v>2068</v>
      </c>
      <c r="C191" s="137">
        <f>[17]С2.5!$BA$11</f>
        <v>0</v>
      </c>
    </row>
    <row r="192" spans="2:3" hidden="1" x14ac:dyDescent="0.2">
      <c r="B192" s="106">
        <f t="shared" si="0"/>
        <v>2069</v>
      </c>
      <c r="C192" s="137">
        <f>[17]С2.5!$BB$11</f>
        <v>0</v>
      </c>
    </row>
    <row r="193" spans="2:3" hidden="1" x14ac:dyDescent="0.2">
      <c r="B193" s="106">
        <f t="shared" si="0"/>
        <v>2070</v>
      </c>
      <c r="C193" s="137">
        <f>[17]С2.5!$BC$11</f>
        <v>0</v>
      </c>
    </row>
    <row r="194" spans="2:3" hidden="1" x14ac:dyDescent="0.2">
      <c r="B194" s="106">
        <f t="shared" si="0"/>
        <v>2071</v>
      </c>
      <c r="C194" s="137">
        <f>[17]С2.5!$BD$11</f>
        <v>0</v>
      </c>
    </row>
    <row r="195" spans="2:3" hidden="1" x14ac:dyDescent="0.2">
      <c r="B195" s="106">
        <f t="shared" si="0"/>
        <v>2072</v>
      </c>
      <c r="C195" s="137">
        <f>[17]С2.5!$BE$11</f>
        <v>0</v>
      </c>
    </row>
    <row r="196" spans="2:3" hidden="1" x14ac:dyDescent="0.2">
      <c r="B196" s="106">
        <f t="shared" si="0"/>
        <v>2073</v>
      </c>
      <c r="C196" s="137">
        <f>[17]С2.5!$BF$11</f>
        <v>0</v>
      </c>
    </row>
    <row r="197" spans="2:3" hidden="1" x14ac:dyDescent="0.2">
      <c r="B197" s="106">
        <f t="shared" si="0"/>
        <v>2074</v>
      </c>
      <c r="C197" s="137">
        <f>[17]С2.5!$BG$11</f>
        <v>0</v>
      </c>
    </row>
    <row r="198" spans="2:3" hidden="1" x14ac:dyDescent="0.2">
      <c r="B198" s="106">
        <f t="shared" si="0"/>
        <v>2075</v>
      </c>
      <c r="C198" s="137">
        <f>[17]С2.5!$BH$11</f>
        <v>0</v>
      </c>
    </row>
    <row r="199" spans="2:3" hidden="1" x14ac:dyDescent="0.2">
      <c r="B199" s="106">
        <f t="shared" si="0"/>
        <v>2076</v>
      </c>
      <c r="C199" s="137">
        <f>[17]С2.5!$BI$11</f>
        <v>0</v>
      </c>
    </row>
    <row r="200" spans="2:3" hidden="1" x14ac:dyDescent="0.2">
      <c r="B200" s="106">
        <f t="shared" si="0"/>
        <v>2077</v>
      </c>
      <c r="C200" s="137">
        <f>[17]С2.5!$BJ$11</f>
        <v>0</v>
      </c>
    </row>
    <row r="201" spans="2:3" hidden="1" x14ac:dyDescent="0.2">
      <c r="B201" s="106">
        <f t="shared" si="0"/>
        <v>2078</v>
      </c>
      <c r="C201" s="137">
        <f>[17]С2.5!$BK$11</f>
        <v>0</v>
      </c>
    </row>
    <row r="202" spans="2:3" hidden="1" x14ac:dyDescent="0.2">
      <c r="B202" s="106">
        <f t="shared" si="0"/>
        <v>2079</v>
      </c>
      <c r="C202" s="137">
        <f>[17]С2.5!$BL$11</f>
        <v>0</v>
      </c>
    </row>
    <row r="203" spans="2:3" hidden="1" x14ac:dyDescent="0.2">
      <c r="B203" s="106">
        <f t="shared" si="0"/>
        <v>2080</v>
      </c>
      <c r="C203" s="137">
        <f>[17]С2.5!$BM$11</f>
        <v>0</v>
      </c>
    </row>
    <row r="204" spans="2:3" hidden="1" x14ac:dyDescent="0.2">
      <c r="B204" s="106">
        <f t="shared" si="0"/>
        <v>2081</v>
      </c>
      <c r="C204" s="137">
        <f>[17]С2.5!$BN$11</f>
        <v>0</v>
      </c>
    </row>
    <row r="205" spans="2:3" hidden="1" x14ac:dyDescent="0.2">
      <c r="B205" s="106">
        <f t="shared" si="0"/>
        <v>2082</v>
      </c>
      <c r="C205" s="137">
        <f>[17]С2.5!$BO$11</f>
        <v>0</v>
      </c>
    </row>
    <row r="206" spans="2:3" hidden="1" x14ac:dyDescent="0.2">
      <c r="B206" s="106">
        <f t="shared" si="0"/>
        <v>2083</v>
      </c>
      <c r="C206" s="137">
        <f>[17]С2.5!$BP$11</f>
        <v>0</v>
      </c>
    </row>
    <row r="207" spans="2:3" hidden="1" x14ac:dyDescent="0.2">
      <c r="B207" s="106">
        <f t="shared" si="0"/>
        <v>2084</v>
      </c>
      <c r="C207" s="137">
        <f>[17]С2.5!$BQ$11</f>
        <v>0</v>
      </c>
    </row>
    <row r="208" spans="2:3" hidden="1" x14ac:dyDescent="0.2">
      <c r="B208" s="106">
        <f t="shared" si="0"/>
        <v>2085</v>
      </c>
      <c r="C208" s="137">
        <f>[17]С2.5!$BR$11</f>
        <v>0</v>
      </c>
    </row>
    <row r="209" spans="2:3" hidden="1" x14ac:dyDescent="0.2">
      <c r="B209" s="106">
        <f t="shared" ref="B209:B223" si="1">B208+1</f>
        <v>2086</v>
      </c>
      <c r="C209" s="137">
        <f>[17]С2.5!$BS$11</f>
        <v>0</v>
      </c>
    </row>
    <row r="210" spans="2:3" hidden="1" x14ac:dyDescent="0.2">
      <c r="B210" s="106">
        <f t="shared" si="1"/>
        <v>2087</v>
      </c>
      <c r="C210" s="137">
        <f>[17]С2.5!$BT$11</f>
        <v>0</v>
      </c>
    </row>
    <row r="211" spans="2:3" hidden="1" x14ac:dyDescent="0.2">
      <c r="B211" s="106">
        <f t="shared" si="1"/>
        <v>2088</v>
      </c>
      <c r="C211" s="137">
        <f>[17]С2.5!$BU$11</f>
        <v>0</v>
      </c>
    </row>
    <row r="212" spans="2:3" hidden="1" x14ac:dyDescent="0.2">
      <c r="B212" s="106">
        <f t="shared" si="1"/>
        <v>2089</v>
      </c>
      <c r="C212" s="137">
        <f>[17]С2.5!$BV$11</f>
        <v>0</v>
      </c>
    </row>
    <row r="213" spans="2:3" hidden="1" x14ac:dyDescent="0.2">
      <c r="B213" s="106">
        <f t="shared" si="1"/>
        <v>2090</v>
      </c>
      <c r="C213" s="137">
        <f>[17]С2.5!$BW$11</f>
        <v>0</v>
      </c>
    </row>
    <row r="214" spans="2:3" hidden="1" x14ac:dyDescent="0.2">
      <c r="B214" s="106">
        <f t="shared" si="1"/>
        <v>2091</v>
      </c>
      <c r="C214" s="137">
        <f>[17]С2.5!$BX$11</f>
        <v>0</v>
      </c>
    </row>
    <row r="215" spans="2:3" hidden="1" x14ac:dyDescent="0.2">
      <c r="B215" s="106">
        <f t="shared" si="1"/>
        <v>2092</v>
      </c>
      <c r="C215" s="137">
        <f>[17]С2.5!$BY$11</f>
        <v>0</v>
      </c>
    </row>
    <row r="216" spans="2:3" hidden="1" x14ac:dyDescent="0.2">
      <c r="B216" s="106">
        <f t="shared" si="1"/>
        <v>2093</v>
      </c>
      <c r="C216" s="137">
        <f>[17]С2.5!$BZ$11</f>
        <v>0</v>
      </c>
    </row>
    <row r="217" spans="2:3" hidden="1" x14ac:dyDescent="0.2">
      <c r="B217" s="106">
        <f t="shared" si="1"/>
        <v>2094</v>
      </c>
      <c r="C217" s="137">
        <f>[17]С2.5!$CA$11</f>
        <v>0</v>
      </c>
    </row>
    <row r="218" spans="2:3" hidden="1" x14ac:dyDescent="0.2">
      <c r="B218" s="106">
        <f t="shared" si="1"/>
        <v>2095</v>
      </c>
      <c r="C218" s="137">
        <f>[17]С2.5!$CB$11</f>
        <v>0</v>
      </c>
    </row>
    <row r="219" spans="2:3" hidden="1" x14ac:dyDescent="0.2">
      <c r="B219" s="106">
        <f t="shared" si="1"/>
        <v>2096</v>
      </c>
      <c r="C219" s="137">
        <f>[17]С2.5!$CC$11</f>
        <v>0</v>
      </c>
    </row>
    <row r="220" spans="2:3" hidden="1" x14ac:dyDescent="0.2">
      <c r="B220" s="106">
        <f t="shared" si="1"/>
        <v>2097</v>
      </c>
      <c r="C220" s="137">
        <f>[17]С2.5!$CD$11</f>
        <v>0</v>
      </c>
    </row>
    <row r="221" spans="2:3" hidden="1" x14ac:dyDescent="0.2">
      <c r="B221" s="106">
        <f t="shared" si="1"/>
        <v>2098</v>
      </c>
      <c r="C221" s="137">
        <f>[17]С2.5!$CE$11</f>
        <v>0</v>
      </c>
    </row>
    <row r="222" spans="2:3" hidden="1" x14ac:dyDescent="0.2">
      <c r="B222" s="106">
        <f t="shared" si="1"/>
        <v>2099</v>
      </c>
      <c r="C222" s="137">
        <f>[17]С2.5!$CF$11</f>
        <v>0</v>
      </c>
    </row>
    <row r="223" spans="2:3" ht="13.5" hidden="1" thickBot="1" x14ac:dyDescent="0.25">
      <c r="B223" s="108">
        <f t="shared" si="1"/>
        <v>2100</v>
      </c>
      <c r="C223" s="138">
        <f>[17]С2.5!$CG$11</f>
        <v>0</v>
      </c>
    </row>
    <row r="224" spans="2:3" hidden="1" x14ac:dyDescent="0.2">
      <c r="C224" s="141"/>
    </row>
    <row r="225" spans="3:3" hidden="1" x14ac:dyDescent="0.2">
      <c r="C225" s="141"/>
    </row>
    <row r="226" spans="3:3" x14ac:dyDescent="0.2">
      <c r="C226" s="141"/>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6385" r:id="rId4" name="Button 1">
              <controlPr defaultSize="0" print="0" autoFill="0" autoPict="0" macro="[17]!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13"/>
      <c r="B1" s="142" t="s">
        <v>225</v>
      </c>
      <c r="C1" s="142"/>
    </row>
    <row r="2" spans="1:3" x14ac:dyDescent="0.2">
      <c r="A2" s="1"/>
      <c r="B2" s="3" t="s">
        <v>2</v>
      </c>
      <c r="C2" s="4">
        <f ca="1">TODAY()</f>
        <v>44944</v>
      </c>
    </row>
    <row r="3" spans="1:3" x14ac:dyDescent="0.2">
      <c r="A3" s="1"/>
      <c r="B3" s="114" t="s">
        <v>3</v>
      </c>
    </row>
    <row r="4" spans="1:3" ht="25.5" x14ac:dyDescent="0.2">
      <c r="A4" s="7"/>
      <c r="B4" s="8" t="str">
        <f>[18]И1!D13</f>
        <v>Субъект Российской Федерации</v>
      </c>
      <c r="C4" s="9" t="str">
        <f>[18]И1!E13</f>
        <v>Новосибирская область</v>
      </c>
    </row>
    <row r="5" spans="1:3" ht="38.25" x14ac:dyDescent="0.2">
      <c r="A5" s="7"/>
      <c r="B5" s="8" t="str">
        <f>[18]И1!D14</f>
        <v>Тип муниципального образования (выберите из списка)</v>
      </c>
      <c r="C5" s="9" t="str">
        <f>[18]И1!E14</f>
        <v>село Спирино, Ордынский муниципальный район</v>
      </c>
    </row>
    <row r="6" spans="1:3" x14ac:dyDescent="0.2">
      <c r="A6" s="7"/>
      <c r="B6" s="8" t="str">
        <f>IF([18]И1!E15="","",[18]И1!D15)</f>
        <v/>
      </c>
      <c r="C6" s="9" t="str">
        <f>IF([18]И1!E15="","",[18]И1!E15)</f>
        <v/>
      </c>
    </row>
    <row r="7" spans="1:3" x14ac:dyDescent="0.2">
      <c r="A7" s="7"/>
      <c r="B7" s="8" t="str">
        <f>[18]И1!D16</f>
        <v>Код ОКТМО</v>
      </c>
      <c r="C7" s="10" t="str">
        <f>[18]И1!E16</f>
        <v>50642425101</v>
      </c>
    </row>
    <row r="8" spans="1:3" x14ac:dyDescent="0.2">
      <c r="A8" s="7"/>
      <c r="B8" s="11" t="str">
        <f>[18]И1!D17</f>
        <v>Система теплоснабжения</v>
      </c>
      <c r="C8" s="12">
        <f>[18]И1!E17</f>
        <v>0</v>
      </c>
    </row>
    <row r="9" spans="1:3" x14ac:dyDescent="0.2">
      <c r="A9" s="7"/>
      <c r="B9" s="8" t="str">
        <f>[18]И1!D8</f>
        <v>Период регулирования (i)-й</v>
      </c>
      <c r="C9" s="13">
        <f>[18]И1!E8</f>
        <v>2023</v>
      </c>
    </row>
    <row r="10" spans="1:3" x14ac:dyDescent="0.2">
      <c r="A10" s="7"/>
      <c r="B10" s="8" t="str">
        <f>[18]И1!D9</f>
        <v>Период регулирования (i-1)-й</v>
      </c>
      <c r="C10" s="13">
        <f>[18]И1!E9</f>
        <v>2022</v>
      </c>
    </row>
    <row r="11" spans="1:3" x14ac:dyDescent="0.2">
      <c r="A11" s="7"/>
      <c r="B11" s="8" t="str">
        <f>[18]И1!D10</f>
        <v>Период регулирования (i-2)-й</v>
      </c>
      <c r="C11" s="13">
        <f>[18]И1!E10</f>
        <v>2021</v>
      </c>
    </row>
    <row r="12" spans="1:3" x14ac:dyDescent="0.2">
      <c r="A12" s="7"/>
      <c r="B12" s="8" t="str">
        <f>[18]И1!D11</f>
        <v>Базовый год (б)</v>
      </c>
      <c r="C12" s="13">
        <f>[18]И1!E11</f>
        <v>2019</v>
      </c>
    </row>
    <row r="13" spans="1:3" ht="38.25" x14ac:dyDescent="0.2">
      <c r="A13" s="7"/>
      <c r="B13" s="8" t="str">
        <f>[18]И1!D18</f>
        <v>Вид топлива, использование которого преобладает в системе теплоснабжения</v>
      </c>
      <c r="C13" s="14" t="str">
        <f>[18]С1.1!E13</f>
        <v>уголь (вид угля не указан в топливном балансе)</v>
      </c>
    </row>
    <row r="14" spans="1:3" ht="31.7" customHeight="1" thickBot="1" x14ac:dyDescent="0.25">
      <c r="A14" s="147" t="s">
        <v>4</v>
      </c>
      <c r="B14" s="147"/>
      <c r="C14" s="147"/>
    </row>
    <row r="15" spans="1:3" x14ac:dyDescent="0.2">
      <c r="A15" s="15" t="s">
        <v>5</v>
      </c>
      <c r="B15" s="115" t="s">
        <v>6</v>
      </c>
      <c r="C15" s="116" t="s">
        <v>7</v>
      </c>
    </row>
    <row r="16" spans="1:3" x14ac:dyDescent="0.2">
      <c r="A16" s="18">
        <v>1</v>
      </c>
      <c r="B16" s="117">
        <v>2</v>
      </c>
      <c r="C16" s="118">
        <v>3</v>
      </c>
    </row>
    <row r="17" spans="1:3" x14ac:dyDescent="0.2">
      <c r="A17" s="21">
        <v>1</v>
      </c>
      <c r="B17" s="22" t="s">
        <v>8</v>
      </c>
      <c r="C17" s="23">
        <f>SUM(C18:C22)</f>
        <v>4297.993156982654</v>
      </c>
    </row>
    <row r="18" spans="1:3" ht="42.75" x14ac:dyDescent="0.2">
      <c r="A18" s="21" t="s">
        <v>9</v>
      </c>
      <c r="B18" s="24" t="s">
        <v>10</v>
      </c>
      <c r="C18" s="25">
        <f>[18]С1!F12</f>
        <v>1151.8021760407769</v>
      </c>
    </row>
    <row r="19" spans="1:3" ht="42.75" x14ac:dyDescent="0.2">
      <c r="A19" s="21" t="s">
        <v>11</v>
      </c>
      <c r="B19" s="24" t="s">
        <v>12</v>
      </c>
      <c r="C19" s="25">
        <f>[18]С2!F12</f>
        <v>2106.4563180122805</v>
      </c>
    </row>
    <row r="20" spans="1:3" ht="30" x14ac:dyDescent="0.2">
      <c r="A20" s="21" t="s">
        <v>13</v>
      </c>
      <c r="B20" s="24" t="s">
        <v>14</v>
      </c>
      <c r="C20" s="25">
        <f>[18]С3!F12</f>
        <v>503.94083842199643</v>
      </c>
    </row>
    <row r="21" spans="1:3" ht="42.75" x14ac:dyDescent="0.2">
      <c r="A21" s="21" t="s">
        <v>15</v>
      </c>
      <c r="B21" s="24" t="s">
        <v>226</v>
      </c>
      <c r="C21" s="25">
        <f>[18]С4!F12</f>
        <v>451.51944888048882</v>
      </c>
    </row>
    <row r="22" spans="1:3" ht="30" x14ac:dyDescent="0.2">
      <c r="A22" s="21" t="s">
        <v>17</v>
      </c>
      <c r="B22" s="24" t="s">
        <v>227</v>
      </c>
      <c r="C22" s="25">
        <f>[18]С5!F12</f>
        <v>84.274375627110857</v>
      </c>
    </row>
    <row r="23" spans="1:3" ht="43.5" thickBot="1" x14ac:dyDescent="0.25">
      <c r="A23" s="26" t="s">
        <v>19</v>
      </c>
      <c r="B23" s="98" t="s">
        <v>228</v>
      </c>
      <c r="C23" s="28" t="str">
        <f>[18]С6!F12</f>
        <v>-</v>
      </c>
    </row>
    <row r="24" spans="1:3" ht="13.5" thickBot="1" x14ac:dyDescent="0.25">
      <c r="A24" s="1"/>
    </row>
    <row r="25" spans="1:3" x14ac:dyDescent="0.2">
      <c r="A25" s="15" t="s">
        <v>5</v>
      </c>
      <c r="B25" s="29" t="s">
        <v>6</v>
      </c>
      <c r="C25" s="16" t="s">
        <v>7</v>
      </c>
    </row>
    <row r="26" spans="1:3" x14ac:dyDescent="0.2">
      <c r="A26" s="18">
        <v>1</v>
      </c>
      <c r="B26" s="30">
        <v>2</v>
      </c>
      <c r="C26" s="31">
        <v>3</v>
      </c>
    </row>
    <row r="27" spans="1:3" ht="30" customHeight="1" x14ac:dyDescent="0.2">
      <c r="A27" s="21">
        <v>1</v>
      </c>
      <c r="B27" s="144" t="s">
        <v>21</v>
      </c>
      <c r="C27" s="144"/>
    </row>
    <row r="28" spans="1:3" x14ac:dyDescent="0.2">
      <c r="A28" s="21" t="s">
        <v>9</v>
      </c>
      <c r="B28" s="32" t="s">
        <v>229</v>
      </c>
      <c r="C28" s="33">
        <f>[18]С1.1!E16</f>
        <v>5100</v>
      </c>
    </row>
    <row r="29" spans="1:3" ht="42.75" x14ac:dyDescent="0.2">
      <c r="A29" s="21" t="s">
        <v>11</v>
      </c>
      <c r="B29" s="32" t="s">
        <v>230</v>
      </c>
      <c r="C29" s="33">
        <f>[18]С1.1!E27</f>
        <v>3097.0035607289806</v>
      </c>
    </row>
    <row r="30" spans="1:3" ht="17.25" x14ac:dyDescent="0.2">
      <c r="A30" s="21" t="s">
        <v>13</v>
      </c>
      <c r="B30" s="32" t="s">
        <v>30</v>
      </c>
      <c r="C30" s="35">
        <f>[18]С1.1!E19</f>
        <v>0.59499999999999997</v>
      </c>
    </row>
    <row r="31" spans="1:3" ht="17.25" x14ac:dyDescent="0.2">
      <c r="A31" s="21" t="s">
        <v>15</v>
      </c>
      <c r="B31" s="32" t="s">
        <v>31</v>
      </c>
      <c r="C31" s="35">
        <f>[18]С1.1!E20</f>
        <v>-0.113</v>
      </c>
    </row>
    <row r="32" spans="1:3" ht="30" x14ac:dyDescent="0.2">
      <c r="A32" s="21" t="s">
        <v>17</v>
      </c>
      <c r="B32" s="36" t="s">
        <v>231</v>
      </c>
      <c r="C32" s="119">
        <f>[18]С1!F13</f>
        <v>176.4</v>
      </c>
    </row>
    <row r="33" spans="1:3" x14ac:dyDescent="0.2">
      <c r="A33" s="21" t="s">
        <v>19</v>
      </c>
      <c r="B33" s="36" t="s">
        <v>33</v>
      </c>
      <c r="C33" s="38">
        <f>[18]С1!F16</f>
        <v>7000</v>
      </c>
    </row>
    <row r="34" spans="1:3" ht="14.25" x14ac:dyDescent="0.2">
      <c r="A34" s="21" t="s">
        <v>34</v>
      </c>
      <c r="B34" s="40" t="s">
        <v>232</v>
      </c>
      <c r="C34" s="41">
        <f>[18]С1!F17</f>
        <v>0.72857142857142854</v>
      </c>
    </row>
    <row r="35" spans="1:3" ht="15.75" x14ac:dyDescent="0.2">
      <c r="A35" s="120" t="s">
        <v>36</v>
      </c>
      <c r="B35" s="43" t="s">
        <v>37</v>
      </c>
      <c r="C35" s="41">
        <f>[18]С1!F20</f>
        <v>21.588411179999994</v>
      </c>
    </row>
    <row r="36" spans="1:3" ht="15.75" x14ac:dyDescent="0.2">
      <c r="A36" s="120" t="s">
        <v>38</v>
      </c>
      <c r="B36" s="44" t="s">
        <v>39</v>
      </c>
      <c r="C36" s="41">
        <f>[18]С1!F21</f>
        <v>20.818139999999996</v>
      </c>
    </row>
    <row r="37" spans="1:3" ht="14.25" x14ac:dyDescent="0.2">
      <c r="A37" s="120" t="s">
        <v>40</v>
      </c>
      <c r="B37" s="45" t="s">
        <v>41</v>
      </c>
      <c r="C37" s="41">
        <f>[18]С1!F22</f>
        <v>1.0369999999999999</v>
      </c>
    </row>
    <row r="38" spans="1:3" ht="53.25" thickBot="1" x14ac:dyDescent="0.25">
      <c r="A38" s="26" t="s">
        <v>42</v>
      </c>
      <c r="B38" s="46" t="s">
        <v>43</v>
      </c>
      <c r="C38" s="47">
        <f>[18]С1!F23</f>
        <v>1.0469999999999999</v>
      </c>
    </row>
    <row r="39" spans="1:3" ht="13.5" thickBot="1" x14ac:dyDescent="0.25">
      <c r="A39" s="48"/>
      <c r="B39" s="121"/>
      <c r="C39" s="122"/>
    </row>
    <row r="40" spans="1:3" ht="30" customHeight="1" x14ac:dyDescent="0.2">
      <c r="A40" s="50" t="s">
        <v>44</v>
      </c>
      <c r="B40" s="146" t="s">
        <v>45</v>
      </c>
      <c r="C40" s="146"/>
    </row>
    <row r="41" spans="1:3" ht="25.5" x14ac:dyDescent="0.2">
      <c r="A41" s="21" t="s">
        <v>46</v>
      </c>
      <c r="B41" s="36" t="s">
        <v>47</v>
      </c>
      <c r="C41" s="51" t="str">
        <f>[18]С2.1!E12</f>
        <v>V</v>
      </c>
    </row>
    <row r="42" spans="1:3" ht="25.5" x14ac:dyDescent="0.2">
      <c r="A42" s="21" t="s">
        <v>48</v>
      </c>
      <c r="B42" s="32" t="s">
        <v>49</v>
      </c>
      <c r="C42" s="51" t="str">
        <f>[18]С2.1!E13</f>
        <v>6 и менее баллов</v>
      </c>
    </row>
    <row r="43" spans="1:3" ht="25.5" x14ac:dyDescent="0.2">
      <c r="A43" s="21" t="s">
        <v>50</v>
      </c>
      <c r="B43" s="32" t="s">
        <v>233</v>
      </c>
      <c r="C43" s="51" t="str">
        <f>[18]С2.1!E14</f>
        <v>от 200 до 500</v>
      </c>
    </row>
    <row r="44" spans="1:3" ht="25.5" x14ac:dyDescent="0.2">
      <c r="A44" s="21" t="s">
        <v>52</v>
      </c>
      <c r="B44" s="32" t="s">
        <v>234</v>
      </c>
      <c r="C44" s="52" t="str">
        <f>[18]С2.1!E15</f>
        <v>нет</v>
      </c>
    </row>
    <row r="45" spans="1:3" ht="30" x14ac:dyDescent="0.2">
      <c r="A45" s="21" t="s">
        <v>54</v>
      </c>
      <c r="B45" s="32" t="s">
        <v>55</v>
      </c>
      <c r="C45" s="33">
        <f>[18]С2!F18</f>
        <v>32402.627334033532</v>
      </c>
    </row>
    <row r="46" spans="1:3" ht="30" x14ac:dyDescent="0.2">
      <c r="A46" s="21" t="s">
        <v>56</v>
      </c>
      <c r="B46" s="53" t="s">
        <v>57</v>
      </c>
      <c r="C46" s="33">
        <f>IF([18]С2!F19&gt;0,[18]С2!F19,[18]С2!F20)</f>
        <v>23441.524932855718</v>
      </c>
    </row>
    <row r="47" spans="1:3" ht="25.5" x14ac:dyDescent="0.2">
      <c r="A47" s="21" t="s">
        <v>58</v>
      </c>
      <c r="B47" s="54" t="s">
        <v>59</v>
      </c>
      <c r="C47" s="33">
        <f>[18]С2.1!E19</f>
        <v>-37</v>
      </c>
    </row>
    <row r="48" spans="1:3" ht="25.5" x14ac:dyDescent="0.2">
      <c r="A48" s="21" t="s">
        <v>60</v>
      </c>
      <c r="B48" s="54" t="s">
        <v>61</v>
      </c>
      <c r="C48" s="33" t="str">
        <f>[18]С2.1!E22</f>
        <v>нет</v>
      </c>
    </row>
    <row r="49" spans="1:3" ht="38.25" x14ac:dyDescent="0.2">
      <c r="A49" s="21" t="s">
        <v>62</v>
      </c>
      <c r="B49" s="55" t="s">
        <v>63</v>
      </c>
      <c r="C49" s="33">
        <f>[18]С2.2!E10</f>
        <v>1287</v>
      </c>
    </row>
    <row r="50" spans="1:3" ht="25.5" x14ac:dyDescent="0.2">
      <c r="A50" s="21" t="s">
        <v>64</v>
      </c>
      <c r="B50" s="56" t="s">
        <v>65</v>
      </c>
      <c r="C50" s="33">
        <f>[18]С2.2!E12</f>
        <v>5.97</v>
      </c>
    </row>
    <row r="51" spans="1:3" ht="52.5" x14ac:dyDescent="0.2">
      <c r="A51" s="21" t="s">
        <v>66</v>
      </c>
      <c r="B51" s="57" t="s">
        <v>67</v>
      </c>
      <c r="C51" s="33">
        <f>[18]С2.2!E13</f>
        <v>1</v>
      </c>
    </row>
    <row r="52" spans="1:3" ht="27.75" x14ac:dyDescent="0.2">
      <c r="A52" s="21" t="s">
        <v>68</v>
      </c>
      <c r="B52" s="56" t="s">
        <v>69</v>
      </c>
      <c r="C52" s="33">
        <f>[18]С2.2!E14</f>
        <v>12104</v>
      </c>
    </row>
    <row r="53" spans="1:3" ht="25.5" x14ac:dyDescent="0.2">
      <c r="A53" s="21" t="s">
        <v>70</v>
      </c>
      <c r="B53" s="57" t="s">
        <v>71</v>
      </c>
      <c r="C53" s="35">
        <f>[18]С2.2!E15</f>
        <v>4.8000000000000001E-2</v>
      </c>
    </row>
    <row r="54" spans="1:3" x14ac:dyDescent="0.2">
      <c r="A54" s="21" t="s">
        <v>72</v>
      </c>
      <c r="B54" s="57" t="s">
        <v>73</v>
      </c>
      <c r="C54" s="33">
        <f>[18]С2.2!E16</f>
        <v>1</v>
      </c>
    </row>
    <row r="55" spans="1:3" ht="15.75" x14ac:dyDescent="0.2">
      <c r="A55" s="21" t="s">
        <v>74</v>
      </c>
      <c r="B55" s="59" t="s">
        <v>75</v>
      </c>
      <c r="C55" s="33">
        <f>[18]С2!F21</f>
        <v>1</v>
      </c>
    </row>
    <row r="56" spans="1:3" ht="30" x14ac:dyDescent="0.2">
      <c r="A56" s="60" t="s">
        <v>76</v>
      </c>
      <c r="B56" s="32" t="s">
        <v>235</v>
      </c>
      <c r="C56" s="33">
        <f>[18]С2!F13</f>
        <v>169640.22915965237</v>
      </c>
    </row>
    <row r="57" spans="1:3" ht="30" x14ac:dyDescent="0.2">
      <c r="A57" s="60" t="s">
        <v>78</v>
      </c>
      <c r="B57" s="59" t="s">
        <v>236</v>
      </c>
      <c r="C57" s="33">
        <f>[18]С2!F14</f>
        <v>113455</v>
      </c>
    </row>
    <row r="58" spans="1:3" ht="15.75" x14ac:dyDescent="0.2">
      <c r="A58" s="60" t="s">
        <v>80</v>
      </c>
      <c r="B58" s="61" t="s">
        <v>81</v>
      </c>
      <c r="C58" s="41">
        <f>[18]С2!F15</f>
        <v>1.071</v>
      </c>
    </row>
    <row r="59" spans="1:3" ht="15.75" x14ac:dyDescent="0.2">
      <c r="A59" s="60" t="s">
        <v>82</v>
      </c>
      <c r="B59" s="61" t="s">
        <v>83</v>
      </c>
      <c r="C59" s="41">
        <f>[18]С2!F16</f>
        <v>1</v>
      </c>
    </row>
    <row r="60" spans="1:3" ht="17.25" x14ac:dyDescent="0.2">
      <c r="A60" s="60" t="s">
        <v>84</v>
      </c>
      <c r="B60" s="59" t="s">
        <v>85</v>
      </c>
      <c r="C60" s="33">
        <f>[18]С2!F17</f>
        <v>1.01</v>
      </c>
    </row>
    <row r="61" spans="1:3" s="66" customFormat="1" ht="14.25" x14ac:dyDescent="0.2">
      <c r="A61" s="60" t="s">
        <v>86</v>
      </c>
      <c r="B61" s="64" t="s">
        <v>87</v>
      </c>
      <c r="C61" s="65">
        <f>[18]С2!F33</f>
        <v>10</v>
      </c>
    </row>
    <row r="62" spans="1:3" ht="30" x14ac:dyDescent="0.2">
      <c r="A62" s="60" t="s">
        <v>88</v>
      </c>
      <c r="B62" s="67" t="s">
        <v>89</v>
      </c>
      <c r="C62" s="33">
        <f>[18]С2!F26</f>
        <v>1168.8344047018327</v>
      </c>
    </row>
    <row r="63" spans="1:3" ht="17.25" x14ac:dyDescent="0.2">
      <c r="A63" s="60" t="s">
        <v>90</v>
      </c>
      <c r="B63" s="53" t="s">
        <v>237</v>
      </c>
      <c r="C63" s="33">
        <f>[18]С2!F27</f>
        <v>0.201330388</v>
      </c>
    </row>
    <row r="64" spans="1:3" ht="17.25" x14ac:dyDescent="0.2">
      <c r="A64" s="60" t="s">
        <v>92</v>
      </c>
      <c r="B64" s="59" t="s">
        <v>238</v>
      </c>
      <c r="C64" s="65">
        <f>[18]С2!F28</f>
        <v>4200</v>
      </c>
    </row>
    <row r="65" spans="1:3" ht="42.75" x14ac:dyDescent="0.2">
      <c r="A65" s="60" t="s">
        <v>94</v>
      </c>
      <c r="B65" s="32" t="s">
        <v>239</v>
      </c>
      <c r="C65" s="33">
        <f>[18]С2!F22</f>
        <v>35717.748653137714</v>
      </c>
    </row>
    <row r="66" spans="1:3" ht="30" x14ac:dyDescent="0.2">
      <c r="A66" s="60" t="s">
        <v>96</v>
      </c>
      <c r="B66" s="61" t="s">
        <v>240</v>
      </c>
      <c r="C66" s="33">
        <f>[18]С2!F23</f>
        <v>1990</v>
      </c>
    </row>
    <row r="67" spans="1:3" ht="30" x14ac:dyDescent="0.2">
      <c r="A67" s="60" t="s">
        <v>98</v>
      </c>
      <c r="B67" s="53" t="s">
        <v>99</v>
      </c>
      <c r="C67" s="33">
        <f>[18]С2.1!E27</f>
        <v>14307.876789999998</v>
      </c>
    </row>
    <row r="68" spans="1:3" ht="38.25" x14ac:dyDescent="0.2">
      <c r="A68" s="60" t="s">
        <v>100</v>
      </c>
      <c r="B68" s="68" t="s">
        <v>101</v>
      </c>
      <c r="C68" s="52">
        <f>[18]С2.3!E21</f>
        <v>0</v>
      </c>
    </row>
    <row r="69" spans="1:3" ht="25.5" x14ac:dyDescent="0.2">
      <c r="A69" s="60" t="s">
        <v>102</v>
      </c>
      <c r="B69" s="69" t="s">
        <v>103</v>
      </c>
      <c r="C69" s="70">
        <f>[18]С2.3!E11</f>
        <v>9.89</v>
      </c>
    </row>
    <row r="70" spans="1:3" ht="25.5" x14ac:dyDescent="0.2">
      <c r="A70" s="60" t="s">
        <v>104</v>
      </c>
      <c r="B70" s="69" t="s">
        <v>105</v>
      </c>
      <c r="C70" s="65">
        <f>[18]С2.3!E13</f>
        <v>300</v>
      </c>
    </row>
    <row r="71" spans="1:3" ht="25.5" x14ac:dyDescent="0.2">
      <c r="A71" s="60" t="s">
        <v>106</v>
      </c>
      <c r="B71" s="68" t="s">
        <v>107</v>
      </c>
      <c r="C71" s="71">
        <f>IF([18]С2.3!E22&gt;0,[18]С2.3!E22,[18]С2.3!E14)</f>
        <v>61211</v>
      </c>
    </row>
    <row r="72" spans="1:3" ht="38.25" x14ac:dyDescent="0.2">
      <c r="A72" s="60" t="s">
        <v>108</v>
      </c>
      <c r="B72" s="68" t="s">
        <v>109</v>
      </c>
      <c r="C72" s="71">
        <f>IF([18]С2.3!E23&gt;0,[18]С2.3!E23,[18]С2.3!E15)</f>
        <v>45675</v>
      </c>
    </row>
    <row r="73" spans="1:3" ht="30" x14ac:dyDescent="0.2">
      <c r="A73" s="60" t="s">
        <v>110</v>
      </c>
      <c r="B73" s="53" t="s">
        <v>111</v>
      </c>
      <c r="C73" s="33">
        <f>[18]С2.1!E28</f>
        <v>9541.9567200000001</v>
      </c>
    </row>
    <row r="74" spans="1:3" ht="38.25" x14ac:dyDescent="0.2">
      <c r="A74" s="60" t="s">
        <v>112</v>
      </c>
      <c r="B74" s="68" t="s">
        <v>113</v>
      </c>
      <c r="C74" s="52">
        <f>[18]С2.3!E25</f>
        <v>0</v>
      </c>
    </row>
    <row r="75" spans="1:3" ht="25.5" x14ac:dyDescent="0.2">
      <c r="A75" s="60" t="s">
        <v>114</v>
      </c>
      <c r="B75" s="69" t="s">
        <v>115</v>
      </c>
      <c r="C75" s="70">
        <f>[18]С2.3!E12</f>
        <v>0.56000000000000005</v>
      </c>
    </row>
    <row r="76" spans="1:3" ht="25.5" x14ac:dyDescent="0.2">
      <c r="A76" s="60" t="s">
        <v>116</v>
      </c>
      <c r="B76" s="69" t="s">
        <v>105</v>
      </c>
      <c r="C76" s="65">
        <f>[18]С2.3!E13</f>
        <v>300</v>
      </c>
    </row>
    <row r="77" spans="1:3" ht="25.5" x14ac:dyDescent="0.2">
      <c r="A77" s="60" t="s">
        <v>117</v>
      </c>
      <c r="B77" s="72" t="s">
        <v>118</v>
      </c>
      <c r="C77" s="71">
        <f>IF([18]С2.3!E26&gt;0,[18]С2.3!E26,[18]С2.3!E16)</f>
        <v>65637</v>
      </c>
    </row>
    <row r="78" spans="1:3" ht="38.25" x14ac:dyDescent="0.2">
      <c r="A78" s="60" t="s">
        <v>119</v>
      </c>
      <c r="B78" s="72" t="s">
        <v>120</v>
      </c>
      <c r="C78" s="71">
        <f>IF([18]С2.3!E27&gt;0,[18]С2.3!E27,[18]С2.3!E17)</f>
        <v>31684</v>
      </c>
    </row>
    <row r="79" spans="1:3" ht="17.25" x14ac:dyDescent="0.2">
      <c r="A79" s="60" t="s">
        <v>123</v>
      </c>
      <c r="B79" s="32" t="s">
        <v>124</v>
      </c>
      <c r="C79" s="35">
        <f>[18]С2!F29</f>
        <v>0.128978033685065</v>
      </c>
    </row>
    <row r="80" spans="1:3" ht="30" x14ac:dyDescent="0.2">
      <c r="A80" s="60" t="s">
        <v>125</v>
      </c>
      <c r="B80" s="53" t="s">
        <v>126</v>
      </c>
      <c r="C80" s="73">
        <f>[18]С2!F30</f>
        <v>0.11668498168498169</v>
      </c>
    </row>
    <row r="81" spans="1:3" ht="17.25" x14ac:dyDescent="0.2">
      <c r="A81" s="60" t="s">
        <v>127</v>
      </c>
      <c r="B81" s="74" t="s">
        <v>128</v>
      </c>
      <c r="C81" s="35">
        <f>[18]С2!F31</f>
        <v>0.13880000000000001</v>
      </c>
    </row>
    <row r="82" spans="1:3" s="66" customFormat="1" ht="18" thickBot="1" x14ac:dyDescent="0.25">
      <c r="A82" s="75" t="s">
        <v>129</v>
      </c>
      <c r="B82" s="76" t="s">
        <v>130</v>
      </c>
      <c r="C82" s="77">
        <f>[18]С2!F32</f>
        <v>0.12640000000000001</v>
      </c>
    </row>
    <row r="83" spans="1:3" ht="13.5" thickBot="1" x14ac:dyDescent="0.25">
      <c r="A83" s="48"/>
      <c r="B83" s="49"/>
      <c r="C83" s="14"/>
    </row>
    <row r="84" spans="1:3" s="66" customFormat="1" ht="30" customHeight="1" x14ac:dyDescent="0.2">
      <c r="A84" s="78" t="s">
        <v>131</v>
      </c>
      <c r="B84" s="146" t="s">
        <v>132</v>
      </c>
      <c r="C84" s="146"/>
    </row>
    <row r="85" spans="1:3" s="66" customFormat="1" ht="30" x14ac:dyDescent="0.2">
      <c r="A85" s="79" t="s">
        <v>133</v>
      </c>
      <c r="B85" s="32" t="s">
        <v>134</v>
      </c>
      <c r="C85" s="33">
        <f>[18]С3!F14</f>
        <v>7000.4488806189811</v>
      </c>
    </row>
    <row r="86" spans="1:3" s="66" customFormat="1" ht="42.75" x14ac:dyDescent="0.2">
      <c r="A86" s="79" t="s">
        <v>135</v>
      </c>
      <c r="B86" s="53" t="s">
        <v>136</v>
      </c>
      <c r="C86" s="80">
        <f>[18]С3!F15</f>
        <v>0.2</v>
      </c>
    </row>
    <row r="87" spans="1:3" s="66" customFormat="1" ht="14.25" x14ac:dyDescent="0.2">
      <c r="A87" s="79" t="s">
        <v>137</v>
      </c>
      <c r="B87" s="81" t="s">
        <v>138</v>
      </c>
      <c r="C87" s="65">
        <f>[18]С3!F18</f>
        <v>15</v>
      </c>
    </row>
    <row r="88" spans="1:3" s="66" customFormat="1" ht="17.25" x14ac:dyDescent="0.2">
      <c r="A88" s="79" t="s">
        <v>139</v>
      </c>
      <c r="B88" s="32" t="s">
        <v>140</v>
      </c>
      <c r="C88" s="33">
        <f>[18]С3!F19</f>
        <v>3487.1555421534131</v>
      </c>
    </row>
    <row r="89" spans="1:3" s="66" customFormat="1" ht="55.5" x14ac:dyDescent="0.2">
      <c r="A89" s="79" t="s">
        <v>141</v>
      </c>
      <c r="B89" s="53" t="s">
        <v>142</v>
      </c>
      <c r="C89" s="82">
        <f>[18]С3!F20</f>
        <v>2.1999999999999999E-2</v>
      </c>
    </row>
    <row r="90" spans="1:3" s="66" customFormat="1" ht="14.25" x14ac:dyDescent="0.2">
      <c r="A90" s="79" t="s">
        <v>143</v>
      </c>
      <c r="B90" s="59" t="s">
        <v>87</v>
      </c>
      <c r="C90" s="65">
        <f>[18]С3!F21</f>
        <v>10</v>
      </c>
    </row>
    <row r="91" spans="1:3" s="66" customFormat="1" ht="17.25" x14ac:dyDescent="0.2">
      <c r="A91" s="79" t="s">
        <v>144</v>
      </c>
      <c r="B91" s="32" t="s">
        <v>145</v>
      </c>
      <c r="C91" s="33">
        <f>[18]С3!F22</f>
        <v>3.5065032141054981</v>
      </c>
    </row>
    <row r="92" spans="1:3" s="66" customFormat="1" ht="55.5" x14ac:dyDescent="0.2">
      <c r="A92" s="79" t="s">
        <v>146</v>
      </c>
      <c r="B92" s="53" t="s">
        <v>147</v>
      </c>
      <c r="C92" s="82">
        <f>[18]С3!F23</f>
        <v>3.0000000000000001E-3</v>
      </c>
    </row>
    <row r="93" spans="1:3" s="66" customFormat="1" ht="27.75" thickBot="1" x14ac:dyDescent="0.25">
      <c r="A93" s="83" t="s">
        <v>148</v>
      </c>
      <c r="B93" s="84" t="s">
        <v>241</v>
      </c>
      <c r="C93" s="85">
        <f>[18]С3!F24</f>
        <v>1168.8344047018327</v>
      </c>
    </row>
    <row r="94" spans="1:3" ht="13.5" thickBot="1" x14ac:dyDescent="0.25">
      <c r="A94" s="48"/>
      <c r="B94" s="49"/>
      <c r="C94" s="14"/>
    </row>
    <row r="95" spans="1:3" ht="30" customHeight="1" x14ac:dyDescent="0.2">
      <c r="A95" s="86" t="s">
        <v>149</v>
      </c>
      <c r="B95" s="146" t="s">
        <v>150</v>
      </c>
      <c r="C95" s="146"/>
    </row>
    <row r="96" spans="1:3" ht="30" x14ac:dyDescent="0.2">
      <c r="A96" s="60" t="s">
        <v>151</v>
      </c>
      <c r="B96" s="32" t="s">
        <v>242</v>
      </c>
      <c r="C96" s="33">
        <f>[18]С4!F16</f>
        <v>1652.5</v>
      </c>
    </row>
    <row r="97" spans="1:3" ht="30" x14ac:dyDescent="0.2">
      <c r="A97" s="60" t="s">
        <v>153</v>
      </c>
      <c r="B97" s="59" t="s">
        <v>243</v>
      </c>
      <c r="C97" s="33">
        <f>[18]С4!F17</f>
        <v>73547</v>
      </c>
    </row>
    <row r="98" spans="1:3" ht="33" x14ac:dyDescent="0.2">
      <c r="A98" s="60" t="s">
        <v>155</v>
      </c>
      <c r="B98" s="59" t="s">
        <v>156</v>
      </c>
      <c r="C98" s="41">
        <f>[18]С4!F18</f>
        <v>0.02</v>
      </c>
    </row>
    <row r="99" spans="1:3" ht="30" x14ac:dyDescent="0.2">
      <c r="A99" s="60" t="s">
        <v>157</v>
      </c>
      <c r="B99" s="59" t="s">
        <v>158</v>
      </c>
      <c r="C99" s="33">
        <f>[18]С4!F19</f>
        <v>12104</v>
      </c>
    </row>
    <row r="100" spans="1:3" ht="28.5" x14ac:dyDescent="0.2">
      <c r="A100" s="60" t="s">
        <v>159</v>
      </c>
      <c r="B100" s="59" t="s">
        <v>160</v>
      </c>
      <c r="C100" s="41">
        <f>[18]С4!F20</f>
        <v>1.4999999999999999E-2</v>
      </c>
    </row>
    <row r="101" spans="1:3" ht="30" x14ac:dyDescent="0.2">
      <c r="A101" s="60" t="s">
        <v>161</v>
      </c>
      <c r="B101" s="32" t="s">
        <v>244</v>
      </c>
      <c r="C101" s="33">
        <f>[18]С4!F21</f>
        <v>1933.1949342509995</v>
      </c>
    </row>
    <row r="102" spans="1:3" ht="24" customHeight="1" x14ac:dyDescent="0.2">
      <c r="A102" s="60" t="s">
        <v>163</v>
      </c>
      <c r="B102" s="53" t="s">
        <v>164</v>
      </c>
      <c r="C102" s="34">
        <f>IF([18]С4.2!F8="да",[18]С4.2!D21,[18]С4.2!D15)</f>
        <v>0</v>
      </c>
    </row>
    <row r="103" spans="1:3" ht="68.25" x14ac:dyDescent="0.2">
      <c r="A103" s="60" t="s">
        <v>165</v>
      </c>
      <c r="B103" s="53" t="s">
        <v>166</v>
      </c>
      <c r="C103" s="33">
        <f>[18]С4!F22</f>
        <v>3.6112641666666665</v>
      </c>
    </row>
    <row r="104" spans="1:3" ht="30" x14ac:dyDescent="0.2">
      <c r="A104" s="60" t="s">
        <v>167</v>
      </c>
      <c r="B104" s="59" t="s">
        <v>245</v>
      </c>
      <c r="C104" s="33">
        <f>[18]С4!F23</f>
        <v>180</v>
      </c>
    </row>
    <row r="105" spans="1:3" ht="14.25" x14ac:dyDescent="0.2">
      <c r="A105" s="60" t="s">
        <v>169</v>
      </c>
      <c r="B105" s="53" t="s">
        <v>170</v>
      </c>
      <c r="C105" s="33">
        <f>[18]С4!F24</f>
        <v>8497.1999999999989</v>
      </c>
    </row>
    <row r="106" spans="1:3" ht="14.25" x14ac:dyDescent="0.2">
      <c r="A106" s="60" t="s">
        <v>171</v>
      </c>
      <c r="B106" s="59" t="s">
        <v>172</v>
      </c>
      <c r="C106" s="41">
        <f>[18]С4!F25</f>
        <v>0.35</v>
      </c>
    </row>
    <row r="107" spans="1:3" ht="17.25" x14ac:dyDescent="0.2">
      <c r="A107" s="60" t="s">
        <v>173</v>
      </c>
      <c r="B107" s="32" t="s">
        <v>174</v>
      </c>
      <c r="C107" s="33">
        <f>[18]С4!F26</f>
        <v>101.95967999999999</v>
      </c>
    </row>
    <row r="108" spans="1:3" ht="25.5" x14ac:dyDescent="0.2">
      <c r="A108" s="60" t="s">
        <v>175</v>
      </c>
      <c r="B108" s="53" t="s">
        <v>101</v>
      </c>
      <c r="C108" s="34">
        <f>[18]С4.3!E16</f>
        <v>0</v>
      </c>
    </row>
    <row r="109" spans="1:3" ht="25.5" x14ac:dyDescent="0.2">
      <c r="A109" s="60" t="s">
        <v>176</v>
      </c>
      <c r="B109" s="53" t="s">
        <v>177</v>
      </c>
      <c r="C109" s="33">
        <f>[18]С4.3!E17</f>
        <v>26.14</v>
      </c>
    </row>
    <row r="110" spans="1:3" ht="38.25" x14ac:dyDescent="0.2">
      <c r="A110" s="60" t="s">
        <v>178</v>
      </c>
      <c r="B110" s="53" t="s">
        <v>113</v>
      </c>
      <c r="C110" s="34">
        <f>[18]С4.3!E18</f>
        <v>0</v>
      </c>
    </row>
    <row r="111" spans="1:3" x14ac:dyDescent="0.2">
      <c r="A111" s="60" t="s">
        <v>179</v>
      </c>
      <c r="B111" s="53" t="s">
        <v>180</v>
      </c>
      <c r="C111" s="33">
        <f>[18]С4.3!E19</f>
        <v>50.424999999999997</v>
      </c>
    </row>
    <row r="112" spans="1:3" x14ac:dyDescent="0.2">
      <c r="A112" s="60" t="s">
        <v>181</v>
      </c>
      <c r="B112" s="59" t="s">
        <v>182</v>
      </c>
      <c r="C112" s="33">
        <f>[18]С4.3!E11</f>
        <v>1871</v>
      </c>
    </row>
    <row r="113" spans="1:3" x14ac:dyDescent="0.2">
      <c r="A113" s="60" t="s">
        <v>183</v>
      </c>
      <c r="B113" s="59" t="s">
        <v>184</v>
      </c>
      <c r="C113" s="52">
        <f>[18]С4.3!E12</f>
        <v>1636</v>
      </c>
    </row>
    <row r="114" spans="1:3" x14ac:dyDescent="0.2">
      <c r="A114" s="60" t="s">
        <v>185</v>
      </c>
      <c r="B114" s="59" t="s">
        <v>186</v>
      </c>
      <c r="C114" s="52">
        <f>[18]С4.3!E13</f>
        <v>204</v>
      </c>
    </row>
    <row r="115" spans="1:3" ht="30" x14ac:dyDescent="0.2">
      <c r="A115" s="60" t="s">
        <v>187</v>
      </c>
      <c r="B115" s="32" t="s">
        <v>246</v>
      </c>
      <c r="C115" s="33">
        <f>[18]С4!F27</f>
        <v>1351.1912129385403</v>
      </c>
    </row>
    <row r="116" spans="1:3" ht="25.5" x14ac:dyDescent="0.2">
      <c r="A116" s="60" t="s">
        <v>189</v>
      </c>
      <c r="B116" s="53" t="s">
        <v>247</v>
      </c>
      <c r="C116" s="33">
        <f>[18]С4!F28</f>
        <v>1037.7812695380494</v>
      </c>
    </row>
    <row r="117" spans="1:3" ht="42.75" x14ac:dyDescent="0.2">
      <c r="A117" s="60" t="s">
        <v>191</v>
      </c>
      <c r="B117" s="53" t="s">
        <v>192</v>
      </c>
      <c r="C117" s="33">
        <f>[18]С4!F29</f>
        <v>313.40994340049093</v>
      </c>
    </row>
    <row r="118" spans="1:3" ht="30" x14ac:dyDescent="0.2">
      <c r="A118" s="60" t="s">
        <v>193</v>
      </c>
      <c r="B118" s="40" t="s">
        <v>194</v>
      </c>
      <c r="C118" s="33">
        <f>[18]С4!F30</f>
        <v>2434.7258900803054</v>
      </c>
    </row>
    <row r="119" spans="1:3" ht="42.75" x14ac:dyDescent="0.2">
      <c r="A119" s="60" t="s">
        <v>248</v>
      </c>
      <c r="B119" s="90" t="s">
        <v>249</v>
      </c>
      <c r="C119" s="33">
        <f>[18]С4!F33</f>
        <v>1695.5272077185077</v>
      </c>
    </row>
    <row r="120" spans="1:3" ht="30" x14ac:dyDescent="0.2">
      <c r="A120" s="60" t="s">
        <v>250</v>
      </c>
      <c r="B120" s="123" t="s">
        <v>251</v>
      </c>
      <c r="C120" s="33">
        <f>[18]С4!F35</f>
        <v>17.040680999999999</v>
      </c>
    </row>
    <row r="121" spans="1:3" ht="14.25" x14ac:dyDescent="0.2">
      <c r="A121" s="60" t="s">
        <v>252</v>
      </c>
      <c r="B121" s="56" t="s">
        <v>253</v>
      </c>
      <c r="C121" s="33">
        <f>[18]С4!F36</f>
        <v>14319.9</v>
      </c>
    </row>
    <row r="122" spans="1:3" ht="28.5" thickBot="1" x14ac:dyDescent="0.25">
      <c r="A122" s="75" t="s">
        <v>254</v>
      </c>
      <c r="B122" s="124" t="s">
        <v>255</v>
      </c>
      <c r="C122" s="85">
        <f>[18]С4!F37</f>
        <v>1.19</v>
      </c>
    </row>
    <row r="123" spans="1:3" s="88" customFormat="1" ht="13.5" thickBot="1" x14ac:dyDescent="0.25">
      <c r="A123" s="48"/>
      <c r="B123" s="49"/>
      <c r="C123" s="14"/>
    </row>
    <row r="124" spans="1:3" s="66" customFormat="1" ht="30" customHeight="1" x14ac:dyDescent="0.2">
      <c r="A124" s="78" t="s">
        <v>195</v>
      </c>
      <c r="B124" s="146" t="s">
        <v>196</v>
      </c>
      <c r="C124" s="146"/>
    </row>
    <row r="125" spans="1:3" ht="16.5" thickBot="1" x14ac:dyDescent="0.25">
      <c r="A125" s="26" t="s">
        <v>197</v>
      </c>
      <c r="B125" s="87" t="s">
        <v>198</v>
      </c>
      <c r="C125" s="85">
        <f>[18]С5!F17</f>
        <v>0.02</v>
      </c>
    </row>
    <row r="126" spans="1:3" s="88" customFormat="1" ht="13.5" thickBot="1" x14ac:dyDescent="0.25">
      <c r="A126" s="48"/>
      <c r="B126" s="49"/>
      <c r="C126" s="14"/>
    </row>
    <row r="127" spans="1:3" ht="42.75" customHeight="1" x14ac:dyDescent="0.2">
      <c r="A127" s="86" t="s">
        <v>199</v>
      </c>
      <c r="B127" s="148" t="s">
        <v>200</v>
      </c>
      <c r="C127" s="148"/>
    </row>
    <row r="128" spans="1:3" ht="68.25" x14ac:dyDescent="0.2">
      <c r="A128" s="60" t="s">
        <v>201</v>
      </c>
      <c r="B128" s="89" t="s">
        <v>202</v>
      </c>
      <c r="C128" s="33" t="s">
        <v>256</v>
      </c>
    </row>
    <row r="129" spans="1:4" ht="42.75" hidden="1" x14ac:dyDescent="0.2">
      <c r="A129" s="60" t="s">
        <v>203</v>
      </c>
      <c r="B129" s="90" t="s">
        <v>204</v>
      </c>
      <c r="C129" s="91"/>
    </row>
    <row r="130" spans="1:4" ht="69" thickBot="1" x14ac:dyDescent="0.25">
      <c r="A130" s="75" t="s">
        <v>205</v>
      </c>
      <c r="B130" s="125" t="s">
        <v>206</v>
      </c>
      <c r="C130" s="126" t="s">
        <v>256</v>
      </c>
    </row>
    <row r="131" spans="1:4" ht="62.25" hidden="1" customHeight="1" x14ac:dyDescent="0.2">
      <c r="A131" s="127" t="s">
        <v>207</v>
      </c>
      <c r="B131" s="128" t="s">
        <v>208</v>
      </c>
      <c r="C131" s="129"/>
    </row>
    <row r="132" spans="1:4" ht="68.25" hidden="1" x14ac:dyDescent="0.2">
      <c r="A132" s="60" t="s">
        <v>209</v>
      </c>
      <c r="B132" s="90" t="s">
        <v>257</v>
      </c>
      <c r="C132" s="35"/>
    </row>
    <row r="133" spans="1:4" ht="69" hidden="1" thickBot="1" x14ac:dyDescent="0.25">
      <c r="A133" s="75" t="s">
        <v>211</v>
      </c>
      <c r="B133" s="93" t="s">
        <v>212</v>
      </c>
      <c r="C133" s="77"/>
    </row>
    <row r="134" spans="1:4" s="88" customFormat="1" ht="13.5" thickBot="1" x14ac:dyDescent="0.25">
      <c r="A134" s="48"/>
      <c r="B134" s="49"/>
      <c r="C134" s="14"/>
    </row>
    <row r="135" spans="1:4" ht="26.25" customHeight="1" x14ac:dyDescent="0.2">
      <c r="A135" s="86" t="s">
        <v>213</v>
      </c>
      <c r="B135" s="94" t="s">
        <v>214</v>
      </c>
      <c r="C135" s="95">
        <f>[18]С2!F37</f>
        <v>20.818139999999996</v>
      </c>
    </row>
    <row r="136" spans="1:4" ht="14.25" x14ac:dyDescent="0.2">
      <c r="A136" s="60" t="s">
        <v>215</v>
      </c>
      <c r="B136" s="130" t="s">
        <v>216</v>
      </c>
      <c r="C136" s="33">
        <f>[18]С2!F38</f>
        <v>7</v>
      </c>
    </row>
    <row r="137" spans="1:4" ht="17.25" x14ac:dyDescent="0.2">
      <c r="A137" s="60" t="s">
        <v>217</v>
      </c>
      <c r="B137" s="130" t="s">
        <v>218</v>
      </c>
      <c r="C137" s="33">
        <f>[18]С2!F40</f>
        <v>0.97</v>
      </c>
    </row>
    <row r="138" spans="1:4" ht="15" thickBot="1" x14ac:dyDescent="0.25">
      <c r="A138" s="75" t="s">
        <v>219</v>
      </c>
      <c r="B138" s="131" t="s">
        <v>220</v>
      </c>
      <c r="C138" s="47">
        <f>[18]С2!F42</f>
        <v>0.35</v>
      </c>
    </row>
    <row r="139" spans="1:4" s="88" customFormat="1" ht="13.5" thickBot="1" x14ac:dyDescent="0.25">
      <c r="A139" s="48"/>
      <c r="B139" s="49"/>
      <c r="C139" s="14"/>
    </row>
    <row r="140" spans="1:4" ht="30" x14ac:dyDescent="0.2">
      <c r="A140" s="86" t="s">
        <v>221</v>
      </c>
      <c r="B140" s="96" t="s">
        <v>258</v>
      </c>
      <c r="C140" s="132">
        <f>[18]С2!F35</f>
        <v>1.3822747209000001</v>
      </c>
      <c r="D140" s="88"/>
    </row>
    <row r="141" spans="1:4" ht="22.7" customHeight="1" thickBot="1" x14ac:dyDescent="0.25">
      <c r="A141" s="75" t="s">
        <v>223</v>
      </c>
      <c r="B141" s="145" t="s">
        <v>224</v>
      </c>
      <c r="C141" s="145"/>
      <c r="D141" s="88"/>
    </row>
    <row r="142" spans="1:4" ht="13.5" thickBot="1" x14ac:dyDescent="0.25">
      <c r="A142" s="99"/>
      <c r="B142" s="133" t="s">
        <v>0</v>
      </c>
      <c r="C142" s="134"/>
      <c r="D142" s="88"/>
    </row>
    <row r="143" spans="1:4" x14ac:dyDescent="0.2">
      <c r="A143" s="99"/>
      <c r="B143" s="135">
        <v>2020</v>
      </c>
      <c r="C143" s="136">
        <f>[18]С2.5!$E$11</f>
        <v>-2.9000000000000026E-2</v>
      </c>
      <c r="D143" s="88"/>
    </row>
    <row r="144" spans="1:4" x14ac:dyDescent="0.2">
      <c r="A144" s="99"/>
      <c r="B144" s="106">
        <f>B143+1</f>
        <v>2021</v>
      </c>
      <c r="C144" s="137">
        <f>[18]С2.5!$F$11</f>
        <v>0.245</v>
      </c>
      <c r="D144" s="88"/>
    </row>
    <row r="145" spans="1:4" x14ac:dyDescent="0.2">
      <c r="A145" s="99"/>
      <c r="B145" s="106">
        <f t="shared" ref="B145:B208" si="0">B144+1</f>
        <v>2022</v>
      </c>
      <c r="C145" s="137">
        <f>[18]С2.5!$G$11</f>
        <v>0.121</v>
      </c>
      <c r="D145" s="88"/>
    </row>
    <row r="146" spans="1:4" ht="13.5" thickBot="1" x14ac:dyDescent="0.25">
      <c r="A146" s="99"/>
      <c r="B146" s="108">
        <f t="shared" si="0"/>
        <v>2023</v>
      </c>
      <c r="C146" s="138">
        <f>[18]С2.5!$H$11</f>
        <v>0.02</v>
      </c>
      <c r="D146" s="88"/>
    </row>
    <row r="147" spans="1:4" hidden="1" x14ac:dyDescent="0.2">
      <c r="A147" s="99"/>
      <c r="B147" s="139">
        <f t="shared" si="0"/>
        <v>2024</v>
      </c>
      <c r="C147" s="140">
        <f>[18]С2.5!$I$11</f>
        <v>-2.93E-2</v>
      </c>
      <c r="D147" s="88"/>
    </row>
    <row r="148" spans="1:4" hidden="1" x14ac:dyDescent="0.2">
      <c r="A148" s="99"/>
      <c r="B148" s="106">
        <f t="shared" si="0"/>
        <v>2025</v>
      </c>
      <c r="C148" s="137">
        <f>[18]С2.5!$J$11</f>
        <v>0.21215960863291</v>
      </c>
      <c r="D148" s="88"/>
    </row>
    <row r="149" spans="1:4" hidden="1" x14ac:dyDescent="0.2">
      <c r="A149" s="99"/>
      <c r="B149" s="106">
        <f t="shared" si="0"/>
        <v>2026</v>
      </c>
      <c r="C149" s="137">
        <f>[18]С2.5!$K$11</f>
        <v>3.5813361771260002E-2</v>
      </c>
      <c r="D149" s="88"/>
    </row>
    <row r="150" spans="1:4" hidden="1" x14ac:dyDescent="0.2">
      <c r="A150" s="99"/>
      <c r="B150" s="106">
        <f t="shared" si="0"/>
        <v>2027</v>
      </c>
      <c r="C150" s="137">
        <f>[18]С2.5!$L$11</f>
        <v>3.2682303599220003E-2</v>
      </c>
      <c r="D150" s="88"/>
    </row>
    <row r="151" spans="1:4" hidden="1" x14ac:dyDescent="0.2">
      <c r="A151" s="99"/>
      <c r="B151" s="106">
        <f t="shared" si="0"/>
        <v>2028</v>
      </c>
      <c r="C151" s="137">
        <f>[18]С2.5!$M$11</f>
        <v>0</v>
      </c>
      <c r="D151" s="88"/>
    </row>
    <row r="152" spans="1:4" hidden="1" x14ac:dyDescent="0.2">
      <c r="A152" s="99"/>
      <c r="B152" s="106">
        <f t="shared" si="0"/>
        <v>2029</v>
      </c>
      <c r="C152" s="137">
        <f>[18]С2.5!$N$11</f>
        <v>0</v>
      </c>
      <c r="D152" s="88"/>
    </row>
    <row r="153" spans="1:4" hidden="1" x14ac:dyDescent="0.2">
      <c r="A153" s="99"/>
      <c r="B153" s="106">
        <f t="shared" si="0"/>
        <v>2030</v>
      </c>
      <c r="C153" s="137">
        <f>[18]С2.5!$O$11</f>
        <v>0</v>
      </c>
      <c r="D153" s="88"/>
    </row>
    <row r="154" spans="1:4" hidden="1" x14ac:dyDescent="0.2">
      <c r="A154" s="99"/>
      <c r="B154" s="106">
        <f t="shared" si="0"/>
        <v>2031</v>
      </c>
      <c r="C154" s="137">
        <f>[18]С2.5!$P$11</f>
        <v>0</v>
      </c>
      <c r="D154" s="88"/>
    </row>
    <row r="155" spans="1:4" hidden="1" x14ac:dyDescent="0.2">
      <c r="A155" s="88"/>
      <c r="B155" s="106">
        <f t="shared" si="0"/>
        <v>2032</v>
      </c>
      <c r="C155" s="137">
        <f>[18]С2.5!$Q$11</f>
        <v>0</v>
      </c>
      <c r="D155" s="88"/>
    </row>
    <row r="156" spans="1:4" hidden="1" x14ac:dyDescent="0.2">
      <c r="A156" s="88"/>
      <c r="B156" s="106">
        <f t="shared" si="0"/>
        <v>2033</v>
      </c>
      <c r="C156" s="137">
        <f>[18]С2.5!$R$11</f>
        <v>0</v>
      </c>
      <c r="D156" s="88"/>
    </row>
    <row r="157" spans="1:4" hidden="1" x14ac:dyDescent="0.2">
      <c r="B157" s="106">
        <f t="shared" si="0"/>
        <v>2034</v>
      </c>
      <c r="C157" s="137">
        <f>[18]С2.5!$S$11</f>
        <v>0</v>
      </c>
    </row>
    <row r="158" spans="1:4" hidden="1" x14ac:dyDescent="0.2">
      <c r="B158" s="106">
        <f t="shared" si="0"/>
        <v>2035</v>
      </c>
      <c r="C158" s="137">
        <f>[18]С2.5!$T$11</f>
        <v>0</v>
      </c>
    </row>
    <row r="159" spans="1:4" hidden="1" x14ac:dyDescent="0.2">
      <c r="B159" s="106">
        <f t="shared" si="0"/>
        <v>2036</v>
      </c>
      <c r="C159" s="137">
        <f>[18]С2.5!$U$11</f>
        <v>0</v>
      </c>
    </row>
    <row r="160" spans="1:4" hidden="1" x14ac:dyDescent="0.2">
      <c r="B160" s="106">
        <f t="shared" si="0"/>
        <v>2037</v>
      </c>
      <c r="C160" s="137">
        <f>[18]С2.5!$V$11</f>
        <v>0</v>
      </c>
    </row>
    <row r="161" spans="2:3" hidden="1" x14ac:dyDescent="0.2">
      <c r="B161" s="106">
        <f t="shared" si="0"/>
        <v>2038</v>
      </c>
      <c r="C161" s="137">
        <f>[18]С2.5!$W$11</f>
        <v>0</v>
      </c>
    </row>
    <row r="162" spans="2:3" hidden="1" x14ac:dyDescent="0.2">
      <c r="B162" s="106">
        <f t="shared" si="0"/>
        <v>2039</v>
      </c>
      <c r="C162" s="137">
        <f>[18]С2.5!$X$11</f>
        <v>0</v>
      </c>
    </row>
    <row r="163" spans="2:3" hidden="1" x14ac:dyDescent="0.2">
      <c r="B163" s="106">
        <f t="shared" si="0"/>
        <v>2040</v>
      </c>
      <c r="C163" s="137">
        <f>[18]С2.5!$Y$11</f>
        <v>0</v>
      </c>
    </row>
    <row r="164" spans="2:3" hidden="1" x14ac:dyDescent="0.2">
      <c r="B164" s="106">
        <f t="shared" si="0"/>
        <v>2041</v>
      </c>
      <c r="C164" s="137">
        <f>[18]С2.5!$Z$11</f>
        <v>0</v>
      </c>
    </row>
    <row r="165" spans="2:3" hidden="1" x14ac:dyDescent="0.2">
      <c r="B165" s="106">
        <f t="shared" si="0"/>
        <v>2042</v>
      </c>
      <c r="C165" s="137">
        <f>[18]С2.5!$AA$11</f>
        <v>0</v>
      </c>
    </row>
    <row r="166" spans="2:3" hidden="1" x14ac:dyDescent="0.2">
      <c r="B166" s="106">
        <f t="shared" si="0"/>
        <v>2043</v>
      </c>
      <c r="C166" s="137">
        <f>[18]С2.5!$AB$11</f>
        <v>0</v>
      </c>
    </row>
    <row r="167" spans="2:3" hidden="1" x14ac:dyDescent="0.2">
      <c r="B167" s="106">
        <f t="shared" si="0"/>
        <v>2044</v>
      </c>
      <c r="C167" s="137">
        <f>[18]С2.5!$AC$11</f>
        <v>0</v>
      </c>
    </row>
    <row r="168" spans="2:3" hidden="1" x14ac:dyDescent="0.2">
      <c r="B168" s="106">
        <f t="shared" si="0"/>
        <v>2045</v>
      </c>
      <c r="C168" s="137">
        <f>[18]С2.5!$AD$11</f>
        <v>0</v>
      </c>
    </row>
    <row r="169" spans="2:3" hidden="1" x14ac:dyDescent="0.2">
      <c r="B169" s="106">
        <f t="shared" si="0"/>
        <v>2046</v>
      </c>
      <c r="C169" s="137">
        <f>[18]С2.5!$AE$11</f>
        <v>0</v>
      </c>
    </row>
    <row r="170" spans="2:3" hidden="1" x14ac:dyDescent="0.2">
      <c r="B170" s="106">
        <f t="shared" si="0"/>
        <v>2047</v>
      </c>
      <c r="C170" s="137">
        <f>[18]С2.5!$AF$11</f>
        <v>0</v>
      </c>
    </row>
    <row r="171" spans="2:3" hidden="1" x14ac:dyDescent="0.2">
      <c r="B171" s="106">
        <f t="shared" si="0"/>
        <v>2048</v>
      </c>
      <c r="C171" s="137">
        <f>[18]С2.5!$AG$11</f>
        <v>0</v>
      </c>
    </row>
    <row r="172" spans="2:3" hidden="1" x14ac:dyDescent="0.2">
      <c r="B172" s="106">
        <f t="shared" si="0"/>
        <v>2049</v>
      </c>
      <c r="C172" s="137">
        <f>[18]С2.5!$AH$11</f>
        <v>0</v>
      </c>
    </row>
    <row r="173" spans="2:3" hidden="1" x14ac:dyDescent="0.2">
      <c r="B173" s="106">
        <f t="shared" si="0"/>
        <v>2050</v>
      </c>
      <c r="C173" s="137">
        <f>[18]С2.5!$AI$11</f>
        <v>0</v>
      </c>
    </row>
    <row r="174" spans="2:3" hidden="1" x14ac:dyDescent="0.2">
      <c r="B174" s="106">
        <f t="shared" si="0"/>
        <v>2051</v>
      </c>
      <c r="C174" s="137">
        <f>[18]С2.5!$AJ$11</f>
        <v>0</v>
      </c>
    </row>
    <row r="175" spans="2:3" hidden="1" x14ac:dyDescent="0.2">
      <c r="B175" s="106">
        <f t="shared" si="0"/>
        <v>2052</v>
      </c>
      <c r="C175" s="137">
        <f>[18]С2.5!$AK$11</f>
        <v>0</v>
      </c>
    </row>
    <row r="176" spans="2:3" hidden="1" x14ac:dyDescent="0.2">
      <c r="B176" s="106">
        <f t="shared" si="0"/>
        <v>2053</v>
      </c>
      <c r="C176" s="137">
        <f>[18]С2.5!$AL$11</f>
        <v>0</v>
      </c>
    </row>
    <row r="177" spans="2:3" hidden="1" x14ac:dyDescent="0.2">
      <c r="B177" s="106">
        <f t="shared" si="0"/>
        <v>2054</v>
      </c>
      <c r="C177" s="137">
        <f>[18]С2.5!$AM$11</f>
        <v>0</v>
      </c>
    </row>
    <row r="178" spans="2:3" hidden="1" x14ac:dyDescent="0.2">
      <c r="B178" s="106">
        <f t="shared" si="0"/>
        <v>2055</v>
      </c>
      <c r="C178" s="137">
        <f>[18]С2.5!$AN$11</f>
        <v>0</v>
      </c>
    </row>
    <row r="179" spans="2:3" hidden="1" x14ac:dyDescent="0.2">
      <c r="B179" s="106">
        <f t="shared" si="0"/>
        <v>2056</v>
      </c>
      <c r="C179" s="137">
        <f>[18]С2.5!$AO$11</f>
        <v>0</v>
      </c>
    </row>
    <row r="180" spans="2:3" hidden="1" x14ac:dyDescent="0.2">
      <c r="B180" s="106">
        <f t="shared" si="0"/>
        <v>2057</v>
      </c>
      <c r="C180" s="137">
        <f>[18]С2.5!$AP$11</f>
        <v>0</v>
      </c>
    </row>
    <row r="181" spans="2:3" hidden="1" x14ac:dyDescent="0.2">
      <c r="B181" s="106">
        <f t="shared" si="0"/>
        <v>2058</v>
      </c>
      <c r="C181" s="137">
        <f>[18]С2.5!$AQ$11</f>
        <v>0</v>
      </c>
    </row>
    <row r="182" spans="2:3" hidden="1" x14ac:dyDescent="0.2">
      <c r="B182" s="106">
        <f t="shared" si="0"/>
        <v>2059</v>
      </c>
      <c r="C182" s="137">
        <f>[18]С2.5!$AR$11</f>
        <v>0</v>
      </c>
    </row>
    <row r="183" spans="2:3" hidden="1" x14ac:dyDescent="0.2">
      <c r="B183" s="106">
        <f t="shared" si="0"/>
        <v>2060</v>
      </c>
      <c r="C183" s="137">
        <f>[18]С2.5!$AS$11</f>
        <v>0</v>
      </c>
    </row>
    <row r="184" spans="2:3" hidden="1" x14ac:dyDescent="0.2">
      <c r="B184" s="106">
        <f t="shared" si="0"/>
        <v>2061</v>
      </c>
      <c r="C184" s="137">
        <f>[18]С2.5!$AT$11</f>
        <v>0</v>
      </c>
    </row>
    <row r="185" spans="2:3" hidden="1" x14ac:dyDescent="0.2">
      <c r="B185" s="106">
        <f t="shared" si="0"/>
        <v>2062</v>
      </c>
      <c r="C185" s="137">
        <f>[18]С2.5!$AU$11</f>
        <v>0</v>
      </c>
    </row>
    <row r="186" spans="2:3" hidden="1" x14ac:dyDescent="0.2">
      <c r="B186" s="106">
        <f t="shared" si="0"/>
        <v>2063</v>
      </c>
      <c r="C186" s="137">
        <f>[18]С2.5!$AV$11</f>
        <v>0</v>
      </c>
    </row>
    <row r="187" spans="2:3" hidden="1" x14ac:dyDescent="0.2">
      <c r="B187" s="106">
        <f t="shared" si="0"/>
        <v>2064</v>
      </c>
      <c r="C187" s="137">
        <f>[18]С2.5!$AW$11</f>
        <v>0</v>
      </c>
    </row>
    <row r="188" spans="2:3" hidden="1" x14ac:dyDescent="0.2">
      <c r="B188" s="106">
        <f t="shared" si="0"/>
        <v>2065</v>
      </c>
      <c r="C188" s="137">
        <f>[18]С2.5!$AX$11</f>
        <v>0</v>
      </c>
    </row>
    <row r="189" spans="2:3" hidden="1" x14ac:dyDescent="0.2">
      <c r="B189" s="106">
        <f t="shared" si="0"/>
        <v>2066</v>
      </c>
      <c r="C189" s="137">
        <f>[18]С2.5!$AY$11</f>
        <v>0</v>
      </c>
    </row>
    <row r="190" spans="2:3" hidden="1" x14ac:dyDescent="0.2">
      <c r="B190" s="106">
        <f t="shared" si="0"/>
        <v>2067</v>
      </c>
      <c r="C190" s="137">
        <f>[18]С2.5!$AZ$11</f>
        <v>0</v>
      </c>
    </row>
    <row r="191" spans="2:3" hidden="1" x14ac:dyDescent="0.2">
      <c r="B191" s="106">
        <f t="shared" si="0"/>
        <v>2068</v>
      </c>
      <c r="C191" s="137">
        <f>[18]С2.5!$BA$11</f>
        <v>0</v>
      </c>
    </row>
    <row r="192" spans="2:3" hidden="1" x14ac:dyDescent="0.2">
      <c r="B192" s="106">
        <f t="shared" si="0"/>
        <v>2069</v>
      </c>
      <c r="C192" s="137">
        <f>[18]С2.5!$BB$11</f>
        <v>0</v>
      </c>
    </row>
    <row r="193" spans="2:3" hidden="1" x14ac:dyDescent="0.2">
      <c r="B193" s="106">
        <f t="shared" si="0"/>
        <v>2070</v>
      </c>
      <c r="C193" s="137">
        <f>[18]С2.5!$BC$11</f>
        <v>0</v>
      </c>
    </row>
    <row r="194" spans="2:3" hidden="1" x14ac:dyDescent="0.2">
      <c r="B194" s="106">
        <f t="shared" si="0"/>
        <v>2071</v>
      </c>
      <c r="C194" s="137">
        <f>[18]С2.5!$BD$11</f>
        <v>0</v>
      </c>
    </row>
    <row r="195" spans="2:3" hidden="1" x14ac:dyDescent="0.2">
      <c r="B195" s="106">
        <f t="shared" si="0"/>
        <v>2072</v>
      </c>
      <c r="C195" s="137">
        <f>[18]С2.5!$BE$11</f>
        <v>0</v>
      </c>
    </row>
    <row r="196" spans="2:3" hidden="1" x14ac:dyDescent="0.2">
      <c r="B196" s="106">
        <f t="shared" si="0"/>
        <v>2073</v>
      </c>
      <c r="C196" s="137">
        <f>[18]С2.5!$BF$11</f>
        <v>0</v>
      </c>
    </row>
    <row r="197" spans="2:3" hidden="1" x14ac:dyDescent="0.2">
      <c r="B197" s="106">
        <f t="shared" si="0"/>
        <v>2074</v>
      </c>
      <c r="C197" s="137">
        <f>[18]С2.5!$BG$11</f>
        <v>0</v>
      </c>
    </row>
    <row r="198" spans="2:3" hidden="1" x14ac:dyDescent="0.2">
      <c r="B198" s="106">
        <f t="shared" si="0"/>
        <v>2075</v>
      </c>
      <c r="C198" s="137">
        <f>[18]С2.5!$BH$11</f>
        <v>0</v>
      </c>
    </row>
    <row r="199" spans="2:3" hidden="1" x14ac:dyDescent="0.2">
      <c r="B199" s="106">
        <f t="shared" si="0"/>
        <v>2076</v>
      </c>
      <c r="C199" s="137">
        <f>[18]С2.5!$BI$11</f>
        <v>0</v>
      </c>
    </row>
    <row r="200" spans="2:3" hidden="1" x14ac:dyDescent="0.2">
      <c r="B200" s="106">
        <f t="shared" si="0"/>
        <v>2077</v>
      </c>
      <c r="C200" s="137">
        <f>[18]С2.5!$BJ$11</f>
        <v>0</v>
      </c>
    </row>
    <row r="201" spans="2:3" hidden="1" x14ac:dyDescent="0.2">
      <c r="B201" s="106">
        <f t="shared" si="0"/>
        <v>2078</v>
      </c>
      <c r="C201" s="137">
        <f>[18]С2.5!$BK$11</f>
        <v>0</v>
      </c>
    </row>
    <row r="202" spans="2:3" hidden="1" x14ac:dyDescent="0.2">
      <c r="B202" s="106">
        <f t="shared" si="0"/>
        <v>2079</v>
      </c>
      <c r="C202" s="137">
        <f>[18]С2.5!$BL$11</f>
        <v>0</v>
      </c>
    </row>
    <row r="203" spans="2:3" hidden="1" x14ac:dyDescent="0.2">
      <c r="B203" s="106">
        <f t="shared" si="0"/>
        <v>2080</v>
      </c>
      <c r="C203" s="137">
        <f>[18]С2.5!$BM$11</f>
        <v>0</v>
      </c>
    </row>
    <row r="204" spans="2:3" hidden="1" x14ac:dyDescent="0.2">
      <c r="B204" s="106">
        <f t="shared" si="0"/>
        <v>2081</v>
      </c>
      <c r="C204" s="137">
        <f>[18]С2.5!$BN$11</f>
        <v>0</v>
      </c>
    </row>
    <row r="205" spans="2:3" hidden="1" x14ac:dyDescent="0.2">
      <c r="B205" s="106">
        <f t="shared" si="0"/>
        <v>2082</v>
      </c>
      <c r="C205" s="137">
        <f>[18]С2.5!$BO$11</f>
        <v>0</v>
      </c>
    </row>
    <row r="206" spans="2:3" hidden="1" x14ac:dyDescent="0.2">
      <c r="B206" s="106">
        <f t="shared" si="0"/>
        <v>2083</v>
      </c>
      <c r="C206" s="137">
        <f>[18]С2.5!$BP$11</f>
        <v>0</v>
      </c>
    </row>
    <row r="207" spans="2:3" hidden="1" x14ac:dyDescent="0.2">
      <c r="B207" s="106">
        <f t="shared" si="0"/>
        <v>2084</v>
      </c>
      <c r="C207" s="137">
        <f>[18]С2.5!$BQ$11</f>
        <v>0</v>
      </c>
    </row>
    <row r="208" spans="2:3" hidden="1" x14ac:dyDescent="0.2">
      <c r="B208" s="106">
        <f t="shared" si="0"/>
        <v>2085</v>
      </c>
      <c r="C208" s="137">
        <f>[18]С2.5!$BR$11</f>
        <v>0</v>
      </c>
    </row>
    <row r="209" spans="2:3" hidden="1" x14ac:dyDescent="0.2">
      <c r="B209" s="106">
        <f t="shared" ref="B209:B223" si="1">B208+1</f>
        <v>2086</v>
      </c>
      <c r="C209" s="137">
        <f>[18]С2.5!$BS$11</f>
        <v>0</v>
      </c>
    </row>
    <row r="210" spans="2:3" hidden="1" x14ac:dyDescent="0.2">
      <c r="B210" s="106">
        <f t="shared" si="1"/>
        <v>2087</v>
      </c>
      <c r="C210" s="137">
        <f>[18]С2.5!$BT$11</f>
        <v>0</v>
      </c>
    </row>
    <row r="211" spans="2:3" hidden="1" x14ac:dyDescent="0.2">
      <c r="B211" s="106">
        <f t="shared" si="1"/>
        <v>2088</v>
      </c>
      <c r="C211" s="137">
        <f>[18]С2.5!$BU$11</f>
        <v>0</v>
      </c>
    </row>
    <row r="212" spans="2:3" hidden="1" x14ac:dyDescent="0.2">
      <c r="B212" s="106">
        <f t="shared" si="1"/>
        <v>2089</v>
      </c>
      <c r="C212" s="137">
        <f>[18]С2.5!$BV$11</f>
        <v>0</v>
      </c>
    </row>
    <row r="213" spans="2:3" hidden="1" x14ac:dyDescent="0.2">
      <c r="B213" s="106">
        <f t="shared" si="1"/>
        <v>2090</v>
      </c>
      <c r="C213" s="137">
        <f>[18]С2.5!$BW$11</f>
        <v>0</v>
      </c>
    </row>
    <row r="214" spans="2:3" hidden="1" x14ac:dyDescent="0.2">
      <c r="B214" s="106">
        <f t="shared" si="1"/>
        <v>2091</v>
      </c>
      <c r="C214" s="137">
        <f>[18]С2.5!$BX$11</f>
        <v>0</v>
      </c>
    </row>
    <row r="215" spans="2:3" hidden="1" x14ac:dyDescent="0.2">
      <c r="B215" s="106">
        <f t="shared" si="1"/>
        <v>2092</v>
      </c>
      <c r="C215" s="137">
        <f>[18]С2.5!$BY$11</f>
        <v>0</v>
      </c>
    </row>
    <row r="216" spans="2:3" hidden="1" x14ac:dyDescent="0.2">
      <c r="B216" s="106">
        <f t="shared" si="1"/>
        <v>2093</v>
      </c>
      <c r="C216" s="137">
        <f>[18]С2.5!$BZ$11</f>
        <v>0</v>
      </c>
    </row>
    <row r="217" spans="2:3" hidden="1" x14ac:dyDescent="0.2">
      <c r="B217" s="106">
        <f t="shared" si="1"/>
        <v>2094</v>
      </c>
      <c r="C217" s="137">
        <f>[18]С2.5!$CA$11</f>
        <v>0</v>
      </c>
    </row>
    <row r="218" spans="2:3" hidden="1" x14ac:dyDescent="0.2">
      <c r="B218" s="106">
        <f t="shared" si="1"/>
        <v>2095</v>
      </c>
      <c r="C218" s="137">
        <f>[18]С2.5!$CB$11</f>
        <v>0</v>
      </c>
    </row>
    <row r="219" spans="2:3" hidden="1" x14ac:dyDescent="0.2">
      <c r="B219" s="106">
        <f t="shared" si="1"/>
        <v>2096</v>
      </c>
      <c r="C219" s="137">
        <f>[18]С2.5!$CC$11</f>
        <v>0</v>
      </c>
    </row>
    <row r="220" spans="2:3" hidden="1" x14ac:dyDescent="0.2">
      <c r="B220" s="106">
        <f t="shared" si="1"/>
        <v>2097</v>
      </c>
      <c r="C220" s="137">
        <f>[18]С2.5!$CD$11</f>
        <v>0</v>
      </c>
    </row>
    <row r="221" spans="2:3" hidden="1" x14ac:dyDescent="0.2">
      <c r="B221" s="106">
        <f t="shared" si="1"/>
        <v>2098</v>
      </c>
      <c r="C221" s="137">
        <f>[18]С2.5!$CE$11</f>
        <v>0</v>
      </c>
    </row>
    <row r="222" spans="2:3" hidden="1" x14ac:dyDescent="0.2">
      <c r="B222" s="106">
        <f t="shared" si="1"/>
        <v>2099</v>
      </c>
      <c r="C222" s="137">
        <f>[18]С2.5!$CF$11</f>
        <v>0</v>
      </c>
    </row>
    <row r="223" spans="2:3" ht="13.5" hidden="1" thickBot="1" x14ac:dyDescent="0.25">
      <c r="B223" s="108">
        <f t="shared" si="1"/>
        <v>2100</v>
      </c>
      <c r="C223" s="138">
        <f>[18]С2.5!$CG$11</f>
        <v>0</v>
      </c>
    </row>
    <row r="224" spans="2:3" hidden="1" x14ac:dyDescent="0.2">
      <c r="C224" s="141"/>
    </row>
    <row r="225" spans="3:3" hidden="1" x14ac:dyDescent="0.2">
      <c r="C225" s="141"/>
    </row>
    <row r="226" spans="3:3" x14ac:dyDescent="0.2">
      <c r="C226" s="141"/>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7409" r:id="rId4" name="Button 1">
              <controlPr defaultSize="0" print="0" autoFill="0" autoPict="0" macro="[18]!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13"/>
      <c r="B1" s="142" t="s">
        <v>225</v>
      </c>
      <c r="C1" s="142"/>
    </row>
    <row r="2" spans="1:3" x14ac:dyDescent="0.2">
      <c r="A2" s="1"/>
      <c r="B2" s="3" t="s">
        <v>2</v>
      </c>
      <c r="C2" s="4">
        <f ca="1">TODAY()</f>
        <v>44944</v>
      </c>
    </row>
    <row r="3" spans="1:3" x14ac:dyDescent="0.2">
      <c r="A3" s="1"/>
      <c r="B3" s="114" t="s">
        <v>3</v>
      </c>
    </row>
    <row r="4" spans="1:3" ht="25.5" x14ac:dyDescent="0.2">
      <c r="A4" s="7"/>
      <c r="B4" s="8" t="str">
        <f>[19]И1!D13</f>
        <v>Субъект Российской Федерации</v>
      </c>
      <c r="C4" s="9" t="str">
        <f>[19]И1!E13</f>
        <v>Новосибирская область</v>
      </c>
    </row>
    <row r="5" spans="1:3" ht="38.25" x14ac:dyDescent="0.2">
      <c r="A5" s="7"/>
      <c r="B5" s="8" t="str">
        <f>[19]И1!D14</f>
        <v>Тип муниципального образования (выберите из списка)</v>
      </c>
      <c r="C5" s="9" t="str">
        <f>[19]И1!E14</f>
        <v>село Усть-Луковка, Ордынский муниципальный район</v>
      </c>
    </row>
    <row r="6" spans="1:3" x14ac:dyDescent="0.2">
      <c r="A6" s="7"/>
      <c r="B6" s="8" t="str">
        <f>IF([19]И1!E15="","",[19]И1!D15)</f>
        <v/>
      </c>
      <c r="C6" s="9" t="str">
        <f>IF([19]И1!E15="","",[19]И1!E15)</f>
        <v/>
      </c>
    </row>
    <row r="7" spans="1:3" x14ac:dyDescent="0.2">
      <c r="A7" s="7"/>
      <c r="B7" s="8" t="str">
        <f>[19]И1!D16</f>
        <v>Код ОКТМО</v>
      </c>
      <c r="C7" s="10" t="str">
        <f>[19]И1!E16</f>
        <v>50642428101</v>
      </c>
    </row>
    <row r="8" spans="1:3" x14ac:dyDescent="0.2">
      <c r="A8" s="7"/>
      <c r="B8" s="11" t="str">
        <f>[19]И1!D17</f>
        <v>Система теплоснабжения</v>
      </c>
      <c r="C8" s="12">
        <f>[19]И1!E17</f>
        <v>0</v>
      </c>
    </row>
    <row r="9" spans="1:3" x14ac:dyDescent="0.2">
      <c r="A9" s="7"/>
      <c r="B9" s="8" t="str">
        <f>[19]И1!D8</f>
        <v>Период регулирования (i)-й</v>
      </c>
      <c r="C9" s="13">
        <f>[19]И1!E8</f>
        <v>2023</v>
      </c>
    </row>
    <row r="10" spans="1:3" x14ac:dyDescent="0.2">
      <c r="A10" s="7"/>
      <c r="B10" s="8" t="str">
        <f>[19]И1!D9</f>
        <v>Период регулирования (i-1)-й</v>
      </c>
      <c r="C10" s="13">
        <f>[19]И1!E9</f>
        <v>2022</v>
      </c>
    </row>
    <row r="11" spans="1:3" x14ac:dyDescent="0.2">
      <c r="A11" s="7"/>
      <c r="B11" s="8" t="str">
        <f>[19]И1!D10</f>
        <v>Период регулирования (i-2)-й</v>
      </c>
      <c r="C11" s="13">
        <f>[19]И1!E10</f>
        <v>2021</v>
      </c>
    </row>
    <row r="12" spans="1:3" x14ac:dyDescent="0.2">
      <c r="A12" s="7"/>
      <c r="B12" s="8" t="str">
        <f>[19]И1!D11</f>
        <v>Базовый год (б)</v>
      </c>
      <c r="C12" s="13">
        <f>[19]И1!E11</f>
        <v>2019</v>
      </c>
    </row>
    <row r="13" spans="1:3" ht="38.25" x14ac:dyDescent="0.2">
      <c r="A13" s="7"/>
      <c r="B13" s="8" t="str">
        <f>[19]И1!D18</f>
        <v>Вид топлива, использование которого преобладает в системе теплоснабжения</v>
      </c>
      <c r="C13" s="14" t="str">
        <f>[19]С1.1!E13</f>
        <v>уголь (вид угля не указан в топливном балансе)</v>
      </c>
    </row>
    <row r="14" spans="1:3" ht="31.7" customHeight="1" thickBot="1" x14ac:dyDescent="0.25">
      <c r="A14" s="147" t="s">
        <v>4</v>
      </c>
      <c r="B14" s="147"/>
      <c r="C14" s="147"/>
    </row>
    <row r="15" spans="1:3" x14ac:dyDescent="0.2">
      <c r="A15" s="15" t="s">
        <v>5</v>
      </c>
      <c r="B15" s="115" t="s">
        <v>6</v>
      </c>
      <c r="C15" s="116" t="s">
        <v>7</v>
      </c>
    </row>
    <row r="16" spans="1:3" x14ac:dyDescent="0.2">
      <c r="A16" s="18">
        <v>1</v>
      </c>
      <c r="B16" s="117">
        <v>2</v>
      </c>
      <c r="C16" s="118">
        <v>3</v>
      </c>
    </row>
    <row r="17" spans="1:3" x14ac:dyDescent="0.2">
      <c r="A17" s="21">
        <v>1</v>
      </c>
      <c r="B17" s="22" t="s">
        <v>8</v>
      </c>
      <c r="C17" s="23">
        <f>SUM(C18:C22)</f>
        <v>4211.2691289120676</v>
      </c>
    </row>
    <row r="18" spans="1:3" ht="42.75" x14ac:dyDescent="0.2">
      <c r="A18" s="21" t="s">
        <v>9</v>
      </c>
      <c r="B18" s="24" t="s">
        <v>10</v>
      </c>
      <c r="C18" s="25">
        <f>[19]С1!F12</f>
        <v>1073.9038749568319</v>
      </c>
    </row>
    <row r="19" spans="1:3" ht="42.75" x14ac:dyDescent="0.2">
      <c r="A19" s="21" t="s">
        <v>11</v>
      </c>
      <c r="B19" s="24" t="s">
        <v>12</v>
      </c>
      <c r="C19" s="25">
        <f>[19]С2!F12</f>
        <v>2106.4563180122805</v>
      </c>
    </row>
    <row r="20" spans="1:3" ht="30" x14ac:dyDescent="0.2">
      <c r="A20" s="21" t="s">
        <v>13</v>
      </c>
      <c r="B20" s="24" t="s">
        <v>14</v>
      </c>
      <c r="C20" s="25">
        <f>[19]С3!F12</f>
        <v>503.94083842199643</v>
      </c>
    </row>
    <row r="21" spans="1:3" ht="42.75" x14ac:dyDescent="0.2">
      <c r="A21" s="21" t="s">
        <v>15</v>
      </c>
      <c r="B21" s="24" t="s">
        <v>226</v>
      </c>
      <c r="C21" s="25">
        <f>[19]С4!F12</f>
        <v>444.3941930324869</v>
      </c>
    </row>
    <row r="22" spans="1:3" ht="30" x14ac:dyDescent="0.2">
      <c r="A22" s="21" t="s">
        <v>17</v>
      </c>
      <c r="B22" s="24" t="s">
        <v>227</v>
      </c>
      <c r="C22" s="25">
        <f>[19]С5!F12</f>
        <v>82.573904488471911</v>
      </c>
    </row>
    <row r="23" spans="1:3" ht="43.5" thickBot="1" x14ac:dyDescent="0.25">
      <c r="A23" s="26" t="s">
        <v>19</v>
      </c>
      <c r="B23" s="98" t="s">
        <v>228</v>
      </c>
      <c r="C23" s="28" t="str">
        <f>[19]С6!F12</f>
        <v>-</v>
      </c>
    </row>
    <row r="24" spans="1:3" ht="13.5" thickBot="1" x14ac:dyDescent="0.25">
      <c r="A24" s="1"/>
    </row>
    <row r="25" spans="1:3" x14ac:dyDescent="0.2">
      <c r="A25" s="15" t="s">
        <v>5</v>
      </c>
      <c r="B25" s="29" t="s">
        <v>6</v>
      </c>
      <c r="C25" s="16" t="s">
        <v>7</v>
      </c>
    </row>
    <row r="26" spans="1:3" x14ac:dyDescent="0.2">
      <c r="A26" s="18">
        <v>1</v>
      </c>
      <c r="B26" s="30">
        <v>2</v>
      </c>
      <c r="C26" s="31">
        <v>3</v>
      </c>
    </row>
    <row r="27" spans="1:3" ht="30" customHeight="1" x14ac:dyDescent="0.2">
      <c r="A27" s="21">
        <v>1</v>
      </c>
      <c r="B27" s="144" t="s">
        <v>21</v>
      </c>
      <c r="C27" s="144"/>
    </row>
    <row r="28" spans="1:3" x14ac:dyDescent="0.2">
      <c r="A28" s="21" t="s">
        <v>9</v>
      </c>
      <c r="B28" s="32" t="s">
        <v>229</v>
      </c>
      <c r="C28" s="33">
        <f>[19]С1.1!E16</f>
        <v>5100</v>
      </c>
    </row>
    <row r="29" spans="1:3" ht="42.75" x14ac:dyDescent="0.2">
      <c r="A29" s="21" t="s">
        <v>11</v>
      </c>
      <c r="B29" s="32" t="s">
        <v>230</v>
      </c>
      <c r="C29" s="33">
        <f>[19]С1.1!E27</f>
        <v>2887.5480475774125</v>
      </c>
    </row>
    <row r="30" spans="1:3" ht="17.25" x14ac:dyDescent="0.2">
      <c r="A30" s="21" t="s">
        <v>13</v>
      </c>
      <c r="B30" s="32" t="s">
        <v>30</v>
      </c>
      <c r="C30" s="35">
        <f>[19]С1.1!E19</f>
        <v>0.59499999999999997</v>
      </c>
    </row>
    <row r="31" spans="1:3" ht="17.25" x14ac:dyDescent="0.2">
      <c r="A31" s="21" t="s">
        <v>15</v>
      </c>
      <c r="B31" s="32" t="s">
        <v>31</v>
      </c>
      <c r="C31" s="35">
        <f>[19]С1.1!E20</f>
        <v>-0.113</v>
      </c>
    </row>
    <row r="32" spans="1:3" ht="30" x14ac:dyDescent="0.2">
      <c r="A32" s="21" t="s">
        <v>17</v>
      </c>
      <c r="B32" s="36" t="s">
        <v>231</v>
      </c>
      <c r="C32" s="119">
        <f>[19]С1!F13</f>
        <v>176.4</v>
      </c>
    </row>
    <row r="33" spans="1:3" x14ac:dyDescent="0.2">
      <c r="A33" s="21" t="s">
        <v>19</v>
      </c>
      <c r="B33" s="36" t="s">
        <v>33</v>
      </c>
      <c r="C33" s="38">
        <f>[19]С1!F16</f>
        <v>7000</v>
      </c>
    </row>
    <row r="34" spans="1:3" ht="14.25" x14ac:dyDescent="0.2">
      <c r="A34" s="21" t="s">
        <v>34</v>
      </c>
      <c r="B34" s="40" t="s">
        <v>232</v>
      </c>
      <c r="C34" s="41">
        <f>[19]С1!F17</f>
        <v>0.72857142857142854</v>
      </c>
    </row>
    <row r="35" spans="1:3" ht="15.75" x14ac:dyDescent="0.2">
      <c r="A35" s="120" t="s">
        <v>36</v>
      </c>
      <c r="B35" s="43" t="s">
        <v>37</v>
      </c>
      <c r="C35" s="41">
        <f>[19]С1!F20</f>
        <v>21.588411179999994</v>
      </c>
    </row>
    <row r="36" spans="1:3" ht="15.75" x14ac:dyDescent="0.2">
      <c r="A36" s="120" t="s">
        <v>38</v>
      </c>
      <c r="B36" s="44" t="s">
        <v>39</v>
      </c>
      <c r="C36" s="41">
        <f>[19]С1!F21</f>
        <v>20.818139999999996</v>
      </c>
    </row>
    <row r="37" spans="1:3" ht="14.25" x14ac:dyDescent="0.2">
      <c r="A37" s="120" t="s">
        <v>40</v>
      </c>
      <c r="B37" s="45" t="s">
        <v>41</v>
      </c>
      <c r="C37" s="41">
        <f>[19]С1!F22</f>
        <v>1.0369999999999999</v>
      </c>
    </row>
    <row r="38" spans="1:3" ht="53.25" thickBot="1" x14ac:dyDescent="0.25">
      <c r="A38" s="26" t="s">
        <v>42</v>
      </c>
      <c r="B38" s="46" t="s">
        <v>43</v>
      </c>
      <c r="C38" s="47">
        <f>[19]С1!F23</f>
        <v>1.0469999999999999</v>
      </c>
    </row>
    <row r="39" spans="1:3" ht="13.5" thickBot="1" x14ac:dyDescent="0.25">
      <c r="A39" s="48"/>
      <c r="B39" s="121"/>
      <c r="C39" s="122"/>
    </row>
    <row r="40" spans="1:3" ht="30" customHeight="1" x14ac:dyDescent="0.2">
      <c r="A40" s="50" t="s">
        <v>44</v>
      </c>
      <c r="B40" s="146" t="s">
        <v>45</v>
      </c>
      <c r="C40" s="146"/>
    </row>
    <row r="41" spans="1:3" ht="25.5" x14ac:dyDescent="0.2">
      <c r="A41" s="21" t="s">
        <v>46</v>
      </c>
      <c r="B41" s="36" t="s">
        <v>47</v>
      </c>
      <c r="C41" s="51" t="str">
        <f>[19]С2.1!E12</f>
        <v>V</v>
      </c>
    </row>
    <row r="42" spans="1:3" ht="25.5" x14ac:dyDescent="0.2">
      <c r="A42" s="21" t="s">
        <v>48</v>
      </c>
      <c r="B42" s="32" t="s">
        <v>49</v>
      </c>
      <c r="C42" s="51" t="str">
        <f>[19]С2.1!E13</f>
        <v>6 и менее баллов</v>
      </c>
    </row>
    <row r="43" spans="1:3" ht="25.5" x14ac:dyDescent="0.2">
      <c r="A43" s="21" t="s">
        <v>50</v>
      </c>
      <c r="B43" s="32" t="s">
        <v>233</v>
      </c>
      <c r="C43" s="51" t="str">
        <f>[19]С2.1!E14</f>
        <v>от 200 до 500</v>
      </c>
    </row>
    <row r="44" spans="1:3" ht="25.5" x14ac:dyDescent="0.2">
      <c r="A44" s="21" t="s">
        <v>52</v>
      </c>
      <c r="B44" s="32" t="s">
        <v>234</v>
      </c>
      <c r="C44" s="52" t="str">
        <f>[19]С2.1!E15</f>
        <v>нет</v>
      </c>
    </row>
    <row r="45" spans="1:3" ht="30" x14ac:dyDescent="0.2">
      <c r="A45" s="21" t="s">
        <v>54</v>
      </c>
      <c r="B45" s="32" t="s">
        <v>55</v>
      </c>
      <c r="C45" s="33">
        <f>[19]С2!F18</f>
        <v>32402.627334033532</v>
      </c>
    </row>
    <row r="46" spans="1:3" ht="30" x14ac:dyDescent="0.2">
      <c r="A46" s="21" t="s">
        <v>56</v>
      </c>
      <c r="B46" s="53" t="s">
        <v>57</v>
      </c>
      <c r="C46" s="33">
        <f>IF([19]С2!F19&gt;0,[19]С2!F19,[19]С2!F20)</f>
        <v>23441.524932855718</v>
      </c>
    </row>
    <row r="47" spans="1:3" ht="25.5" x14ac:dyDescent="0.2">
      <c r="A47" s="21" t="s">
        <v>58</v>
      </c>
      <c r="B47" s="54" t="s">
        <v>59</v>
      </c>
      <c r="C47" s="33">
        <f>[19]С2.1!E19</f>
        <v>-37</v>
      </c>
    </row>
    <row r="48" spans="1:3" ht="25.5" x14ac:dyDescent="0.2">
      <c r="A48" s="21" t="s">
        <v>60</v>
      </c>
      <c r="B48" s="54" t="s">
        <v>61</v>
      </c>
      <c r="C48" s="33" t="str">
        <f>[19]С2.1!E22</f>
        <v>нет</v>
      </c>
    </row>
    <row r="49" spans="1:3" ht="38.25" x14ac:dyDescent="0.2">
      <c r="A49" s="21" t="s">
        <v>62</v>
      </c>
      <c r="B49" s="55" t="s">
        <v>63</v>
      </c>
      <c r="C49" s="33">
        <f>[19]С2.2!E10</f>
        <v>1287</v>
      </c>
    </row>
    <row r="50" spans="1:3" ht="25.5" x14ac:dyDescent="0.2">
      <c r="A50" s="21" t="s">
        <v>64</v>
      </c>
      <c r="B50" s="56" t="s">
        <v>65</v>
      </c>
      <c r="C50" s="33">
        <f>[19]С2.2!E12</f>
        <v>5.97</v>
      </c>
    </row>
    <row r="51" spans="1:3" ht="52.5" x14ac:dyDescent="0.2">
      <c r="A51" s="21" t="s">
        <v>66</v>
      </c>
      <c r="B51" s="57" t="s">
        <v>67</v>
      </c>
      <c r="C51" s="33">
        <f>[19]С2.2!E13</f>
        <v>1</v>
      </c>
    </row>
    <row r="52" spans="1:3" ht="27.75" x14ac:dyDescent="0.2">
      <c r="A52" s="21" t="s">
        <v>68</v>
      </c>
      <c r="B52" s="56" t="s">
        <v>69</v>
      </c>
      <c r="C52" s="33">
        <f>[19]С2.2!E14</f>
        <v>12104</v>
      </c>
    </row>
    <row r="53" spans="1:3" ht="25.5" x14ac:dyDescent="0.2">
      <c r="A53" s="21" t="s">
        <v>70</v>
      </c>
      <c r="B53" s="57" t="s">
        <v>71</v>
      </c>
      <c r="C53" s="35">
        <f>[19]С2.2!E15</f>
        <v>4.8000000000000001E-2</v>
      </c>
    </row>
    <row r="54" spans="1:3" x14ac:dyDescent="0.2">
      <c r="A54" s="21" t="s">
        <v>72</v>
      </c>
      <c r="B54" s="57" t="s">
        <v>73</v>
      </c>
      <c r="C54" s="33">
        <f>[19]С2.2!E16</f>
        <v>1</v>
      </c>
    </row>
    <row r="55" spans="1:3" ht="15.75" x14ac:dyDescent="0.2">
      <c r="A55" s="21" t="s">
        <v>74</v>
      </c>
      <c r="B55" s="59" t="s">
        <v>75</v>
      </c>
      <c r="C55" s="33">
        <f>[19]С2!F21</f>
        <v>1</v>
      </c>
    </row>
    <row r="56" spans="1:3" ht="30" x14ac:dyDescent="0.2">
      <c r="A56" s="60" t="s">
        <v>76</v>
      </c>
      <c r="B56" s="32" t="s">
        <v>235</v>
      </c>
      <c r="C56" s="33">
        <f>[19]С2!F13</f>
        <v>169640.22915965237</v>
      </c>
    </row>
    <row r="57" spans="1:3" ht="30" x14ac:dyDescent="0.2">
      <c r="A57" s="60" t="s">
        <v>78</v>
      </c>
      <c r="B57" s="59" t="s">
        <v>236</v>
      </c>
      <c r="C57" s="33">
        <f>[19]С2!F14</f>
        <v>113455</v>
      </c>
    </row>
    <row r="58" spans="1:3" ht="15.75" x14ac:dyDescent="0.2">
      <c r="A58" s="60" t="s">
        <v>80</v>
      </c>
      <c r="B58" s="61" t="s">
        <v>81</v>
      </c>
      <c r="C58" s="41">
        <f>[19]С2!F15</f>
        <v>1.071</v>
      </c>
    </row>
    <row r="59" spans="1:3" ht="15.75" x14ac:dyDescent="0.2">
      <c r="A59" s="60" t="s">
        <v>82</v>
      </c>
      <c r="B59" s="61" t="s">
        <v>83</v>
      </c>
      <c r="C59" s="41">
        <f>[19]С2!F16</f>
        <v>1</v>
      </c>
    </row>
    <row r="60" spans="1:3" ht="17.25" x14ac:dyDescent="0.2">
      <c r="A60" s="60" t="s">
        <v>84</v>
      </c>
      <c r="B60" s="59" t="s">
        <v>85</v>
      </c>
      <c r="C60" s="33">
        <f>[19]С2!F17</f>
        <v>1.01</v>
      </c>
    </row>
    <row r="61" spans="1:3" s="66" customFormat="1" ht="14.25" x14ac:dyDescent="0.2">
      <c r="A61" s="60" t="s">
        <v>86</v>
      </c>
      <c r="B61" s="64" t="s">
        <v>87</v>
      </c>
      <c r="C61" s="65">
        <f>[19]С2!F33</f>
        <v>10</v>
      </c>
    </row>
    <row r="62" spans="1:3" ht="30" x14ac:dyDescent="0.2">
      <c r="A62" s="60" t="s">
        <v>88</v>
      </c>
      <c r="B62" s="67" t="s">
        <v>89</v>
      </c>
      <c r="C62" s="33">
        <f>[19]С2!F26</f>
        <v>1168.8344047018327</v>
      </c>
    </row>
    <row r="63" spans="1:3" ht="17.25" x14ac:dyDescent="0.2">
      <c r="A63" s="60" t="s">
        <v>90</v>
      </c>
      <c r="B63" s="53" t="s">
        <v>237</v>
      </c>
      <c r="C63" s="33">
        <f>[19]С2!F27</f>
        <v>0.201330388</v>
      </c>
    </row>
    <row r="64" spans="1:3" ht="17.25" x14ac:dyDescent="0.2">
      <c r="A64" s="60" t="s">
        <v>92</v>
      </c>
      <c r="B64" s="59" t="s">
        <v>238</v>
      </c>
      <c r="C64" s="65">
        <f>[19]С2!F28</f>
        <v>4200</v>
      </c>
    </row>
    <row r="65" spans="1:3" ht="42.75" x14ac:dyDescent="0.2">
      <c r="A65" s="60" t="s">
        <v>94</v>
      </c>
      <c r="B65" s="32" t="s">
        <v>239</v>
      </c>
      <c r="C65" s="33">
        <f>[19]С2!F22</f>
        <v>35717.748653137714</v>
      </c>
    </row>
    <row r="66" spans="1:3" ht="30" x14ac:dyDescent="0.2">
      <c r="A66" s="60" t="s">
        <v>96</v>
      </c>
      <c r="B66" s="61" t="s">
        <v>240</v>
      </c>
      <c r="C66" s="33">
        <f>[19]С2!F23</f>
        <v>1990</v>
      </c>
    </row>
    <row r="67" spans="1:3" ht="30" x14ac:dyDescent="0.2">
      <c r="A67" s="60" t="s">
        <v>98</v>
      </c>
      <c r="B67" s="53" t="s">
        <v>99</v>
      </c>
      <c r="C67" s="33">
        <f>[19]С2.1!E27</f>
        <v>14307.876789999998</v>
      </c>
    </row>
    <row r="68" spans="1:3" ht="38.25" x14ac:dyDescent="0.2">
      <c r="A68" s="60" t="s">
        <v>100</v>
      </c>
      <c r="B68" s="68" t="s">
        <v>101</v>
      </c>
      <c r="C68" s="52">
        <f>[19]С2.3!E21</f>
        <v>0</v>
      </c>
    </row>
    <row r="69" spans="1:3" ht="25.5" x14ac:dyDescent="0.2">
      <c r="A69" s="60" t="s">
        <v>102</v>
      </c>
      <c r="B69" s="69" t="s">
        <v>103</v>
      </c>
      <c r="C69" s="70">
        <f>[19]С2.3!E11</f>
        <v>9.89</v>
      </c>
    </row>
    <row r="70" spans="1:3" ht="25.5" x14ac:dyDescent="0.2">
      <c r="A70" s="60" t="s">
        <v>104</v>
      </c>
      <c r="B70" s="69" t="s">
        <v>105</v>
      </c>
      <c r="C70" s="65">
        <f>[19]С2.3!E13</f>
        <v>300</v>
      </c>
    </row>
    <row r="71" spans="1:3" ht="25.5" x14ac:dyDescent="0.2">
      <c r="A71" s="60" t="s">
        <v>106</v>
      </c>
      <c r="B71" s="68" t="s">
        <v>107</v>
      </c>
      <c r="C71" s="71">
        <f>IF([19]С2.3!E22&gt;0,[19]С2.3!E22,[19]С2.3!E14)</f>
        <v>61211</v>
      </c>
    </row>
    <row r="72" spans="1:3" ht="38.25" x14ac:dyDescent="0.2">
      <c r="A72" s="60" t="s">
        <v>108</v>
      </c>
      <c r="B72" s="68" t="s">
        <v>109</v>
      </c>
      <c r="C72" s="71">
        <f>IF([19]С2.3!E23&gt;0,[19]С2.3!E23,[19]С2.3!E15)</f>
        <v>45675</v>
      </c>
    </row>
    <row r="73" spans="1:3" ht="30" x14ac:dyDescent="0.2">
      <c r="A73" s="60" t="s">
        <v>110</v>
      </c>
      <c r="B73" s="53" t="s">
        <v>111</v>
      </c>
      <c r="C73" s="33">
        <f>[19]С2.1!E28</f>
        <v>9541.9567200000001</v>
      </c>
    </row>
    <row r="74" spans="1:3" ht="38.25" x14ac:dyDescent="0.2">
      <c r="A74" s="60" t="s">
        <v>112</v>
      </c>
      <c r="B74" s="68" t="s">
        <v>113</v>
      </c>
      <c r="C74" s="52">
        <f>[19]С2.3!E25</f>
        <v>0</v>
      </c>
    </row>
    <row r="75" spans="1:3" ht="25.5" x14ac:dyDescent="0.2">
      <c r="A75" s="60" t="s">
        <v>114</v>
      </c>
      <c r="B75" s="69" t="s">
        <v>115</v>
      </c>
      <c r="C75" s="70">
        <f>[19]С2.3!E12</f>
        <v>0.56000000000000005</v>
      </c>
    </row>
    <row r="76" spans="1:3" ht="25.5" x14ac:dyDescent="0.2">
      <c r="A76" s="60" t="s">
        <v>116</v>
      </c>
      <c r="B76" s="69" t="s">
        <v>105</v>
      </c>
      <c r="C76" s="65">
        <f>[19]С2.3!E13</f>
        <v>300</v>
      </c>
    </row>
    <row r="77" spans="1:3" ht="25.5" x14ac:dyDescent="0.2">
      <c r="A77" s="60" t="s">
        <v>117</v>
      </c>
      <c r="B77" s="72" t="s">
        <v>118</v>
      </c>
      <c r="C77" s="71">
        <f>IF([19]С2.3!E26&gt;0,[19]С2.3!E26,[19]С2.3!E16)</f>
        <v>65637</v>
      </c>
    </row>
    <row r="78" spans="1:3" ht="38.25" x14ac:dyDescent="0.2">
      <c r="A78" s="60" t="s">
        <v>119</v>
      </c>
      <c r="B78" s="72" t="s">
        <v>120</v>
      </c>
      <c r="C78" s="71">
        <f>IF([19]С2.3!E27&gt;0,[19]С2.3!E27,[19]С2.3!E17)</f>
        <v>31684</v>
      </c>
    </row>
    <row r="79" spans="1:3" ht="17.25" x14ac:dyDescent="0.2">
      <c r="A79" s="60" t="s">
        <v>123</v>
      </c>
      <c r="B79" s="32" t="s">
        <v>124</v>
      </c>
      <c r="C79" s="35">
        <f>[19]С2!F29</f>
        <v>0.128978033685065</v>
      </c>
    </row>
    <row r="80" spans="1:3" ht="30" x14ac:dyDescent="0.2">
      <c r="A80" s="60" t="s">
        <v>125</v>
      </c>
      <c r="B80" s="53" t="s">
        <v>126</v>
      </c>
      <c r="C80" s="73">
        <f>[19]С2!F30</f>
        <v>0.11668498168498169</v>
      </c>
    </row>
    <row r="81" spans="1:3" ht="17.25" x14ac:dyDescent="0.2">
      <c r="A81" s="60" t="s">
        <v>127</v>
      </c>
      <c r="B81" s="74" t="s">
        <v>128</v>
      </c>
      <c r="C81" s="35">
        <f>[19]С2!F31</f>
        <v>0.13880000000000001</v>
      </c>
    </row>
    <row r="82" spans="1:3" s="66" customFormat="1" ht="18" thickBot="1" x14ac:dyDescent="0.25">
      <c r="A82" s="75" t="s">
        <v>129</v>
      </c>
      <c r="B82" s="76" t="s">
        <v>130</v>
      </c>
      <c r="C82" s="77">
        <f>[19]С2!F32</f>
        <v>0.12640000000000001</v>
      </c>
    </row>
    <row r="83" spans="1:3" ht="13.5" thickBot="1" x14ac:dyDescent="0.25">
      <c r="A83" s="48"/>
      <c r="B83" s="49"/>
      <c r="C83" s="14"/>
    </row>
    <row r="84" spans="1:3" s="66" customFormat="1" ht="30" customHeight="1" x14ac:dyDescent="0.2">
      <c r="A84" s="78" t="s">
        <v>131</v>
      </c>
      <c r="B84" s="146" t="s">
        <v>132</v>
      </c>
      <c r="C84" s="146"/>
    </row>
    <row r="85" spans="1:3" s="66" customFormat="1" ht="30" x14ac:dyDescent="0.2">
      <c r="A85" s="79" t="s">
        <v>133</v>
      </c>
      <c r="B85" s="32" t="s">
        <v>134</v>
      </c>
      <c r="C85" s="33">
        <f>[19]С3!F14</f>
        <v>7000.4488806189811</v>
      </c>
    </row>
    <row r="86" spans="1:3" s="66" customFormat="1" ht="42.75" x14ac:dyDescent="0.2">
      <c r="A86" s="79" t="s">
        <v>135</v>
      </c>
      <c r="B86" s="53" t="s">
        <v>136</v>
      </c>
      <c r="C86" s="80">
        <f>[19]С3!F15</f>
        <v>0.2</v>
      </c>
    </row>
    <row r="87" spans="1:3" s="66" customFormat="1" ht="14.25" x14ac:dyDescent="0.2">
      <c r="A87" s="79" t="s">
        <v>137</v>
      </c>
      <c r="B87" s="81" t="s">
        <v>138</v>
      </c>
      <c r="C87" s="65">
        <f>[19]С3!F18</f>
        <v>15</v>
      </c>
    </row>
    <row r="88" spans="1:3" s="66" customFormat="1" ht="17.25" x14ac:dyDescent="0.2">
      <c r="A88" s="79" t="s">
        <v>139</v>
      </c>
      <c r="B88" s="32" t="s">
        <v>140</v>
      </c>
      <c r="C88" s="33">
        <f>[19]С3!F19</f>
        <v>3487.1555421534131</v>
      </c>
    </row>
    <row r="89" spans="1:3" s="66" customFormat="1" ht="55.5" x14ac:dyDescent="0.2">
      <c r="A89" s="79" t="s">
        <v>141</v>
      </c>
      <c r="B89" s="53" t="s">
        <v>142</v>
      </c>
      <c r="C89" s="82">
        <f>[19]С3!F20</f>
        <v>2.1999999999999999E-2</v>
      </c>
    </row>
    <row r="90" spans="1:3" s="66" customFormat="1" ht="14.25" x14ac:dyDescent="0.2">
      <c r="A90" s="79" t="s">
        <v>143</v>
      </c>
      <c r="B90" s="59" t="s">
        <v>87</v>
      </c>
      <c r="C90" s="65">
        <f>[19]С3!F21</f>
        <v>10</v>
      </c>
    </row>
    <row r="91" spans="1:3" s="66" customFormat="1" ht="17.25" x14ac:dyDescent="0.2">
      <c r="A91" s="79" t="s">
        <v>144</v>
      </c>
      <c r="B91" s="32" t="s">
        <v>145</v>
      </c>
      <c r="C91" s="33">
        <f>[19]С3!F22</f>
        <v>3.5065032141054981</v>
      </c>
    </row>
    <row r="92" spans="1:3" s="66" customFormat="1" ht="55.5" x14ac:dyDescent="0.2">
      <c r="A92" s="79" t="s">
        <v>146</v>
      </c>
      <c r="B92" s="53" t="s">
        <v>147</v>
      </c>
      <c r="C92" s="82">
        <f>[19]С3!F23</f>
        <v>3.0000000000000001E-3</v>
      </c>
    </row>
    <row r="93" spans="1:3" s="66" customFormat="1" ht="27.75" thickBot="1" x14ac:dyDescent="0.25">
      <c r="A93" s="83" t="s">
        <v>148</v>
      </c>
      <c r="B93" s="84" t="s">
        <v>241</v>
      </c>
      <c r="C93" s="85">
        <f>[19]С3!F24</f>
        <v>1168.8344047018327</v>
      </c>
    </row>
    <row r="94" spans="1:3" ht="13.5" thickBot="1" x14ac:dyDescent="0.25">
      <c r="A94" s="48"/>
      <c r="B94" s="49"/>
      <c r="C94" s="14"/>
    </row>
    <row r="95" spans="1:3" ht="30" customHeight="1" x14ac:dyDescent="0.2">
      <c r="A95" s="86" t="s">
        <v>149</v>
      </c>
      <c r="B95" s="146" t="s">
        <v>150</v>
      </c>
      <c r="C95" s="146"/>
    </row>
    <row r="96" spans="1:3" ht="30" x14ac:dyDescent="0.2">
      <c r="A96" s="60" t="s">
        <v>151</v>
      </c>
      <c r="B96" s="32" t="s">
        <v>242</v>
      </c>
      <c r="C96" s="33">
        <f>[19]С4!F16</f>
        <v>1652.5</v>
      </c>
    </row>
    <row r="97" spans="1:3" ht="30" x14ac:dyDescent="0.2">
      <c r="A97" s="60" t="s">
        <v>153</v>
      </c>
      <c r="B97" s="59" t="s">
        <v>243</v>
      </c>
      <c r="C97" s="33">
        <f>[19]С4!F17</f>
        <v>73547</v>
      </c>
    </row>
    <row r="98" spans="1:3" ht="33" x14ac:dyDescent="0.2">
      <c r="A98" s="60" t="s">
        <v>155</v>
      </c>
      <c r="B98" s="59" t="s">
        <v>156</v>
      </c>
      <c r="C98" s="41">
        <f>[19]С4!F18</f>
        <v>0.02</v>
      </c>
    </row>
    <row r="99" spans="1:3" ht="30" x14ac:dyDescent="0.2">
      <c r="A99" s="60" t="s">
        <v>157</v>
      </c>
      <c r="B99" s="59" t="s">
        <v>158</v>
      </c>
      <c r="C99" s="33">
        <f>[19]С4!F19</f>
        <v>12104</v>
      </c>
    </row>
    <row r="100" spans="1:3" ht="28.5" x14ac:dyDescent="0.2">
      <c r="A100" s="60" t="s">
        <v>159</v>
      </c>
      <c r="B100" s="59" t="s">
        <v>160</v>
      </c>
      <c r="C100" s="41">
        <f>[19]С4!F20</f>
        <v>1.4999999999999999E-2</v>
      </c>
    </row>
    <row r="101" spans="1:3" ht="30" x14ac:dyDescent="0.2">
      <c r="A101" s="60" t="s">
        <v>161</v>
      </c>
      <c r="B101" s="32" t="s">
        <v>244</v>
      </c>
      <c r="C101" s="33">
        <f>[19]С4!F21</f>
        <v>1933.1949342509995</v>
      </c>
    </row>
    <row r="102" spans="1:3" ht="24" customHeight="1" x14ac:dyDescent="0.2">
      <c r="A102" s="60" t="s">
        <v>163</v>
      </c>
      <c r="B102" s="53" t="s">
        <v>164</v>
      </c>
      <c r="C102" s="34">
        <f>IF([19]С4.2!F8="да",[19]С4.2!D21,[19]С4.2!D15)</f>
        <v>0</v>
      </c>
    </row>
    <row r="103" spans="1:3" ht="68.25" x14ac:dyDescent="0.2">
      <c r="A103" s="60" t="s">
        <v>165</v>
      </c>
      <c r="B103" s="53" t="s">
        <v>166</v>
      </c>
      <c r="C103" s="33">
        <f>[19]С4!F22</f>
        <v>3.6112641666666665</v>
      </c>
    </row>
    <row r="104" spans="1:3" ht="30" x14ac:dyDescent="0.2">
      <c r="A104" s="60" t="s">
        <v>167</v>
      </c>
      <c r="B104" s="59" t="s">
        <v>245</v>
      </c>
      <c r="C104" s="33">
        <f>[19]С4!F23</f>
        <v>180</v>
      </c>
    </row>
    <row r="105" spans="1:3" ht="14.25" x14ac:dyDescent="0.2">
      <c r="A105" s="60" t="s">
        <v>169</v>
      </c>
      <c r="B105" s="53" t="s">
        <v>170</v>
      </c>
      <c r="C105" s="33">
        <f>[19]С4!F24</f>
        <v>8497.1999999999989</v>
      </c>
    </row>
    <row r="106" spans="1:3" ht="14.25" x14ac:dyDescent="0.2">
      <c r="A106" s="60" t="s">
        <v>171</v>
      </c>
      <c r="B106" s="59" t="s">
        <v>172</v>
      </c>
      <c r="C106" s="41">
        <f>[19]С4!F25</f>
        <v>0.35</v>
      </c>
    </row>
    <row r="107" spans="1:3" ht="17.25" x14ac:dyDescent="0.2">
      <c r="A107" s="60" t="s">
        <v>173</v>
      </c>
      <c r="B107" s="32" t="s">
        <v>174</v>
      </c>
      <c r="C107" s="33">
        <f>[19]С4!F26</f>
        <v>77.971800000000002</v>
      </c>
    </row>
    <row r="108" spans="1:3" ht="25.5" x14ac:dyDescent="0.2">
      <c r="A108" s="60" t="s">
        <v>175</v>
      </c>
      <c r="B108" s="53" t="s">
        <v>101</v>
      </c>
      <c r="C108" s="34">
        <f>[19]С4.3!E16</f>
        <v>0</v>
      </c>
    </row>
    <row r="109" spans="1:3" ht="25.5" x14ac:dyDescent="0.2">
      <c r="A109" s="60" t="s">
        <v>176</v>
      </c>
      <c r="B109" s="53" t="s">
        <v>177</v>
      </c>
      <c r="C109" s="33">
        <f>[19]С4.3!E17</f>
        <v>19.3</v>
      </c>
    </row>
    <row r="110" spans="1:3" ht="38.25" x14ac:dyDescent="0.2">
      <c r="A110" s="60" t="s">
        <v>178</v>
      </c>
      <c r="B110" s="53" t="s">
        <v>113</v>
      </c>
      <c r="C110" s="34">
        <f>[19]С4.3!E18</f>
        <v>0</v>
      </c>
    </row>
    <row r="111" spans="1:3" x14ac:dyDescent="0.2">
      <c r="A111" s="60" t="s">
        <v>179</v>
      </c>
      <c r="B111" s="53" t="s">
        <v>180</v>
      </c>
      <c r="C111" s="33">
        <f>[19]С4.3!E19</f>
        <v>50.424999999999997</v>
      </c>
    </row>
    <row r="112" spans="1:3" x14ac:dyDescent="0.2">
      <c r="A112" s="60" t="s">
        <v>181</v>
      </c>
      <c r="B112" s="59" t="s">
        <v>182</v>
      </c>
      <c r="C112" s="33">
        <f>[19]С4.3!E11</f>
        <v>1871</v>
      </c>
    </row>
    <row r="113" spans="1:3" x14ac:dyDescent="0.2">
      <c r="A113" s="60" t="s">
        <v>183</v>
      </c>
      <c r="B113" s="59" t="s">
        <v>184</v>
      </c>
      <c r="C113" s="52">
        <f>[19]С4.3!E12</f>
        <v>1636</v>
      </c>
    </row>
    <row r="114" spans="1:3" x14ac:dyDescent="0.2">
      <c r="A114" s="60" t="s">
        <v>185</v>
      </c>
      <c r="B114" s="59" t="s">
        <v>186</v>
      </c>
      <c r="C114" s="52">
        <f>[19]С4.3!E13</f>
        <v>204</v>
      </c>
    </row>
    <row r="115" spans="1:3" ht="30" x14ac:dyDescent="0.2">
      <c r="A115" s="60" t="s">
        <v>187</v>
      </c>
      <c r="B115" s="32" t="s">
        <v>246</v>
      </c>
      <c r="C115" s="33">
        <f>[19]С4!F27</f>
        <v>1351.1912129385403</v>
      </c>
    </row>
    <row r="116" spans="1:3" ht="25.5" x14ac:dyDescent="0.2">
      <c r="A116" s="60" t="s">
        <v>189</v>
      </c>
      <c r="B116" s="53" t="s">
        <v>247</v>
      </c>
      <c r="C116" s="33">
        <f>[19]С4!F28</f>
        <v>1037.7812695380494</v>
      </c>
    </row>
    <row r="117" spans="1:3" ht="42.75" x14ac:dyDescent="0.2">
      <c r="A117" s="60" t="s">
        <v>191</v>
      </c>
      <c r="B117" s="53" t="s">
        <v>192</v>
      </c>
      <c r="C117" s="33">
        <f>[19]С4!F29</f>
        <v>313.40994340049093</v>
      </c>
    </row>
    <row r="118" spans="1:3" ht="30" x14ac:dyDescent="0.2">
      <c r="A118" s="60" t="s">
        <v>193</v>
      </c>
      <c r="B118" s="40" t="s">
        <v>194</v>
      </c>
      <c r="C118" s="33">
        <f>[19]С4!F30</f>
        <v>2319.5491564327658</v>
      </c>
    </row>
    <row r="119" spans="1:3" ht="42.75" x14ac:dyDescent="0.2">
      <c r="A119" s="60" t="s">
        <v>248</v>
      </c>
      <c r="B119" s="90" t="s">
        <v>249</v>
      </c>
      <c r="C119" s="33">
        <f>[19]С4!F33</f>
        <v>1582.0083660775674</v>
      </c>
    </row>
    <row r="120" spans="1:3" ht="30" x14ac:dyDescent="0.2">
      <c r="A120" s="60" t="s">
        <v>250</v>
      </c>
      <c r="B120" s="123" t="s">
        <v>251</v>
      </c>
      <c r="C120" s="33">
        <f>[19]С4!F35</f>
        <v>17.040680999999999</v>
      </c>
    </row>
    <row r="121" spans="1:3" ht="14.25" x14ac:dyDescent="0.2">
      <c r="A121" s="60" t="s">
        <v>252</v>
      </c>
      <c r="B121" s="56" t="s">
        <v>253</v>
      </c>
      <c r="C121" s="33">
        <f>[19]С4!F36</f>
        <v>14319.9</v>
      </c>
    </row>
    <row r="122" spans="1:3" ht="28.5" thickBot="1" x14ac:dyDescent="0.25">
      <c r="A122" s="75" t="s">
        <v>254</v>
      </c>
      <c r="B122" s="124" t="s">
        <v>255</v>
      </c>
      <c r="C122" s="85">
        <f>[19]С4!F37</f>
        <v>1.19</v>
      </c>
    </row>
    <row r="123" spans="1:3" s="88" customFormat="1" ht="13.5" thickBot="1" x14ac:dyDescent="0.25">
      <c r="A123" s="48"/>
      <c r="B123" s="49"/>
      <c r="C123" s="14"/>
    </row>
    <row r="124" spans="1:3" s="66" customFormat="1" ht="30" customHeight="1" x14ac:dyDescent="0.2">
      <c r="A124" s="78" t="s">
        <v>195</v>
      </c>
      <c r="B124" s="146" t="s">
        <v>196</v>
      </c>
      <c r="C124" s="146"/>
    </row>
    <row r="125" spans="1:3" ht="16.5" thickBot="1" x14ac:dyDescent="0.25">
      <c r="A125" s="26" t="s">
        <v>197</v>
      </c>
      <c r="B125" s="87" t="s">
        <v>198</v>
      </c>
      <c r="C125" s="85">
        <f>[19]С5!F17</f>
        <v>0.02</v>
      </c>
    </row>
    <row r="126" spans="1:3" s="88" customFormat="1" ht="13.5" thickBot="1" x14ac:dyDescent="0.25">
      <c r="A126" s="48"/>
      <c r="B126" s="49"/>
      <c r="C126" s="14"/>
    </row>
    <row r="127" spans="1:3" ht="42.75" customHeight="1" x14ac:dyDescent="0.2">
      <c r="A127" s="86" t="s">
        <v>199</v>
      </c>
      <c r="B127" s="148" t="s">
        <v>200</v>
      </c>
      <c r="C127" s="148"/>
    </row>
    <row r="128" spans="1:3" ht="68.25" x14ac:dyDescent="0.2">
      <c r="A128" s="60" t="s">
        <v>201</v>
      </c>
      <c r="B128" s="89" t="s">
        <v>202</v>
      </c>
      <c r="C128" s="33" t="s">
        <v>256</v>
      </c>
    </row>
    <row r="129" spans="1:4" ht="42.75" hidden="1" x14ac:dyDescent="0.2">
      <c r="A129" s="60" t="s">
        <v>203</v>
      </c>
      <c r="B129" s="90" t="s">
        <v>204</v>
      </c>
      <c r="C129" s="91"/>
    </row>
    <row r="130" spans="1:4" ht="69" thickBot="1" x14ac:dyDescent="0.25">
      <c r="A130" s="75" t="s">
        <v>205</v>
      </c>
      <c r="B130" s="125" t="s">
        <v>206</v>
      </c>
      <c r="C130" s="126" t="s">
        <v>256</v>
      </c>
    </row>
    <row r="131" spans="1:4" ht="62.25" hidden="1" customHeight="1" x14ac:dyDescent="0.2">
      <c r="A131" s="127" t="s">
        <v>207</v>
      </c>
      <c r="B131" s="128" t="s">
        <v>208</v>
      </c>
      <c r="C131" s="129"/>
    </row>
    <row r="132" spans="1:4" ht="68.25" hidden="1" x14ac:dyDescent="0.2">
      <c r="A132" s="60" t="s">
        <v>209</v>
      </c>
      <c r="B132" s="90" t="s">
        <v>257</v>
      </c>
      <c r="C132" s="35"/>
    </row>
    <row r="133" spans="1:4" ht="69" hidden="1" thickBot="1" x14ac:dyDescent="0.25">
      <c r="A133" s="75" t="s">
        <v>211</v>
      </c>
      <c r="B133" s="93" t="s">
        <v>212</v>
      </c>
      <c r="C133" s="77"/>
    </row>
    <row r="134" spans="1:4" s="88" customFormat="1" ht="13.5" thickBot="1" x14ac:dyDescent="0.25">
      <c r="A134" s="48"/>
      <c r="B134" s="49"/>
      <c r="C134" s="14"/>
    </row>
    <row r="135" spans="1:4" ht="26.25" customHeight="1" x14ac:dyDescent="0.2">
      <c r="A135" s="86" t="s">
        <v>213</v>
      </c>
      <c r="B135" s="94" t="s">
        <v>214</v>
      </c>
      <c r="C135" s="95">
        <f>[19]С2!F37</f>
        <v>20.818139999999996</v>
      </c>
    </row>
    <row r="136" spans="1:4" ht="14.25" x14ac:dyDescent="0.2">
      <c r="A136" s="60" t="s">
        <v>215</v>
      </c>
      <c r="B136" s="130" t="s">
        <v>216</v>
      </c>
      <c r="C136" s="33">
        <f>[19]С2!F38</f>
        <v>7</v>
      </c>
    </row>
    <row r="137" spans="1:4" ht="17.25" x14ac:dyDescent="0.2">
      <c r="A137" s="60" t="s">
        <v>217</v>
      </c>
      <c r="B137" s="130" t="s">
        <v>218</v>
      </c>
      <c r="C137" s="33">
        <f>[19]С2!F40</f>
        <v>0.97</v>
      </c>
    </row>
    <row r="138" spans="1:4" ht="15" thickBot="1" x14ac:dyDescent="0.25">
      <c r="A138" s="75" t="s">
        <v>219</v>
      </c>
      <c r="B138" s="131" t="s">
        <v>220</v>
      </c>
      <c r="C138" s="47">
        <f>[19]С2!F42</f>
        <v>0.35</v>
      </c>
    </row>
    <row r="139" spans="1:4" s="88" customFormat="1" ht="13.5" thickBot="1" x14ac:dyDescent="0.25">
      <c r="A139" s="48"/>
      <c r="B139" s="49"/>
      <c r="C139" s="14"/>
    </row>
    <row r="140" spans="1:4" ht="30" x14ac:dyDescent="0.2">
      <c r="A140" s="86" t="s">
        <v>221</v>
      </c>
      <c r="B140" s="96" t="s">
        <v>258</v>
      </c>
      <c r="C140" s="132">
        <f>[19]С2!F35</f>
        <v>1.3822747209000001</v>
      </c>
      <c r="D140" s="88"/>
    </row>
    <row r="141" spans="1:4" ht="22.7" customHeight="1" thickBot="1" x14ac:dyDescent="0.25">
      <c r="A141" s="75" t="s">
        <v>223</v>
      </c>
      <c r="B141" s="145" t="s">
        <v>224</v>
      </c>
      <c r="C141" s="145"/>
      <c r="D141" s="88"/>
    </row>
    <row r="142" spans="1:4" ht="13.5" thickBot="1" x14ac:dyDescent="0.25">
      <c r="A142" s="99"/>
      <c r="B142" s="133" t="s">
        <v>0</v>
      </c>
      <c r="C142" s="134"/>
      <c r="D142" s="88"/>
    </row>
    <row r="143" spans="1:4" x14ac:dyDescent="0.2">
      <c r="A143" s="99"/>
      <c r="B143" s="135">
        <v>2020</v>
      </c>
      <c r="C143" s="136">
        <f>[19]С2.5!$E$11</f>
        <v>-2.9000000000000026E-2</v>
      </c>
      <c r="D143" s="88"/>
    </row>
    <row r="144" spans="1:4" x14ac:dyDescent="0.2">
      <c r="A144" s="99"/>
      <c r="B144" s="106">
        <f>B143+1</f>
        <v>2021</v>
      </c>
      <c r="C144" s="137">
        <f>[19]С2.5!$F$11</f>
        <v>0.245</v>
      </c>
      <c r="D144" s="88"/>
    </row>
    <row r="145" spans="1:4" x14ac:dyDescent="0.2">
      <c r="A145" s="99"/>
      <c r="B145" s="106">
        <f t="shared" ref="B145:B208" si="0">B144+1</f>
        <v>2022</v>
      </c>
      <c r="C145" s="137">
        <f>[19]С2.5!$G$11</f>
        <v>0.121</v>
      </c>
      <c r="D145" s="88"/>
    </row>
    <row r="146" spans="1:4" ht="13.5" thickBot="1" x14ac:dyDescent="0.25">
      <c r="A146" s="99"/>
      <c r="B146" s="108">
        <f t="shared" si="0"/>
        <v>2023</v>
      </c>
      <c r="C146" s="138">
        <f>[19]С2.5!$H$11</f>
        <v>0.02</v>
      </c>
      <c r="D146" s="88"/>
    </row>
    <row r="147" spans="1:4" hidden="1" x14ac:dyDescent="0.2">
      <c r="A147" s="99"/>
      <c r="B147" s="139">
        <f t="shared" si="0"/>
        <v>2024</v>
      </c>
      <c r="C147" s="140">
        <f>[19]С2.5!$I$11</f>
        <v>-2.93E-2</v>
      </c>
      <c r="D147" s="88"/>
    </row>
    <row r="148" spans="1:4" hidden="1" x14ac:dyDescent="0.2">
      <c r="A148" s="99"/>
      <c r="B148" s="106">
        <f t="shared" si="0"/>
        <v>2025</v>
      </c>
      <c r="C148" s="137">
        <f>[19]С2.5!$J$11</f>
        <v>0.21215960863291</v>
      </c>
      <c r="D148" s="88"/>
    </row>
    <row r="149" spans="1:4" hidden="1" x14ac:dyDescent="0.2">
      <c r="A149" s="99"/>
      <c r="B149" s="106">
        <f t="shared" si="0"/>
        <v>2026</v>
      </c>
      <c r="C149" s="137">
        <f>[19]С2.5!$K$11</f>
        <v>3.5813361771260002E-2</v>
      </c>
      <c r="D149" s="88"/>
    </row>
    <row r="150" spans="1:4" hidden="1" x14ac:dyDescent="0.2">
      <c r="A150" s="99"/>
      <c r="B150" s="106">
        <f t="shared" si="0"/>
        <v>2027</v>
      </c>
      <c r="C150" s="137">
        <f>[19]С2.5!$L$11</f>
        <v>3.2682303599220003E-2</v>
      </c>
      <c r="D150" s="88"/>
    </row>
    <row r="151" spans="1:4" hidden="1" x14ac:dyDescent="0.2">
      <c r="A151" s="99"/>
      <c r="B151" s="106">
        <f t="shared" si="0"/>
        <v>2028</v>
      </c>
      <c r="C151" s="137">
        <f>[19]С2.5!$M$11</f>
        <v>0</v>
      </c>
      <c r="D151" s="88"/>
    </row>
    <row r="152" spans="1:4" hidden="1" x14ac:dyDescent="0.2">
      <c r="A152" s="99"/>
      <c r="B152" s="106">
        <f t="shared" si="0"/>
        <v>2029</v>
      </c>
      <c r="C152" s="137">
        <f>[19]С2.5!$N$11</f>
        <v>0</v>
      </c>
      <c r="D152" s="88"/>
    </row>
    <row r="153" spans="1:4" hidden="1" x14ac:dyDescent="0.2">
      <c r="A153" s="99"/>
      <c r="B153" s="106">
        <f t="shared" si="0"/>
        <v>2030</v>
      </c>
      <c r="C153" s="137">
        <f>[19]С2.5!$O$11</f>
        <v>0</v>
      </c>
      <c r="D153" s="88"/>
    </row>
    <row r="154" spans="1:4" hidden="1" x14ac:dyDescent="0.2">
      <c r="A154" s="99"/>
      <c r="B154" s="106">
        <f t="shared" si="0"/>
        <v>2031</v>
      </c>
      <c r="C154" s="137">
        <f>[19]С2.5!$P$11</f>
        <v>0</v>
      </c>
      <c r="D154" s="88"/>
    </row>
    <row r="155" spans="1:4" hidden="1" x14ac:dyDescent="0.2">
      <c r="A155" s="88"/>
      <c r="B155" s="106">
        <f t="shared" si="0"/>
        <v>2032</v>
      </c>
      <c r="C155" s="137">
        <f>[19]С2.5!$Q$11</f>
        <v>0</v>
      </c>
      <c r="D155" s="88"/>
    </row>
    <row r="156" spans="1:4" hidden="1" x14ac:dyDescent="0.2">
      <c r="A156" s="88"/>
      <c r="B156" s="106">
        <f t="shared" si="0"/>
        <v>2033</v>
      </c>
      <c r="C156" s="137">
        <f>[19]С2.5!$R$11</f>
        <v>0</v>
      </c>
      <c r="D156" s="88"/>
    </row>
    <row r="157" spans="1:4" hidden="1" x14ac:dyDescent="0.2">
      <c r="B157" s="106">
        <f t="shared" si="0"/>
        <v>2034</v>
      </c>
      <c r="C157" s="137">
        <f>[19]С2.5!$S$11</f>
        <v>0</v>
      </c>
    </row>
    <row r="158" spans="1:4" hidden="1" x14ac:dyDescent="0.2">
      <c r="B158" s="106">
        <f t="shared" si="0"/>
        <v>2035</v>
      </c>
      <c r="C158" s="137">
        <f>[19]С2.5!$T$11</f>
        <v>0</v>
      </c>
    </row>
    <row r="159" spans="1:4" hidden="1" x14ac:dyDescent="0.2">
      <c r="B159" s="106">
        <f t="shared" si="0"/>
        <v>2036</v>
      </c>
      <c r="C159" s="137">
        <f>[19]С2.5!$U$11</f>
        <v>0</v>
      </c>
    </row>
    <row r="160" spans="1:4" hidden="1" x14ac:dyDescent="0.2">
      <c r="B160" s="106">
        <f t="shared" si="0"/>
        <v>2037</v>
      </c>
      <c r="C160" s="137">
        <f>[19]С2.5!$V$11</f>
        <v>0</v>
      </c>
    </row>
    <row r="161" spans="2:3" hidden="1" x14ac:dyDescent="0.2">
      <c r="B161" s="106">
        <f t="shared" si="0"/>
        <v>2038</v>
      </c>
      <c r="C161" s="137">
        <f>[19]С2.5!$W$11</f>
        <v>0</v>
      </c>
    </row>
    <row r="162" spans="2:3" hidden="1" x14ac:dyDescent="0.2">
      <c r="B162" s="106">
        <f t="shared" si="0"/>
        <v>2039</v>
      </c>
      <c r="C162" s="137">
        <f>[19]С2.5!$X$11</f>
        <v>0</v>
      </c>
    </row>
    <row r="163" spans="2:3" hidden="1" x14ac:dyDescent="0.2">
      <c r="B163" s="106">
        <f t="shared" si="0"/>
        <v>2040</v>
      </c>
      <c r="C163" s="137">
        <f>[19]С2.5!$Y$11</f>
        <v>0</v>
      </c>
    </row>
    <row r="164" spans="2:3" hidden="1" x14ac:dyDescent="0.2">
      <c r="B164" s="106">
        <f t="shared" si="0"/>
        <v>2041</v>
      </c>
      <c r="C164" s="137">
        <f>[19]С2.5!$Z$11</f>
        <v>0</v>
      </c>
    </row>
    <row r="165" spans="2:3" hidden="1" x14ac:dyDescent="0.2">
      <c r="B165" s="106">
        <f t="shared" si="0"/>
        <v>2042</v>
      </c>
      <c r="C165" s="137">
        <f>[19]С2.5!$AA$11</f>
        <v>0</v>
      </c>
    </row>
    <row r="166" spans="2:3" hidden="1" x14ac:dyDescent="0.2">
      <c r="B166" s="106">
        <f t="shared" si="0"/>
        <v>2043</v>
      </c>
      <c r="C166" s="137">
        <f>[19]С2.5!$AB$11</f>
        <v>0</v>
      </c>
    </row>
    <row r="167" spans="2:3" hidden="1" x14ac:dyDescent="0.2">
      <c r="B167" s="106">
        <f t="shared" si="0"/>
        <v>2044</v>
      </c>
      <c r="C167" s="137">
        <f>[19]С2.5!$AC$11</f>
        <v>0</v>
      </c>
    </row>
    <row r="168" spans="2:3" hidden="1" x14ac:dyDescent="0.2">
      <c r="B168" s="106">
        <f t="shared" si="0"/>
        <v>2045</v>
      </c>
      <c r="C168" s="137">
        <f>[19]С2.5!$AD$11</f>
        <v>0</v>
      </c>
    </row>
    <row r="169" spans="2:3" hidden="1" x14ac:dyDescent="0.2">
      <c r="B169" s="106">
        <f t="shared" si="0"/>
        <v>2046</v>
      </c>
      <c r="C169" s="137">
        <f>[19]С2.5!$AE$11</f>
        <v>0</v>
      </c>
    </row>
    <row r="170" spans="2:3" hidden="1" x14ac:dyDescent="0.2">
      <c r="B170" s="106">
        <f t="shared" si="0"/>
        <v>2047</v>
      </c>
      <c r="C170" s="137">
        <f>[19]С2.5!$AF$11</f>
        <v>0</v>
      </c>
    </row>
    <row r="171" spans="2:3" hidden="1" x14ac:dyDescent="0.2">
      <c r="B171" s="106">
        <f t="shared" si="0"/>
        <v>2048</v>
      </c>
      <c r="C171" s="137">
        <f>[19]С2.5!$AG$11</f>
        <v>0</v>
      </c>
    </row>
    <row r="172" spans="2:3" hidden="1" x14ac:dyDescent="0.2">
      <c r="B172" s="106">
        <f t="shared" si="0"/>
        <v>2049</v>
      </c>
      <c r="C172" s="137">
        <f>[19]С2.5!$AH$11</f>
        <v>0</v>
      </c>
    </row>
    <row r="173" spans="2:3" hidden="1" x14ac:dyDescent="0.2">
      <c r="B173" s="106">
        <f t="shared" si="0"/>
        <v>2050</v>
      </c>
      <c r="C173" s="137">
        <f>[19]С2.5!$AI$11</f>
        <v>0</v>
      </c>
    </row>
    <row r="174" spans="2:3" hidden="1" x14ac:dyDescent="0.2">
      <c r="B174" s="106">
        <f t="shared" si="0"/>
        <v>2051</v>
      </c>
      <c r="C174" s="137">
        <f>[19]С2.5!$AJ$11</f>
        <v>0</v>
      </c>
    </row>
    <row r="175" spans="2:3" hidden="1" x14ac:dyDescent="0.2">
      <c r="B175" s="106">
        <f t="shared" si="0"/>
        <v>2052</v>
      </c>
      <c r="C175" s="137">
        <f>[19]С2.5!$AK$11</f>
        <v>0</v>
      </c>
    </row>
    <row r="176" spans="2:3" hidden="1" x14ac:dyDescent="0.2">
      <c r="B176" s="106">
        <f t="shared" si="0"/>
        <v>2053</v>
      </c>
      <c r="C176" s="137">
        <f>[19]С2.5!$AL$11</f>
        <v>0</v>
      </c>
    </row>
    <row r="177" spans="2:3" hidden="1" x14ac:dyDescent="0.2">
      <c r="B177" s="106">
        <f t="shared" si="0"/>
        <v>2054</v>
      </c>
      <c r="C177" s="137">
        <f>[19]С2.5!$AM$11</f>
        <v>0</v>
      </c>
    </row>
    <row r="178" spans="2:3" hidden="1" x14ac:dyDescent="0.2">
      <c r="B178" s="106">
        <f t="shared" si="0"/>
        <v>2055</v>
      </c>
      <c r="C178" s="137">
        <f>[19]С2.5!$AN$11</f>
        <v>0</v>
      </c>
    </row>
    <row r="179" spans="2:3" hidden="1" x14ac:dyDescent="0.2">
      <c r="B179" s="106">
        <f t="shared" si="0"/>
        <v>2056</v>
      </c>
      <c r="C179" s="137">
        <f>[19]С2.5!$AO$11</f>
        <v>0</v>
      </c>
    </row>
    <row r="180" spans="2:3" hidden="1" x14ac:dyDescent="0.2">
      <c r="B180" s="106">
        <f t="shared" si="0"/>
        <v>2057</v>
      </c>
      <c r="C180" s="137">
        <f>[19]С2.5!$AP$11</f>
        <v>0</v>
      </c>
    </row>
    <row r="181" spans="2:3" hidden="1" x14ac:dyDescent="0.2">
      <c r="B181" s="106">
        <f t="shared" si="0"/>
        <v>2058</v>
      </c>
      <c r="C181" s="137">
        <f>[19]С2.5!$AQ$11</f>
        <v>0</v>
      </c>
    </row>
    <row r="182" spans="2:3" hidden="1" x14ac:dyDescent="0.2">
      <c r="B182" s="106">
        <f t="shared" si="0"/>
        <v>2059</v>
      </c>
      <c r="C182" s="137">
        <f>[19]С2.5!$AR$11</f>
        <v>0</v>
      </c>
    </row>
    <row r="183" spans="2:3" hidden="1" x14ac:dyDescent="0.2">
      <c r="B183" s="106">
        <f t="shared" si="0"/>
        <v>2060</v>
      </c>
      <c r="C183" s="137">
        <f>[19]С2.5!$AS$11</f>
        <v>0</v>
      </c>
    </row>
    <row r="184" spans="2:3" hidden="1" x14ac:dyDescent="0.2">
      <c r="B184" s="106">
        <f t="shared" si="0"/>
        <v>2061</v>
      </c>
      <c r="C184" s="137">
        <f>[19]С2.5!$AT$11</f>
        <v>0</v>
      </c>
    </row>
    <row r="185" spans="2:3" hidden="1" x14ac:dyDescent="0.2">
      <c r="B185" s="106">
        <f t="shared" si="0"/>
        <v>2062</v>
      </c>
      <c r="C185" s="137">
        <f>[19]С2.5!$AU$11</f>
        <v>0</v>
      </c>
    </row>
    <row r="186" spans="2:3" hidden="1" x14ac:dyDescent="0.2">
      <c r="B186" s="106">
        <f t="shared" si="0"/>
        <v>2063</v>
      </c>
      <c r="C186" s="137">
        <f>[19]С2.5!$AV$11</f>
        <v>0</v>
      </c>
    </row>
    <row r="187" spans="2:3" hidden="1" x14ac:dyDescent="0.2">
      <c r="B187" s="106">
        <f t="shared" si="0"/>
        <v>2064</v>
      </c>
      <c r="C187" s="137">
        <f>[19]С2.5!$AW$11</f>
        <v>0</v>
      </c>
    </row>
    <row r="188" spans="2:3" hidden="1" x14ac:dyDescent="0.2">
      <c r="B188" s="106">
        <f t="shared" si="0"/>
        <v>2065</v>
      </c>
      <c r="C188" s="137">
        <f>[19]С2.5!$AX$11</f>
        <v>0</v>
      </c>
    </row>
    <row r="189" spans="2:3" hidden="1" x14ac:dyDescent="0.2">
      <c r="B189" s="106">
        <f t="shared" si="0"/>
        <v>2066</v>
      </c>
      <c r="C189" s="137">
        <f>[19]С2.5!$AY$11</f>
        <v>0</v>
      </c>
    </row>
    <row r="190" spans="2:3" hidden="1" x14ac:dyDescent="0.2">
      <c r="B190" s="106">
        <f t="shared" si="0"/>
        <v>2067</v>
      </c>
      <c r="C190" s="137">
        <f>[19]С2.5!$AZ$11</f>
        <v>0</v>
      </c>
    </row>
    <row r="191" spans="2:3" hidden="1" x14ac:dyDescent="0.2">
      <c r="B191" s="106">
        <f t="shared" si="0"/>
        <v>2068</v>
      </c>
      <c r="C191" s="137">
        <f>[19]С2.5!$BA$11</f>
        <v>0</v>
      </c>
    </row>
    <row r="192" spans="2:3" hidden="1" x14ac:dyDescent="0.2">
      <c r="B192" s="106">
        <f t="shared" si="0"/>
        <v>2069</v>
      </c>
      <c r="C192" s="137">
        <f>[19]С2.5!$BB$11</f>
        <v>0</v>
      </c>
    </row>
    <row r="193" spans="2:3" hidden="1" x14ac:dyDescent="0.2">
      <c r="B193" s="106">
        <f t="shared" si="0"/>
        <v>2070</v>
      </c>
      <c r="C193" s="137">
        <f>[19]С2.5!$BC$11</f>
        <v>0</v>
      </c>
    </row>
    <row r="194" spans="2:3" hidden="1" x14ac:dyDescent="0.2">
      <c r="B194" s="106">
        <f t="shared" si="0"/>
        <v>2071</v>
      </c>
      <c r="C194" s="137">
        <f>[19]С2.5!$BD$11</f>
        <v>0</v>
      </c>
    </row>
    <row r="195" spans="2:3" hidden="1" x14ac:dyDescent="0.2">
      <c r="B195" s="106">
        <f t="shared" si="0"/>
        <v>2072</v>
      </c>
      <c r="C195" s="137">
        <f>[19]С2.5!$BE$11</f>
        <v>0</v>
      </c>
    </row>
    <row r="196" spans="2:3" hidden="1" x14ac:dyDescent="0.2">
      <c r="B196" s="106">
        <f t="shared" si="0"/>
        <v>2073</v>
      </c>
      <c r="C196" s="137">
        <f>[19]С2.5!$BF$11</f>
        <v>0</v>
      </c>
    </row>
    <row r="197" spans="2:3" hidden="1" x14ac:dyDescent="0.2">
      <c r="B197" s="106">
        <f t="shared" si="0"/>
        <v>2074</v>
      </c>
      <c r="C197" s="137">
        <f>[19]С2.5!$BG$11</f>
        <v>0</v>
      </c>
    </row>
    <row r="198" spans="2:3" hidden="1" x14ac:dyDescent="0.2">
      <c r="B198" s="106">
        <f t="shared" si="0"/>
        <v>2075</v>
      </c>
      <c r="C198" s="137">
        <f>[19]С2.5!$BH$11</f>
        <v>0</v>
      </c>
    </row>
    <row r="199" spans="2:3" hidden="1" x14ac:dyDescent="0.2">
      <c r="B199" s="106">
        <f t="shared" si="0"/>
        <v>2076</v>
      </c>
      <c r="C199" s="137">
        <f>[19]С2.5!$BI$11</f>
        <v>0</v>
      </c>
    </row>
    <row r="200" spans="2:3" hidden="1" x14ac:dyDescent="0.2">
      <c r="B200" s="106">
        <f t="shared" si="0"/>
        <v>2077</v>
      </c>
      <c r="C200" s="137">
        <f>[19]С2.5!$BJ$11</f>
        <v>0</v>
      </c>
    </row>
    <row r="201" spans="2:3" hidden="1" x14ac:dyDescent="0.2">
      <c r="B201" s="106">
        <f t="shared" si="0"/>
        <v>2078</v>
      </c>
      <c r="C201" s="137">
        <f>[19]С2.5!$BK$11</f>
        <v>0</v>
      </c>
    </row>
    <row r="202" spans="2:3" hidden="1" x14ac:dyDescent="0.2">
      <c r="B202" s="106">
        <f t="shared" si="0"/>
        <v>2079</v>
      </c>
      <c r="C202" s="137">
        <f>[19]С2.5!$BL$11</f>
        <v>0</v>
      </c>
    </row>
    <row r="203" spans="2:3" hidden="1" x14ac:dyDescent="0.2">
      <c r="B203" s="106">
        <f t="shared" si="0"/>
        <v>2080</v>
      </c>
      <c r="C203" s="137">
        <f>[19]С2.5!$BM$11</f>
        <v>0</v>
      </c>
    </row>
    <row r="204" spans="2:3" hidden="1" x14ac:dyDescent="0.2">
      <c r="B204" s="106">
        <f t="shared" si="0"/>
        <v>2081</v>
      </c>
      <c r="C204" s="137">
        <f>[19]С2.5!$BN$11</f>
        <v>0</v>
      </c>
    </row>
    <row r="205" spans="2:3" hidden="1" x14ac:dyDescent="0.2">
      <c r="B205" s="106">
        <f t="shared" si="0"/>
        <v>2082</v>
      </c>
      <c r="C205" s="137">
        <f>[19]С2.5!$BO$11</f>
        <v>0</v>
      </c>
    </row>
    <row r="206" spans="2:3" hidden="1" x14ac:dyDescent="0.2">
      <c r="B206" s="106">
        <f t="shared" si="0"/>
        <v>2083</v>
      </c>
      <c r="C206" s="137">
        <f>[19]С2.5!$BP$11</f>
        <v>0</v>
      </c>
    </row>
    <row r="207" spans="2:3" hidden="1" x14ac:dyDescent="0.2">
      <c r="B207" s="106">
        <f t="shared" si="0"/>
        <v>2084</v>
      </c>
      <c r="C207" s="137">
        <f>[19]С2.5!$BQ$11</f>
        <v>0</v>
      </c>
    </row>
    <row r="208" spans="2:3" hidden="1" x14ac:dyDescent="0.2">
      <c r="B208" s="106">
        <f t="shared" si="0"/>
        <v>2085</v>
      </c>
      <c r="C208" s="137">
        <f>[19]С2.5!$BR$11</f>
        <v>0</v>
      </c>
    </row>
    <row r="209" spans="2:3" hidden="1" x14ac:dyDescent="0.2">
      <c r="B209" s="106">
        <f t="shared" ref="B209:B223" si="1">B208+1</f>
        <v>2086</v>
      </c>
      <c r="C209" s="137">
        <f>[19]С2.5!$BS$11</f>
        <v>0</v>
      </c>
    </row>
    <row r="210" spans="2:3" hidden="1" x14ac:dyDescent="0.2">
      <c r="B210" s="106">
        <f t="shared" si="1"/>
        <v>2087</v>
      </c>
      <c r="C210" s="137">
        <f>[19]С2.5!$BT$11</f>
        <v>0</v>
      </c>
    </row>
    <row r="211" spans="2:3" hidden="1" x14ac:dyDescent="0.2">
      <c r="B211" s="106">
        <f t="shared" si="1"/>
        <v>2088</v>
      </c>
      <c r="C211" s="137">
        <f>[19]С2.5!$BU$11</f>
        <v>0</v>
      </c>
    </row>
    <row r="212" spans="2:3" hidden="1" x14ac:dyDescent="0.2">
      <c r="B212" s="106">
        <f t="shared" si="1"/>
        <v>2089</v>
      </c>
      <c r="C212" s="137">
        <f>[19]С2.5!$BV$11</f>
        <v>0</v>
      </c>
    </row>
    <row r="213" spans="2:3" hidden="1" x14ac:dyDescent="0.2">
      <c r="B213" s="106">
        <f t="shared" si="1"/>
        <v>2090</v>
      </c>
      <c r="C213" s="137">
        <f>[19]С2.5!$BW$11</f>
        <v>0</v>
      </c>
    </row>
    <row r="214" spans="2:3" hidden="1" x14ac:dyDescent="0.2">
      <c r="B214" s="106">
        <f t="shared" si="1"/>
        <v>2091</v>
      </c>
      <c r="C214" s="137">
        <f>[19]С2.5!$BX$11</f>
        <v>0</v>
      </c>
    </row>
    <row r="215" spans="2:3" hidden="1" x14ac:dyDescent="0.2">
      <c r="B215" s="106">
        <f t="shared" si="1"/>
        <v>2092</v>
      </c>
      <c r="C215" s="137">
        <f>[19]С2.5!$BY$11</f>
        <v>0</v>
      </c>
    </row>
    <row r="216" spans="2:3" hidden="1" x14ac:dyDescent="0.2">
      <c r="B216" s="106">
        <f t="shared" si="1"/>
        <v>2093</v>
      </c>
      <c r="C216" s="137">
        <f>[19]С2.5!$BZ$11</f>
        <v>0</v>
      </c>
    </row>
    <row r="217" spans="2:3" hidden="1" x14ac:dyDescent="0.2">
      <c r="B217" s="106">
        <f t="shared" si="1"/>
        <v>2094</v>
      </c>
      <c r="C217" s="137">
        <f>[19]С2.5!$CA$11</f>
        <v>0</v>
      </c>
    </row>
    <row r="218" spans="2:3" hidden="1" x14ac:dyDescent="0.2">
      <c r="B218" s="106">
        <f t="shared" si="1"/>
        <v>2095</v>
      </c>
      <c r="C218" s="137">
        <f>[19]С2.5!$CB$11</f>
        <v>0</v>
      </c>
    </row>
    <row r="219" spans="2:3" hidden="1" x14ac:dyDescent="0.2">
      <c r="B219" s="106">
        <f t="shared" si="1"/>
        <v>2096</v>
      </c>
      <c r="C219" s="137">
        <f>[19]С2.5!$CC$11</f>
        <v>0</v>
      </c>
    </row>
    <row r="220" spans="2:3" hidden="1" x14ac:dyDescent="0.2">
      <c r="B220" s="106">
        <f t="shared" si="1"/>
        <v>2097</v>
      </c>
      <c r="C220" s="137">
        <f>[19]С2.5!$CD$11</f>
        <v>0</v>
      </c>
    </row>
    <row r="221" spans="2:3" hidden="1" x14ac:dyDescent="0.2">
      <c r="B221" s="106">
        <f t="shared" si="1"/>
        <v>2098</v>
      </c>
      <c r="C221" s="137">
        <f>[19]С2.5!$CE$11</f>
        <v>0</v>
      </c>
    </row>
    <row r="222" spans="2:3" hidden="1" x14ac:dyDescent="0.2">
      <c r="B222" s="106">
        <f t="shared" si="1"/>
        <v>2099</v>
      </c>
      <c r="C222" s="137">
        <f>[19]С2.5!$CF$11</f>
        <v>0</v>
      </c>
    </row>
    <row r="223" spans="2:3" ht="13.5" hidden="1" thickBot="1" x14ac:dyDescent="0.25">
      <c r="B223" s="108">
        <f t="shared" si="1"/>
        <v>2100</v>
      </c>
      <c r="C223" s="138">
        <f>[19]С2.5!$CG$11</f>
        <v>0</v>
      </c>
    </row>
    <row r="224" spans="2:3" hidden="1" x14ac:dyDescent="0.2">
      <c r="C224" s="141"/>
    </row>
    <row r="225" spans="3:3" hidden="1" x14ac:dyDescent="0.2">
      <c r="C225" s="141"/>
    </row>
    <row r="226" spans="3:3" x14ac:dyDescent="0.2">
      <c r="C226" s="141"/>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8433" r:id="rId4" name="Button 1">
              <controlPr defaultSize="0" print="0" autoFill="0" autoPict="0" macro="[19]!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13"/>
      <c r="B1" s="142" t="s">
        <v>225</v>
      </c>
      <c r="C1" s="142"/>
    </row>
    <row r="2" spans="1:3" x14ac:dyDescent="0.2">
      <c r="A2" s="1"/>
      <c r="B2" s="3" t="s">
        <v>2</v>
      </c>
      <c r="C2" s="4">
        <f ca="1">TODAY()</f>
        <v>44944</v>
      </c>
    </row>
    <row r="3" spans="1:3" x14ac:dyDescent="0.2">
      <c r="A3" s="1"/>
      <c r="B3" s="114" t="s">
        <v>3</v>
      </c>
    </row>
    <row r="4" spans="1:3" ht="25.5" x14ac:dyDescent="0.2">
      <c r="A4" s="7"/>
      <c r="B4" s="8" t="str">
        <f>[20]И1!D13</f>
        <v>Субъект Российской Федерации</v>
      </c>
      <c r="C4" s="9" t="str">
        <f>[20]И1!E13</f>
        <v>Новосибирская область</v>
      </c>
    </row>
    <row r="5" spans="1:3" ht="38.25" x14ac:dyDescent="0.2">
      <c r="A5" s="7"/>
      <c r="B5" s="8" t="str">
        <f>[20]И1!D14</f>
        <v>Тип муниципального образования (выберите из списка)</v>
      </c>
      <c r="C5" s="9" t="str">
        <f>[20]И1!E14</f>
        <v>деревня Устюжанино, Ордынский муниципальный район</v>
      </c>
    </row>
    <row r="6" spans="1:3" x14ac:dyDescent="0.2">
      <c r="A6" s="7"/>
      <c r="B6" s="8" t="str">
        <f>IF([20]И1!E15="","",[20]И1!D15)</f>
        <v/>
      </c>
      <c r="C6" s="9" t="str">
        <f>IF([20]И1!E15="","",[20]И1!E15)</f>
        <v/>
      </c>
    </row>
    <row r="7" spans="1:3" x14ac:dyDescent="0.2">
      <c r="A7" s="7"/>
      <c r="B7" s="8" t="str">
        <f>[20]И1!D16</f>
        <v>Код ОКТМО</v>
      </c>
      <c r="C7" s="10" t="str">
        <f>[20]И1!E16</f>
        <v>50642431101</v>
      </c>
    </row>
    <row r="8" spans="1:3" x14ac:dyDescent="0.2">
      <c r="A8" s="7"/>
      <c r="B8" s="11" t="str">
        <f>[20]И1!D17</f>
        <v>Система теплоснабжения</v>
      </c>
      <c r="C8" s="12">
        <f>[20]И1!E17</f>
        <v>0</v>
      </c>
    </row>
    <row r="9" spans="1:3" x14ac:dyDescent="0.2">
      <c r="A9" s="7"/>
      <c r="B9" s="8" t="str">
        <f>[20]И1!D8</f>
        <v>Период регулирования (i)-й</v>
      </c>
      <c r="C9" s="13">
        <f>[20]И1!E8</f>
        <v>2023</v>
      </c>
    </row>
    <row r="10" spans="1:3" x14ac:dyDescent="0.2">
      <c r="A10" s="7"/>
      <c r="B10" s="8" t="str">
        <f>[20]И1!D9</f>
        <v>Период регулирования (i-1)-й</v>
      </c>
      <c r="C10" s="13">
        <f>[20]И1!E9</f>
        <v>2022</v>
      </c>
    </row>
    <row r="11" spans="1:3" x14ac:dyDescent="0.2">
      <c r="A11" s="7"/>
      <c r="B11" s="8" t="str">
        <f>[20]И1!D10</f>
        <v>Период регулирования (i-2)-й</v>
      </c>
      <c r="C11" s="13">
        <f>[20]И1!E10</f>
        <v>2021</v>
      </c>
    </row>
    <row r="12" spans="1:3" x14ac:dyDescent="0.2">
      <c r="A12" s="7"/>
      <c r="B12" s="8" t="str">
        <f>[20]И1!D11</f>
        <v>Базовый год (б)</v>
      </c>
      <c r="C12" s="13">
        <f>[20]И1!E11</f>
        <v>2019</v>
      </c>
    </row>
    <row r="13" spans="1:3" ht="38.25" x14ac:dyDescent="0.2">
      <c r="A13" s="7"/>
      <c r="B13" s="8" t="str">
        <f>[20]И1!D18</f>
        <v>Вид топлива, использование которого преобладает в системе теплоснабжения</v>
      </c>
      <c r="C13" s="14" t="str">
        <f>[20]С1.1!E13</f>
        <v>уголь (вид угля не указан в топливном балансе)</v>
      </c>
    </row>
    <row r="14" spans="1:3" ht="31.7" customHeight="1" thickBot="1" x14ac:dyDescent="0.25">
      <c r="A14" s="147" t="s">
        <v>4</v>
      </c>
      <c r="B14" s="147"/>
      <c r="C14" s="147"/>
    </row>
    <row r="15" spans="1:3" x14ac:dyDescent="0.2">
      <c r="A15" s="15" t="s">
        <v>5</v>
      </c>
      <c r="B15" s="115" t="s">
        <v>6</v>
      </c>
      <c r="C15" s="116" t="s">
        <v>7</v>
      </c>
    </row>
    <row r="16" spans="1:3" x14ac:dyDescent="0.2">
      <c r="A16" s="18">
        <v>1</v>
      </c>
      <c r="B16" s="117">
        <v>2</v>
      </c>
      <c r="C16" s="118">
        <v>3</v>
      </c>
    </row>
    <row r="17" spans="1:3" x14ac:dyDescent="0.2">
      <c r="A17" s="21">
        <v>1</v>
      </c>
      <c r="B17" s="22" t="s">
        <v>8</v>
      </c>
      <c r="C17" s="23">
        <f>SUM(C18:C22)</f>
        <v>4296.1476767516579</v>
      </c>
    </row>
    <row r="18" spans="1:3" ht="42.75" x14ac:dyDescent="0.2">
      <c r="A18" s="21" t="s">
        <v>9</v>
      </c>
      <c r="B18" s="24" t="s">
        <v>10</v>
      </c>
      <c r="C18" s="25">
        <f>[20]С1!F12</f>
        <v>1151.8021760407769</v>
      </c>
    </row>
    <row r="19" spans="1:3" ht="42.75" x14ac:dyDescent="0.2">
      <c r="A19" s="21" t="s">
        <v>11</v>
      </c>
      <c r="B19" s="24" t="s">
        <v>12</v>
      </c>
      <c r="C19" s="25">
        <f>[20]С2!F12</f>
        <v>2106.4563180122805</v>
      </c>
    </row>
    <row r="20" spans="1:3" ht="30" x14ac:dyDescent="0.2">
      <c r="A20" s="21" t="s">
        <v>13</v>
      </c>
      <c r="B20" s="24" t="s">
        <v>14</v>
      </c>
      <c r="C20" s="25">
        <f>[20]С3!F12</f>
        <v>503.94083842199643</v>
      </c>
    </row>
    <row r="21" spans="1:3" ht="42.75" x14ac:dyDescent="0.2">
      <c r="A21" s="21" t="s">
        <v>15</v>
      </c>
      <c r="B21" s="24" t="s">
        <v>226</v>
      </c>
      <c r="C21" s="25">
        <f>[20]С4!F12</f>
        <v>449.71015453637608</v>
      </c>
    </row>
    <row r="22" spans="1:3" ht="30" x14ac:dyDescent="0.2">
      <c r="A22" s="21" t="s">
        <v>17</v>
      </c>
      <c r="B22" s="24" t="s">
        <v>227</v>
      </c>
      <c r="C22" s="25">
        <f>[20]С5!F12</f>
        <v>84.238189740228592</v>
      </c>
    </row>
    <row r="23" spans="1:3" ht="43.5" thickBot="1" x14ac:dyDescent="0.25">
      <c r="A23" s="26" t="s">
        <v>19</v>
      </c>
      <c r="B23" s="98" t="s">
        <v>228</v>
      </c>
      <c r="C23" s="28" t="str">
        <f>[20]С6!F12</f>
        <v>-</v>
      </c>
    </row>
    <row r="24" spans="1:3" ht="13.5" thickBot="1" x14ac:dyDescent="0.25">
      <c r="A24" s="1"/>
    </row>
    <row r="25" spans="1:3" x14ac:dyDescent="0.2">
      <c r="A25" s="15" t="s">
        <v>5</v>
      </c>
      <c r="B25" s="29" t="s">
        <v>6</v>
      </c>
      <c r="C25" s="16" t="s">
        <v>7</v>
      </c>
    </row>
    <row r="26" spans="1:3" x14ac:dyDescent="0.2">
      <c r="A26" s="18">
        <v>1</v>
      </c>
      <c r="B26" s="30">
        <v>2</v>
      </c>
      <c r="C26" s="31">
        <v>3</v>
      </c>
    </row>
    <row r="27" spans="1:3" ht="30" customHeight="1" x14ac:dyDescent="0.2">
      <c r="A27" s="21">
        <v>1</v>
      </c>
      <c r="B27" s="144" t="s">
        <v>21</v>
      </c>
      <c r="C27" s="144"/>
    </row>
    <row r="28" spans="1:3" x14ac:dyDescent="0.2">
      <c r="A28" s="21" t="s">
        <v>9</v>
      </c>
      <c r="B28" s="32" t="s">
        <v>229</v>
      </c>
      <c r="C28" s="33">
        <f>[20]С1.1!E16</f>
        <v>5100</v>
      </c>
    </row>
    <row r="29" spans="1:3" ht="42.75" x14ac:dyDescent="0.2">
      <c r="A29" s="21" t="s">
        <v>11</v>
      </c>
      <c r="B29" s="32" t="s">
        <v>230</v>
      </c>
      <c r="C29" s="33">
        <f>[20]С1.1!E27</f>
        <v>3097.0035607289806</v>
      </c>
    </row>
    <row r="30" spans="1:3" ht="17.25" x14ac:dyDescent="0.2">
      <c r="A30" s="21" t="s">
        <v>13</v>
      </c>
      <c r="B30" s="32" t="s">
        <v>30</v>
      </c>
      <c r="C30" s="35">
        <f>[20]С1.1!E19</f>
        <v>0.59499999999999997</v>
      </c>
    </row>
    <row r="31" spans="1:3" ht="17.25" x14ac:dyDescent="0.2">
      <c r="A31" s="21" t="s">
        <v>15</v>
      </c>
      <c r="B31" s="32" t="s">
        <v>31</v>
      </c>
      <c r="C31" s="35">
        <f>[20]С1.1!E20</f>
        <v>-0.113</v>
      </c>
    </row>
    <row r="32" spans="1:3" ht="30" x14ac:dyDescent="0.2">
      <c r="A32" s="21" t="s">
        <v>17</v>
      </c>
      <c r="B32" s="36" t="s">
        <v>231</v>
      </c>
      <c r="C32" s="119">
        <f>[20]С1!F13</f>
        <v>176.4</v>
      </c>
    </row>
    <row r="33" spans="1:3" x14ac:dyDescent="0.2">
      <c r="A33" s="21" t="s">
        <v>19</v>
      </c>
      <c r="B33" s="36" t="s">
        <v>33</v>
      </c>
      <c r="C33" s="38">
        <f>[20]С1!F16</f>
        <v>7000</v>
      </c>
    </row>
    <row r="34" spans="1:3" ht="14.25" x14ac:dyDescent="0.2">
      <c r="A34" s="21" t="s">
        <v>34</v>
      </c>
      <c r="B34" s="40" t="s">
        <v>232</v>
      </c>
      <c r="C34" s="41">
        <f>[20]С1!F17</f>
        <v>0.72857142857142854</v>
      </c>
    </row>
    <row r="35" spans="1:3" ht="15.75" x14ac:dyDescent="0.2">
      <c r="A35" s="120" t="s">
        <v>36</v>
      </c>
      <c r="B35" s="43" t="s">
        <v>37</v>
      </c>
      <c r="C35" s="41">
        <f>[20]С1!F20</f>
        <v>21.588411179999994</v>
      </c>
    </row>
    <row r="36" spans="1:3" ht="15.75" x14ac:dyDescent="0.2">
      <c r="A36" s="120" t="s">
        <v>38</v>
      </c>
      <c r="B36" s="44" t="s">
        <v>39</v>
      </c>
      <c r="C36" s="41">
        <f>[20]С1!F21</f>
        <v>20.818139999999996</v>
      </c>
    </row>
    <row r="37" spans="1:3" ht="14.25" x14ac:dyDescent="0.2">
      <c r="A37" s="120" t="s">
        <v>40</v>
      </c>
      <c r="B37" s="45" t="s">
        <v>41</v>
      </c>
      <c r="C37" s="41">
        <f>[20]С1!F22</f>
        <v>1.0369999999999999</v>
      </c>
    </row>
    <row r="38" spans="1:3" ht="53.25" thickBot="1" x14ac:dyDescent="0.25">
      <c r="A38" s="26" t="s">
        <v>42</v>
      </c>
      <c r="B38" s="46" t="s">
        <v>43</v>
      </c>
      <c r="C38" s="47">
        <f>[20]С1!F23</f>
        <v>1.0469999999999999</v>
      </c>
    </row>
    <row r="39" spans="1:3" ht="13.5" thickBot="1" x14ac:dyDescent="0.25">
      <c r="A39" s="48"/>
      <c r="B39" s="121"/>
      <c r="C39" s="122"/>
    </row>
    <row r="40" spans="1:3" ht="30" customHeight="1" x14ac:dyDescent="0.2">
      <c r="A40" s="50" t="s">
        <v>44</v>
      </c>
      <c r="B40" s="146" t="s">
        <v>45</v>
      </c>
      <c r="C40" s="146"/>
    </row>
    <row r="41" spans="1:3" ht="25.5" x14ac:dyDescent="0.2">
      <c r="A41" s="21" t="s">
        <v>46</v>
      </c>
      <c r="B41" s="36" t="s">
        <v>47</v>
      </c>
      <c r="C41" s="51" t="str">
        <f>[20]С2.1!E12</f>
        <v>V</v>
      </c>
    </row>
    <row r="42" spans="1:3" ht="25.5" x14ac:dyDescent="0.2">
      <c r="A42" s="21" t="s">
        <v>48</v>
      </c>
      <c r="B42" s="32" t="s">
        <v>49</v>
      </c>
      <c r="C42" s="51" t="str">
        <f>[20]С2.1!E13</f>
        <v>6 и менее баллов</v>
      </c>
    </row>
    <row r="43" spans="1:3" ht="25.5" x14ac:dyDescent="0.2">
      <c r="A43" s="21" t="s">
        <v>50</v>
      </c>
      <c r="B43" s="32" t="s">
        <v>233</v>
      </c>
      <c r="C43" s="51" t="str">
        <f>[20]С2.1!E14</f>
        <v>от 200 до 500</v>
      </c>
    </row>
    <row r="44" spans="1:3" ht="25.5" x14ac:dyDescent="0.2">
      <c r="A44" s="21" t="s">
        <v>52</v>
      </c>
      <c r="B44" s="32" t="s">
        <v>234</v>
      </c>
      <c r="C44" s="52" t="str">
        <f>[20]С2.1!E15</f>
        <v>нет</v>
      </c>
    </row>
    <row r="45" spans="1:3" ht="30" x14ac:dyDescent="0.2">
      <c r="A45" s="21" t="s">
        <v>54</v>
      </c>
      <c r="B45" s="32" t="s">
        <v>55</v>
      </c>
      <c r="C45" s="33">
        <f>[20]С2!F18</f>
        <v>32402.627334033532</v>
      </c>
    </row>
    <row r="46" spans="1:3" ht="30" x14ac:dyDescent="0.2">
      <c r="A46" s="21" t="s">
        <v>56</v>
      </c>
      <c r="B46" s="53" t="s">
        <v>57</v>
      </c>
      <c r="C46" s="33">
        <f>IF([20]С2!F19&gt;0,[20]С2!F19,[20]С2!F20)</f>
        <v>23441.524932855718</v>
      </c>
    </row>
    <row r="47" spans="1:3" ht="25.5" x14ac:dyDescent="0.2">
      <c r="A47" s="21" t="s">
        <v>58</v>
      </c>
      <c r="B47" s="54" t="s">
        <v>59</v>
      </c>
      <c r="C47" s="33">
        <f>[20]С2.1!E19</f>
        <v>-37</v>
      </c>
    </row>
    <row r="48" spans="1:3" ht="25.5" x14ac:dyDescent="0.2">
      <c r="A48" s="21" t="s">
        <v>60</v>
      </c>
      <c r="B48" s="54" t="s">
        <v>61</v>
      </c>
      <c r="C48" s="33" t="str">
        <f>[20]С2.1!E22</f>
        <v>нет</v>
      </c>
    </row>
    <row r="49" spans="1:3" ht="38.25" x14ac:dyDescent="0.2">
      <c r="A49" s="21" t="s">
        <v>62</v>
      </c>
      <c r="B49" s="55" t="s">
        <v>63</v>
      </c>
      <c r="C49" s="33">
        <f>[20]С2.2!E10</f>
        <v>1287</v>
      </c>
    </row>
    <row r="50" spans="1:3" ht="25.5" x14ac:dyDescent="0.2">
      <c r="A50" s="21" t="s">
        <v>64</v>
      </c>
      <c r="B50" s="56" t="s">
        <v>65</v>
      </c>
      <c r="C50" s="33">
        <f>[20]С2.2!E12</f>
        <v>5.97</v>
      </c>
    </row>
    <row r="51" spans="1:3" ht="52.5" x14ac:dyDescent="0.2">
      <c r="A51" s="21" t="s">
        <v>66</v>
      </c>
      <c r="B51" s="57" t="s">
        <v>67</v>
      </c>
      <c r="C51" s="33">
        <f>[20]С2.2!E13</f>
        <v>1</v>
      </c>
    </row>
    <row r="52" spans="1:3" ht="27.75" x14ac:dyDescent="0.2">
      <c r="A52" s="21" t="s">
        <v>68</v>
      </c>
      <c r="B52" s="56" t="s">
        <v>69</v>
      </c>
      <c r="C52" s="33">
        <f>[20]С2.2!E14</f>
        <v>12104</v>
      </c>
    </row>
    <row r="53" spans="1:3" ht="25.5" x14ac:dyDescent="0.2">
      <c r="A53" s="21" t="s">
        <v>70</v>
      </c>
      <c r="B53" s="57" t="s">
        <v>71</v>
      </c>
      <c r="C53" s="35">
        <f>[20]С2.2!E15</f>
        <v>4.8000000000000001E-2</v>
      </c>
    </row>
    <row r="54" spans="1:3" x14ac:dyDescent="0.2">
      <c r="A54" s="21" t="s">
        <v>72</v>
      </c>
      <c r="B54" s="57" t="s">
        <v>73</v>
      </c>
      <c r="C54" s="33">
        <f>[20]С2.2!E16</f>
        <v>1</v>
      </c>
    </row>
    <row r="55" spans="1:3" ht="15.75" x14ac:dyDescent="0.2">
      <c r="A55" s="21" t="s">
        <v>74</v>
      </c>
      <c r="B55" s="59" t="s">
        <v>75</v>
      </c>
      <c r="C55" s="33">
        <f>[20]С2!F21</f>
        <v>1</v>
      </c>
    </row>
    <row r="56" spans="1:3" ht="30" x14ac:dyDescent="0.2">
      <c r="A56" s="60" t="s">
        <v>76</v>
      </c>
      <c r="B56" s="32" t="s">
        <v>235</v>
      </c>
      <c r="C56" s="33">
        <f>[20]С2!F13</f>
        <v>169640.22915965237</v>
      </c>
    </row>
    <row r="57" spans="1:3" ht="30" x14ac:dyDescent="0.2">
      <c r="A57" s="60" t="s">
        <v>78</v>
      </c>
      <c r="B57" s="59" t="s">
        <v>236</v>
      </c>
      <c r="C57" s="33">
        <f>[20]С2!F14</f>
        <v>113455</v>
      </c>
    </row>
    <row r="58" spans="1:3" ht="15.75" x14ac:dyDescent="0.2">
      <c r="A58" s="60" t="s">
        <v>80</v>
      </c>
      <c r="B58" s="61" t="s">
        <v>81</v>
      </c>
      <c r="C58" s="41">
        <f>[20]С2!F15</f>
        <v>1.071</v>
      </c>
    </row>
    <row r="59" spans="1:3" ht="15.75" x14ac:dyDescent="0.2">
      <c r="A59" s="60" t="s">
        <v>82</v>
      </c>
      <c r="B59" s="61" t="s">
        <v>83</v>
      </c>
      <c r="C59" s="41">
        <f>[20]С2!F16</f>
        <v>1</v>
      </c>
    </row>
    <row r="60" spans="1:3" ht="17.25" x14ac:dyDescent="0.2">
      <c r="A60" s="60" t="s">
        <v>84</v>
      </c>
      <c r="B60" s="59" t="s">
        <v>85</v>
      </c>
      <c r="C60" s="33">
        <f>[20]С2!F17</f>
        <v>1.01</v>
      </c>
    </row>
    <row r="61" spans="1:3" s="66" customFormat="1" ht="14.25" x14ac:dyDescent="0.2">
      <c r="A61" s="60" t="s">
        <v>86</v>
      </c>
      <c r="B61" s="64" t="s">
        <v>87</v>
      </c>
      <c r="C61" s="65">
        <f>[20]С2!F33</f>
        <v>10</v>
      </c>
    </row>
    <row r="62" spans="1:3" ht="30" x14ac:dyDescent="0.2">
      <c r="A62" s="60" t="s">
        <v>88</v>
      </c>
      <c r="B62" s="67" t="s">
        <v>89</v>
      </c>
      <c r="C62" s="33">
        <f>[20]С2!F26</f>
        <v>1168.8344047018327</v>
      </c>
    </row>
    <row r="63" spans="1:3" ht="17.25" x14ac:dyDescent="0.2">
      <c r="A63" s="60" t="s">
        <v>90</v>
      </c>
      <c r="B63" s="53" t="s">
        <v>237</v>
      </c>
      <c r="C63" s="33">
        <f>[20]С2!F27</f>
        <v>0.201330388</v>
      </c>
    </row>
    <row r="64" spans="1:3" ht="17.25" x14ac:dyDescent="0.2">
      <c r="A64" s="60" t="s">
        <v>92</v>
      </c>
      <c r="B64" s="59" t="s">
        <v>238</v>
      </c>
      <c r="C64" s="65">
        <f>[20]С2!F28</f>
        <v>4200</v>
      </c>
    </row>
    <row r="65" spans="1:3" ht="42.75" x14ac:dyDescent="0.2">
      <c r="A65" s="60" t="s">
        <v>94</v>
      </c>
      <c r="B65" s="32" t="s">
        <v>239</v>
      </c>
      <c r="C65" s="33">
        <f>[20]С2!F22</f>
        <v>35717.748653137714</v>
      </c>
    </row>
    <row r="66" spans="1:3" ht="30" x14ac:dyDescent="0.2">
      <c r="A66" s="60" t="s">
        <v>96</v>
      </c>
      <c r="B66" s="61" t="s">
        <v>240</v>
      </c>
      <c r="C66" s="33">
        <f>[20]С2!F23</f>
        <v>1990</v>
      </c>
    </row>
    <row r="67" spans="1:3" ht="30" x14ac:dyDescent="0.2">
      <c r="A67" s="60" t="s">
        <v>98</v>
      </c>
      <c r="B67" s="53" t="s">
        <v>99</v>
      </c>
      <c r="C67" s="33">
        <f>[20]С2.1!E27</f>
        <v>14307.876789999998</v>
      </c>
    </row>
    <row r="68" spans="1:3" ht="38.25" x14ac:dyDescent="0.2">
      <c r="A68" s="60" t="s">
        <v>100</v>
      </c>
      <c r="B68" s="68" t="s">
        <v>101</v>
      </c>
      <c r="C68" s="52">
        <f>[20]С2.3!E21</f>
        <v>0</v>
      </c>
    </row>
    <row r="69" spans="1:3" ht="25.5" x14ac:dyDescent="0.2">
      <c r="A69" s="60" t="s">
        <v>102</v>
      </c>
      <c r="B69" s="69" t="s">
        <v>103</v>
      </c>
      <c r="C69" s="70">
        <f>[20]С2.3!E11</f>
        <v>9.89</v>
      </c>
    </row>
    <row r="70" spans="1:3" ht="25.5" x14ac:dyDescent="0.2">
      <c r="A70" s="60" t="s">
        <v>104</v>
      </c>
      <c r="B70" s="69" t="s">
        <v>105</v>
      </c>
      <c r="C70" s="65">
        <f>[20]С2.3!E13</f>
        <v>300</v>
      </c>
    </row>
    <row r="71" spans="1:3" ht="25.5" x14ac:dyDescent="0.2">
      <c r="A71" s="60" t="s">
        <v>106</v>
      </c>
      <c r="B71" s="68" t="s">
        <v>107</v>
      </c>
      <c r="C71" s="71">
        <f>IF([20]С2.3!E22&gt;0,[20]С2.3!E22,[20]С2.3!E14)</f>
        <v>61211</v>
      </c>
    </row>
    <row r="72" spans="1:3" ht="38.25" x14ac:dyDescent="0.2">
      <c r="A72" s="60" t="s">
        <v>108</v>
      </c>
      <c r="B72" s="68" t="s">
        <v>109</v>
      </c>
      <c r="C72" s="71">
        <f>IF([20]С2.3!E23&gt;0,[20]С2.3!E23,[20]С2.3!E15)</f>
        <v>45675</v>
      </c>
    </row>
    <row r="73" spans="1:3" ht="30" x14ac:dyDescent="0.2">
      <c r="A73" s="60" t="s">
        <v>110</v>
      </c>
      <c r="B73" s="53" t="s">
        <v>111</v>
      </c>
      <c r="C73" s="33">
        <f>[20]С2.1!E28</f>
        <v>9541.9567200000001</v>
      </c>
    </row>
    <row r="74" spans="1:3" ht="38.25" x14ac:dyDescent="0.2">
      <c r="A74" s="60" t="s">
        <v>112</v>
      </c>
      <c r="B74" s="68" t="s">
        <v>113</v>
      </c>
      <c r="C74" s="52">
        <f>[20]С2.3!E25</f>
        <v>0</v>
      </c>
    </row>
    <row r="75" spans="1:3" ht="25.5" x14ac:dyDescent="0.2">
      <c r="A75" s="60" t="s">
        <v>114</v>
      </c>
      <c r="B75" s="69" t="s">
        <v>115</v>
      </c>
      <c r="C75" s="70">
        <f>[20]С2.3!E12</f>
        <v>0.56000000000000005</v>
      </c>
    </row>
    <row r="76" spans="1:3" ht="25.5" x14ac:dyDescent="0.2">
      <c r="A76" s="60" t="s">
        <v>116</v>
      </c>
      <c r="B76" s="69" t="s">
        <v>105</v>
      </c>
      <c r="C76" s="65">
        <f>[20]С2.3!E13</f>
        <v>300</v>
      </c>
    </row>
    <row r="77" spans="1:3" ht="25.5" x14ac:dyDescent="0.2">
      <c r="A77" s="60" t="s">
        <v>117</v>
      </c>
      <c r="B77" s="72" t="s">
        <v>118</v>
      </c>
      <c r="C77" s="71">
        <f>IF([20]С2.3!E26&gt;0,[20]С2.3!E26,[20]С2.3!E16)</f>
        <v>65637</v>
      </c>
    </row>
    <row r="78" spans="1:3" ht="38.25" x14ac:dyDescent="0.2">
      <c r="A78" s="60" t="s">
        <v>119</v>
      </c>
      <c r="B78" s="72" t="s">
        <v>120</v>
      </c>
      <c r="C78" s="71">
        <f>IF([20]С2.3!E27&gt;0,[20]С2.3!E27,[20]С2.3!E17)</f>
        <v>31684</v>
      </c>
    </row>
    <row r="79" spans="1:3" ht="17.25" x14ac:dyDescent="0.2">
      <c r="A79" s="60" t="s">
        <v>123</v>
      </c>
      <c r="B79" s="32" t="s">
        <v>124</v>
      </c>
      <c r="C79" s="35">
        <f>[20]С2!F29</f>
        <v>0.128978033685065</v>
      </c>
    </row>
    <row r="80" spans="1:3" ht="30" x14ac:dyDescent="0.2">
      <c r="A80" s="60" t="s">
        <v>125</v>
      </c>
      <c r="B80" s="53" t="s">
        <v>126</v>
      </c>
      <c r="C80" s="73">
        <f>[20]С2!F30</f>
        <v>0.11668498168498169</v>
      </c>
    </row>
    <row r="81" spans="1:3" ht="17.25" x14ac:dyDescent="0.2">
      <c r="A81" s="60" t="s">
        <v>127</v>
      </c>
      <c r="B81" s="74" t="s">
        <v>128</v>
      </c>
      <c r="C81" s="35">
        <f>[20]С2!F31</f>
        <v>0.13880000000000001</v>
      </c>
    </row>
    <row r="82" spans="1:3" s="66" customFormat="1" ht="18" thickBot="1" x14ac:dyDescent="0.25">
      <c r="A82" s="75" t="s">
        <v>129</v>
      </c>
      <c r="B82" s="76" t="s">
        <v>130</v>
      </c>
      <c r="C82" s="77">
        <f>[20]С2!F32</f>
        <v>0.12640000000000001</v>
      </c>
    </row>
    <row r="83" spans="1:3" ht="13.5" thickBot="1" x14ac:dyDescent="0.25">
      <c r="A83" s="48"/>
      <c r="B83" s="49"/>
      <c r="C83" s="14"/>
    </row>
    <row r="84" spans="1:3" s="66" customFormat="1" ht="30" customHeight="1" x14ac:dyDescent="0.2">
      <c r="A84" s="78" t="s">
        <v>131</v>
      </c>
      <c r="B84" s="146" t="s">
        <v>132</v>
      </c>
      <c r="C84" s="146"/>
    </row>
    <row r="85" spans="1:3" s="66" customFormat="1" ht="30" x14ac:dyDescent="0.2">
      <c r="A85" s="79" t="s">
        <v>133</v>
      </c>
      <c r="B85" s="32" t="s">
        <v>134</v>
      </c>
      <c r="C85" s="33">
        <f>[20]С3!F14</f>
        <v>7000.4488806189811</v>
      </c>
    </row>
    <row r="86" spans="1:3" s="66" customFormat="1" ht="42.75" x14ac:dyDescent="0.2">
      <c r="A86" s="79" t="s">
        <v>135</v>
      </c>
      <c r="B86" s="53" t="s">
        <v>136</v>
      </c>
      <c r="C86" s="80">
        <f>[20]С3!F15</f>
        <v>0.2</v>
      </c>
    </row>
    <row r="87" spans="1:3" s="66" customFormat="1" ht="14.25" x14ac:dyDescent="0.2">
      <c r="A87" s="79" t="s">
        <v>137</v>
      </c>
      <c r="B87" s="81" t="s">
        <v>138</v>
      </c>
      <c r="C87" s="65">
        <f>[20]С3!F18</f>
        <v>15</v>
      </c>
    </row>
    <row r="88" spans="1:3" s="66" customFormat="1" ht="17.25" x14ac:dyDescent="0.2">
      <c r="A88" s="79" t="s">
        <v>139</v>
      </c>
      <c r="B88" s="32" t="s">
        <v>140</v>
      </c>
      <c r="C88" s="33">
        <f>[20]С3!F19</f>
        <v>3487.1555421534131</v>
      </c>
    </row>
    <row r="89" spans="1:3" s="66" customFormat="1" ht="55.5" x14ac:dyDescent="0.2">
      <c r="A89" s="79" t="s">
        <v>141</v>
      </c>
      <c r="B89" s="53" t="s">
        <v>142</v>
      </c>
      <c r="C89" s="82">
        <f>[20]С3!F20</f>
        <v>2.1999999999999999E-2</v>
      </c>
    </row>
    <row r="90" spans="1:3" s="66" customFormat="1" ht="14.25" x14ac:dyDescent="0.2">
      <c r="A90" s="79" t="s">
        <v>143</v>
      </c>
      <c r="B90" s="59" t="s">
        <v>87</v>
      </c>
      <c r="C90" s="65">
        <f>[20]С3!F21</f>
        <v>10</v>
      </c>
    </row>
    <row r="91" spans="1:3" s="66" customFormat="1" ht="17.25" x14ac:dyDescent="0.2">
      <c r="A91" s="79" t="s">
        <v>144</v>
      </c>
      <c r="B91" s="32" t="s">
        <v>145</v>
      </c>
      <c r="C91" s="33">
        <f>[20]С3!F22</f>
        <v>3.5065032141054981</v>
      </c>
    </row>
    <row r="92" spans="1:3" s="66" customFormat="1" ht="55.5" x14ac:dyDescent="0.2">
      <c r="A92" s="79" t="s">
        <v>146</v>
      </c>
      <c r="B92" s="53" t="s">
        <v>147</v>
      </c>
      <c r="C92" s="82">
        <f>[20]С3!F23</f>
        <v>3.0000000000000001E-3</v>
      </c>
    </row>
    <row r="93" spans="1:3" s="66" customFormat="1" ht="27.75" thickBot="1" x14ac:dyDescent="0.25">
      <c r="A93" s="83" t="s">
        <v>148</v>
      </c>
      <c r="B93" s="84" t="s">
        <v>241</v>
      </c>
      <c r="C93" s="85">
        <f>[20]С3!F24</f>
        <v>1168.8344047018327</v>
      </c>
    </row>
    <row r="94" spans="1:3" ht="13.5" thickBot="1" x14ac:dyDescent="0.25">
      <c r="A94" s="48"/>
      <c r="B94" s="49"/>
      <c r="C94" s="14"/>
    </row>
    <row r="95" spans="1:3" ht="30" customHeight="1" x14ac:dyDescent="0.2">
      <c r="A95" s="86" t="s">
        <v>149</v>
      </c>
      <c r="B95" s="146" t="s">
        <v>150</v>
      </c>
      <c r="C95" s="146"/>
    </row>
    <row r="96" spans="1:3" ht="30" x14ac:dyDescent="0.2">
      <c r="A96" s="60" t="s">
        <v>151</v>
      </c>
      <c r="B96" s="32" t="s">
        <v>242</v>
      </c>
      <c r="C96" s="33">
        <f>[20]С4!F16</f>
        <v>1652.5</v>
      </c>
    </row>
    <row r="97" spans="1:3" ht="30" x14ac:dyDescent="0.2">
      <c r="A97" s="60" t="s">
        <v>153</v>
      </c>
      <c r="B97" s="59" t="s">
        <v>243</v>
      </c>
      <c r="C97" s="33">
        <f>[20]С4!F17</f>
        <v>73547</v>
      </c>
    </row>
    <row r="98" spans="1:3" ht="33" x14ac:dyDescent="0.2">
      <c r="A98" s="60" t="s">
        <v>155</v>
      </c>
      <c r="B98" s="59" t="s">
        <v>156</v>
      </c>
      <c r="C98" s="41">
        <f>[20]С4!F18</f>
        <v>0.02</v>
      </c>
    </row>
    <row r="99" spans="1:3" ht="30" x14ac:dyDescent="0.2">
      <c r="A99" s="60" t="s">
        <v>157</v>
      </c>
      <c r="B99" s="59" t="s">
        <v>158</v>
      </c>
      <c r="C99" s="33">
        <f>[20]С4!F19</f>
        <v>12104</v>
      </c>
    </row>
    <row r="100" spans="1:3" ht="28.5" x14ac:dyDescent="0.2">
      <c r="A100" s="60" t="s">
        <v>159</v>
      </c>
      <c r="B100" s="59" t="s">
        <v>160</v>
      </c>
      <c r="C100" s="41">
        <f>[20]С4!F20</f>
        <v>1.4999999999999999E-2</v>
      </c>
    </row>
    <row r="101" spans="1:3" ht="30" x14ac:dyDescent="0.2">
      <c r="A101" s="60" t="s">
        <v>161</v>
      </c>
      <c r="B101" s="32" t="s">
        <v>244</v>
      </c>
      <c r="C101" s="33">
        <f>[20]С4!F21</f>
        <v>1933.1949342509995</v>
      </c>
    </row>
    <row r="102" spans="1:3" ht="24" customHeight="1" x14ac:dyDescent="0.2">
      <c r="A102" s="60" t="s">
        <v>163</v>
      </c>
      <c r="B102" s="53" t="s">
        <v>164</v>
      </c>
      <c r="C102" s="34">
        <f>IF([20]С4.2!F8="да",[20]С4.2!D21,[20]С4.2!D15)</f>
        <v>0</v>
      </c>
    </row>
    <row r="103" spans="1:3" ht="68.25" x14ac:dyDescent="0.2">
      <c r="A103" s="60" t="s">
        <v>165</v>
      </c>
      <c r="B103" s="53" t="s">
        <v>166</v>
      </c>
      <c r="C103" s="33">
        <f>[20]С4!F22</f>
        <v>3.6112641666666665</v>
      </c>
    </row>
    <row r="104" spans="1:3" ht="30" x14ac:dyDescent="0.2">
      <c r="A104" s="60" t="s">
        <v>167</v>
      </c>
      <c r="B104" s="59" t="s">
        <v>245</v>
      </c>
      <c r="C104" s="33">
        <f>[20]С4!F23</f>
        <v>180</v>
      </c>
    </row>
    <row r="105" spans="1:3" ht="14.25" x14ac:dyDescent="0.2">
      <c r="A105" s="60" t="s">
        <v>169</v>
      </c>
      <c r="B105" s="53" t="s">
        <v>170</v>
      </c>
      <c r="C105" s="33">
        <f>[20]С4!F24</f>
        <v>8497.1999999999989</v>
      </c>
    </row>
    <row r="106" spans="1:3" ht="14.25" x14ac:dyDescent="0.2">
      <c r="A106" s="60" t="s">
        <v>171</v>
      </c>
      <c r="B106" s="59" t="s">
        <v>172</v>
      </c>
      <c r="C106" s="41">
        <f>[20]С4!F25</f>
        <v>0.35</v>
      </c>
    </row>
    <row r="107" spans="1:3" ht="17.25" x14ac:dyDescent="0.2">
      <c r="A107" s="60" t="s">
        <v>173</v>
      </c>
      <c r="B107" s="32" t="s">
        <v>174</v>
      </c>
      <c r="C107" s="33">
        <f>[20]С4!F26</f>
        <v>76.007879999999986</v>
      </c>
    </row>
    <row r="108" spans="1:3" ht="25.5" x14ac:dyDescent="0.2">
      <c r="A108" s="60" t="s">
        <v>175</v>
      </c>
      <c r="B108" s="53" t="s">
        <v>101</v>
      </c>
      <c r="C108" s="34">
        <f>[20]С4.3!E16</f>
        <v>0</v>
      </c>
    </row>
    <row r="109" spans="1:3" ht="25.5" x14ac:dyDescent="0.2">
      <c r="A109" s="60" t="s">
        <v>176</v>
      </c>
      <c r="B109" s="53" t="s">
        <v>177</v>
      </c>
      <c r="C109" s="33">
        <f>[20]С4.3!E17</f>
        <v>18.739999999999998</v>
      </c>
    </row>
    <row r="110" spans="1:3" ht="38.25" x14ac:dyDescent="0.2">
      <c r="A110" s="60" t="s">
        <v>178</v>
      </c>
      <c r="B110" s="53" t="s">
        <v>113</v>
      </c>
      <c r="C110" s="34">
        <f>[20]С4.3!E18</f>
        <v>0</v>
      </c>
    </row>
    <row r="111" spans="1:3" x14ac:dyDescent="0.2">
      <c r="A111" s="60" t="s">
        <v>179</v>
      </c>
      <c r="B111" s="53" t="s">
        <v>180</v>
      </c>
      <c r="C111" s="33">
        <f>[20]С4.3!E19</f>
        <v>50.424999999999997</v>
      </c>
    </row>
    <row r="112" spans="1:3" x14ac:dyDescent="0.2">
      <c r="A112" s="60" t="s">
        <v>181</v>
      </c>
      <c r="B112" s="59" t="s">
        <v>182</v>
      </c>
      <c r="C112" s="33">
        <f>[20]С4.3!E11</f>
        <v>1871</v>
      </c>
    </row>
    <row r="113" spans="1:3" x14ac:dyDescent="0.2">
      <c r="A113" s="60" t="s">
        <v>183</v>
      </c>
      <c r="B113" s="59" t="s">
        <v>184</v>
      </c>
      <c r="C113" s="52">
        <f>[20]С4.3!E12</f>
        <v>1636</v>
      </c>
    </row>
    <row r="114" spans="1:3" x14ac:dyDescent="0.2">
      <c r="A114" s="60" t="s">
        <v>185</v>
      </c>
      <c r="B114" s="59" t="s">
        <v>186</v>
      </c>
      <c r="C114" s="52">
        <f>[20]С4.3!E13</f>
        <v>204</v>
      </c>
    </row>
    <row r="115" spans="1:3" ht="30" x14ac:dyDescent="0.2">
      <c r="A115" s="60" t="s">
        <v>187</v>
      </c>
      <c r="B115" s="32" t="s">
        <v>246</v>
      </c>
      <c r="C115" s="33">
        <f>[20]С4!F27</f>
        <v>1351.1912129385403</v>
      </c>
    </row>
    <row r="116" spans="1:3" ht="25.5" x14ac:dyDescent="0.2">
      <c r="A116" s="60" t="s">
        <v>189</v>
      </c>
      <c r="B116" s="53" t="s">
        <v>247</v>
      </c>
      <c r="C116" s="33">
        <f>[20]С4!F28</f>
        <v>1037.7812695380494</v>
      </c>
    </row>
    <row r="117" spans="1:3" ht="42.75" x14ac:dyDescent="0.2">
      <c r="A117" s="60" t="s">
        <v>191</v>
      </c>
      <c r="B117" s="53" t="s">
        <v>192</v>
      </c>
      <c r="C117" s="33">
        <f>[20]С4!F29</f>
        <v>313.40994340049093</v>
      </c>
    </row>
    <row r="118" spans="1:3" ht="30" x14ac:dyDescent="0.2">
      <c r="A118" s="60" t="s">
        <v>193</v>
      </c>
      <c r="B118" s="40" t="s">
        <v>194</v>
      </c>
      <c r="C118" s="33">
        <f>[20]С4!F30</f>
        <v>2432.9322642252127</v>
      </c>
    </row>
    <row r="119" spans="1:3" ht="42.75" x14ac:dyDescent="0.2">
      <c r="A119" s="60" t="s">
        <v>248</v>
      </c>
      <c r="B119" s="90" t="s">
        <v>249</v>
      </c>
      <c r="C119" s="33">
        <f>[20]С4!F33</f>
        <v>1695.5272077185077</v>
      </c>
    </row>
    <row r="120" spans="1:3" ht="30" x14ac:dyDescent="0.2">
      <c r="A120" s="60" t="s">
        <v>250</v>
      </c>
      <c r="B120" s="123" t="s">
        <v>251</v>
      </c>
      <c r="C120" s="33">
        <f>[20]С4!F35</f>
        <v>17.040680999999999</v>
      </c>
    </row>
    <row r="121" spans="1:3" ht="14.25" x14ac:dyDescent="0.2">
      <c r="A121" s="60" t="s">
        <v>252</v>
      </c>
      <c r="B121" s="56" t="s">
        <v>253</v>
      </c>
      <c r="C121" s="33">
        <f>[20]С4!F36</f>
        <v>14319.9</v>
      </c>
    </row>
    <row r="122" spans="1:3" ht="28.5" thickBot="1" x14ac:dyDescent="0.25">
      <c r="A122" s="75" t="s">
        <v>254</v>
      </c>
      <c r="B122" s="124" t="s">
        <v>255</v>
      </c>
      <c r="C122" s="85">
        <f>[20]С4!F37</f>
        <v>1.19</v>
      </c>
    </row>
    <row r="123" spans="1:3" s="88" customFormat="1" ht="13.5" thickBot="1" x14ac:dyDescent="0.25">
      <c r="A123" s="48"/>
      <c r="B123" s="49"/>
      <c r="C123" s="14"/>
    </row>
    <row r="124" spans="1:3" s="66" customFormat="1" ht="30" customHeight="1" x14ac:dyDescent="0.2">
      <c r="A124" s="78" t="s">
        <v>195</v>
      </c>
      <c r="B124" s="146" t="s">
        <v>196</v>
      </c>
      <c r="C124" s="146"/>
    </row>
    <row r="125" spans="1:3" ht="16.5" thickBot="1" x14ac:dyDescent="0.25">
      <c r="A125" s="26" t="s">
        <v>197</v>
      </c>
      <c r="B125" s="87" t="s">
        <v>198</v>
      </c>
      <c r="C125" s="85">
        <f>[20]С5!F17</f>
        <v>0.02</v>
      </c>
    </row>
    <row r="126" spans="1:3" s="88" customFormat="1" ht="13.5" thickBot="1" x14ac:dyDescent="0.25">
      <c r="A126" s="48"/>
      <c r="B126" s="49"/>
      <c r="C126" s="14"/>
    </row>
    <row r="127" spans="1:3" ht="42.75" customHeight="1" x14ac:dyDescent="0.2">
      <c r="A127" s="86" t="s">
        <v>199</v>
      </c>
      <c r="B127" s="148" t="s">
        <v>200</v>
      </c>
      <c r="C127" s="148"/>
    </row>
    <row r="128" spans="1:3" ht="68.25" x14ac:dyDescent="0.2">
      <c r="A128" s="60" t="s">
        <v>201</v>
      </c>
      <c r="B128" s="89" t="s">
        <v>202</v>
      </c>
      <c r="C128" s="33" t="s">
        <v>256</v>
      </c>
    </row>
    <row r="129" spans="1:4" ht="42.75" hidden="1" x14ac:dyDescent="0.2">
      <c r="A129" s="60" t="s">
        <v>203</v>
      </c>
      <c r="B129" s="90" t="s">
        <v>204</v>
      </c>
      <c r="C129" s="91"/>
    </row>
    <row r="130" spans="1:4" ht="69" thickBot="1" x14ac:dyDescent="0.25">
      <c r="A130" s="75" t="s">
        <v>205</v>
      </c>
      <c r="B130" s="125" t="s">
        <v>206</v>
      </c>
      <c r="C130" s="126" t="s">
        <v>256</v>
      </c>
    </row>
    <row r="131" spans="1:4" ht="62.25" hidden="1" customHeight="1" x14ac:dyDescent="0.2">
      <c r="A131" s="127" t="s">
        <v>207</v>
      </c>
      <c r="B131" s="128" t="s">
        <v>208</v>
      </c>
      <c r="C131" s="129"/>
    </row>
    <row r="132" spans="1:4" ht="68.25" hidden="1" x14ac:dyDescent="0.2">
      <c r="A132" s="60" t="s">
        <v>209</v>
      </c>
      <c r="B132" s="90" t="s">
        <v>257</v>
      </c>
      <c r="C132" s="35"/>
    </row>
    <row r="133" spans="1:4" ht="69" hidden="1" thickBot="1" x14ac:dyDescent="0.25">
      <c r="A133" s="75" t="s">
        <v>211</v>
      </c>
      <c r="B133" s="93" t="s">
        <v>212</v>
      </c>
      <c r="C133" s="77"/>
    </row>
    <row r="134" spans="1:4" s="88" customFormat="1" ht="13.5" thickBot="1" x14ac:dyDescent="0.25">
      <c r="A134" s="48"/>
      <c r="B134" s="49"/>
      <c r="C134" s="14"/>
    </row>
    <row r="135" spans="1:4" ht="26.25" customHeight="1" x14ac:dyDescent="0.2">
      <c r="A135" s="86" t="s">
        <v>213</v>
      </c>
      <c r="B135" s="94" t="s">
        <v>214</v>
      </c>
      <c r="C135" s="95">
        <f>[20]С2!F37</f>
        <v>20.818139999999996</v>
      </c>
    </row>
    <row r="136" spans="1:4" ht="14.25" x14ac:dyDescent="0.2">
      <c r="A136" s="60" t="s">
        <v>215</v>
      </c>
      <c r="B136" s="130" t="s">
        <v>216</v>
      </c>
      <c r="C136" s="33">
        <f>[20]С2!F38</f>
        <v>7</v>
      </c>
    </row>
    <row r="137" spans="1:4" ht="17.25" x14ac:dyDescent="0.2">
      <c r="A137" s="60" t="s">
        <v>217</v>
      </c>
      <c r="B137" s="130" t="s">
        <v>218</v>
      </c>
      <c r="C137" s="33">
        <f>[20]С2!F40</f>
        <v>0.97</v>
      </c>
    </row>
    <row r="138" spans="1:4" ht="15" thickBot="1" x14ac:dyDescent="0.25">
      <c r="A138" s="75" t="s">
        <v>219</v>
      </c>
      <c r="B138" s="131" t="s">
        <v>220</v>
      </c>
      <c r="C138" s="47">
        <f>[20]С2!F42</f>
        <v>0.35</v>
      </c>
    </row>
    <row r="139" spans="1:4" s="88" customFormat="1" ht="13.5" thickBot="1" x14ac:dyDescent="0.25">
      <c r="A139" s="48"/>
      <c r="B139" s="49"/>
      <c r="C139" s="14"/>
    </row>
    <row r="140" spans="1:4" ht="30" x14ac:dyDescent="0.2">
      <c r="A140" s="86" t="s">
        <v>221</v>
      </c>
      <c r="B140" s="96" t="s">
        <v>258</v>
      </c>
      <c r="C140" s="132">
        <f>[20]С2!F35</f>
        <v>1.3822747209000001</v>
      </c>
      <c r="D140" s="88"/>
    </row>
    <row r="141" spans="1:4" ht="22.7" customHeight="1" thickBot="1" x14ac:dyDescent="0.25">
      <c r="A141" s="75" t="s">
        <v>223</v>
      </c>
      <c r="B141" s="145" t="s">
        <v>224</v>
      </c>
      <c r="C141" s="145"/>
      <c r="D141" s="88"/>
    </row>
    <row r="142" spans="1:4" ht="13.5" thickBot="1" x14ac:dyDescent="0.25">
      <c r="A142" s="99"/>
      <c r="B142" s="133" t="s">
        <v>0</v>
      </c>
      <c r="C142" s="134"/>
      <c r="D142" s="88"/>
    </row>
    <row r="143" spans="1:4" x14ac:dyDescent="0.2">
      <c r="A143" s="99"/>
      <c r="B143" s="135">
        <v>2020</v>
      </c>
      <c r="C143" s="136">
        <f>[20]С2.5!$E$11</f>
        <v>-2.9000000000000026E-2</v>
      </c>
      <c r="D143" s="88"/>
    </row>
    <row r="144" spans="1:4" x14ac:dyDescent="0.2">
      <c r="A144" s="99"/>
      <c r="B144" s="106">
        <f>B143+1</f>
        <v>2021</v>
      </c>
      <c r="C144" s="137">
        <f>[20]С2.5!$F$11</f>
        <v>0.245</v>
      </c>
      <c r="D144" s="88"/>
    </row>
    <row r="145" spans="1:4" x14ac:dyDescent="0.2">
      <c r="A145" s="99"/>
      <c r="B145" s="106">
        <f t="shared" ref="B145:B208" si="0">B144+1</f>
        <v>2022</v>
      </c>
      <c r="C145" s="137">
        <f>[20]С2.5!$G$11</f>
        <v>0.121</v>
      </c>
      <c r="D145" s="88"/>
    </row>
    <row r="146" spans="1:4" ht="13.5" thickBot="1" x14ac:dyDescent="0.25">
      <c r="A146" s="99"/>
      <c r="B146" s="108">
        <f t="shared" si="0"/>
        <v>2023</v>
      </c>
      <c r="C146" s="138">
        <f>[20]С2.5!$H$11</f>
        <v>0.02</v>
      </c>
      <c r="D146" s="88"/>
    </row>
    <row r="147" spans="1:4" hidden="1" x14ac:dyDescent="0.2">
      <c r="A147" s="99"/>
      <c r="B147" s="139">
        <f t="shared" si="0"/>
        <v>2024</v>
      </c>
      <c r="C147" s="140">
        <f>[20]С2.5!$I$11</f>
        <v>-2.93E-2</v>
      </c>
      <c r="D147" s="88"/>
    </row>
    <row r="148" spans="1:4" hidden="1" x14ac:dyDescent="0.2">
      <c r="A148" s="99"/>
      <c r="B148" s="106">
        <f t="shared" si="0"/>
        <v>2025</v>
      </c>
      <c r="C148" s="137">
        <f>[20]С2.5!$J$11</f>
        <v>0.21215960863291</v>
      </c>
      <c r="D148" s="88"/>
    </row>
    <row r="149" spans="1:4" hidden="1" x14ac:dyDescent="0.2">
      <c r="A149" s="99"/>
      <c r="B149" s="106">
        <f t="shared" si="0"/>
        <v>2026</v>
      </c>
      <c r="C149" s="137">
        <f>[20]С2.5!$K$11</f>
        <v>3.5813361771260002E-2</v>
      </c>
      <c r="D149" s="88"/>
    </row>
    <row r="150" spans="1:4" hidden="1" x14ac:dyDescent="0.2">
      <c r="A150" s="99"/>
      <c r="B150" s="106">
        <f t="shared" si="0"/>
        <v>2027</v>
      </c>
      <c r="C150" s="137">
        <f>[20]С2.5!$L$11</f>
        <v>3.2682303599220003E-2</v>
      </c>
      <c r="D150" s="88"/>
    </row>
    <row r="151" spans="1:4" hidden="1" x14ac:dyDescent="0.2">
      <c r="A151" s="99"/>
      <c r="B151" s="106">
        <f t="shared" si="0"/>
        <v>2028</v>
      </c>
      <c r="C151" s="137">
        <f>[20]С2.5!$M$11</f>
        <v>0</v>
      </c>
      <c r="D151" s="88"/>
    </row>
    <row r="152" spans="1:4" hidden="1" x14ac:dyDescent="0.2">
      <c r="A152" s="99"/>
      <c r="B152" s="106">
        <f t="shared" si="0"/>
        <v>2029</v>
      </c>
      <c r="C152" s="137">
        <f>[20]С2.5!$N$11</f>
        <v>0</v>
      </c>
      <c r="D152" s="88"/>
    </row>
    <row r="153" spans="1:4" hidden="1" x14ac:dyDescent="0.2">
      <c r="A153" s="99"/>
      <c r="B153" s="106">
        <f t="shared" si="0"/>
        <v>2030</v>
      </c>
      <c r="C153" s="137">
        <f>[20]С2.5!$O$11</f>
        <v>0</v>
      </c>
      <c r="D153" s="88"/>
    </row>
    <row r="154" spans="1:4" hidden="1" x14ac:dyDescent="0.2">
      <c r="A154" s="99"/>
      <c r="B154" s="106">
        <f t="shared" si="0"/>
        <v>2031</v>
      </c>
      <c r="C154" s="137">
        <f>[20]С2.5!$P$11</f>
        <v>0</v>
      </c>
      <c r="D154" s="88"/>
    </row>
    <row r="155" spans="1:4" hidden="1" x14ac:dyDescent="0.2">
      <c r="A155" s="88"/>
      <c r="B155" s="106">
        <f t="shared" si="0"/>
        <v>2032</v>
      </c>
      <c r="C155" s="137">
        <f>[20]С2.5!$Q$11</f>
        <v>0</v>
      </c>
      <c r="D155" s="88"/>
    </row>
    <row r="156" spans="1:4" hidden="1" x14ac:dyDescent="0.2">
      <c r="A156" s="88"/>
      <c r="B156" s="106">
        <f t="shared" si="0"/>
        <v>2033</v>
      </c>
      <c r="C156" s="137">
        <f>[20]С2.5!$R$11</f>
        <v>0</v>
      </c>
      <c r="D156" s="88"/>
    </row>
    <row r="157" spans="1:4" hidden="1" x14ac:dyDescent="0.2">
      <c r="B157" s="106">
        <f t="shared" si="0"/>
        <v>2034</v>
      </c>
      <c r="C157" s="137">
        <f>[20]С2.5!$S$11</f>
        <v>0</v>
      </c>
    </row>
    <row r="158" spans="1:4" hidden="1" x14ac:dyDescent="0.2">
      <c r="B158" s="106">
        <f t="shared" si="0"/>
        <v>2035</v>
      </c>
      <c r="C158" s="137">
        <f>[20]С2.5!$T$11</f>
        <v>0</v>
      </c>
    </row>
    <row r="159" spans="1:4" hidden="1" x14ac:dyDescent="0.2">
      <c r="B159" s="106">
        <f t="shared" si="0"/>
        <v>2036</v>
      </c>
      <c r="C159" s="137">
        <f>[20]С2.5!$U$11</f>
        <v>0</v>
      </c>
    </row>
    <row r="160" spans="1:4" hidden="1" x14ac:dyDescent="0.2">
      <c r="B160" s="106">
        <f t="shared" si="0"/>
        <v>2037</v>
      </c>
      <c r="C160" s="137">
        <f>[20]С2.5!$V$11</f>
        <v>0</v>
      </c>
    </row>
    <row r="161" spans="2:3" hidden="1" x14ac:dyDescent="0.2">
      <c r="B161" s="106">
        <f t="shared" si="0"/>
        <v>2038</v>
      </c>
      <c r="C161" s="137">
        <f>[20]С2.5!$W$11</f>
        <v>0</v>
      </c>
    </row>
    <row r="162" spans="2:3" hidden="1" x14ac:dyDescent="0.2">
      <c r="B162" s="106">
        <f t="shared" si="0"/>
        <v>2039</v>
      </c>
      <c r="C162" s="137">
        <f>[20]С2.5!$X$11</f>
        <v>0</v>
      </c>
    </row>
    <row r="163" spans="2:3" hidden="1" x14ac:dyDescent="0.2">
      <c r="B163" s="106">
        <f t="shared" si="0"/>
        <v>2040</v>
      </c>
      <c r="C163" s="137">
        <f>[20]С2.5!$Y$11</f>
        <v>0</v>
      </c>
    </row>
    <row r="164" spans="2:3" hidden="1" x14ac:dyDescent="0.2">
      <c r="B164" s="106">
        <f t="shared" si="0"/>
        <v>2041</v>
      </c>
      <c r="C164" s="137">
        <f>[20]С2.5!$Z$11</f>
        <v>0</v>
      </c>
    </row>
    <row r="165" spans="2:3" hidden="1" x14ac:dyDescent="0.2">
      <c r="B165" s="106">
        <f t="shared" si="0"/>
        <v>2042</v>
      </c>
      <c r="C165" s="137">
        <f>[20]С2.5!$AA$11</f>
        <v>0</v>
      </c>
    </row>
    <row r="166" spans="2:3" hidden="1" x14ac:dyDescent="0.2">
      <c r="B166" s="106">
        <f t="shared" si="0"/>
        <v>2043</v>
      </c>
      <c r="C166" s="137">
        <f>[20]С2.5!$AB$11</f>
        <v>0</v>
      </c>
    </row>
    <row r="167" spans="2:3" hidden="1" x14ac:dyDescent="0.2">
      <c r="B167" s="106">
        <f t="shared" si="0"/>
        <v>2044</v>
      </c>
      <c r="C167" s="137">
        <f>[20]С2.5!$AC$11</f>
        <v>0</v>
      </c>
    </row>
    <row r="168" spans="2:3" hidden="1" x14ac:dyDescent="0.2">
      <c r="B168" s="106">
        <f t="shared" si="0"/>
        <v>2045</v>
      </c>
      <c r="C168" s="137">
        <f>[20]С2.5!$AD$11</f>
        <v>0</v>
      </c>
    </row>
    <row r="169" spans="2:3" hidden="1" x14ac:dyDescent="0.2">
      <c r="B169" s="106">
        <f t="shared" si="0"/>
        <v>2046</v>
      </c>
      <c r="C169" s="137">
        <f>[20]С2.5!$AE$11</f>
        <v>0</v>
      </c>
    </row>
    <row r="170" spans="2:3" hidden="1" x14ac:dyDescent="0.2">
      <c r="B170" s="106">
        <f t="shared" si="0"/>
        <v>2047</v>
      </c>
      <c r="C170" s="137">
        <f>[20]С2.5!$AF$11</f>
        <v>0</v>
      </c>
    </row>
    <row r="171" spans="2:3" hidden="1" x14ac:dyDescent="0.2">
      <c r="B171" s="106">
        <f t="shared" si="0"/>
        <v>2048</v>
      </c>
      <c r="C171" s="137">
        <f>[20]С2.5!$AG$11</f>
        <v>0</v>
      </c>
    </row>
    <row r="172" spans="2:3" hidden="1" x14ac:dyDescent="0.2">
      <c r="B172" s="106">
        <f t="shared" si="0"/>
        <v>2049</v>
      </c>
      <c r="C172" s="137">
        <f>[20]С2.5!$AH$11</f>
        <v>0</v>
      </c>
    </row>
    <row r="173" spans="2:3" hidden="1" x14ac:dyDescent="0.2">
      <c r="B173" s="106">
        <f t="shared" si="0"/>
        <v>2050</v>
      </c>
      <c r="C173" s="137">
        <f>[20]С2.5!$AI$11</f>
        <v>0</v>
      </c>
    </row>
    <row r="174" spans="2:3" hidden="1" x14ac:dyDescent="0.2">
      <c r="B174" s="106">
        <f t="shared" si="0"/>
        <v>2051</v>
      </c>
      <c r="C174" s="137">
        <f>[20]С2.5!$AJ$11</f>
        <v>0</v>
      </c>
    </row>
    <row r="175" spans="2:3" hidden="1" x14ac:dyDescent="0.2">
      <c r="B175" s="106">
        <f t="shared" si="0"/>
        <v>2052</v>
      </c>
      <c r="C175" s="137">
        <f>[20]С2.5!$AK$11</f>
        <v>0</v>
      </c>
    </row>
    <row r="176" spans="2:3" hidden="1" x14ac:dyDescent="0.2">
      <c r="B176" s="106">
        <f t="shared" si="0"/>
        <v>2053</v>
      </c>
      <c r="C176" s="137">
        <f>[20]С2.5!$AL$11</f>
        <v>0</v>
      </c>
    </row>
    <row r="177" spans="2:3" hidden="1" x14ac:dyDescent="0.2">
      <c r="B177" s="106">
        <f t="shared" si="0"/>
        <v>2054</v>
      </c>
      <c r="C177" s="137">
        <f>[20]С2.5!$AM$11</f>
        <v>0</v>
      </c>
    </row>
    <row r="178" spans="2:3" hidden="1" x14ac:dyDescent="0.2">
      <c r="B178" s="106">
        <f t="shared" si="0"/>
        <v>2055</v>
      </c>
      <c r="C178" s="137">
        <f>[20]С2.5!$AN$11</f>
        <v>0</v>
      </c>
    </row>
    <row r="179" spans="2:3" hidden="1" x14ac:dyDescent="0.2">
      <c r="B179" s="106">
        <f t="shared" si="0"/>
        <v>2056</v>
      </c>
      <c r="C179" s="137">
        <f>[20]С2.5!$AO$11</f>
        <v>0</v>
      </c>
    </row>
    <row r="180" spans="2:3" hidden="1" x14ac:dyDescent="0.2">
      <c r="B180" s="106">
        <f t="shared" si="0"/>
        <v>2057</v>
      </c>
      <c r="C180" s="137">
        <f>[20]С2.5!$AP$11</f>
        <v>0</v>
      </c>
    </row>
    <row r="181" spans="2:3" hidden="1" x14ac:dyDescent="0.2">
      <c r="B181" s="106">
        <f t="shared" si="0"/>
        <v>2058</v>
      </c>
      <c r="C181" s="137">
        <f>[20]С2.5!$AQ$11</f>
        <v>0</v>
      </c>
    </row>
    <row r="182" spans="2:3" hidden="1" x14ac:dyDescent="0.2">
      <c r="B182" s="106">
        <f t="shared" si="0"/>
        <v>2059</v>
      </c>
      <c r="C182" s="137">
        <f>[20]С2.5!$AR$11</f>
        <v>0</v>
      </c>
    </row>
    <row r="183" spans="2:3" hidden="1" x14ac:dyDescent="0.2">
      <c r="B183" s="106">
        <f t="shared" si="0"/>
        <v>2060</v>
      </c>
      <c r="C183" s="137">
        <f>[20]С2.5!$AS$11</f>
        <v>0</v>
      </c>
    </row>
    <row r="184" spans="2:3" hidden="1" x14ac:dyDescent="0.2">
      <c r="B184" s="106">
        <f t="shared" si="0"/>
        <v>2061</v>
      </c>
      <c r="C184" s="137">
        <f>[20]С2.5!$AT$11</f>
        <v>0</v>
      </c>
    </row>
    <row r="185" spans="2:3" hidden="1" x14ac:dyDescent="0.2">
      <c r="B185" s="106">
        <f t="shared" si="0"/>
        <v>2062</v>
      </c>
      <c r="C185" s="137">
        <f>[20]С2.5!$AU$11</f>
        <v>0</v>
      </c>
    </row>
    <row r="186" spans="2:3" hidden="1" x14ac:dyDescent="0.2">
      <c r="B186" s="106">
        <f t="shared" si="0"/>
        <v>2063</v>
      </c>
      <c r="C186" s="137">
        <f>[20]С2.5!$AV$11</f>
        <v>0</v>
      </c>
    </row>
    <row r="187" spans="2:3" hidden="1" x14ac:dyDescent="0.2">
      <c r="B187" s="106">
        <f t="shared" si="0"/>
        <v>2064</v>
      </c>
      <c r="C187" s="137">
        <f>[20]С2.5!$AW$11</f>
        <v>0</v>
      </c>
    </row>
    <row r="188" spans="2:3" hidden="1" x14ac:dyDescent="0.2">
      <c r="B188" s="106">
        <f t="shared" si="0"/>
        <v>2065</v>
      </c>
      <c r="C188" s="137">
        <f>[20]С2.5!$AX$11</f>
        <v>0</v>
      </c>
    </row>
    <row r="189" spans="2:3" hidden="1" x14ac:dyDescent="0.2">
      <c r="B189" s="106">
        <f t="shared" si="0"/>
        <v>2066</v>
      </c>
      <c r="C189" s="137">
        <f>[20]С2.5!$AY$11</f>
        <v>0</v>
      </c>
    </row>
    <row r="190" spans="2:3" hidden="1" x14ac:dyDescent="0.2">
      <c r="B190" s="106">
        <f t="shared" si="0"/>
        <v>2067</v>
      </c>
      <c r="C190" s="137">
        <f>[20]С2.5!$AZ$11</f>
        <v>0</v>
      </c>
    </row>
    <row r="191" spans="2:3" hidden="1" x14ac:dyDescent="0.2">
      <c r="B191" s="106">
        <f t="shared" si="0"/>
        <v>2068</v>
      </c>
      <c r="C191" s="137">
        <f>[20]С2.5!$BA$11</f>
        <v>0</v>
      </c>
    </row>
    <row r="192" spans="2:3" hidden="1" x14ac:dyDescent="0.2">
      <c r="B192" s="106">
        <f t="shared" si="0"/>
        <v>2069</v>
      </c>
      <c r="C192" s="137">
        <f>[20]С2.5!$BB$11</f>
        <v>0</v>
      </c>
    </row>
    <row r="193" spans="2:3" hidden="1" x14ac:dyDescent="0.2">
      <c r="B193" s="106">
        <f t="shared" si="0"/>
        <v>2070</v>
      </c>
      <c r="C193" s="137">
        <f>[20]С2.5!$BC$11</f>
        <v>0</v>
      </c>
    </row>
    <row r="194" spans="2:3" hidden="1" x14ac:dyDescent="0.2">
      <c r="B194" s="106">
        <f t="shared" si="0"/>
        <v>2071</v>
      </c>
      <c r="C194" s="137">
        <f>[20]С2.5!$BD$11</f>
        <v>0</v>
      </c>
    </row>
    <row r="195" spans="2:3" hidden="1" x14ac:dyDescent="0.2">
      <c r="B195" s="106">
        <f t="shared" si="0"/>
        <v>2072</v>
      </c>
      <c r="C195" s="137">
        <f>[20]С2.5!$BE$11</f>
        <v>0</v>
      </c>
    </row>
    <row r="196" spans="2:3" hidden="1" x14ac:dyDescent="0.2">
      <c r="B196" s="106">
        <f t="shared" si="0"/>
        <v>2073</v>
      </c>
      <c r="C196" s="137">
        <f>[20]С2.5!$BF$11</f>
        <v>0</v>
      </c>
    </row>
    <row r="197" spans="2:3" hidden="1" x14ac:dyDescent="0.2">
      <c r="B197" s="106">
        <f t="shared" si="0"/>
        <v>2074</v>
      </c>
      <c r="C197" s="137">
        <f>[20]С2.5!$BG$11</f>
        <v>0</v>
      </c>
    </row>
    <row r="198" spans="2:3" hidden="1" x14ac:dyDescent="0.2">
      <c r="B198" s="106">
        <f t="shared" si="0"/>
        <v>2075</v>
      </c>
      <c r="C198" s="137">
        <f>[20]С2.5!$BH$11</f>
        <v>0</v>
      </c>
    </row>
    <row r="199" spans="2:3" hidden="1" x14ac:dyDescent="0.2">
      <c r="B199" s="106">
        <f t="shared" si="0"/>
        <v>2076</v>
      </c>
      <c r="C199" s="137">
        <f>[20]С2.5!$BI$11</f>
        <v>0</v>
      </c>
    </row>
    <row r="200" spans="2:3" hidden="1" x14ac:dyDescent="0.2">
      <c r="B200" s="106">
        <f t="shared" si="0"/>
        <v>2077</v>
      </c>
      <c r="C200" s="137">
        <f>[20]С2.5!$BJ$11</f>
        <v>0</v>
      </c>
    </row>
    <row r="201" spans="2:3" hidden="1" x14ac:dyDescent="0.2">
      <c r="B201" s="106">
        <f t="shared" si="0"/>
        <v>2078</v>
      </c>
      <c r="C201" s="137">
        <f>[20]С2.5!$BK$11</f>
        <v>0</v>
      </c>
    </row>
    <row r="202" spans="2:3" hidden="1" x14ac:dyDescent="0.2">
      <c r="B202" s="106">
        <f t="shared" si="0"/>
        <v>2079</v>
      </c>
      <c r="C202" s="137">
        <f>[20]С2.5!$BL$11</f>
        <v>0</v>
      </c>
    </row>
    <row r="203" spans="2:3" hidden="1" x14ac:dyDescent="0.2">
      <c r="B203" s="106">
        <f t="shared" si="0"/>
        <v>2080</v>
      </c>
      <c r="C203" s="137">
        <f>[20]С2.5!$BM$11</f>
        <v>0</v>
      </c>
    </row>
    <row r="204" spans="2:3" hidden="1" x14ac:dyDescent="0.2">
      <c r="B204" s="106">
        <f t="shared" si="0"/>
        <v>2081</v>
      </c>
      <c r="C204" s="137">
        <f>[20]С2.5!$BN$11</f>
        <v>0</v>
      </c>
    </row>
    <row r="205" spans="2:3" hidden="1" x14ac:dyDescent="0.2">
      <c r="B205" s="106">
        <f t="shared" si="0"/>
        <v>2082</v>
      </c>
      <c r="C205" s="137">
        <f>[20]С2.5!$BO$11</f>
        <v>0</v>
      </c>
    </row>
    <row r="206" spans="2:3" hidden="1" x14ac:dyDescent="0.2">
      <c r="B206" s="106">
        <f t="shared" si="0"/>
        <v>2083</v>
      </c>
      <c r="C206" s="137">
        <f>[20]С2.5!$BP$11</f>
        <v>0</v>
      </c>
    </row>
    <row r="207" spans="2:3" hidden="1" x14ac:dyDescent="0.2">
      <c r="B207" s="106">
        <f t="shared" si="0"/>
        <v>2084</v>
      </c>
      <c r="C207" s="137">
        <f>[20]С2.5!$BQ$11</f>
        <v>0</v>
      </c>
    </row>
    <row r="208" spans="2:3" hidden="1" x14ac:dyDescent="0.2">
      <c r="B208" s="106">
        <f t="shared" si="0"/>
        <v>2085</v>
      </c>
      <c r="C208" s="137">
        <f>[20]С2.5!$BR$11</f>
        <v>0</v>
      </c>
    </row>
    <row r="209" spans="2:3" hidden="1" x14ac:dyDescent="0.2">
      <c r="B209" s="106">
        <f t="shared" ref="B209:B223" si="1">B208+1</f>
        <v>2086</v>
      </c>
      <c r="C209" s="137">
        <f>[20]С2.5!$BS$11</f>
        <v>0</v>
      </c>
    </row>
    <row r="210" spans="2:3" hidden="1" x14ac:dyDescent="0.2">
      <c r="B210" s="106">
        <f t="shared" si="1"/>
        <v>2087</v>
      </c>
      <c r="C210" s="137">
        <f>[20]С2.5!$BT$11</f>
        <v>0</v>
      </c>
    </row>
    <row r="211" spans="2:3" hidden="1" x14ac:dyDescent="0.2">
      <c r="B211" s="106">
        <f t="shared" si="1"/>
        <v>2088</v>
      </c>
      <c r="C211" s="137">
        <f>[20]С2.5!$BU$11</f>
        <v>0</v>
      </c>
    </row>
    <row r="212" spans="2:3" hidden="1" x14ac:dyDescent="0.2">
      <c r="B212" s="106">
        <f t="shared" si="1"/>
        <v>2089</v>
      </c>
      <c r="C212" s="137">
        <f>[20]С2.5!$BV$11</f>
        <v>0</v>
      </c>
    </row>
    <row r="213" spans="2:3" hidden="1" x14ac:dyDescent="0.2">
      <c r="B213" s="106">
        <f t="shared" si="1"/>
        <v>2090</v>
      </c>
      <c r="C213" s="137">
        <f>[20]С2.5!$BW$11</f>
        <v>0</v>
      </c>
    </row>
    <row r="214" spans="2:3" hidden="1" x14ac:dyDescent="0.2">
      <c r="B214" s="106">
        <f t="shared" si="1"/>
        <v>2091</v>
      </c>
      <c r="C214" s="137">
        <f>[20]С2.5!$BX$11</f>
        <v>0</v>
      </c>
    </row>
    <row r="215" spans="2:3" hidden="1" x14ac:dyDescent="0.2">
      <c r="B215" s="106">
        <f t="shared" si="1"/>
        <v>2092</v>
      </c>
      <c r="C215" s="137">
        <f>[20]С2.5!$BY$11</f>
        <v>0</v>
      </c>
    </row>
    <row r="216" spans="2:3" hidden="1" x14ac:dyDescent="0.2">
      <c r="B216" s="106">
        <f t="shared" si="1"/>
        <v>2093</v>
      </c>
      <c r="C216" s="137">
        <f>[20]С2.5!$BZ$11</f>
        <v>0</v>
      </c>
    </row>
    <row r="217" spans="2:3" hidden="1" x14ac:dyDescent="0.2">
      <c r="B217" s="106">
        <f t="shared" si="1"/>
        <v>2094</v>
      </c>
      <c r="C217" s="137">
        <f>[20]С2.5!$CA$11</f>
        <v>0</v>
      </c>
    </row>
    <row r="218" spans="2:3" hidden="1" x14ac:dyDescent="0.2">
      <c r="B218" s="106">
        <f t="shared" si="1"/>
        <v>2095</v>
      </c>
      <c r="C218" s="137">
        <f>[20]С2.5!$CB$11</f>
        <v>0</v>
      </c>
    </row>
    <row r="219" spans="2:3" hidden="1" x14ac:dyDescent="0.2">
      <c r="B219" s="106">
        <f t="shared" si="1"/>
        <v>2096</v>
      </c>
      <c r="C219" s="137">
        <f>[20]С2.5!$CC$11</f>
        <v>0</v>
      </c>
    </row>
    <row r="220" spans="2:3" hidden="1" x14ac:dyDescent="0.2">
      <c r="B220" s="106">
        <f t="shared" si="1"/>
        <v>2097</v>
      </c>
      <c r="C220" s="137">
        <f>[20]С2.5!$CD$11</f>
        <v>0</v>
      </c>
    </row>
    <row r="221" spans="2:3" hidden="1" x14ac:dyDescent="0.2">
      <c r="B221" s="106">
        <f t="shared" si="1"/>
        <v>2098</v>
      </c>
      <c r="C221" s="137">
        <f>[20]С2.5!$CE$11</f>
        <v>0</v>
      </c>
    </row>
    <row r="222" spans="2:3" hidden="1" x14ac:dyDescent="0.2">
      <c r="B222" s="106">
        <f t="shared" si="1"/>
        <v>2099</v>
      </c>
      <c r="C222" s="137">
        <f>[20]С2.5!$CF$11</f>
        <v>0</v>
      </c>
    </row>
    <row r="223" spans="2:3" ht="13.5" hidden="1" thickBot="1" x14ac:dyDescent="0.25">
      <c r="B223" s="108">
        <f t="shared" si="1"/>
        <v>2100</v>
      </c>
      <c r="C223" s="138">
        <f>[20]С2.5!$CG$11</f>
        <v>0</v>
      </c>
    </row>
    <row r="224" spans="2:3" hidden="1" x14ac:dyDescent="0.2">
      <c r="C224" s="141"/>
    </row>
    <row r="225" spans="3:3" hidden="1" x14ac:dyDescent="0.2">
      <c r="C225" s="141"/>
    </row>
    <row r="226" spans="3:3" x14ac:dyDescent="0.2">
      <c r="C226" s="141"/>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9457" r:id="rId4" name="Button 1">
              <controlPr defaultSize="0" print="0" autoFill="0" autoPict="0" macro="[20]!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13"/>
      <c r="B1" s="142" t="s">
        <v>225</v>
      </c>
      <c r="C1" s="142"/>
    </row>
    <row r="2" spans="1:3" x14ac:dyDescent="0.2">
      <c r="A2" s="1"/>
      <c r="B2" s="3" t="s">
        <v>2</v>
      </c>
      <c r="C2" s="4">
        <f ca="1">TODAY()</f>
        <v>44944</v>
      </c>
    </row>
    <row r="3" spans="1:3" x14ac:dyDescent="0.2">
      <c r="A3" s="1"/>
      <c r="B3" s="114" t="s">
        <v>3</v>
      </c>
    </row>
    <row r="4" spans="1:3" ht="25.5" x14ac:dyDescent="0.2">
      <c r="A4" s="7"/>
      <c r="B4" s="8" t="str">
        <f>[21]И1!D13</f>
        <v>Субъект Российской Федерации</v>
      </c>
      <c r="C4" s="9" t="str">
        <f>[21]И1!E13</f>
        <v>Новосибирская область</v>
      </c>
    </row>
    <row r="5" spans="1:3" ht="38.25" x14ac:dyDescent="0.2">
      <c r="A5" s="7"/>
      <c r="B5" s="8" t="str">
        <f>[21]И1!D14</f>
        <v>Тип муниципального образования (выберите из списка)</v>
      </c>
      <c r="C5" s="9" t="str">
        <f>[21]И1!E14</f>
        <v>село Филиппово, Ордынский муниципальный район</v>
      </c>
    </row>
    <row r="6" spans="1:3" x14ac:dyDescent="0.2">
      <c r="A6" s="7"/>
      <c r="B6" s="8" t="str">
        <f>IF([21]И1!E15="","",[21]И1!D15)</f>
        <v/>
      </c>
      <c r="C6" s="9" t="str">
        <f>IF([21]И1!E15="","",[21]И1!E15)</f>
        <v/>
      </c>
    </row>
    <row r="7" spans="1:3" x14ac:dyDescent="0.2">
      <c r="A7" s="7"/>
      <c r="B7" s="8" t="str">
        <f>[21]И1!D16</f>
        <v>Код ОКТМО</v>
      </c>
      <c r="C7" s="10" t="str">
        <f>[21]И1!E16</f>
        <v>50642434101</v>
      </c>
    </row>
    <row r="8" spans="1:3" x14ac:dyDescent="0.2">
      <c r="A8" s="7"/>
      <c r="B8" s="11" t="str">
        <f>[21]И1!D17</f>
        <v>Система теплоснабжения</v>
      </c>
      <c r="C8" s="12">
        <f>[21]И1!E17</f>
        <v>0</v>
      </c>
    </row>
    <row r="9" spans="1:3" x14ac:dyDescent="0.2">
      <c r="A9" s="7"/>
      <c r="B9" s="8" t="str">
        <f>[21]И1!D8</f>
        <v>Период регулирования (i)-й</v>
      </c>
      <c r="C9" s="13">
        <f>[21]И1!E8</f>
        <v>2023</v>
      </c>
    </row>
    <row r="10" spans="1:3" x14ac:dyDescent="0.2">
      <c r="A10" s="7"/>
      <c r="B10" s="8" t="str">
        <f>[21]И1!D9</f>
        <v>Период регулирования (i-1)-й</v>
      </c>
      <c r="C10" s="13">
        <f>[21]И1!E9</f>
        <v>2022</v>
      </c>
    </row>
    <row r="11" spans="1:3" x14ac:dyDescent="0.2">
      <c r="A11" s="7"/>
      <c r="B11" s="8" t="str">
        <f>[21]И1!D10</f>
        <v>Период регулирования (i-2)-й</v>
      </c>
      <c r="C11" s="13">
        <f>[21]И1!E10</f>
        <v>2021</v>
      </c>
    </row>
    <row r="12" spans="1:3" x14ac:dyDescent="0.2">
      <c r="A12" s="7"/>
      <c r="B12" s="8" t="str">
        <f>[21]И1!D11</f>
        <v>Базовый год (б)</v>
      </c>
      <c r="C12" s="13">
        <f>[21]И1!E11</f>
        <v>2019</v>
      </c>
    </row>
    <row r="13" spans="1:3" ht="38.25" x14ac:dyDescent="0.2">
      <c r="A13" s="7"/>
      <c r="B13" s="8" t="str">
        <f>[21]И1!D18</f>
        <v>Вид топлива, использование которого преобладает в системе теплоснабжения</v>
      </c>
      <c r="C13" s="14" t="str">
        <f>[21]С1.1!E13</f>
        <v>уголь (вид угля не указан в топливном балансе)</v>
      </c>
    </row>
    <row r="14" spans="1:3" ht="31.7" customHeight="1" thickBot="1" x14ac:dyDescent="0.25">
      <c r="A14" s="147" t="s">
        <v>4</v>
      </c>
      <c r="B14" s="147"/>
      <c r="C14" s="147"/>
    </row>
    <row r="15" spans="1:3" x14ac:dyDescent="0.2">
      <c r="A15" s="15" t="s">
        <v>5</v>
      </c>
      <c r="B15" s="115" t="s">
        <v>6</v>
      </c>
      <c r="C15" s="116" t="s">
        <v>7</v>
      </c>
    </row>
    <row r="16" spans="1:3" x14ac:dyDescent="0.2">
      <c r="A16" s="18">
        <v>1</v>
      </c>
      <c r="B16" s="117">
        <v>2</v>
      </c>
      <c r="C16" s="118">
        <v>3</v>
      </c>
    </row>
    <row r="17" spans="1:3" x14ac:dyDescent="0.2">
      <c r="A17" s="21">
        <v>1</v>
      </c>
      <c r="B17" s="22" t="s">
        <v>8</v>
      </c>
      <c r="C17" s="23">
        <f>SUM(C18:C22)</f>
        <v>4200.1118622055355</v>
      </c>
    </row>
    <row r="18" spans="1:3" ht="42.75" x14ac:dyDescent="0.2">
      <c r="A18" s="21" t="s">
        <v>9</v>
      </c>
      <c r="B18" s="24" t="s">
        <v>10</v>
      </c>
      <c r="C18" s="25">
        <f>[21]С1!F12</f>
        <v>1151.8021760407769</v>
      </c>
    </row>
    <row r="19" spans="1:3" ht="42.75" x14ac:dyDescent="0.2">
      <c r="A19" s="21" t="s">
        <v>11</v>
      </c>
      <c r="B19" s="24" t="s">
        <v>12</v>
      </c>
      <c r="C19" s="25">
        <f>[21]С2!F12</f>
        <v>2106.4563180122805</v>
      </c>
    </row>
    <row r="20" spans="1:3" ht="30" x14ac:dyDescent="0.2">
      <c r="A20" s="21" t="s">
        <v>13</v>
      </c>
      <c r="B20" s="24" t="s">
        <v>14</v>
      </c>
      <c r="C20" s="25">
        <f>[21]С3!F12</f>
        <v>503.94083842199643</v>
      </c>
    </row>
    <row r="21" spans="1:3" ht="42.75" x14ac:dyDescent="0.2">
      <c r="A21" s="21" t="s">
        <v>15</v>
      </c>
      <c r="B21" s="24" t="s">
        <v>226</v>
      </c>
      <c r="C21" s="25">
        <f>[21]С4!F12</f>
        <v>355.557395177432</v>
      </c>
    </row>
    <row r="22" spans="1:3" ht="30" x14ac:dyDescent="0.2">
      <c r="A22" s="21" t="s">
        <v>17</v>
      </c>
      <c r="B22" s="24" t="s">
        <v>227</v>
      </c>
      <c r="C22" s="25">
        <f>[21]С5!F12</f>
        <v>82.355134553049723</v>
      </c>
    </row>
    <row r="23" spans="1:3" ht="43.5" thickBot="1" x14ac:dyDescent="0.25">
      <c r="A23" s="26" t="s">
        <v>19</v>
      </c>
      <c r="B23" s="98" t="s">
        <v>228</v>
      </c>
      <c r="C23" s="28" t="str">
        <f>[21]С6!F12</f>
        <v>-</v>
      </c>
    </row>
    <row r="24" spans="1:3" ht="13.5" thickBot="1" x14ac:dyDescent="0.25">
      <c r="A24" s="1"/>
    </row>
    <row r="25" spans="1:3" x14ac:dyDescent="0.2">
      <c r="A25" s="15" t="s">
        <v>5</v>
      </c>
      <c r="B25" s="29" t="s">
        <v>6</v>
      </c>
      <c r="C25" s="16" t="s">
        <v>7</v>
      </c>
    </row>
    <row r="26" spans="1:3" x14ac:dyDescent="0.2">
      <c r="A26" s="18">
        <v>1</v>
      </c>
      <c r="B26" s="30">
        <v>2</v>
      </c>
      <c r="C26" s="31">
        <v>3</v>
      </c>
    </row>
    <row r="27" spans="1:3" ht="30" customHeight="1" x14ac:dyDescent="0.2">
      <c r="A27" s="21">
        <v>1</v>
      </c>
      <c r="B27" s="144" t="s">
        <v>21</v>
      </c>
      <c r="C27" s="144"/>
    </row>
    <row r="28" spans="1:3" x14ac:dyDescent="0.2">
      <c r="A28" s="21" t="s">
        <v>9</v>
      </c>
      <c r="B28" s="32" t="s">
        <v>229</v>
      </c>
      <c r="C28" s="33">
        <f>[21]С1.1!E16</f>
        <v>5100</v>
      </c>
    </row>
    <row r="29" spans="1:3" ht="42.75" x14ac:dyDescent="0.2">
      <c r="A29" s="21" t="s">
        <v>11</v>
      </c>
      <c r="B29" s="32" t="s">
        <v>230</v>
      </c>
      <c r="C29" s="33">
        <f>[21]С1.1!E27</f>
        <v>3097.0035607289806</v>
      </c>
    </row>
    <row r="30" spans="1:3" ht="17.25" x14ac:dyDescent="0.2">
      <c r="A30" s="21" t="s">
        <v>13</v>
      </c>
      <c r="B30" s="32" t="s">
        <v>30</v>
      </c>
      <c r="C30" s="35">
        <f>[21]С1.1!E19</f>
        <v>0.59499999999999997</v>
      </c>
    </row>
    <row r="31" spans="1:3" ht="17.25" x14ac:dyDescent="0.2">
      <c r="A31" s="21" t="s">
        <v>15</v>
      </c>
      <c r="B31" s="32" t="s">
        <v>31</v>
      </c>
      <c r="C31" s="35">
        <f>[21]С1.1!E20</f>
        <v>-0.113</v>
      </c>
    </row>
    <row r="32" spans="1:3" ht="30" x14ac:dyDescent="0.2">
      <c r="A32" s="21" t="s">
        <v>17</v>
      </c>
      <c r="B32" s="36" t="s">
        <v>231</v>
      </c>
      <c r="C32" s="119">
        <f>[21]С1!F13</f>
        <v>176.4</v>
      </c>
    </row>
    <row r="33" spans="1:3" x14ac:dyDescent="0.2">
      <c r="A33" s="21" t="s">
        <v>19</v>
      </c>
      <c r="B33" s="36" t="s">
        <v>33</v>
      </c>
      <c r="C33" s="38">
        <f>[21]С1!F16</f>
        <v>7000</v>
      </c>
    </row>
    <row r="34" spans="1:3" ht="14.25" x14ac:dyDescent="0.2">
      <c r="A34" s="21" t="s">
        <v>34</v>
      </c>
      <c r="B34" s="40" t="s">
        <v>232</v>
      </c>
      <c r="C34" s="41">
        <f>[21]С1!F17</f>
        <v>0.72857142857142854</v>
      </c>
    </row>
    <row r="35" spans="1:3" ht="15.75" x14ac:dyDescent="0.2">
      <c r="A35" s="120" t="s">
        <v>36</v>
      </c>
      <c r="B35" s="43" t="s">
        <v>37</v>
      </c>
      <c r="C35" s="41">
        <f>[21]С1!F20</f>
        <v>21.588411179999994</v>
      </c>
    </row>
    <row r="36" spans="1:3" ht="15.75" x14ac:dyDescent="0.2">
      <c r="A36" s="120" t="s">
        <v>38</v>
      </c>
      <c r="B36" s="44" t="s">
        <v>39</v>
      </c>
      <c r="C36" s="41">
        <f>[21]С1!F21</f>
        <v>20.818139999999996</v>
      </c>
    </row>
    <row r="37" spans="1:3" ht="14.25" x14ac:dyDescent="0.2">
      <c r="A37" s="120" t="s">
        <v>40</v>
      </c>
      <c r="B37" s="45" t="s">
        <v>41</v>
      </c>
      <c r="C37" s="41">
        <f>[21]С1!F22</f>
        <v>1.0369999999999999</v>
      </c>
    </row>
    <row r="38" spans="1:3" ht="53.25" thickBot="1" x14ac:dyDescent="0.25">
      <c r="A38" s="26" t="s">
        <v>42</v>
      </c>
      <c r="B38" s="46" t="s">
        <v>43</v>
      </c>
      <c r="C38" s="47">
        <f>[21]С1!F23</f>
        <v>1.0469999999999999</v>
      </c>
    </row>
    <row r="39" spans="1:3" ht="13.5" thickBot="1" x14ac:dyDescent="0.25">
      <c r="A39" s="48"/>
      <c r="B39" s="121"/>
      <c r="C39" s="122"/>
    </row>
    <row r="40" spans="1:3" ht="30" customHeight="1" x14ac:dyDescent="0.2">
      <c r="A40" s="50" t="s">
        <v>44</v>
      </c>
      <c r="B40" s="146" t="s">
        <v>45</v>
      </c>
      <c r="C40" s="146"/>
    </row>
    <row r="41" spans="1:3" ht="25.5" x14ac:dyDescent="0.2">
      <c r="A41" s="21" t="s">
        <v>46</v>
      </c>
      <c r="B41" s="36" t="s">
        <v>47</v>
      </c>
      <c r="C41" s="51" t="str">
        <f>[21]С2.1!E12</f>
        <v>V</v>
      </c>
    </row>
    <row r="42" spans="1:3" ht="25.5" x14ac:dyDescent="0.2">
      <c r="A42" s="21" t="s">
        <v>48</v>
      </c>
      <c r="B42" s="32" t="s">
        <v>49</v>
      </c>
      <c r="C42" s="51" t="str">
        <f>[21]С2.1!E13</f>
        <v>6 и менее баллов</v>
      </c>
    </row>
    <row r="43" spans="1:3" ht="25.5" x14ac:dyDescent="0.2">
      <c r="A43" s="21" t="s">
        <v>50</v>
      </c>
      <c r="B43" s="32" t="s">
        <v>233</v>
      </c>
      <c r="C43" s="51" t="str">
        <f>[21]С2.1!E14</f>
        <v>от 200 до 500</v>
      </c>
    </row>
    <row r="44" spans="1:3" ht="25.5" x14ac:dyDescent="0.2">
      <c r="A44" s="21" t="s">
        <v>52</v>
      </c>
      <c r="B44" s="32" t="s">
        <v>234</v>
      </c>
      <c r="C44" s="52" t="str">
        <f>[21]С2.1!E15</f>
        <v>нет</v>
      </c>
    </row>
    <row r="45" spans="1:3" ht="30" x14ac:dyDescent="0.2">
      <c r="A45" s="21" t="s">
        <v>54</v>
      </c>
      <c r="B45" s="32" t="s">
        <v>55</v>
      </c>
      <c r="C45" s="33">
        <f>[21]С2!F18</f>
        <v>32402.627334033532</v>
      </c>
    </row>
    <row r="46" spans="1:3" ht="30" x14ac:dyDescent="0.2">
      <c r="A46" s="21" t="s">
        <v>56</v>
      </c>
      <c r="B46" s="53" t="s">
        <v>57</v>
      </c>
      <c r="C46" s="33">
        <f>IF([21]С2!F19&gt;0,[21]С2!F19,[21]С2!F20)</f>
        <v>23441.524932855718</v>
      </c>
    </row>
    <row r="47" spans="1:3" ht="25.5" x14ac:dyDescent="0.2">
      <c r="A47" s="21" t="s">
        <v>58</v>
      </c>
      <c r="B47" s="54" t="s">
        <v>59</v>
      </c>
      <c r="C47" s="33">
        <f>[21]С2.1!E19</f>
        <v>-37</v>
      </c>
    </row>
    <row r="48" spans="1:3" ht="25.5" x14ac:dyDescent="0.2">
      <c r="A48" s="21" t="s">
        <v>60</v>
      </c>
      <c r="B48" s="54" t="s">
        <v>61</v>
      </c>
      <c r="C48" s="33" t="str">
        <f>[21]С2.1!E22</f>
        <v>нет</v>
      </c>
    </row>
    <row r="49" spans="1:3" ht="38.25" x14ac:dyDescent="0.2">
      <c r="A49" s="21" t="s">
        <v>62</v>
      </c>
      <c r="B49" s="55" t="s">
        <v>63</v>
      </c>
      <c r="C49" s="33">
        <f>[21]С2.2!E10</f>
        <v>1287</v>
      </c>
    </row>
    <row r="50" spans="1:3" ht="25.5" x14ac:dyDescent="0.2">
      <c r="A50" s="21" t="s">
        <v>64</v>
      </c>
      <c r="B50" s="56" t="s">
        <v>65</v>
      </c>
      <c r="C50" s="33">
        <f>[21]С2.2!E12</f>
        <v>5.97</v>
      </c>
    </row>
    <row r="51" spans="1:3" ht="52.5" x14ac:dyDescent="0.2">
      <c r="A51" s="21" t="s">
        <v>66</v>
      </c>
      <c r="B51" s="57" t="s">
        <v>67</v>
      </c>
      <c r="C51" s="33">
        <f>[21]С2.2!E13</f>
        <v>1</v>
      </c>
    </row>
    <row r="52" spans="1:3" ht="27.75" x14ac:dyDescent="0.2">
      <c r="A52" s="21" t="s">
        <v>68</v>
      </c>
      <c r="B52" s="56" t="s">
        <v>69</v>
      </c>
      <c r="C52" s="33">
        <f>[21]С2.2!E14</f>
        <v>12104</v>
      </c>
    </row>
    <row r="53" spans="1:3" ht="25.5" x14ac:dyDescent="0.2">
      <c r="A53" s="21" t="s">
        <v>70</v>
      </c>
      <c r="B53" s="57" t="s">
        <v>71</v>
      </c>
      <c r="C53" s="35">
        <f>[21]С2.2!E15</f>
        <v>4.8000000000000001E-2</v>
      </c>
    </row>
    <row r="54" spans="1:3" x14ac:dyDescent="0.2">
      <c r="A54" s="21" t="s">
        <v>72</v>
      </c>
      <c r="B54" s="57" t="s">
        <v>73</v>
      </c>
      <c r="C54" s="33">
        <f>[21]С2.2!E16</f>
        <v>1</v>
      </c>
    </row>
    <row r="55" spans="1:3" ht="15.75" x14ac:dyDescent="0.2">
      <c r="A55" s="21" t="s">
        <v>74</v>
      </c>
      <c r="B55" s="59" t="s">
        <v>75</v>
      </c>
      <c r="C55" s="33">
        <f>[21]С2!F21</f>
        <v>1</v>
      </c>
    </row>
    <row r="56" spans="1:3" ht="30" x14ac:dyDescent="0.2">
      <c r="A56" s="60" t="s">
        <v>76</v>
      </c>
      <c r="B56" s="32" t="s">
        <v>235</v>
      </c>
      <c r="C56" s="33">
        <f>[21]С2!F13</f>
        <v>169640.22915965237</v>
      </c>
    </row>
    <row r="57" spans="1:3" ht="30" x14ac:dyDescent="0.2">
      <c r="A57" s="60" t="s">
        <v>78</v>
      </c>
      <c r="B57" s="59" t="s">
        <v>236</v>
      </c>
      <c r="C57" s="33">
        <f>[21]С2!F14</f>
        <v>113455</v>
      </c>
    </row>
    <row r="58" spans="1:3" ht="15.75" x14ac:dyDescent="0.2">
      <c r="A58" s="60" t="s">
        <v>80</v>
      </c>
      <c r="B58" s="61" t="s">
        <v>81</v>
      </c>
      <c r="C58" s="41">
        <f>[21]С2!F15</f>
        <v>1.071</v>
      </c>
    </row>
    <row r="59" spans="1:3" ht="15.75" x14ac:dyDescent="0.2">
      <c r="A59" s="60" t="s">
        <v>82</v>
      </c>
      <c r="B59" s="61" t="s">
        <v>83</v>
      </c>
      <c r="C59" s="41">
        <f>[21]С2!F16</f>
        <v>1</v>
      </c>
    </row>
    <row r="60" spans="1:3" ht="17.25" x14ac:dyDescent="0.2">
      <c r="A60" s="60" t="s">
        <v>84</v>
      </c>
      <c r="B60" s="59" t="s">
        <v>85</v>
      </c>
      <c r="C60" s="33">
        <f>[21]С2!F17</f>
        <v>1.01</v>
      </c>
    </row>
    <row r="61" spans="1:3" s="66" customFormat="1" ht="14.25" x14ac:dyDescent="0.2">
      <c r="A61" s="60" t="s">
        <v>86</v>
      </c>
      <c r="B61" s="64" t="s">
        <v>87</v>
      </c>
      <c r="C61" s="65">
        <f>[21]С2!F33</f>
        <v>10</v>
      </c>
    </row>
    <row r="62" spans="1:3" ht="30" x14ac:dyDescent="0.2">
      <c r="A62" s="60" t="s">
        <v>88</v>
      </c>
      <c r="B62" s="67" t="s">
        <v>89</v>
      </c>
      <c r="C62" s="33">
        <f>[21]С2!F26</f>
        <v>1168.8344047018327</v>
      </c>
    </row>
    <row r="63" spans="1:3" ht="17.25" x14ac:dyDescent="0.2">
      <c r="A63" s="60" t="s">
        <v>90</v>
      </c>
      <c r="B63" s="53" t="s">
        <v>237</v>
      </c>
      <c r="C63" s="33">
        <f>[21]С2!F27</f>
        <v>0.201330388</v>
      </c>
    </row>
    <row r="64" spans="1:3" ht="17.25" x14ac:dyDescent="0.2">
      <c r="A64" s="60" t="s">
        <v>92</v>
      </c>
      <c r="B64" s="59" t="s">
        <v>238</v>
      </c>
      <c r="C64" s="65">
        <f>[21]С2!F28</f>
        <v>4200</v>
      </c>
    </row>
    <row r="65" spans="1:3" ht="42.75" x14ac:dyDescent="0.2">
      <c r="A65" s="60" t="s">
        <v>94</v>
      </c>
      <c r="B65" s="32" t="s">
        <v>239</v>
      </c>
      <c r="C65" s="33">
        <f>[21]С2!F22</f>
        <v>35717.748653137714</v>
      </c>
    </row>
    <row r="66" spans="1:3" ht="30" x14ac:dyDescent="0.2">
      <c r="A66" s="60" t="s">
        <v>96</v>
      </c>
      <c r="B66" s="61" t="s">
        <v>240</v>
      </c>
      <c r="C66" s="33">
        <f>[21]С2!F23</f>
        <v>1990</v>
      </c>
    </row>
    <row r="67" spans="1:3" ht="30" x14ac:dyDescent="0.2">
      <c r="A67" s="60" t="s">
        <v>98</v>
      </c>
      <c r="B67" s="53" t="s">
        <v>99</v>
      </c>
      <c r="C67" s="33">
        <f>[21]С2.1!E27</f>
        <v>14307.876789999998</v>
      </c>
    </row>
    <row r="68" spans="1:3" ht="38.25" x14ac:dyDescent="0.2">
      <c r="A68" s="60" t="s">
        <v>100</v>
      </c>
      <c r="B68" s="68" t="s">
        <v>101</v>
      </c>
      <c r="C68" s="52">
        <f>[21]С2.3!E21</f>
        <v>0</v>
      </c>
    </row>
    <row r="69" spans="1:3" ht="25.5" x14ac:dyDescent="0.2">
      <c r="A69" s="60" t="s">
        <v>102</v>
      </c>
      <c r="B69" s="69" t="s">
        <v>103</v>
      </c>
      <c r="C69" s="70">
        <f>[21]С2.3!E11</f>
        <v>9.89</v>
      </c>
    </row>
    <row r="70" spans="1:3" ht="25.5" x14ac:dyDescent="0.2">
      <c r="A70" s="60" t="s">
        <v>104</v>
      </c>
      <c r="B70" s="69" t="s">
        <v>105</v>
      </c>
      <c r="C70" s="65">
        <f>[21]С2.3!E13</f>
        <v>300</v>
      </c>
    </row>
    <row r="71" spans="1:3" ht="25.5" x14ac:dyDescent="0.2">
      <c r="A71" s="60" t="s">
        <v>106</v>
      </c>
      <c r="B71" s="68" t="s">
        <v>107</v>
      </c>
      <c r="C71" s="71">
        <f>IF([21]С2.3!E22&gt;0,[21]С2.3!E22,[21]С2.3!E14)</f>
        <v>61211</v>
      </c>
    </row>
    <row r="72" spans="1:3" ht="38.25" x14ac:dyDescent="0.2">
      <c r="A72" s="60" t="s">
        <v>108</v>
      </c>
      <c r="B72" s="68" t="s">
        <v>109</v>
      </c>
      <c r="C72" s="71">
        <f>IF([21]С2.3!E23&gt;0,[21]С2.3!E23,[21]С2.3!E15)</f>
        <v>45675</v>
      </c>
    </row>
    <row r="73" spans="1:3" ht="30" x14ac:dyDescent="0.2">
      <c r="A73" s="60" t="s">
        <v>110</v>
      </c>
      <c r="B73" s="53" t="s">
        <v>111</v>
      </c>
      <c r="C73" s="33">
        <f>[21]С2.1!E28</f>
        <v>9541.9567200000001</v>
      </c>
    </row>
    <row r="74" spans="1:3" ht="38.25" x14ac:dyDescent="0.2">
      <c r="A74" s="60" t="s">
        <v>112</v>
      </c>
      <c r="B74" s="68" t="s">
        <v>113</v>
      </c>
      <c r="C74" s="52">
        <f>[21]С2.3!E25</f>
        <v>0</v>
      </c>
    </row>
    <row r="75" spans="1:3" ht="25.5" x14ac:dyDescent="0.2">
      <c r="A75" s="60" t="s">
        <v>114</v>
      </c>
      <c r="B75" s="69" t="s">
        <v>115</v>
      </c>
      <c r="C75" s="70">
        <f>[21]С2.3!E12</f>
        <v>0.56000000000000005</v>
      </c>
    </row>
    <row r="76" spans="1:3" ht="25.5" x14ac:dyDescent="0.2">
      <c r="A76" s="60" t="s">
        <v>116</v>
      </c>
      <c r="B76" s="69" t="s">
        <v>105</v>
      </c>
      <c r="C76" s="65">
        <f>[21]С2.3!E13</f>
        <v>300</v>
      </c>
    </row>
    <row r="77" spans="1:3" ht="25.5" x14ac:dyDescent="0.2">
      <c r="A77" s="60" t="s">
        <v>117</v>
      </c>
      <c r="B77" s="72" t="s">
        <v>118</v>
      </c>
      <c r="C77" s="71">
        <f>IF([21]С2.3!E26&gt;0,[21]С2.3!E26,[21]С2.3!E16)</f>
        <v>65637</v>
      </c>
    </row>
    <row r="78" spans="1:3" ht="38.25" x14ac:dyDescent="0.2">
      <c r="A78" s="60" t="s">
        <v>119</v>
      </c>
      <c r="B78" s="72" t="s">
        <v>120</v>
      </c>
      <c r="C78" s="71">
        <f>IF([21]С2.3!E27&gt;0,[21]С2.3!E27,[21]С2.3!E17)</f>
        <v>31684</v>
      </c>
    </row>
    <row r="79" spans="1:3" ht="17.25" x14ac:dyDescent="0.2">
      <c r="A79" s="60" t="s">
        <v>123</v>
      </c>
      <c r="B79" s="32" t="s">
        <v>124</v>
      </c>
      <c r="C79" s="35">
        <f>[21]С2!F29</f>
        <v>0.128978033685065</v>
      </c>
    </row>
    <row r="80" spans="1:3" ht="30" x14ac:dyDescent="0.2">
      <c r="A80" s="60" t="s">
        <v>125</v>
      </c>
      <c r="B80" s="53" t="s">
        <v>126</v>
      </c>
      <c r="C80" s="73">
        <f>[21]С2!F30</f>
        <v>0.11668498168498169</v>
      </c>
    </row>
    <row r="81" spans="1:3" ht="17.25" x14ac:dyDescent="0.2">
      <c r="A81" s="60" t="s">
        <v>127</v>
      </c>
      <c r="B81" s="74" t="s">
        <v>128</v>
      </c>
      <c r="C81" s="35">
        <f>[21]С2!F31</f>
        <v>0.13880000000000001</v>
      </c>
    </row>
    <row r="82" spans="1:3" s="66" customFormat="1" ht="18" thickBot="1" x14ac:dyDescent="0.25">
      <c r="A82" s="75" t="s">
        <v>129</v>
      </c>
      <c r="B82" s="76" t="s">
        <v>130</v>
      </c>
      <c r="C82" s="77">
        <f>[21]С2!F32</f>
        <v>0.12640000000000001</v>
      </c>
    </row>
    <row r="83" spans="1:3" ht="13.5" thickBot="1" x14ac:dyDescent="0.25">
      <c r="A83" s="48"/>
      <c r="B83" s="49"/>
      <c r="C83" s="14"/>
    </row>
    <row r="84" spans="1:3" s="66" customFormat="1" ht="30" customHeight="1" x14ac:dyDescent="0.2">
      <c r="A84" s="78" t="s">
        <v>131</v>
      </c>
      <c r="B84" s="146" t="s">
        <v>132</v>
      </c>
      <c r="C84" s="146"/>
    </row>
    <row r="85" spans="1:3" s="66" customFormat="1" ht="30" x14ac:dyDescent="0.2">
      <c r="A85" s="79" t="s">
        <v>133</v>
      </c>
      <c r="B85" s="32" t="s">
        <v>134</v>
      </c>
      <c r="C85" s="33">
        <f>[21]С3!F14</f>
        <v>7000.4488806189811</v>
      </c>
    </row>
    <row r="86" spans="1:3" s="66" customFormat="1" ht="42.75" x14ac:dyDescent="0.2">
      <c r="A86" s="79" t="s">
        <v>135</v>
      </c>
      <c r="B86" s="53" t="s">
        <v>136</v>
      </c>
      <c r="C86" s="80">
        <f>[21]С3!F15</f>
        <v>0.2</v>
      </c>
    </row>
    <row r="87" spans="1:3" s="66" customFormat="1" ht="14.25" x14ac:dyDescent="0.2">
      <c r="A87" s="79" t="s">
        <v>137</v>
      </c>
      <c r="B87" s="81" t="s">
        <v>138</v>
      </c>
      <c r="C87" s="65">
        <f>[21]С3!F18</f>
        <v>15</v>
      </c>
    </row>
    <row r="88" spans="1:3" s="66" customFormat="1" ht="17.25" x14ac:dyDescent="0.2">
      <c r="A88" s="79" t="s">
        <v>139</v>
      </c>
      <c r="B88" s="32" t="s">
        <v>140</v>
      </c>
      <c r="C88" s="33">
        <f>[21]С3!F19</f>
        <v>3487.1555421534131</v>
      </c>
    </row>
    <row r="89" spans="1:3" s="66" customFormat="1" ht="55.5" x14ac:dyDescent="0.2">
      <c r="A89" s="79" t="s">
        <v>141</v>
      </c>
      <c r="B89" s="53" t="s">
        <v>142</v>
      </c>
      <c r="C89" s="82">
        <f>[21]С3!F20</f>
        <v>2.1999999999999999E-2</v>
      </c>
    </row>
    <row r="90" spans="1:3" s="66" customFormat="1" ht="14.25" x14ac:dyDescent="0.2">
      <c r="A90" s="79" t="s">
        <v>143</v>
      </c>
      <c r="B90" s="59" t="s">
        <v>87</v>
      </c>
      <c r="C90" s="65">
        <f>[21]С3!F21</f>
        <v>10</v>
      </c>
    </row>
    <row r="91" spans="1:3" s="66" customFormat="1" ht="17.25" x14ac:dyDescent="0.2">
      <c r="A91" s="79" t="s">
        <v>144</v>
      </c>
      <c r="B91" s="32" t="s">
        <v>145</v>
      </c>
      <c r="C91" s="33">
        <f>[21]С3!F22</f>
        <v>3.5065032141054981</v>
      </c>
    </row>
    <row r="92" spans="1:3" s="66" customFormat="1" ht="55.5" x14ac:dyDescent="0.2">
      <c r="A92" s="79" t="s">
        <v>146</v>
      </c>
      <c r="B92" s="53" t="s">
        <v>147</v>
      </c>
      <c r="C92" s="82">
        <f>[21]С3!F23</f>
        <v>3.0000000000000001E-3</v>
      </c>
    </row>
    <row r="93" spans="1:3" s="66" customFormat="1" ht="27.75" thickBot="1" x14ac:dyDescent="0.25">
      <c r="A93" s="83" t="s">
        <v>148</v>
      </c>
      <c r="B93" s="84" t="s">
        <v>241</v>
      </c>
      <c r="C93" s="85">
        <f>[21]С3!F24</f>
        <v>1168.8344047018327</v>
      </c>
    </row>
    <row r="94" spans="1:3" ht="13.5" thickBot="1" x14ac:dyDescent="0.25">
      <c r="A94" s="48"/>
      <c r="B94" s="49"/>
      <c r="C94" s="14"/>
    </row>
    <row r="95" spans="1:3" ht="30" customHeight="1" x14ac:dyDescent="0.2">
      <c r="A95" s="86" t="s">
        <v>149</v>
      </c>
      <c r="B95" s="146" t="s">
        <v>150</v>
      </c>
      <c r="C95" s="146"/>
    </row>
    <row r="96" spans="1:3" ht="30" x14ac:dyDescent="0.2">
      <c r="A96" s="60" t="s">
        <v>151</v>
      </c>
      <c r="B96" s="32" t="s">
        <v>242</v>
      </c>
      <c r="C96" s="33">
        <f>[21]С4!F16</f>
        <v>1652.5</v>
      </c>
    </row>
    <row r="97" spans="1:3" ht="30" x14ac:dyDescent="0.2">
      <c r="A97" s="60" t="s">
        <v>153</v>
      </c>
      <c r="B97" s="59" t="s">
        <v>243</v>
      </c>
      <c r="C97" s="33">
        <f>[21]С4!F17</f>
        <v>73547</v>
      </c>
    </row>
    <row r="98" spans="1:3" ht="33" x14ac:dyDescent="0.2">
      <c r="A98" s="60" t="s">
        <v>155</v>
      </c>
      <c r="B98" s="59" t="s">
        <v>156</v>
      </c>
      <c r="C98" s="41">
        <f>[21]С4!F18</f>
        <v>0.02</v>
      </c>
    </row>
    <row r="99" spans="1:3" ht="30" x14ac:dyDescent="0.2">
      <c r="A99" s="60" t="s">
        <v>157</v>
      </c>
      <c r="B99" s="59" t="s">
        <v>158</v>
      </c>
      <c r="C99" s="33">
        <f>[21]С4!F19</f>
        <v>12104</v>
      </c>
    </row>
    <row r="100" spans="1:3" ht="28.5" x14ac:dyDescent="0.2">
      <c r="A100" s="60" t="s">
        <v>159</v>
      </c>
      <c r="B100" s="59" t="s">
        <v>160</v>
      </c>
      <c r="C100" s="41">
        <f>[21]С4!F20</f>
        <v>1.4999999999999999E-2</v>
      </c>
    </row>
    <row r="101" spans="1:3" ht="30" x14ac:dyDescent="0.2">
      <c r="A101" s="60" t="s">
        <v>161</v>
      </c>
      <c r="B101" s="32" t="s">
        <v>244</v>
      </c>
      <c r="C101" s="33">
        <f>[21]С4!F21</f>
        <v>1933.1949342509995</v>
      </c>
    </row>
    <row r="102" spans="1:3" ht="24" customHeight="1" x14ac:dyDescent="0.2">
      <c r="A102" s="60" t="s">
        <v>163</v>
      </c>
      <c r="B102" s="53" t="s">
        <v>164</v>
      </c>
      <c r="C102" s="34">
        <f>IF([21]С4.2!F8="да",[21]С4.2!D21,[21]С4.2!D15)</f>
        <v>0</v>
      </c>
    </row>
    <row r="103" spans="1:3" ht="68.25" x14ac:dyDescent="0.2">
      <c r="A103" s="60" t="s">
        <v>165</v>
      </c>
      <c r="B103" s="53" t="s">
        <v>166</v>
      </c>
      <c r="C103" s="33">
        <f>[21]С4!F22</f>
        <v>3.6112641666666665</v>
      </c>
    </row>
    <row r="104" spans="1:3" ht="30" x14ac:dyDescent="0.2">
      <c r="A104" s="60" t="s">
        <v>167</v>
      </c>
      <c r="B104" s="59" t="s">
        <v>245</v>
      </c>
      <c r="C104" s="33">
        <f>[21]С4!F23</f>
        <v>180</v>
      </c>
    </row>
    <row r="105" spans="1:3" ht="14.25" x14ac:dyDescent="0.2">
      <c r="A105" s="60" t="s">
        <v>169</v>
      </c>
      <c r="B105" s="53" t="s">
        <v>170</v>
      </c>
      <c r="C105" s="33">
        <f>[21]С4!F24</f>
        <v>8497.1999999999989</v>
      </c>
    </row>
    <row r="106" spans="1:3" ht="14.25" x14ac:dyDescent="0.2">
      <c r="A106" s="60" t="s">
        <v>171</v>
      </c>
      <c r="B106" s="59" t="s">
        <v>172</v>
      </c>
      <c r="C106" s="41">
        <f>[21]С4!F25</f>
        <v>0.35</v>
      </c>
    </row>
    <row r="107" spans="1:3" ht="17.25" x14ac:dyDescent="0.2">
      <c r="A107" s="60" t="s">
        <v>173</v>
      </c>
      <c r="B107" s="32" t="s">
        <v>174</v>
      </c>
      <c r="C107" s="33">
        <f>[21]С4!F26</f>
        <v>76.709279999999993</v>
      </c>
    </row>
    <row r="108" spans="1:3" ht="25.5" x14ac:dyDescent="0.2">
      <c r="A108" s="60" t="s">
        <v>175</v>
      </c>
      <c r="B108" s="53" t="s">
        <v>101</v>
      </c>
      <c r="C108" s="34">
        <f>[21]С4.3!E16</f>
        <v>0</v>
      </c>
    </row>
    <row r="109" spans="1:3" ht="25.5" x14ac:dyDescent="0.2">
      <c r="A109" s="60" t="s">
        <v>176</v>
      </c>
      <c r="B109" s="53" t="s">
        <v>177</v>
      </c>
      <c r="C109" s="33">
        <f>[21]С4.3!E17</f>
        <v>18.940000000000001</v>
      </c>
    </row>
    <row r="110" spans="1:3" ht="38.25" x14ac:dyDescent="0.2">
      <c r="A110" s="60" t="s">
        <v>178</v>
      </c>
      <c r="B110" s="53" t="s">
        <v>113</v>
      </c>
      <c r="C110" s="34">
        <f>[21]С4.3!E18</f>
        <v>0</v>
      </c>
    </row>
    <row r="111" spans="1:3" x14ac:dyDescent="0.2">
      <c r="A111" s="60" t="s">
        <v>179</v>
      </c>
      <c r="B111" s="53" t="s">
        <v>180</v>
      </c>
      <c r="C111" s="33">
        <f>[21]С4.3!E19</f>
        <v>50.424999999999997</v>
      </c>
    </row>
    <row r="112" spans="1:3" x14ac:dyDescent="0.2">
      <c r="A112" s="60" t="s">
        <v>181</v>
      </c>
      <c r="B112" s="59" t="s">
        <v>182</v>
      </c>
      <c r="C112" s="33">
        <f>[21]С4.3!E11</f>
        <v>1871</v>
      </c>
    </row>
    <row r="113" spans="1:3" x14ac:dyDescent="0.2">
      <c r="A113" s="60" t="s">
        <v>183</v>
      </c>
      <c r="B113" s="59" t="s">
        <v>184</v>
      </c>
      <c r="C113" s="52">
        <f>[21]С4.3!E12</f>
        <v>1636</v>
      </c>
    </row>
    <row r="114" spans="1:3" x14ac:dyDescent="0.2">
      <c r="A114" s="60" t="s">
        <v>185</v>
      </c>
      <c r="B114" s="59" t="s">
        <v>186</v>
      </c>
      <c r="C114" s="52">
        <f>[21]С4.3!E13</f>
        <v>204</v>
      </c>
    </row>
    <row r="115" spans="1:3" ht="30" x14ac:dyDescent="0.2">
      <c r="A115" s="60" t="s">
        <v>187</v>
      </c>
      <c r="B115" s="32" t="s">
        <v>246</v>
      </c>
      <c r="C115" s="33">
        <f>[21]С4!F27</f>
        <v>0</v>
      </c>
    </row>
    <row r="116" spans="1:3" ht="25.5" x14ac:dyDescent="0.2">
      <c r="A116" s="60" t="s">
        <v>189</v>
      </c>
      <c r="B116" s="53" t="s">
        <v>247</v>
      </c>
      <c r="C116" s="33">
        <f>[21]С4!F28</f>
        <v>0</v>
      </c>
    </row>
    <row r="117" spans="1:3" ht="42.75" x14ac:dyDescent="0.2">
      <c r="A117" s="60" t="s">
        <v>191</v>
      </c>
      <c r="B117" s="53" t="s">
        <v>192</v>
      </c>
      <c r="C117" s="33">
        <f>[21]С4!F29</f>
        <v>0</v>
      </c>
    </row>
    <row r="118" spans="1:3" ht="30" x14ac:dyDescent="0.2">
      <c r="A118" s="60" t="s">
        <v>193</v>
      </c>
      <c r="B118" s="40" t="s">
        <v>194</v>
      </c>
      <c r="C118" s="33">
        <f>[21]С4!F30</f>
        <v>2339.5948677623173</v>
      </c>
    </row>
    <row r="119" spans="1:3" ht="42.75" x14ac:dyDescent="0.2">
      <c r="A119" s="60" t="s">
        <v>248</v>
      </c>
      <c r="B119" s="90" t="s">
        <v>249</v>
      </c>
      <c r="C119" s="33">
        <f>[21]С4!F33</f>
        <v>1695.5272077185077</v>
      </c>
    </row>
    <row r="120" spans="1:3" ht="30" x14ac:dyDescent="0.2">
      <c r="A120" s="60" t="s">
        <v>250</v>
      </c>
      <c r="B120" s="123" t="s">
        <v>251</v>
      </c>
      <c r="C120" s="33">
        <f>[21]С4!F35</f>
        <v>17.040680999999999</v>
      </c>
    </row>
    <row r="121" spans="1:3" ht="14.25" x14ac:dyDescent="0.2">
      <c r="A121" s="60" t="s">
        <v>252</v>
      </c>
      <c r="B121" s="56" t="s">
        <v>253</v>
      </c>
      <c r="C121" s="33">
        <f>[21]С4!F36</f>
        <v>14319.9</v>
      </c>
    </row>
    <row r="122" spans="1:3" ht="28.5" thickBot="1" x14ac:dyDescent="0.25">
      <c r="A122" s="75" t="s">
        <v>254</v>
      </c>
      <c r="B122" s="124" t="s">
        <v>255</v>
      </c>
      <c r="C122" s="85">
        <f>[21]С4!F37</f>
        <v>1.19</v>
      </c>
    </row>
    <row r="123" spans="1:3" s="88" customFormat="1" ht="13.5" thickBot="1" x14ac:dyDescent="0.25">
      <c r="A123" s="48"/>
      <c r="B123" s="49"/>
      <c r="C123" s="14"/>
    </row>
    <row r="124" spans="1:3" s="66" customFormat="1" ht="30" customHeight="1" x14ac:dyDescent="0.2">
      <c r="A124" s="78" t="s">
        <v>195</v>
      </c>
      <c r="B124" s="146" t="s">
        <v>196</v>
      </c>
      <c r="C124" s="146"/>
    </row>
    <row r="125" spans="1:3" ht="16.5" thickBot="1" x14ac:dyDescent="0.25">
      <c r="A125" s="26" t="s">
        <v>197</v>
      </c>
      <c r="B125" s="87" t="s">
        <v>198</v>
      </c>
      <c r="C125" s="85">
        <f>[21]С5!F17</f>
        <v>0.02</v>
      </c>
    </row>
    <row r="126" spans="1:3" s="88" customFormat="1" ht="13.5" thickBot="1" x14ac:dyDescent="0.25">
      <c r="A126" s="48"/>
      <c r="B126" s="49"/>
      <c r="C126" s="14"/>
    </row>
    <row r="127" spans="1:3" ht="42.75" customHeight="1" x14ac:dyDescent="0.2">
      <c r="A127" s="86" t="s">
        <v>199</v>
      </c>
      <c r="B127" s="148" t="s">
        <v>200</v>
      </c>
      <c r="C127" s="148"/>
    </row>
    <row r="128" spans="1:3" ht="68.25" x14ac:dyDescent="0.2">
      <c r="A128" s="60" t="s">
        <v>201</v>
      </c>
      <c r="B128" s="89" t="s">
        <v>202</v>
      </c>
      <c r="C128" s="33" t="s">
        <v>256</v>
      </c>
    </row>
    <row r="129" spans="1:4" ht="42.75" hidden="1" x14ac:dyDescent="0.2">
      <c r="A129" s="60" t="s">
        <v>203</v>
      </c>
      <c r="B129" s="90" t="s">
        <v>204</v>
      </c>
      <c r="C129" s="91"/>
    </row>
    <row r="130" spans="1:4" ht="69" thickBot="1" x14ac:dyDescent="0.25">
      <c r="A130" s="75" t="s">
        <v>205</v>
      </c>
      <c r="B130" s="125" t="s">
        <v>206</v>
      </c>
      <c r="C130" s="126" t="s">
        <v>256</v>
      </c>
    </row>
    <row r="131" spans="1:4" ht="62.25" hidden="1" customHeight="1" x14ac:dyDescent="0.2">
      <c r="A131" s="127" t="s">
        <v>207</v>
      </c>
      <c r="B131" s="128" t="s">
        <v>208</v>
      </c>
      <c r="C131" s="129"/>
    </row>
    <row r="132" spans="1:4" ht="68.25" hidden="1" x14ac:dyDescent="0.2">
      <c r="A132" s="60" t="s">
        <v>209</v>
      </c>
      <c r="B132" s="90" t="s">
        <v>257</v>
      </c>
      <c r="C132" s="35"/>
    </row>
    <row r="133" spans="1:4" ht="69" hidden="1" thickBot="1" x14ac:dyDescent="0.25">
      <c r="A133" s="75" t="s">
        <v>211</v>
      </c>
      <c r="B133" s="93" t="s">
        <v>212</v>
      </c>
      <c r="C133" s="77"/>
    </row>
    <row r="134" spans="1:4" s="88" customFormat="1" ht="13.5" thickBot="1" x14ac:dyDescent="0.25">
      <c r="A134" s="48"/>
      <c r="B134" s="49"/>
      <c r="C134" s="14"/>
    </row>
    <row r="135" spans="1:4" ht="26.25" customHeight="1" x14ac:dyDescent="0.2">
      <c r="A135" s="86" t="s">
        <v>213</v>
      </c>
      <c r="B135" s="94" t="s">
        <v>214</v>
      </c>
      <c r="C135" s="95">
        <f>[21]С2!F37</f>
        <v>20.818139999999996</v>
      </c>
    </row>
    <row r="136" spans="1:4" ht="14.25" x14ac:dyDescent="0.2">
      <c r="A136" s="60" t="s">
        <v>215</v>
      </c>
      <c r="B136" s="130" t="s">
        <v>216</v>
      </c>
      <c r="C136" s="33">
        <f>[21]С2!F38</f>
        <v>7</v>
      </c>
    </row>
    <row r="137" spans="1:4" ht="17.25" x14ac:dyDescent="0.2">
      <c r="A137" s="60" t="s">
        <v>217</v>
      </c>
      <c r="B137" s="130" t="s">
        <v>218</v>
      </c>
      <c r="C137" s="33">
        <f>[21]С2!F40</f>
        <v>0.97</v>
      </c>
    </row>
    <row r="138" spans="1:4" ht="15" thickBot="1" x14ac:dyDescent="0.25">
      <c r="A138" s="75" t="s">
        <v>219</v>
      </c>
      <c r="B138" s="131" t="s">
        <v>220</v>
      </c>
      <c r="C138" s="47">
        <f>[21]С2!F42</f>
        <v>0.35</v>
      </c>
    </row>
    <row r="139" spans="1:4" s="88" customFormat="1" ht="13.5" thickBot="1" x14ac:dyDescent="0.25">
      <c r="A139" s="48"/>
      <c r="B139" s="49"/>
      <c r="C139" s="14"/>
    </row>
    <row r="140" spans="1:4" ht="30" x14ac:dyDescent="0.2">
      <c r="A140" s="86" t="s">
        <v>221</v>
      </c>
      <c r="B140" s="96" t="s">
        <v>258</v>
      </c>
      <c r="C140" s="132">
        <f>[21]С2!F35</f>
        <v>1.3822747209000001</v>
      </c>
      <c r="D140" s="88"/>
    </row>
    <row r="141" spans="1:4" ht="22.7" customHeight="1" thickBot="1" x14ac:dyDescent="0.25">
      <c r="A141" s="75" t="s">
        <v>223</v>
      </c>
      <c r="B141" s="145" t="s">
        <v>224</v>
      </c>
      <c r="C141" s="145"/>
      <c r="D141" s="88"/>
    </row>
    <row r="142" spans="1:4" ht="13.5" thickBot="1" x14ac:dyDescent="0.25">
      <c r="A142" s="99"/>
      <c r="B142" s="133" t="s">
        <v>0</v>
      </c>
      <c r="C142" s="134"/>
      <c r="D142" s="88"/>
    </row>
    <row r="143" spans="1:4" x14ac:dyDescent="0.2">
      <c r="A143" s="99"/>
      <c r="B143" s="135">
        <v>2020</v>
      </c>
      <c r="C143" s="136">
        <f>[21]С2.5!$E$11</f>
        <v>-2.9000000000000026E-2</v>
      </c>
      <c r="D143" s="88"/>
    </row>
    <row r="144" spans="1:4" x14ac:dyDescent="0.2">
      <c r="A144" s="99"/>
      <c r="B144" s="106">
        <f>B143+1</f>
        <v>2021</v>
      </c>
      <c r="C144" s="137">
        <f>[21]С2.5!$F$11</f>
        <v>0.245</v>
      </c>
      <c r="D144" s="88"/>
    </row>
    <row r="145" spans="1:4" x14ac:dyDescent="0.2">
      <c r="A145" s="99"/>
      <c r="B145" s="106">
        <f t="shared" ref="B145:B208" si="0">B144+1</f>
        <v>2022</v>
      </c>
      <c r="C145" s="137">
        <f>[21]С2.5!$G$11</f>
        <v>0.121</v>
      </c>
      <c r="D145" s="88"/>
    </row>
    <row r="146" spans="1:4" ht="13.5" thickBot="1" x14ac:dyDescent="0.25">
      <c r="A146" s="99"/>
      <c r="B146" s="108">
        <f t="shared" si="0"/>
        <v>2023</v>
      </c>
      <c r="C146" s="138">
        <f>[21]С2.5!$H$11</f>
        <v>0.02</v>
      </c>
      <c r="D146" s="88"/>
    </row>
    <row r="147" spans="1:4" hidden="1" x14ac:dyDescent="0.2">
      <c r="A147" s="99"/>
      <c r="B147" s="139">
        <f t="shared" si="0"/>
        <v>2024</v>
      </c>
      <c r="C147" s="140">
        <f>[21]С2.5!$I$11</f>
        <v>-2.93E-2</v>
      </c>
      <c r="D147" s="88"/>
    </row>
    <row r="148" spans="1:4" hidden="1" x14ac:dyDescent="0.2">
      <c r="A148" s="99"/>
      <c r="B148" s="106">
        <f t="shared" si="0"/>
        <v>2025</v>
      </c>
      <c r="C148" s="137">
        <f>[21]С2.5!$J$11</f>
        <v>0.21215960863291</v>
      </c>
      <c r="D148" s="88"/>
    </row>
    <row r="149" spans="1:4" hidden="1" x14ac:dyDescent="0.2">
      <c r="A149" s="99"/>
      <c r="B149" s="106">
        <f t="shared" si="0"/>
        <v>2026</v>
      </c>
      <c r="C149" s="137">
        <f>[21]С2.5!$K$11</f>
        <v>3.5813361771260002E-2</v>
      </c>
      <c r="D149" s="88"/>
    </row>
    <row r="150" spans="1:4" hidden="1" x14ac:dyDescent="0.2">
      <c r="A150" s="99"/>
      <c r="B150" s="106">
        <f t="shared" si="0"/>
        <v>2027</v>
      </c>
      <c r="C150" s="137">
        <f>[21]С2.5!$L$11</f>
        <v>3.2682303599220003E-2</v>
      </c>
      <c r="D150" s="88"/>
    </row>
    <row r="151" spans="1:4" hidden="1" x14ac:dyDescent="0.2">
      <c r="A151" s="99"/>
      <c r="B151" s="106">
        <f t="shared" si="0"/>
        <v>2028</v>
      </c>
      <c r="C151" s="137">
        <f>[21]С2.5!$M$11</f>
        <v>0</v>
      </c>
      <c r="D151" s="88"/>
    </row>
    <row r="152" spans="1:4" hidden="1" x14ac:dyDescent="0.2">
      <c r="A152" s="99"/>
      <c r="B152" s="106">
        <f t="shared" si="0"/>
        <v>2029</v>
      </c>
      <c r="C152" s="137">
        <f>[21]С2.5!$N$11</f>
        <v>0</v>
      </c>
      <c r="D152" s="88"/>
    </row>
    <row r="153" spans="1:4" hidden="1" x14ac:dyDescent="0.2">
      <c r="A153" s="99"/>
      <c r="B153" s="106">
        <f t="shared" si="0"/>
        <v>2030</v>
      </c>
      <c r="C153" s="137">
        <f>[21]С2.5!$O$11</f>
        <v>0</v>
      </c>
      <c r="D153" s="88"/>
    </row>
    <row r="154" spans="1:4" hidden="1" x14ac:dyDescent="0.2">
      <c r="A154" s="99"/>
      <c r="B154" s="106">
        <f t="shared" si="0"/>
        <v>2031</v>
      </c>
      <c r="C154" s="137">
        <f>[21]С2.5!$P$11</f>
        <v>0</v>
      </c>
      <c r="D154" s="88"/>
    </row>
    <row r="155" spans="1:4" hidden="1" x14ac:dyDescent="0.2">
      <c r="A155" s="88"/>
      <c r="B155" s="106">
        <f t="shared" si="0"/>
        <v>2032</v>
      </c>
      <c r="C155" s="137">
        <f>[21]С2.5!$Q$11</f>
        <v>0</v>
      </c>
      <c r="D155" s="88"/>
    </row>
    <row r="156" spans="1:4" hidden="1" x14ac:dyDescent="0.2">
      <c r="A156" s="88"/>
      <c r="B156" s="106">
        <f t="shared" si="0"/>
        <v>2033</v>
      </c>
      <c r="C156" s="137">
        <f>[21]С2.5!$R$11</f>
        <v>0</v>
      </c>
      <c r="D156" s="88"/>
    </row>
    <row r="157" spans="1:4" hidden="1" x14ac:dyDescent="0.2">
      <c r="B157" s="106">
        <f t="shared" si="0"/>
        <v>2034</v>
      </c>
      <c r="C157" s="137">
        <f>[21]С2.5!$S$11</f>
        <v>0</v>
      </c>
    </row>
    <row r="158" spans="1:4" hidden="1" x14ac:dyDescent="0.2">
      <c r="B158" s="106">
        <f t="shared" si="0"/>
        <v>2035</v>
      </c>
      <c r="C158" s="137">
        <f>[21]С2.5!$T$11</f>
        <v>0</v>
      </c>
    </row>
    <row r="159" spans="1:4" hidden="1" x14ac:dyDescent="0.2">
      <c r="B159" s="106">
        <f t="shared" si="0"/>
        <v>2036</v>
      </c>
      <c r="C159" s="137">
        <f>[21]С2.5!$U$11</f>
        <v>0</v>
      </c>
    </row>
    <row r="160" spans="1:4" hidden="1" x14ac:dyDescent="0.2">
      <c r="B160" s="106">
        <f t="shared" si="0"/>
        <v>2037</v>
      </c>
      <c r="C160" s="137">
        <f>[21]С2.5!$V$11</f>
        <v>0</v>
      </c>
    </row>
    <row r="161" spans="2:3" hidden="1" x14ac:dyDescent="0.2">
      <c r="B161" s="106">
        <f t="shared" si="0"/>
        <v>2038</v>
      </c>
      <c r="C161" s="137">
        <f>[21]С2.5!$W$11</f>
        <v>0</v>
      </c>
    </row>
    <row r="162" spans="2:3" hidden="1" x14ac:dyDescent="0.2">
      <c r="B162" s="106">
        <f t="shared" si="0"/>
        <v>2039</v>
      </c>
      <c r="C162" s="137">
        <f>[21]С2.5!$X$11</f>
        <v>0</v>
      </c>
    </row>
    <row r="163" spans="2:3" hidden="1" x14ac:dyDescent="0.2">
      <c r="B163" s="106">
        <f t="shared" si="0"/>
        <v>2040</v>
      </c>
      <c r="C163" s="137">
        <f>[21]С2.5!$Y$11</f>
        <v>0</v>
      </c>
    </row>
    <row r="164" spans="2:3" hidden="1" x14ac:dyDescent="0.2">
      <c r="B164" s="106">
        <f t="shared" si="0"/>
        <v>2041</v>
      </c>
      <c r="C164" s="137">
        <f>[21]С2.5!$Z$11</f>
        <v>0</v>
      </c>
    </row>
    <row r="165" spans="2:3" hidden="1" x14ac:dyDescent="0.2">
      <c r="B165" s="106">
        <f t="shared" si="0"/>
        <v>2042</v>
      </c>
      <c r="C165" s="137">
        <f>[21]С2.5!$AA$11</f>
        <v>0</v>
      </c>
    </row>
    <row r="166" spans="2:3" hidden="1" x14ac:dyDescent="0.2">
      <c r="B166" s="106">
        <f t="shared" si="0"/>
        <v>2043</v>
      </c>
      <c r="C166" s="137">
        <f>[21]С2.5!$AB$11</f>
        <v>0</v>
      </c>
    </row>
    <row r="167" spans="2:3" hidden="1" x14ac:dyDescent="0.2">
      <c r="B167" s="106">
        <f t="shared" si="0"/>
        <v>2044</v>
      </c>
      <c r="C167" s="137">
        <f>[21]С2.5!$AC$11</f>
        <v>0</v>
      </c>
    </row>
    <row r="168" spans="2:3" hidden="1" x14ac:dyDescent="0.2">
      <c r="B168" s="106">
        <f t="shared" si="0"/>
        <v>2045</v>
      </c>
      <c r="C168" s="137">
        <f>[21]С2.5!$AD$11</f>
        <v>0</v>
      </c>
    </row>
    <row r="169" spans="2:3" hidden="1" x14ac:dyDescent="0.2">
      <c r="B169" s="106">
        <f t="shared" si="0"/>
        <v>2046</v>
      </c>
      <c r="C169" s="137">
        <f>[21]С2.5!$AE$11</f>
        <v>0</v>
      </c>
    </row>
    <row r="170" spans="2:3" hidden="1" x14ac:dyDescent="0.2">
      <c r="B170" s="106">
        <f t="shared" si="0"/>
        <v>2047</v>
      </c>
      <c r="C170" s="137">
        <f>[21]С2.5!$AF$11</f>
        <v>0</v>
      </c>
    </row>
    <row r="171" spans="2:3" hidden="1" x14ac:dyDescent="0.2">
      <c r="B171" s="106">
        <f t="shared" si="0"/>
        <v>2048</v>
      </c>
      <c r="C171" s="137">
        <f>[21]С2.5!$AG$11</f>
        <v>0</v>
      </c>
    </row>
    <row r="172" spans="2:3" hidden="1" x14ac:dyDescent="0.2">
      <c r="B172" s="106">
        <f t="shared" si="0"/>
        <v>2049</v>
      </c>
      <c r="C172" s="137">
        <f>[21]С2.5!$AH$11</f>
        <v>0</v>
      </c>
    </row>
    <row r="173" spans="2:3" hidden="1" x14ac:dyDescent="0.2">
      <c r="B173" s="106">
        <f t="shared" si="0"/>
        <v>2050</v>
      </c>
      <c r="C173" s="137">
        <f>[21]С2.5!$AI$11</f>
        <v>0</v>
      </c>
    </row>
    <row r="174" spans="2:3" hidden="1" x14ac:dyDescent="0.2">
      <c r="B174" s="106">
        <f t="shared" si="0"/>
        <v>2051</v>
      </c>
      <c r="C174" s="137">
        <f>[21]С2.5!$AJ$11</f>
        <v>0</v>
      </c>
    </row>
    <row r="175" spans="2:3" hidden="1" x14ac:dyDescent="0.2">
      <c r="B175" s="106">
        <f t="shared" si="0"/>
        <v>2052</v>
      </c>
      <c r="C175" s="137">
        <f>[21]С2.5!$AK$11</f>
        <v>0</v>
      </c>
    </row>
    <row r="176" spans="2:3" hidden="1" x14ac:dyDescent="0.2">
      <c r="B176" s="106">
        <f t="shared" si="0"/>
        <v>2053</v>
      </c>
      <c r="C176" s="137">
        <f>[21]С2.5!$AL$11</f>
        <v>0</v>
      </c>
    </row>
    <row r="177" spans="2:3" hidden="1" x14ac:dyDescent="0.2">
      <c r="B177" s="106">
        <f t="shared" si="0"/>
        <v>2054</v>
      </c>
      <c r="C177" s="137">
        <f>[21]С2.5!$AM$11</f>
        <v>0</v>
      </c>
    </row>
    <row r="178" spans="2:3" hidden="1" x14ac:dyDescent="0.2">
      <c r="B178" s="106">
        <f t="shared" si="0"/>
        <v>2055</v>
      </c>
      <c r="C178" s="137">
        <f>[21]С2.5!$AN$11</f>
        <v>0</v>
      </c>
    </row>
    <row r="179" spans="2:3" hidden="1" x14ac:dyDescent="0.2">
      <c r="B179" s="106">
        <f t="shared" si="0"/>
        <v>2056</v>
      </c>
      <c r="C179" s="137">
        <f>[21]С2.5!$AO$11</f>
        <v>0</v>
      </c>
    </row>
    <row r="180" spans="2:3" hidden="1" x14ac:dyDescent="0.2">
      <c r="B180" s="106">
        <f t="shared" si="0"/>
        <v>2057</v>
      </c>
      <c r="C180" s="137">
        <f>[21]С2.5!$AP$11</f>
        <v>0</v>
      </c>
    </row>
    <row r="181" spans="2:3" hidden="1" x14ac:dyDescent="0.2">
      <c r="B181" s="106">
        <f t="shared" si="0"/>
        <v>2058</v>
      </c>
      <c r="C181" s="137">
        <f>[21]С2.5!$AQ$11</f>
        <v>0</v>
      </c>
    </row>
    <row r="182" spans="2:3" hidden="1" x14ac:dyDescent="0.2">
      <c r="B182" s="106">
        <f t="shared" si="0"/>
        <v>2059</v>
      </c>
      <c r="C182" s="137">
        <f>[21]С2.5!$AR$11</f>
        <v>0</v>
      </c>
    </row>
    <row r="183" spans="2:3" hidden="1" x14ac:dyDescent="0.2">
      <c r="B183" s="106">
        <f t="shared" si="0"/>
        <v>2060</v>
      </c>
      <c r="C183" s="137">
        <f>[21]С2.5!$AS$11</f>
        <v>0</v>
      </c>
    </row>
    <row r="184" spans="2:3" hidden="1" x14ac:dyDescent="0.2">
      <c r="B184" s="106">
        <f t="shared" si="0"/>
        <v>2061</v>
      </c>
      <c r="C184" s="137">
        <f>[21]С2.5!$AT$11</f>
        <v>0</v>
      </c>
    </row>
    <row r="185" spans="2:3" hidden="1" x14ac:dyDescent="0.2">
      <c r="B185" s="106">
        <f t="shared" si="0"/>
        <v>2062</v>
      </c>
      <c r="C185" s="137">
        <f>[21]С2.5!$AU$11</f>
        <v>0</v>
      </c>
    </row>
    <row r="186" spans="2:3" hidden="1" x14ac:dyDescent="0.2">
      <c r="B186" s="106">
        <f t="shared" si="0"/>
        <v>2063</v>
      </c>
      <c r="C186" s="137">
        <f>[21]С2.5!$AV$11</f>
        <v>0</v>
      </c>
    </row>
    <row r="187" spans="2:3" hidden="1" x14ac:dyDescent="0.2">
      <c r="B187" s="106">
        <f t="shared" si="0"/>
        <v>2064</v>
      </c>
      <c r="C187" s="137">
        <f>[21]С2.5!$AW$11</f>
        <v>0</v>
      </c>
    </row>
    <row r="188" spans="2:3" hidden="1" x14ac:dyDescent="0.2">
      <c r="B188" s="106">
        <f t="shared" si="0"/>
        <v>2065</v>
      </c>
      <c r="C188" s="137">
        <f>[21]С2.5!$AX$11</f>
        <v>0</v>
      </c>
    </row>
    <row r="189" spans="2:3" hidden="1" x14ac:dyDescent="0.2">
      <c r="B189" s="106">
        <f t="shared" si="0"/>
        <v>2066</v>
      </c>
      <c r="C189" s="137">
        <f>[21]С2.5!$AY$11</f>
        <v>0</v>
      </c>
    </row>
    <row r="190" spans="2:3" hidden="1" x14ac:dyDescent="0.2">
      <c r="B190" s="106">
        <f t="shared" si="0"/>
        <v>2067</v>
      </c>
      <c r="C190" s="137">
        <f>[21]С2.5!$AZ$11</f>
        <v>0</v>
      </c>
    </row>
    <row r="191" spans="2:3" hidden="1" x14ac:dyDescent="0.2">
      <c r="B191" s="106">
        <f t="shared" si="0"/>
        <v>2068</v>
      </c>
      <c r="C191" s="137">
        <f>[21]С2.5!$BA$11</f>
        <v>0</v>
      </c>
    </row>
    <row r="192" spans="2:3" hidden="1" x14ac:dyDescent="0.2">
      <c r="B192" s="106">
        <f t="shared" si="0"/>
        <v>2069</v>
      </c>
      <c r="C192" s="137">
        <f>[21]С2.5!$BB$11</f>
        <v>0</v>
      </c>
    </row>
    <row r="193" spans="2:3" hidden="1" x14ac:dyDescent="0.2">
      <c r="B193" s="106">
        <f t="shared" si="0"/>
        <v>2070</v>
      </c>
      <c r="C193" s="137">
        <f>[21]С2.5!$BC$11</f>
        <v>0</v>
      </c>
    </row>
    <row r="194" spans="2:3" hidden="1" x14ac:dyDescent="0.2">
      <c r="B194" s="106">
        <f t="shared" si="0"/>
        <v>2071</v>
      </c>
      <c r="C194" s="137">
        <f>[21]С2.5!$BD$11</f>
        <v>0</v>
      </c>
    </row>
    <row r="195" spans="2:3" hidden="1" x14ac:dyDescent="0.2">
      <c r="B195" s="106">
        <f t="shared" si="0"/>
        <v>2072</v>
      </c>
      <c r="C195" s="137">
        <f>[21]С2.5!$BE$11</f>
        <v>0</v>
      </c>
    </row>
    <row r="196" spans="2:3" hidden="1" x14ac:dyDescent="0.2">
      <c r="B196" s="106">
        <f t="shared" si="0"/>
        <v>2073</v>
      </c>
      <c r="C196" s="137">
        <f>[21]С2.5!$BF$11</f>
        <v>0</v>
      </c>
    </row>
    <row r="197" spans="2:3" hidden="1" x14ac:dyDescent="0.2">
      <c r="B197" s="106">
        <f t="shared" si="0"/>
        <v>2074</v>
      </c>
      <c r="C197" s="137">
        <f>[21]С2.5!$BG$11</f>
        <v>0</v>
      </c>
    </row>
    <row r="198" spans="2:3" hidden="1" x14ac:dyDescent="0.2">
      <c r="B198" s="106">
        <f t="shared" si="0"/>
        <v>2075</v>
      </c>
      <c r="C198" s="137">
        <f>[21]С2.5!$BH$11</f>
        <v>0</v>
      </c>
    </row>
    <row r="199" spans="2:3" hidden="1" x14ac:dyDescent="0.2">
      <c r="B199" s="106">
        <f t="shared" si="0"/>
        <v>2076</v>
      </c>
      <c r="C199" s="137">
        <f>[21]С2.5!$BI$11</f>
        <v>0</v>
      </c>
    </row>
    <row r="200" spans="2:3" hidden="1" x14ac:dyDescent="0.2">
      <c r="B200" s="106">
        <f t="shared" si="0"/>
        <v>2077</v>
      </c>
      <c r="C200" s="137">
        <f>[21]С2.5!$BJ$11</f>
        <v>0</v>
      </c>
    </row>
    <row r="201" spans="2:3" hidden="1" x14ac:dyDescent="0.2">
      <c r="B201" s="106">
        <f t="shared" si="0"/>
        <v>2078</v>
      </c>
      <c r="C201" s="137">
        <f>[21]С2.5!$BK$11</f>
        <v>0</v>
      </c>
    </row>
    <row r="202" spans="2:3" hidden="1" x14ac:dyDescent="0.2">
      <c r="B202" s="106">
        <f t="shared" si="0"/>
        <v>2079</v>
      </c>
      <c r="C202" s="137">
        <f>[21]С2.5!$BL$11</f>
        <v>0</v>
      </c>
    </row>
    <row r="203" spans="2:3" hidden="1" x14ac:dyDescent="0.2">
      <c r="B203" s="106">
        <f t="shared" si="0"/>
        <v>2080</v>
      </c>
      <c r="C203" s="137">
        <f>[21]С2.5!$BM$11</f>
        <v>0</v>
      </c>
    </row>
    <row r="204" spans="2:3" hidden="1" x14ac:dyDescent="0.2">
      <c r="B204" s="106">
        <f t="shared" si="0"/>
        <v>2081</v>
      </c>
      <c r="C204" s="137">
        <f>[21]С2.5!$BN$11</f>
        <v>0</v>
      </c>
    </row>
    <row r="205" spans="2:3" hidden="1" x14ac:dyDescent="0.2">
      <c r="B205" s="106">
        <f t="shared" si="0"/>
        <v>2082</v>
      </c>
      <c r="C205" s="137">
        <f>[21]С2.5!$BO$11</f>
        <v>0</v>
      </c>
    </row>
    <row r="206" spans="2:3" hidden="1" x14ac:dyDescent="0.2">
      <c r="B206" s="106">
        <f t="shared" si="0"/>
        <v>2083</v>
      </c>
      <c r="C206" s="137">
        <f>[21]С2.5!$BP$11</f>
        <v>0</v>
      </c>
    </row>
    <row r="207" spans="2:3" hidden="1" x14ac:dyDescent="0.2">
      <c r="B207" s="106">
        <f t="shared" si="0"/>
        <v>2084</v>
      </c>
      <c r="C207" s="137">
        <f>[21]С2.5!$BQ$11</f>
        <v>0</v>
      </c>
    </row>
    <row r="208" spans="2:3" hidden="1" x14ac:dyDescent="0.2">
      <c r="B208" s="106">
        <f t="shared" si="0"/>
        <v>2085</v>
      </c>
      <c r="C208" s="137">
        <f>[21]С2.5!$BR$11</f>
        <v>0</v>
      </c>
    </row>
    <row r="209" spans="2:3" hidden="1" x14ac:dyDescent="0.2">
      <c r="B209" s="106">
        <f t="shared" ref="B209:B223" si="1">B208+1</f>
        <v>2086</v>
      </c>
      <c r="C209" s="137">
        <f>[21]С2.5!$BS$11</f>
        <v>0</v>
      </c>
    </row>
    <row r="210" spans="2:3" hidden="1" x14ac:dyDescent="0.2">
      <c r="B210" s="106">
        <f t="shared" si="1"/>
        <v>2087</v>
      </c>
      <c r="C210" s="137">
        <f>[21]С2.5!$BT$11</f>
        <v>0</v>
      </c>
    </row>
    <row r="211" spans="2:3" hidden="1" x14ac:dyDescent="0.2">
      <c r="B211" s="106">
        <f t="shared" si="1"/>
        <v>2088</v>
      </c>
      <c r="C211" s="137">
        <f>[21]С2.5!$BU$11</f>
        <v>0</v>
      </c>
    </row>
    <row r="212" spans="2:3" hidden="1" x14ac:dyDescent="0.2">
      <c r="B212" s="106">
        <f t="shared" si="1"/>
        <v>2089</v>
      </c>
      <c r="C212" s="137">
        <f>[21]С2.5!$BV$11</f>
        <v>0</v>
      </c>
    </row>
    <row r="213" spans="2:3" hidden="1" x14ac:dyDescent="0.2">
      <c r="B213" s="106">
        <f t="shared" si="1"/>
        <v>2090</v>
      </c>
      <c r="C213" s="137">
        <f>[21]С2.5!$BW$11</f>
        <v>0</v>
      </c>
    </row>
    <row r="214" spans="2:3" hidden="1" x14ac:dyDescent="0.2">
      <c r="B214" s="106">
        <f t="shared" si="1"/>
        <v>2091</v>
      </c>
      <c r="C214" s="137">
        <f>[21]С2.5!$BX$11</f>
        <v>0</v>
      </c>
    </row>
    <row r="215" spans="2:3" hidden="1" x14ac:dyDescent="0.2">
      <c r="B215" s="106">
        <f t="shared" si="1"/>
        <v>2092</v>
      </c>
      <c r="C215" s="137">
        <f>[21]С2.5!$BY$11</f>
        <v>0</v>
      </c>
    </row>
    <row r="216" spans="2:3" hidden="1" x14ac:dyDescent="0.2">
      <c r="B216" s="106">
        <f t="shared" si="1"/>
        <v>2093</v>
      </c>
      <c r="C216" s="137">
        <f>[21]С2.5!$BZ$11</f>
        <v>0</v>
      </c>
    </row>
    <row r="217" spans="2:3" hidden="1" x14ac:dyDescent="0.2">
      <c r="B217" s="106">
        <f t="shared" si="1"/>
        <v>2094</v>
      </c>
      <c r="C217" s="137">
        <f>[21]С2.5!$CA$11</f>
        <v>0</v>
      </c>
    </row>
    <row r="218" spans="2:3" hidden="1" x14ac:dyDescent="0.2">
      <c r="B218" s="106">
        <f t="shared" si="1"/>
        <v>2095</v>
      </c>
      <c r="C218" s="137">
        <f>[21]С2.5!$CB$11</f>
        <v>0</v>
      </c>
    </row>
    <row r="219" spans="2:3" hidden="1" x14ac:dyDescent="0.2">
      <c r="B219" s="106">
        <f t="shared" si="1"/>
        <v>2096</v>
      </c>
      <c r="C219" s="137">
        <f>[21]С2.5!$CC$11</f>
        <v>0</v>
      </c>
    </row>
    <row r="220" spans="2:3" hidden="1" x14ac:dyDescent="0.2">
      <c r="B220" s="106">
        <f t="shared" si="1"/>
        <v>2097</v>
      </c>
      <c r="C220" s="137">
        <f>[21]С2.5!$CD$11</f>
        <v>0</v>
      </c>
    </row>
    <row r="221" spans="2:3" hidden="1" x14ac:dyDescent="0.2">
      <c r="B221" s="106">
        <f t="shared" si="1"/>
        <v>2098</v>
      </c>
      <c r="C221" s="137">
        <f>[21]С2.5!$CE$11</f>
        <v>0</v>
      </c>
    </row>
    <row r="222" spans="2:3" hidden="1" x14ac:dyDescent="0.2">
      <c r="B222" s="106">
        <f t="shared" si="1"/>
        <v>2099</v>
      </c>
      <c r="C222" s="137">
        <f>[21]С2.5!$CF$11</f>
        <v>0</v>
      </c>
    </row>
    <row r="223" spans="2:3" ht="13.5" hidden="1" thickBot="1" x14ac:dyDescent="0.25">
      <c r="B223" s="108">
        <f t="shared" si="1"/>
        <v>2100</v>
      </c>
      <c r="C223" s="138">
        <f>[21]С2.5!$CG$11</f>
        <v>0</v>
      </c>
    </row>
    <row r="224" spans="2:3" hidden="1" x14ac:dyDescent="0.2">
      <c r="C224" s="141"/>
    </row>
    <row r="225" spans="3:3" hidden="1" x14ac:dyDescent="0.2">
      <c r="C225" s="141"/>
    </row>
    <row r="226" spans="3:3" x14ac:dyDescent="0.2">
      <c r="C226" s="141"/>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20481" r:id="rId4" name="Button 1">
              <controlPr defaultSize="0" print="0" autoFill="0" autoPict="0" macro="[21]!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tabSelected="1" zoomScale="85" zoomScaleNormal="85" workbookViewId="0">
      <pane ySplit="8" topLeftCell="A9" activePane="bottomLeft" state="frozen"/>
      <selection pane="bottomLeft" activeCell="C17" sqref="C17"/>
    </sheetView>
  </sheetViews>
  <sheetFormatPr defaultRowHeight="12.75" x14ac:dyDescent="0.2"/>
  <cols>
    <col min="1" max="1" width="7.28515625" style="2" customWidth="1"/>
    <col min="2" max="2" width="100.7109375" style="2" customWidth="1"/>
    <col min="3" max="3" width="20.85546875" style="112" customWidth="1"/>
    <col min="4" max="4" width="5.140625" style="2" customWidth="1"/>
    <col min="5" max="5" width="17.5703125" style="2" customWidth="1"/>
    <col min="6" max="158" width="9.140625" style="2"/>
    <col min="159" max="240" width="0" style="2" hidden="1" customWidth="1"/>
    <col min="241" max="249" width="9.140625" style="2"/>
    <col min="250" max="250" width="3.710937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710937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710937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710937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710937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710937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710937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710937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710937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710937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710937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710937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710937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710937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710937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710937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710937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710937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710937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710937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710937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710937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710937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710937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710937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710937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710937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710937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710937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710937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710937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710937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710937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710937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710937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710937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710937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710937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710937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710937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710937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710937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710937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710937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710937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710937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710937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710937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710937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710937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710937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710937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710937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710937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710937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710937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710937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710937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710937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710937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710937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710937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710937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2" t="s">
        <v>1</v>
      </c>
      <c r="C1" s="142"/>
    </row>
    <row r="2" spans="1:3" x14ac:dyDescent="0.2">
      <c r="A2" s="1"/>
      <c r="B2" s="3" t="s">
        <v>2</v>
      </c>
      <c r="C2" s="4">
        <f ca="1">TODAY()</f>
        <v>44944</v>
      </c>
    </row>
    <row r="3" spans="1:3" x14ac:dyDescent="0.2">
      <c r="A3" s="1"/>
      <c r="B3" s="5" t="s">
        <v>3</v>
      </c>
      <c r="C3" s="6"/>
    </row>
    <row r="4" spans="1:3" ht="25.5" x14ac:dyDescent="0.2">
      <c r="A4" s="7"/>
      <c r="B4" s="8" t="str">
        <f>[22]И1!D13</f>
        <v>Субъект Российской Федерации</v>
      </c>
      <c r="C4" s="9" t="str">
        <f>[22]И1!E13</f>
        <v>Новосибирская область</v>
      </c>
    </row>
    <row r="5" spans="1:3" ht="15.95" customHeight="1" x14ac:dyDescent="0.2">
      <c r="A5" s="7"/>
      <c r="B5" s="8" t="str">
        <f>[22]И1!D14</f>
        <v>Тип муниципального образования (выберите из списка)</v>
      </c>
      <c r="C5" s="9" t="str">
        <f>[22]И1!E14</f>
        <v>рабочий поселок Ордынское, Ордынский муниципальный район</v>
      </c>
    </row>
    <row r="6" spans="1:3" x14ac:dyDescent="0.2">
      <c r="A6" s="7"/>
      <c r="B6" s="8" t="str">
        <f>IF([22]И1!E15="","",[22]И1!D15)</f>
        <v/>
      </c>
      <c r="C6" s="6" t="str">
        <f>IF([22]И1!E15="","",[22]И1!E15)</f>
        <v/>
      </c>
    </row>
    <row r="7" spans="1:3" x14ac:dyDescent="0.2">
      <c r="A7" s="7"/>
      <c r="B7" s="8" t="str">
        <f>[22]И1!D16</f>
        <v>Код ОКТМО</v>
      </c>
      <c r="C7" s="10" t="str">
        <f>[22]И1!E16</f>
        <v>50642151051</v>
      </c>
    </row>
    <row r="8" spans="1:3" x14ac:dyDescent="0.2">
      <c r="A8" s="7"/>
      <c r="B8" s="11" t="str">
        <f>[22]И1!D17</f>
        <v>Система теплоснабжения</v>
      </c>
      <c r="C8" s="12">
        <f>[22]И1!E17</f>
        <v>0</v>
      </c>
    </row>
    <row r="9" spans="1:3" x14ac:dyDescent="0.2">
      <c r="A9" s="7"/>
      <c r="B9" s="8" t="str">
        <f>[22]И1!D8</f>
        <v>Период регулирования (i)-й</v>
      </c>
      <c r="C9" s="13">
        <f>[22]И1!E8</f>
        <v>2023</v>
      </c>
    </row>
    <row r="10" spans="1:3" x14ac:dyDescent="0.2">
      <c r="A10" s="7"/>
      <c r="B10" s="8" t="str">
        <f>[22]И1!D9</f>
        <v>Период регулирования (i-1)-й</v>
      </c>
      <c r="C10" s="13">
        <f>[22]И1!E9</f>
        <v>2022</v>
      </c>
    </row>
    <row r="11" spans="1:3" x14ac:dyDescent="0.2">
      <c r="A11" s="7"/>
      <c r="B11" s="8" t="str">
        <f>[22]И1!D10</f>
        <v>Период регулирования (i-2)-й</v>
      </c>
      <c r="C11" s="13">
        <f>[22]И1!E10</f>
        <v>2021</v>
      </c>
    </row>
    <row r="12" spans="1:3" x14ac:dyDescent="0.2">
      <c r="A12" s="7"/>
      <c r="B12" s="8" t="str">
        <f>[22]И1!D11</f>
        <v>Базовый год (б)</v>
      </c>
      <c r="C12" s="13">
        <f>[22]И1!E11</f>
        <v>2019</v>
      </c>
    </row>
    <row r="13" spans="1:3" x14ac:dyDescent="0.2">
      <c r="A13" s="7"/>
      <c r="B13" s="8" t="str">
        <f>[22]И1!D18</f>
        <v>Вид топлива, использование которого преобладает в системе теплоснабжения</v>
      </c>
      <c r="C13" s="14" t="str">
        <f>[22]И1!E18</f>
        <v>Газ</v>
      </c>
    </row>
    <row r="14" spans="1:3" ht="26.25" customHeight="1" thickBot="1" x14ac:dyDescent="0.25">
      <c r="A14" s="143" t="s">
        <v>4</v>
      </c>
      <c r="B14" s="143"/>
      <c r="C14" s="143"/>
    </row>
    <row r="15" spans="1:3" x14ac:dyDescent="0.2">
      <c r="A15" s="15" t="s">
        <v>5</v>
      </c>
      <c r="B15" s="16" t="s">
        <v>6</v>
      </c>
      <c r="C15" s="17" t="s">
        <v>7</v>
      </c>
    </row>
    <row r="16" spans="1:3" x14ac:dyDescent="0.2">
      <c r="A16" s="18">
        <v>1</v>
      </c>
      <c r="B16" s="19">
        <v>2</v>
      </c>
      <c r="C16" s="20">
        <v>3</v>
      </c>
    </row>
    <row r="17" spans="1:3" x14ac:dyDescent="0.2">
      <c r="A17" s="21">
        <v>1</v>
      </c>
      <c r="B17" s="22" t="s">
        <v>8</v>
      </c>
      <c r="C17" s="23">
        <f>SUM(C18:C23)</f>
        <v>2943.7903245295306</v>
      </c>
    </row>
    <row r="18" spans="1:3" ht="42.75" x14ac:dyDescent="0.2">
      <c r="A18" s="21" t="s">
        <v>9</v>
      </c>
      <c r="B18" s="24" t="s">
        <v>10</v>
      </c>
      <c r="C18" s="25">
        <f>[22]С1!F12</f>
        <v>912.75572352910331</v>
      </c>
    </row>
    <row r="19" spans="1:3" ht="42.75" x14ac:dyDescent="0.2">
      <c r="A19" s="21" t="s">
        <v>11</v>
      </c>
      <c r="B19" s="24" t="s">
        <v>12</v>
      </c>
      <c r="C19" s="25">
        <f>[22]С2!F12</f>
        <v>1416.3895121306814</v>
      </c>
    </row>
    <row r="20" spans="1:3" ht="30" x14ac:dyDescent="0.2">
      <c r="A20" s="21" t="s">
        <v>13</v>
      </c>
      <c r="B20" s="24" t="s">
        <v>14</v>
      </c>
      <c r="C20" s="25">
        <f>[22]С3!F12</f>
        <v>338.69535278862691</v>
      </c>
    </row>
    <row r="21" spans="1:3" ht="42.75" x14ac:dyDescent="0.2">
      <c r="A21" s="21" t="s">
        <v>15</v>
      </c>
      <c r="B21" s="24" t="s">
        <v>16</v>
      </c>
      <c r="C21" s="25">
        <f>[22]С4!F12</f>
        <v>218.22835716877469</v>
      </c>
    </row>
    <row r="22" spans="1:3" ht="33" customHeight="1" x14ac:dyDescent="0.2">
      <c r="A22" s="21" t="s">
        <v>17</v>
      </c>
      <c r="B22" s="24" t="s">
        <v>18</v>
      </c>
      <c r="C22" s="25">
        <f>[22]С5!F12</f>
        <v>57.721378912343738</v>
      </c>
    </row>
    <row r="23" spans="1:3" ht="45.75" customHeight="1" thickBot="1" x14ac:dyDescent="0.25">
      <c r="A23" s="26" t="s">
        <v>19</v>
      </c>
      <c r="B23" s="98" t="s">
        <v>20</v>
      </c>
      <c r="C23" s="28">
        <f>[22]С6!F12</f>
        <v>0</v>
      </c>
    </row>
    <row r="24" spans="1:3" ht="13.5" thickBot="1" x14ac:dyDescent="0.25">
      <c r="A24" s="1"/>
      <c r="C24" s="6"/>
    </row>
    <row r="25" spans="1:3" x14ac:dyDescent="0.2">
      <c r="A25" s="15" t="s">
        <v>5</v>
      </c>
      <c r="B25" s="29" t="s">
        <v>6</v>
      </c>
      <c r="C25" s="16" t="s">
        <v>7</v>
      </c>
    </row>
    <row r="26" spans="1:3" x14ac:dyDescent="0.2">
      <c r="A26" s="18">
        <v>1</v>
      </c>
      <c r="B26" s="30">
        <v>2</v>
      </c>
      <c r="C26" s="31">
        <v>3</v>
      </c>
    </row>
    <row r="27" spans="1:3" ht="30" customHeight="1" x14ac:dyDescent="0.2">
      <c r="A27" s="21">
        <v>1</v>
      </c>
      <c r="B27" s="144" t="s">
        <v>21</v>
      </c>
      <c r="C27" s="144"/>
    </row>
    <row r="28" spans="1:3" x14ac:dyDescent="0.2">
      <c r="A28" s="21" t="s">
        <v>9</v>
      </c>
      <c r="B28" s="32" t="s">
        <v>22</v>
      </c>
      <c r="C28" s="33">
        <f>[22]С1.1!E16</f>
        <v>7900</v>
      </c>
    </row>
    <row r="29" spans="1:3" ht="42.75" x14ac:dyDescent="0.2">
      <c r="A29" s="21" t="s">
        <v>11</v>
      </c>
      <c r="B29" s="32" t="s">
        <v>23</v>
      </c>
      <c r="C29" s="33">
        <f>[22]С1.1!E32</f>
        <v>5591.16</v>
      </c>
    </row>
    <row r="30" spans="1:3" ht="38.25" x14ac:dyDescent="0.2">
      <c r="A30" s="21" t="s">
        <v>24</v>
      </c>
      <c r="B30" s="32" t="s">
        <v>25</v>
      </c>
      <c r="C30" s="34" t="str">
        <f>[22]С1.1!E25</f>
        <v>ООО "Газпром газораспределение Томск"</v>
      </c>
    </row>
    <row r="31" spans="1:3" ht="38.25" x14ac:dyDescent="0.2">
      <c r="A31" s="21" t="s">
        <v>26</v>
      </c>
      <c r="B31" s="32" t="str">
        <f>[22]С1.1!D26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3">
        <f>[22]С1.1!E26</f>
        <v>4475.5</v>
      </c>
    </row>
    <row r="32" spans="1:3" ht="25.5" x14ac:dyDescent="0.2">
      <c r="A32" s="21" t="s">
        <v>27</v>
      </c>
      <c r="B32" s="32" t="str">
        <f>[22]С1.1!D27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3">
        <f>[22]С1.1!E27</f>
        <v>952.13</v>
      </c>
    </row>
    <row r="33" spans="1:3" ht="25.5" x14ac:dyDescent="0.2">
      <c r="A33" s="21" t="s">
        <v>28</v>
      </c>
      <c r="B33" s="32" t="str">
        <f>[22]С1.1!D28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3">
        <f>[22]С1.1!E28</f>
        <v>132.9</v>
      </c>
    </row>
    <row r="34" spans="1:3" ht="38.25" x14ac:dyDescent="0.2">
      <c r="A34" s="21" t="s">
        <v>29</v>
      </c>
      <c r="B34" s="32" t="str">
        <f>[22]С1.1!D29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3">
        <f>[22]С1.1!E29</f>
        <v>30.63</v>
      </c>
    </row>
    <row r="35" spans="1:3" ht="17.25" x14ac:dyDescent="0.2">
      <c r="A35" s="21" t="s">
        <v>13</v>
      </c>
      <c r="B35" s="32" t="s">
        <v>30</v>
      </c>
      <c r="C35" s="35">
        <f>[22]С1.1!E20</f>
        <v>0.1392500000000001</v>
      </c>
    </row>
    <row r="36" spans="1:3" ht="17.25" x14ac:dyDescent="0.2">
      <c r="A36" s="21" t="s">
        <v>15</v>
      </c>
      <c r="B36" s="32" t="s">
        <v>31</v>
      </c>
      <c r="C36" s="35">
        <f>[22]С1.1!E21</f>
        <v>0</v>
      </c>
    </row>
    <row r="37" spans="1:3" ht="30" x14ac:dyDescent="0.2">
      <c r="A37" s="21" t="s">
        <v>17</v>
      </c>
      <c r="B37" s="36" t="s">
        <v>32</v>
      </c>
      <c r="C37" s="37">
        <f>[22]С1!F13</f>
        <v>156.1</v>
      </c>
    </row>
    <row r="38" spans="1:3" x14ac:dyDescent="0.2">
      <c r="A38" s="21" t="s">
        <v>19</v>
      </c>
      <c r="B38" s="36" t="s">
        <v>33</v>
      </c>
      <c r="C38" s="38">
        <f>[22]С1!F16</f>
        <v>7000</v>
      </c>
    </row>
    <row r="39" spans="1:3" ht="14.25" x14ac:dyDescent="0.2">
      <c r="A39" s="39" t="s">
        <v>34</v>
      </c>
      <c r="B39" s="40" t="s">
        <v>35</v>
      </c>
      <c r="C39" s="41">
        <f>[22]С1!F17</f>
        <v>1.1285714285714286</v>
      </c>
    </row>
    <row r="40" spans="1:3" ht="15.75" x14ac:dyDescent="0.2">
      <c r="A40" s="42" t="s">
        <v>36</v>
      </c>
      <c r="B40" s="43" t="s">
        <v>37</v>
      </c>
      <c r="C40" s="41">
        <f>[22]С1!F20</f>
        <v>22.307053372799995</v>
      </c>
    </row>
    <row r="41" spans="1:3" ht="15.75" x14ac:dyDescent="0.2">
      <c r="A41" s="42" t="s">
        <v>38</v>
      </c>
      <c r="B41" s="44" t="s">
        <v>39</v>
      </c>
      <c r="C41" s="41">
        <f>[22]С1!F21</f>
        <v>21.531904799999996</v>
      </c>
    </row>
    <row r="42" spans="1:3" ht="14.25" x14ac:dyDescent="0.2">
      <c r="A42" s="42" t="s">
        <v>40</v>
      </c>
      <c r="B42" s="45" t="s">
        <v>41</v>
      </c>
      <c r="C42" s="41">
        <f>[22]С1!F22</f>
        <v>1.036</v>
      </c>
    </row>
    <row r="43" spans="1:3" ht="53.25" thickBot="1" x14ac:dyDescent="0.25">
      <c r="A43" s="26" t="s">
        <v>42</v>
      </c>
      <c r="B43" s="46" t="s">
        <v>43</v>
      </c>
      <c r="C43" s="47" t="str">
        <f>[22]С1!F23</f>
        <v>-</v>
      </c>
    </row>
    <row r="44" spans="1:3" ht="13.5" thickBot="1" x14ac:dyDescent="0.25">
      <c r="A44" s="48"/>
      <c r="B44" s="49"/>
      <c r="C44" s="14"/>
    </row>
    <row r="45" spans="1:3" ht="30" customHeight="1" x14ac:dyDescent="0.2">
      <c r="A45" s="50" t="s">
        <v>44</v>
      </c>
      <c r="B45" s="146" t="s">
        <v>45</v>
      </c>
      <c r="C45" s="146"/>
    </row>
    <row r="46" spans="1:3" ht="25.5" x14ac:dyDescent="0.2">
      <c r="A46" s="21" t="s">
        <v>46</v>
      </c>
      <c r="B46" s="36" t="s">
        <v>47</v>
      </c>
      <c r="C46" s="51" t="str">
        <f>[22]С2.1!E12</f>
        <v>V</v>
      </c>
    </row>
    <row r="47" spans="1:3" ht="25.5" x14ac:dyDescent="0.2">
      <c r="A47" s="21" t="s">
        <v>48</v>
      </c>
      <c r="B47" s="32" t="s">
        <v>49</v>
      </c>
      <c r="C47" s="51" t="str">
        <f>[22]С2.1!E13</f>
        <v>6 и менее баллов</v>
      </c>
    </row>
    <row r="48" spans="1:3" ht="25.5" x14ac:dyDescent="0.2">
      <c r="A48" s="21" t="s">
        <v>50</v>
      </c>
      <c r="B48" s="32" t="s">
        <v>51</v>
      </c>
      <c r="C48" s="51" t="str">
        <f>[22]С2.1!E14</f>
        <v>от 200 до 500</v>
      </c>
    </row>
    <row r="49" spans="1:3" ht="25.5" x14ac:dyDescent="0.2">
      <c r="A49" s="21" t="s">
        <v>52</v>
      </c>
      <c r="B49" s="32" t="s">
        <v>53</v>
      </c>
      <c r="C49" s="52" t="str">
        <f>[22]С2.1!E15</f>
        <v>нет</v>
      </c>
    </row>
    <row r="50" spans="1:3" ht="30" x14ac:dyDescent="0.2">
      <c r="A50" s="21" t="s">
        <v>54</v>
      </c>
      <c r="B50" s="32" t="s">
        <v>55</v>
      </c>
      <c r="C50" s="33">
        <f>[22]С2!F18</f>
        <v>32402.627334033532</v>
      </c>
    </row>
    <row r="51" spans="1:3" ht="30" x14ac:dyDescent="0.2">
      <c r="A51" s="21" t="s">
        <v>56</v>
      </c>
      <c r="B51" s="53" t="s">
        <v>57</v>
      </c>
      <c r="C51" s="33">
        <f>IF([22]С2!F19&gt;0,[22]С2!F19,[22]С2!F20)</f>
        <v>23441.524932855718</v>
      </c>
    </row>
    <row r="52" spans="1:3" ht="25.5" x14ac:dyDescent="0.2">
      <c r="A52" s="21" t="s">
        <v>58</v>
      </c>
      <c r="B52" s="54" t="s">
        <v>59</v>
      </c>
      <c r="C52" s="33">
        <f>[22]С2.1!E20</f>
        <v>-37</v>
      </c>
    </row>
    <row r="53" spans="1:3" ht="25.5" x14ac:dyDescent="0.2">
      <c r="A53" s="21" t="s">
        <v>60</v>
      </c>
      <c r="B53" s="54" t="s">
        <v>61</v>
      </c>
      <c r="C53" s="33" t="str">
        <f>[22]С2.1!E23</f>
        <v>нет</v>
      </c>
    </row>
    <row r="54" spans="1:3" ht="38.25" x14ac:dyDescent="0.2">
      <c r="A54" s="21" t="s">
        <v>62</v>
      </c>
      <c r="B54" s="55" t="s">
        <v>63</v>
      </c>
      <c r="C54" s="33">
        <f>[22]С2.2!E10</f>
        <v>1287</v>
      </c>
    </row>
    <row r="55" spans="1:3" ht="25.5" x14ac:dyDescent="0.2">
      <c r="A55" s="21" t="s">
        <v>64</v>
      </c>
      <c r="B55" s="56" t="s">
        <v>65</v>
      </c>
      <c r="C55" s="33">
        <f>[22]С2.2!E12</f>
        <v>5.97</v>
      </c>
    </row>
    <row r="56" spans="1:3" ht="52.5" x14ac:dyDescent="0.2">
      <c r="A56" s="21" t="s">
        <v>66</v>
      </c>
      <c r="B56" s="57" t="s">
        <v>67</v>
      </c>
      <c r="C56" s="33">
        <f>[22]С2.2!E13</f>
        <v>1</v>
      </c>
    </row>
    <row r="57" spans="1:3" ht="27.75" x14ac:dyDescent="0.2">
      <c r="A57" s="21" t="s">
        <v>68</v>
      </c>
      <c r="B57" s="56" t="s">
        <v>69</v>
      </c>
      <c r="C57" s="33">
        <f>[22]С2.2!E14</f>
        <v>12104</v>
      </c>
    </row>
    <row r="58" spans="1:3" ht="25.5" x14ac:dyDescent="0.2">
      <c r="A58" s="21" t="s">
        <v>70</v>
      </c>
      <c r="B58" s="57" t="s">
        <v>71</v>
      </c>
      <c r="C58" s="35">
        <f>[22]С2.2!E15</f>
        <v>4.8000000000000001E-2</v>
      </c>
    </row>
    <row r="59" spans="1:3" x14ac:dyDescent="0.2">
      <c r="A59" s="21" t="s">
        <v>72</v>
      </c>
      <c r="B59" s="57" t="s">
        <v>73</v>
      </c>
      <c r="C59" s="58">
        <f>[22]С2.2!E16</f>
        <v>1</v>
      </c>
    </row>
    <row r="60" spans="1:3" ht="15.75" x14ac:dyDescent="0.2">
      <c r="A60" s="21" t="s">
        <v>74</v>
      </c>
      <c r="B60" s="59" t="s">
        <v>75</v>
      </c>
      <c r="C60" s="33">
        <f>[22]С2!F21</f>
        <v>1</v>
      </c>
    </row>
    <row r="61" spans="1:3" ht="30" x14ac:dyDescent="0.2">
      <c r="A61" s="60" t="s">
        <v>76</v>
      </c>
      <c r="B61" s="32" t="s">
        <v>77</v>
      </c>
      <c r="C61" s="33">
        <f>[22]С2!F13</f>
        <v>97038.307983185223</v>
      </c>
    </row>
    <row r="62" spans="1:3" ht="30" x14ac:dyDescent="0.2">
      <c r="A62" s="60" t="s">
        <v>78</v>
      </c>
      <c r="B62" s="61" t="s">
        <v>79</v>
      </c>
      <c r="C62" s="33">
        <f>[22]С2!F14</f>
        <v>64899</v>
      </c>
    </row>
    <row r="63" spans="1:3" ht="15.75" x14ac:dyDescent="0.2">
      <c r="A63" s="60" t="s">
        <v>80</v>
      </c>
      <c r="B63" s="61" t="s">
        <v>81</v>
      </c>
      <c r="C63" s="41">
        <f>[22]С2!F15</f>
        <v>1.071</v>
      </c>
    </row>
    <row r="64" spans="1:3" ht="15.75" x14ac:dyDescent="0.2">
      <c r="A64" s="60" t="s">
        <v>82</v>
      </c>
      <c r="B64" s="61" t="s">
        <v>83</v>
      </c>
      <c r="C64" s="62">
        <f>[22]С2!F16</f>
        <v>1</v>
      </c>
    </row>
    <row r="65" spans="1:3" ht="17.25" x14ac:dyDescent="0.2">
      <c r="A65" s="60" t="s">
        <v>84</v>
      </c>
      <c r="B65" s="61" t="s">
        <v>85</v>
      </c>
      <c r="C65" s="63">
        <f>[22]С2!F17</f>
        <v>1.01</v>
      </c>
    </row>
    <row r="66" spans="1:3" s="66" customFormat="1" ht="14.25" x14ac:dyDescent="0.2">
      <c r="A66" s="60" t="s">
        <v>86</v>
      </c>
      <c r="B66" s="64" t="s">
        <v>87</v>
      </c>
      <c r="C66" s="65">
        <f>[22]С2!F35</f>
        <v>10</v>
      </c>
    </row>
    <row r="67" spans="1:3" ht="30" x14ac:dyDescent="0.2">
      <c r="A67" s="60" t="s">
        <v>88</v>
      </c>
      <c r="B67" s="67" t="s">
        <v>89</v>
      </c>
      <c r="C67" s="33">
        <f>[22]С2!F28</f>
        <v>139.14695294069438</v>
      </c>
    </row>
    <row r="68" spans="1:3" ht="17.25" x14ac:dyDescent="0.2">
      <c r="A68" s="60" t="s">
        <v>90</v>
      </c>
      <c r="B68" s="53" t="s">
        <v>91</v>
      </c>
      <c r="C68" s="41">
        <f>[22]С2!F29</f>
        <v>0.201330388</v>
      </c>
    </row>
    <row r="69" spans="1:3" ht="17.25" x14ac:dyDescent="0.2">
      <c r="A69" s="60" t="s">
        <v>92</v>
      </c>
      <c r="B69" s="59" t="s">
        <v>93</v>
      </c>
      <c r="C69" s="65">
        <f>[22]С2!F30</f>
        <v>500</v>
      </c>
    </row>
    <row r="70" spans="1:3" ht="42.75" x14ac:dyDescent="0.2">
      <c r="A70" s="60" t="s">
        <v>94</v>
      </c>
      <c r="B70" s="32" t="s">
        <v>95</v>
      </c>
      <c r="C70" s="33">
        <f>[22]С2!F22</f>
        <v>36585.255753162281</v>
      </c>
    </row>
    <row r="71" spans="1:3" ht="30" x14ac:dyDescent="0.2">
      <c r="A71" s="60" t="s">
        <v>96</v>
      </c>
      <c r="B71" s="61" t="s">
        <v>97</v>
      </c>
      <c r="C71" s="33">
        <f>[22]С2!F23</f>
        <v>21</v>
      </c>
    </row>
    <row r="72" spans="1:3" ht="30" x14ac:dyDescent="0.2">
      <c r="A72" s="60" t="s">
        <v>98</v>
      </c>
      <c r="B72" s="53" t="s">
        <v>99</v>
      </c>
      <c r="C72" s="33">
        <f>[22]С2.1!E28</f>
        <v>14036.09995</v>
      </c>
    </row>
    <row r="73" spans="1:3" ht="38.25" x14ac:dyDescent="0.2">
      <c r="A73" s="60" t="s">
        <v>100</v>
      </c>
      <c r="B73" s="68" t="s">
        <v>101</v>
      </c>
      <c r="C73" s="52">
        <f>[22]С2.3!E21</f>
        <v>0</v>
      </c>
    </row>
    <row r="74" spans="1:3" ht="25.5" x14ac:dyDescent="0.2">
      <c r="A74" s="60" t="s">
        <v>102</v>
      </c>
      <c r="B74" s="69" t="s">
        <v>103</v>
      </c>
      <c r="C74" s="70">
        <f>[22]С2.3!E11</f>
        <v>5.45</v>
      </c>
    </row>
    <row r="75" spans="1:3" ht="25.5" x14ac:dyDescent="0.2">
      <c r="A75" s="60" t="s">
        <v>104</v>
      </c>
      <c r="B75" s="69" t="s">
        <v>105</v>
      </c>
      <c r="C75" s="65">
        <f>[22]С2.3!E13</f>
        <v>300</v>
      </c>
    </row>
    <row r="76" spans="1:3" ht="25.5" x14ac:dyDescent="0.2">
      <c r="A76" s="60" t="s">
        <v>106</v>
      </c>
      <c r="B76" s="68" t="s">
        <v>107</v>
      </c>
      <c r="C76" s="71">
        <f>IF([22]С2.3!E22&gt;0,[22]С2.3!E22,[22]С2.3!E14)</f>
        <v>61211</v>
      </c>
    </row>
    <row r="77" spans="1:3" ht="38.25" x14ac:dyDescent="0.2">
      <c r="A77" s="60" t="s">
        <v>108</v>
      </c>
      <c r="B77" s="68" t="s">
        <v>109</v>
      </c>
      <c r="C77" s="71">
        <f>IF([22]С2.3!E23&gt;0,[22]С2.3!E23,[22]С2.3!E15)</f>
        <v>45675</v>
      </c>
    </row>
    <row r="78" spans="1:3" ht="30" x14ac:dyDescent="0.2">
      <c r="A78" s="60" t="s">
        <v>110</v>
      </c>
      <c r="B78" s="53" t="s">
        <v>111</v>
      </c>
      <c r="C78" s="33">
        <f>[22]С2.1!E29</f>
        <v>9518.3274000000001</v>
      </c>
    </row>
    <row r="79" spans="1:3" ht="38.25" x14ac:dyDescent="0.2">
      <c r="A79" s="60" t="s">
        <v>112</v>
      </c>
      <c r="B79" s="68" t="s">
        <v>113</v>
      </c>
      <c r="C79" s="52">
        <f>[22]С2.3!E25</f>
        <v>0</v>
      </c>
    </row>
    <row r="80" spans="1:3" ht="25.5" x14ac:dyDescent="0.2">
      <c r="A80" s="60" t="s">
        <v>114</v>
      </c>
      <c r="B80" s="69" t="s">
        <v>115</v>
      </c>
      <c r="C80" s="70">
        <f>[22]С2.3!E12</f>
        <v>0.2</v>
      </c>
    </row>
    <row r="81" spans="1:3" ht="25.5" x14ac:dyDescent="0.2">
      <c r="A81" s="60" t="s">
        <v>116</v>
      </c>
      <c r="B81" s="69" t="s">
        <v>105</v>
      </c>
      <c r="C81" s="65">
        <f>[22]С2.3!E13</f>
        <v>300</v>
      </c>
    </row>
    <row r="82" spans="1:3" ht="25.5" x14ac:dyDescent="0.2">
      <c r="A82" s="60" t="s">
        <v>117</v>
      </c>
      <c r="B82" s="72" t="s">
        <v>118</v>
      </c>
      <c r="C82" s="71">
        <f>IF([22]С2.3!E26&gt;0,[22]С2.3!E26,[22]С2.3!E16)</f>
        <v>65637</v>
      </c>
    </row>
    <row r="83" spans="1:3" ht="38.25" x14ac:dyDescent="0.2">
      <c r="A83" s="60" t="s">
        <v>119</v>
      </c>
      <c r="B83" s="72" t="s">
        <v>120</v>
      </c>
      <c r="C83" s="71">
        <f>IF([22]С2.3!E27&gt;0,[22]С2.3!E27,[22]С2.3!E17)</f>
        <v>31684</v>
      </c>
    </row>
    <row r="84" spans="1:3" ht="30" x14ac:dyDescent="0.2">
      <c r="A84" s="60" t="s">
        <v>121</v>
      </c>
      <c r="B84" s="61" t="s">
        <v>122</v>
      </c>
      <c r="C84" s="71">
        <f>IF([22]С2.1!E19&gt;0,[22]С2.1!E19,[22]С2!F26)</f>
        <v>2892</v>
      </c>
    </row>
    <row r="85" spans="1:3" ht="17.25" x14ac:dyDescent="0.2">
      <c r="A85" s="60" t="s">
        <v>123</v>
      </c>
      <c r="B85" s="32" t="s">
        <v>124</v>
      </c>
      <c r="C85" s="35">
        <f>[22]С2!F31</f>
        <v>0.128978033685065</v>
      </c>
    </row>
    <row r="86" spans="1:3" ht="30" x14ac:dyDescent="0.2">
      <c r="A86" s="60" t="s">
        <v>125</v>
      </c>
      <c r="B86" s="53" t="s">
        <v>126</v>
      </c>
      <c r="C86" s="73">
        <f>[22]С2!F32</f>
        <v>0.11668498168498169</v>
      </c>
    </row>
    <row r="87" spans="1:3" ht="17.25" x14ac:dyDescent="0.2">
      <c r="A87" s="60" t="s">
        <v>127</v>
      </c>
      <c r="B87" s="74" t="s">
        <v>128</v>
      </c>
      <c r="C87" s="35">
        <f>[22]С2!F33</f>
        <v>0.13880000000000001</v>
      </c>
    </row>
    <row r="88" spans="1:3" s="66" customFormat="1" ht="18" thickBot="1" x14ac:dyDescent="0.25">
      <c r="A88" s="75" t="s">
        <v>129</v>
      </c>
      <c r="B88" s="76" t="s">
        <v>130</v>
      </c>
      <c r="C88" s="77">
        <f>[22]С2!F34</f>
        <v>0.12640000000000001</v>
      </c>
    </row>
    <row r="89" spans="1:3" ht="13.5" thickBot="1" x14ac:dyDescent="0.25">
      <c r="A89" s="48"/>
      <c r="B89" s="49"/>
      <c r="C89" s="14"/>
    </row>
    <row r="90" spans="1:3" s="66" customFormat="1" ht="30" customHeight="1" x14ac:dyDescent="0.2">
      <c r="A90" s="78" t="s">
        <v>131</v>
      </c>
      <c r="B90" s="146" t="s">
        <v>132</v>
      </c>
      <c r="C90" s="146"/>
    </row>
    <row r="91" spans="1:3" s="66" customFormat="1" ht="30" x14ac:dyDescent="0.2">
      <c r="A91" s="79" t="s">
        <v>133</v>
      </c>
      <c r="B91" s="32" t="s">
        <v>134</v>
      </c>
      <c r="C91" s="33">
        <f>[22]С3!F14</f>
        <v>4857.2878492227173</v>
      </c>
    </row>
    <row r="92" spans="1:3" s="66" customFormat="1" ht="42.75" x14ac:dyDescent="0.2">
      <c r="A92" s="79" t="s">
        <v>135</v>
      </c>
      <c r="B92" s="53" t="s">
        <v>136</v>
      </c>
      <c r="C92" s="80">
        <f>[22]С3!F15</f>
        <v>0.2</v>
      </c>
    </row>
    <row r="93" spans="1:3" s="66" customFormat="1" ht="14.25" x14ac:dyDescent="0.2">
      <c r="A93" s="79" t="s">
        <v>137</v>
      </c>
      <c r="B93" s="81" t="s">
        <v>138</v>
      </c>
      <c r="C93" s="65">
        <f>[22]С3!F18</f>
        <v>15</v>
      </c>
    </row>
    <row r="94" spans="1:3" s="66" customFormat="1" ht="17.25" x14ac:dyDescent="0.2">
      <c r="A94" s="79" t="s">
        <v>139</v>
      </c>
      <c r="B94" s="32" t="s">
        <v>140</v>
      </c>
      <c r="C94" s="33">
        <f>[22]С3!F19</f>
        <v>2435.0508023655884</v>
      </c>
    </row>
    <row r="95" spans="1:3" s="66" customFormat="1" ht="55.5" x14ac:dyDescent="0.2">
      <c r="A95" s="79" t="s">
        <v>141</v>
      </c>
      <c r="B95" s="53" t="s">
        <v>142</v>
      </c>
      <c r="C95" s="82">
        <f>[22]С3!F20</f>
        <v>2.1999999999999999E-2</v>
      </c>
    </row>
    <row r="96" spans="1:3" s="66" customFormat="1" ht="14.25" x14ac:dyDescent="0.2">
      <c r="A96" s="79" t="s">
        <v>143</v>
      </c>
      <c r="B96" s="59" t="s">
        <v>87</v>
      </c>
      <c r="C96" s="65">
        <f>[22]С3!F21</f>
        <v>10</v>
      </c>
    </row>
    <row r="97" spans="1:3" s="66" customFormat="1" ht="17.25" x14ac:dyDescent="0.2">
      <c r="A97" s="79" t="s">
        <v>144</v>
      </c>
      <c r="B97" s="32" t="s">
        <v>145</v>
      </c>
      <c r="C97" s="33">
        <f>[22]С3!F22</f>
        <v>0.41744085882208315</v>
      </c>
    </row>
    <row r="98" spans="1:3" s="66" customFormat="1" ht="55.5" x14ac:dyDescent="0.2">
      <c r="A98" s="79" t="s">
        <v>146</v>
      </c>
      <c r="B98" s="53" t="s">
        <v>147</v>
      </c>
      <c r="C98" s="82">
        <f>[22]С3!F23</f>
        <v>3.0000000000000001E-3</v>
      </c>
    </row>
    <row r="99" spans="1:3" s="66" customFormat="1" ht="30.75" thickBot="1" x14ac:dyDescent="0.25">
      <c r="A99" s="83" t="s">
        <v>148</v>
      </c>
      <c r="B99" s="84" t="s">
        <v>89</v>
      </c>
      <c r="C99" s="85">
        <f>[22]С3!F24</f>
        <v>139.14695294069438</v>
      </c>
    </row>
    <row r="100" spans="1:3" ht="13.5" thickBot="1" x14ac:dyDescent="0.25">
      <c r="A100" s="48"/>
      <c r="B100" s="49"/>
      <c r="C100" s="14"/>
    </row>
    <row r="101" spans="1:3" ht="30" customHeight="1" x14ac:dyDescent="0.2">
      <c r="A101" s="86" t="s">
        <v>149</v>
      </c>
      <c r="B101" s="146" t="s">
        <v>150</v>
      </c>
      <c r="C101" s="146"/>
    </row>
    <row r="102" spans="1:3" ht="30" x14ac:dyDescent="0.2">
      <c r="A102" s="60" t="s">
        <v>151</v>
      </c>
      <c r="B102" s="32" t="s">
        <v>152</v>
      </c>
      <c r="C102" s="33">
        <f>[22]С4!F16</f>
        <v>832.33500000000004</v>
      </c>
    </row>
    <row r="103" spans="1:3" ht="30" x14ac:dyDescent="0.2">
      <c r="A103" s="60" t="s">
        <v>153</v>
      </c>
      <c r="B103" s="59" t="s">
        <v>154</v>
      </c>
      <c r="C103" s="33">
        <f>[22]С4!F17</f>
        <v>43385</v>
      </c>
    </row>
    <row r="104" spans="1:3" ht="17.25" x14ac:dyDescent="0.2">
      <c r="A104" s="60" t="s">
        <v>155</v>
      </c>
      <c r="B104" s="59" t="s">
        <v>156</v>
      </c>
      <c r="C104" s="41">
        <f>[22]С4!F18</f>
        <v>1.4999999999999999E-2</v>
      </c>
    </row>
    <row r="105" spans="1:3" ht="30" x14ac:dyDescent="0.2">
      <c r="A105" s="60" t="s">
        <v>157</v>
      </c>
      <c r="B105" s="59" t="s">
        <v>158</v>
      </c>
      <c r="C105" s="33">
        <f>[22]С4!F19</f>
        <v>12104</v>
      </c>
    </row>
    <row r="106" spans="1:3" ht="28.5" x14ac:dyDescent="0.2">
      <c r="A106" s="60" t="s">
        <v>159</v>
      </c>
      <c r="B106" s="59" t="s">
        <v>160</v>
      </c>
      <c r="C106" s="41">
        <f>[22]С4!F20</f>
        <v>1.4999999999999999E-2</v>
      </c>
    </row>
    <row r="107" spans="1:3" ht="30" x14ac:dyDescent="0.2">
      <c r="A107" s="60" t="s">
        <v>161</v>
      </c>
      <c r="B107" s="32" t="s">
        <v>162</v>
      </c>
      <c r="C107" s="33">
        <f>[22]С4!F21</f>
        <v>1221.9019409821399</v>
      </c>
    </row>
    <row r="108" spans="1:3" ht="45.6" customHeight="1" x14ac:dyDescent="0.2">
      <c r="A108" s="60" t="s">
        <v>163</v>
      </c>
      <c r="B108" s="53" t="s">
        <v>164</v>
      </c>
      <c r="C108" s="34" t="str">
        <f>IF([22]С4.2!F8="да",[22]С4.2!D21,[22]С4.2!D15)</f>
        <v>АО "Новосибирскэнергосбыт"</v>
      </c>
    </row>
    <row r="109" spans="1:3" ht="68.25" customHeight="1" x14ac:dyDescent="0.2">
      <c r="A109" s="60" t="s">
        <v>165</v>
      </c>
      <c r="B109" s="53" t="s">
        <v>166</v>
      </c>
      <c r="C109" s="33">
        <f>[22]С4!F22</f>
        <v>3.6112641666666665</v>
      </c>
    </row>
    <row r="110" spans="1:3" ht="30" x14ac:dyDescent="0.2">
      <c r="A110" s="60" t="s">
        <v>167</v>
      </c>
      <c r="B110" s="59" t="s">
        <v>168</v>
      </c>
      <c r="C110" s="65">
        <f>[22]С4!F23</f>
        <v>110</v>
      </c>
    </row>
    <row r="111" spans="1:3" ht="14.25" x14ac:dyDescent="0.2">
      <c r="A111" s="60" t="s">
        <v>169</v>
      </c>
      <c r="B111" s="53" t="s">
        <v>170</v>
      </c>
      <c r="C111" s="33">
        <f>[22]С4!F24</f>
        <v>8497.1999999999989</v>
      </c>
    </row>
    <row r="112" spans="1:3" ht="14.25" x14ac:dyDescent="0.2">
      <c r="A112" s="60" t="s">
        <v>171</v>
      </c>
      <c r="B112" s="59" t="s">
        <v>172</v>
      </c>
      <c r="C112" s="41">
        <f>[22]С4!F25</f>
        <v>0.36199999999999999</v>
      </c>
    </row>
    <row r="113" spans="1:3" ht="17.25" x14ac:dyDescent="0.2">
      <c r="A113" s="60" t="s">
        <v>173</v>
      </c>
      <c r="B113" s="32" t="s">
        <v>174</v>
      </c>
      <c r="C113" s="33">
        <f>[22]С4!F26</f>
        <v>43.625124999999997</v>
      </c>
    </row>
    <row r="114" spans="1:3" ht="25.5" x14ac:dyDescent="0.2">
      <c r="A114" s="60" t="s">
        <v>175</v>
      </c>
      <c r="B114" s="53" t="s">
        <v>101</v>
      </c>
      <c r="C114" s="34">
        <f>[22]С4.3!E16</f>
        <v>0</v>
      </c>
    </row>
    <row r="115" spans="1:3" ht="25.5" x14ac:dyDescent="0.2">
      <c r="A115" s="60" t="s">
        <v>176</v>
      </c>
      <c r="B115" s="53" t="s">
        <v>177</v>
      </c>
      <c r="C115" s="33">
        <f>[22]С4.3!E17</f>
        <v>20.675000000000001</v>
      </c>
    </row>
    <row r="116" spans="1:3" ht="38.25" x14ac:dyDescent="0.2">
      <c r="A116" s="60" t="s">
        <v>178</v>
      </c>
      <c r="B116" s="53" t="s">
        <v>113</v>
      </c>
      <c r="C116" s="34">
        <f>[22]С4.3!E18</f>
        <v>0</v>
      </c>
    </row>
    <row r="117" spans="1:3" x14ac:dyDescent="0.2">
      <c r="A117" s="60" t="s">
        <v>179</v>
      </c>
      <c r="B117" s="53" t="s">
        <v>180</v>
      </c>
      <c r="C117" s="33">
        <f>[22]С4.3!E19</f>
        <v>50.424999999999997</v>
      </c>
    </row>
    <row r="118" spans="1:3" x14ac:dyDescent="0.2">
      <c r="A118" s="60" t="s">
        <v>181</v>
      </c>
      <c r="B118" s="59" t="s">
        <v>182</v>
      </c>
      <c r="C118" s="65">
        <f>[22]С4.3!E11</f>
        <v>1871</v>
      </c>
    </row>
    <row r="119" spans="1:3" x14ac:dyDescent="0.2">
      <c r="A119" s="60" t="s">
        <v>183</v>
      </c>
      <c r="B119" s="59" t="s">
        <v>184</v>
      </c>
      <c r="C119" s="52">
        <f>[22]С4.3!E12</f>
        <v>61</v>
      </c>
    </row>
    <row r="120" spans="1:3" x14ac:dyDescent="0.2">
      <c r="A120" s="60" t="s">
        <v>185</v>
      </c>
      <c r="B120" s="59" t="s">
        <v>186</v>
      </c>
      <c r="C120" s="52">
        <f>[22]С4.3!E13</f>
        <v>73</v>
      </c>
    </row>
    <row r="121" spans="1:3" ht="30" x14ac:dyDescent="0.2">
      <c r="A121" s="60" t="s">
        <v>187</v>
      </c>
      <c r="B121" s="32" t="s">
        <v>188</v>
      </c>
      <c r="C121" s="33">
        <f>[22]С4!F27</f>
        <v>946.59139764731083</v>
      </c>
    </row>
    <row r="122" spans="1:3" ht="25.5" x14ac:dyDescent="0.2">
      <c r="A122" s="60" t="s">
        <v>189</v>
      </c>
      <c r="B122" s="53" t="s">
        <v>190</v>
      </c>
      <c r="C122" s="33">
        <f>[22]С4!F28</f>
        <v>727.02872323142151</v>
      </c>
    </row>
    <row r="123" spans="1:3" ht="42.75" x14ac:dyDescent="0.2">
      <c r="A123" s="60" t="s">
        <v>191</v>
      </c>
      <c r="B123" s="53" t="s">
        <v>192</v>
      </c>
      <c r="C123" s="33">
        <f>[22]С4!F29</f>
        <v>219.56267441588932</v>
      </c>
    </row>
    <row r="124" spans="1:3" ht="30.75" thickBot="1" x14ac:dyDescent="0.25">
      <c r="A124" s="75" t="s">
        <v>193</v>
      </c>
      <c r="B124" s="87" t="s">
        <v>194</v>
      </c>
      <c r="C124" s="85">
        <f>[22]С4!F30</f>
        <v>490.6011494870155</v>
      </c>
    </row>
    <row r="125" spans="1:3" s="88" customFormat="1" ht="13.5" thickBot="1" x14ac:dyDescent="0.25">
      <c r="A125" s="48"/>
      <c r="B125" s="49"/>
      <c r="C125" s="14"/>
    </row>
    <row r="126" spans="1:3" s="66" customFormat="1" ht="30" customHeight="1" x14ac:dyDescent="0.2">
      <c r="A126" s="78" t="s">
        <v>195</v>
      </c>
      <c r="B126" s="146" t="s">
        <v>196</v>
      </c>
      <c r="C126" s="146"/>
    </row>
    <row r="127" spans="1:3" ht="30.6" customHeight="1" thickBot="1" x14ac:dyDescent="0.25">
      <c r="A127" s="26" t="s">
        <v>197</v>
      </c>
      <c r="B127" s="87" t="s">
        <v>198</v>
      </c>
      <c r="C127" s="85">
        <f>[22]С5!F17</f>
        <v>0.02</v>
      </c>
    </row>
    <row r="128" spans="1:3" s="88" customFormat="1" ht="13.5" thickBot="1" x14ac:dyDescent="0.25">
      <c r="A128" s="48"/>
      <c r="B128" s="49"/>
      <c r="C128" s="14"/>
    </row>
    <row r="129" spans="1:4" ht="42.75" customHeight="1" x14ac:dyDescent="0.2">
      <c r="A129" s="86" t="s">
        <v>199</v>
      </c>
      <c r="B129" s="146" t="s">
        <v>200</v>
      </c>
      <c r="C129" s="146"/>
    </row>
    <row r="130" spans="1:4" ht="68.25" x14ac:dyDescent="0.2">
      <c r="A130" s="60" t="s">
        <v>201</v>
      </c>
      <c r="B130" s="89" t="s">
        <v>202</v>
      </c>
      <c r="C130" s="33" t="str">
        <f>IF([22]С6.1!E11="нет",[22]С6!F13,"")</f>
        <v/>
      </c>
    </row>
    <row r="131" spans="1:4" ht="42.75" x14ac:dyDescent="0.2">
      <c r="A131" s="60" t="s">
        <v>203</v>
      </c>
      <c r="B131" s="90" t="s">
        <v>204</v>
      </c>
      <c r="C131" s="91" t="str">
        <f>IF([22]С6.1!E12="нет",[22]С6.1!E17,"")</f>
        <v/>
      </c>
    </row>
    <row r="132" spans="1:4" ht="68.25" x14ac:dyDescent="0.2">
      <c r="A132" s="60" t="s">
        <v>205</v>
      </c>
      <c r="B132" s="89" t="s">
        <v>206</v>
      </c>
      <c r="C132" s="92" t="str">
        <f>IF([22]С6.1!E18="нет",[22]С6!F19,"")</f>
        <v/>
      </c>
    </row>
    <row r="133" spans="1:4" ht="55.5" x14ac:dyDescent="0.2">
      <c r="A133" s="60" t="s">
        <v>207</v>
      </c>
      <c r="B133" s="90" t="s">
        <v>208</v>
      </c>
      <c r="C133" s="35" t="str">
        <f>IF([22]С6.1!E18="нет",[22]С6.1!E19,"")</f>
        <v/>
      </c>
    </row>
    <row r="134" spans="1:4" ht="61.5" customHeight="1" x14ac:dyDescent="0.2">
      <c r="A134" s="60" t="s">
        <v>209</v>
      </c>
      <c r="B134" s="90" t="s">
        <v>210</v>
      </c>
      <c r="C134" s="35" t="str">
        <f>IF([22]С6.1!E18="нет",[22]С6.1!E22,"")</f>
        <v/>
      </c>
    </row>
    <row r="135" spans="1:4" ht="69" thickBot="1" x14ac:dyDescent="0.25">
      <c r="A135" s="75" t="s">
        <v>211</v>
      </c>
      <c r="B135" s="93" t="s">
        <v>212</v>
      </c>
      <c r="C135" s="77" t="str">
        <f>IF([22]С6.1!E18="нет",[22]С6.1!E23,"")</f>
        <v/>
      </c>
    </row>
    <row r="136" spans="1:4" s="88" customFormat="1" ht="13.5" thickBot="1" x14ac:dyDescent="0.25">
      <c r="A136" s="48"/>
      <c r="B136" s="49"/>
      <c r="C136" s="14"/>
    </row>
    <row r="137" spans="1:4" ht="15.75" x14ac:dyDescent="0.2">
      <c r="A137" s="86" t="s">
        <v>213</v>
      </c>
      <c r="B137" s="94" t="s">
        <v>214</v>
      </c>
      <c r="C137" s="95">
        <f>[22]С2!F39</f>
        <v>21.531904799999996</v>
      </c>
    </row>
    <row r="138" spans="1:4" ht="14.25" x14ac:dyDescent="0.2">
      <c r="A138" s="60" t="s">
        <v>215</v>
      </c>
      <c r="B138" s="59" t="s">
        <v>216</v>
      </c>
      <c r="C138" s="33">
        <f>[22]С2!F40</f>
        <v>7</v>
      </c>
    </row>
    <row r="139" spans="1:4" ht="17.25" x14ac:dyDescent="0.2">
      <c r="A139" s="60" t="s">
        <v>217</v>
      </c>
      <c r="B139" s="59" t="s">
        <v>218</v>
      </c>
      <c r="C139" s="33">
        <f>[22]С2!F42</f>
        <v>0.97</v>
      </c>
    </row>
    <row r="140" spans="1:4" ht="15" thickBot="1" x14ac:dyDescent="0.25">
      <c r="A140" s="75" t="s">
        <v>219</v>
      </c>
      <c r="B140" s="76" t="s">
        <v>220</v>
      </c>
      <c r="C140" s="47">
        <f>[22]С2!F44</f>
        <v>0.36199999999999999</v>
      </c>
    </row>
    <row r="141" spans="1:4" s="88" customFormat="1" ht="13.5" thickBot="1" x14ac:dyDescent="0.25">
      <c r="A141" s="48"/>
      <c r="B141" s="49"/>
      <c r="C141" s="14"/>
    </row>
    <row r="142" spans="1:4" ht="17.25" x14ac:dyDescent="0.2">
      <c r="A142" s="86" t="s">
        <v>221</v>
      </c>
      <c r="B142" s="96" t="s">
        <v>222</v>
      </c>
      <c r="C142" s="97">
        <f>[22]С2!F37</f>
        <v>1.3822747209000001</v>
      </c>
      <c r="D142" s="88"/>
    </row>
    <row r="143" spans="1:4" ht="17.25" customHeight="1" thickBot="1" x14ac:dyDescent="0.25">
      <c r="A143" s="75" t="s">
        <v>223</v>
      </c>
      <c r="B143" s="145" t="s">
        <v>224</v>
      </c>
      <c r="C143" s="145"/>
      <c r="D143" s="88"/>
    </row>
    <row r="144" spans="1:4" x14ac:dyDescent="0.2">
      <c r="A144" s="99"/>
      <c r="B144" s="100" t="s">
        <v>0</v>
      </c>
      <c r="C144" s="101"/>
    </row>
    <row r="145" spans="1:3" x14ac:dyDescent="0.2">
      <c r="A145" s="99"/>
      <c r="B145" s="102">
        <v>2020</v>
      </c>
      <c r="C145" s="103">
        <f>[22]С2.5!$E$11</f>
        <v>-2.9000000000000026E-2</v>
      </c>
    </row>
    <row r="146" spans="1:3" x14ac:dyDescent="0.2">
      <c r="B146" s="102">
        <f>B145+1</f>
        <v>2021</v>
      </c>
      <c r="C146" s="104">
        <f>[22]С2.5!$F$11</f>
        <v>0.245</v>
      </c>
    </row>
    <row r="147" spans="1:3" x14ac:dyDescent="0.2">
      <c r="B147" s="102">
        <f t="shared" ref="B147:B210" si="0">B146+1</f>
        <v>2022</v>
      </c>
      <c r="C147" s="105">
        <f>[22]С2.5!$G$11</f>
        <v>0.121</v>
      </c>
    </row>
    <row r="148" spans="1:3" ht="13.5" thickBot="1" x14ac:dyDescent="0.25">
      <c r="B148" s="106">
        <f t="shared" si="0"/>
        <v>2023</v>
      </c>
      <c r="C148" s="107">
        <f>[22]С2.5!$H$11</f>
        <v>0.02</v>
      </c>
    </row>
    <row r="149" spans="1:3" ht="13.5" hidden="1" thickBot="1" x14ac:dyDescent="0.25">
      <c r="B149" s="106">
        <f t="shared" si="0"/>
        <v>2024</v>
      </c>
      <c r="C149" s="107">
        <f>[22]С2.5!$I$11</f>
        <v>0</v>
      </c>
    </row>
    <row r="150" spans="1:3" ht="13.5" hidden="1" thickBot="1" x14ac:dyDescent="0.25">
      <c r="B150" s="106">
        <f t="shared" si="0"/>
        <v>2025</v>
      </c>
      <c r="C150" s="107">
        <f>[22]С2.5!$J$11</f>
        <v>0</v>
      </c>
    </row>
    <row r="151" spans="1:3" ht="13.5" hidden="1" thickBot="1" x14ac:dyDescent="0.25">
      <c r="B151" s="106">
        <f t="shared" si="0"/>
        <v>2026</v>
      </c>
      <c r="C151" s="107">
        <f>[22]С2.5!$K$11</f>
        <v>0</v>
      </c>
    </row>
    <row r="152" spans="1:3" ht="13.5" hidden="1" thickBot="1" x14ac:dyDescent="0.25">
      <c r="B152" s="106">
        <f t="shared" si="0"/>
        <v>2027</v>
      </c>
      <c r="C152" s="107">
        <f>[22]С2.5!$L$11</f>
        <v>0</v>
      </c>
    </row>
    <row r="153" spans="1:3" ht="13.5" hidden="1" thickBot="1" x14ac:dyDescent="0.25">
      <c r="B153" s="106">
        <f t="shared" si="0"/>
        <v>2028</v>
      </c>
      <c r="C153" s="107">
        <f>[22]С2.5!$M$11</f>
        <v>0</v>
      </c>
    </row>
    <row r="154" spans="1:3" ht="13.5" hidden="1" thickBot="1" x14ac:dyDescent="0.25">
      <c r="B154" s="106">
        <f t="shared" si="0"/>
        <v>2029</v>
      </c>
      <c r="C154" s="107">
        <f>[22]С2.5!$N$11</f>
        <v>0</v>
      </c>
    </row>
    <row r="155" spans="1:3" ht="13.5" hidden="1" thickBot="1" x14ac:dyDescent="0.25">
      <c r="B155" s="106">
        <f t="shared" si="0"/>
        <v>2030</v>
      </c>
      <c r="C155" s="107">
        <f>[22]С2.5!$O$11</f>
        <v>0</v>
      </c>
    </row>
    <row r="156" spans="1:3" ht="13.5" hidden="1" thickBot="1" x14ac:dyDescent="0.25">
      <c r="B156" s="106">
        <f t="shared" si="0"/>
        <v>2031</v>
      </c>
      <c r="C156" s="107">
        <f>[22]С2.5!$P$11</f>
        <v>0</v>
      </c>
    </row>
    <row r="157" spans="1:3" ht="13.5" hidden="1" thickBot="1" x14ac:dyDescent="0.25">
      <c r="B157" s="106">
        <f t="shared" si="0"/>
        <v>2032</v>
      </c>
      <c r="C157" s="107">
        <f>[22]С2.5!$Q$11</f>
        <v>0</v>
      </c>
    </row>
    <row r="158" spans="1:3" ht="13.5" hidden="1" thickBot="1" x14ac:dyDescent="0.25">
      <c r="B158" s="106">
        <f t="shared" si="0"/>
        <v>2033</v>
      </c>
      <c r="C158" s="107">
        <f>[22]С2.5!$R$11</f>
        <v>0</v>
      </c>
    </row>
    <row r="159" spans="1:3" ht="13.5" hidden="1" thickBot="1" x14ac:dyDescent="0.25">
      <c r="B159" s="106">
        <f t="shared" si="0"/>
        <v>2034</v>
      </c>
      <c r="C159" s="107">
        <f>[22]С2.5!$S$11</f>
        <v>0</v>
      </c>
    </row>
    <row r="160" spans="1:3" ht="13.5" hidden="1" thickBot="1" x14ac:dyDescent="0.25">
      <c r="B160" s="106">
        <f t="shared" si="0"/>
        <v>2035</v>
      </c>
      <c r="C160" s="107">
        <f>[22]С2.5!$T$11</f>
        <v>0</v>
      </c>
    </row>
    <row r="161" spans="2:3" ht="13.5" hidden="1" thickBot="1" x14ac:dyDescent="0.25">
      <c r="B161" s="106">
        <f t="shared" si="0"/>
        <v>2036</v>
      </c>
      <c r="C161" s="107">
        <f>[22]С2.5!$U$11</f>
        <v>0</v>
      </c>
    </row>
    <row r="162" spans="2:3" ht="13.5" hidden="1" thickBot="1" x14ac:dyDescent="0.25">
      <c r="B162" s="106">
        <f t="shared" si="0"/>
        <v>2037</v>
      </c>
      <c r="C162" s="107">
        <f>[22]С2.5!$V$11</f>
        <v>0</v>
      </c>
    </row>
    <row r="163" spans="2:3" ht="13.5" hidden="1" thickBot="1" x14ac:dyDescent="0.25">
      <c r="B163" s="106">
        <f t="shared" si="0"/>
        <v>2038</v>
      </c>
      <c r="C163" s="107">
        <f>[22]С2.5!$W$11</f>
        <v>0</v>
      </c>
    </row>
    <row r="164" spans="2:3" ht="13.5" hidden="1" thickBot="1" x14ac:dyDescent="0.25">
      <c r="B164" s="106">
        <f t="shared" si="0"/>
        <v>2039</v>
      </c>
      <c r="C164" s="107">
        <f>[22]С2.5!$X$11</f>
        <v>0</v>
      </c>
    </row>
    <row r="165" spans="2:3" ht="13.5" hidden="1" thickBot="1" x14ac:dyDescent="0.25">
      <c r="B165" s="106">
        <f t="shared" si="0"/>
        <v>2040</v>
      </c>
      <c r="C165" s="107">
        <f>[22]С2.5!$Y$11</f>
        <v>0</v>
      </c>
    </row>
    <row r="166" spans="2:3" ht="13.5" hidden="1" thickBot="1" x14ac:dyDescent="0.25">
      <c r="B166" s="106">
        <f t="shared" si="0"/>
        <v>2041</v>
      </c>
      <c r="C166" s="107">
        <f>[22]С2.5!$Z$11</f>
        <v>0</v>
      </c>
    </row>
    <row r="167" spans="2:3" ht="13.5" hidden="1" thickBot="1" x14ac:dyDescent="0.25">
      <c r="B167" s="106">
        <f t="shared" si="0"/>
        <v>2042</v>
      </c>
      <c r="C167" s="107">
        <f>[22]С2.5!$AA$11</f>
        <v>0</v>
      </c>
    </row>
    <row r="168" spans="2:3" ht="13.5" hidden="1" thickBot="1" x14ac:dyDescent="0.25">
      <c r="B168" s="106">
        <f t="shared" si="0"/>
        <v>2043</v>
      </c>
      <c r="C168" s="107">
        <f>[22]С2.5!$AB$11</f>
        <v>0</v>
      </c>
    </row>
    <row r="169" spans="2:3" ht="13.5" hidden="1" thickBot="1" x14ac:dyDescent="0.25">
      <c r="B169" s="106">
        <f t="shared" si="0"/>
        <v>2044</v>
      </c>
      <c r="C169" s="107">
        <f>[22]С2.5!$AC$11</f>
        <v>0</v>
      </c>
    </row>
    <row r="170" spans="2:3" ht="13.5" hidden="1" thickBot="1" x14ac:dyDescent="0.25">
      <c r="B170" s="106">
        <f t="shared" si="0"/>
        <v>2045</v>
      </c>
      <c r="C170" s="107">
        <f>[22]С2.5!$AD$11</f>
        <v>0</v>
      </c>
    </row>
    <row r="171" spans="2:3" ht="13.5" hidden="1" thickBot="1" x14ac:dyDescent="0.25">
      <c r="B171" s="106">
        <f t="shared" si="0"/>
        <v>2046</v>
      </c>
      <c r="C171" s="107">
        <f>[22]С2.5!$AE$11</f>
        <v>0</v>
      </c>
    </row>
    <row r="172" spans="2:3" ht="13.5" hidden="1" thickBot="1" x14ac:dyDescent="0.25">
      <c r="B172" s="106">
        <f t="shared" si="0"/>
        <v>2047</v>
      </c>
      <c r="C172" s="107">
        <f>[22]С2.5!$AF$11</f>
        <v>0</v>
      </c>
    </row>
    <row r="173" spans="2:3" ht="13.5" hidden="1" thickBot="1" x14ac:dyDescent="0.25">
      <c r="B173" s="106">
        <f t="shared" si="0"/>
        <v>2048</v>
      </c>
      <c r="C173" s="107">
        <f>[22]С2.5!$AG$11</f>
        <v>0</v>
      </c>
    </row>
    <row r="174" spans="2:3" ht="13.5" hidden="1" thickBot="1" x14ac:dyDescent="0.25">
      <c r="B174" s="106">
        <f t="shared" si="0"/>
        <v>2049</v>
      </c>
      <c r="C174" s="107">
        <f>[22]С2.5!$AH$11</f>
        <v>0</v>
      </c>
    </row>
    <row r="175" spans="2:3" ht="13.5" hidden="1" thickBot="1" x14ac:dyDescent="0.25">
      <c r="B175" s="106">
        <f t="shared" si="0"/>
        <v>2050</v>
      </c>
      <c r="C175" s="107">
        <f>[22]С2.5!$AI$11</f>
        <v>0</v>
      </c>
    </row>
    <row r="176" spans="2:3" ht="13.5" hidden="1" thickBot="1" x14ac:dyDescent="0.25">
      <c r="B176" s="106">
        <f t="shared" si="0"/>
        <v>2051</v>
      </c>
      <c r="C176" s="107">
        <f>[22]С2.5!$AJ$11</f>
        <v>0</v>
      </c>
    </row>
    <row r="177" spans="2:3" ht="13.5" hidden="1" thickBot="1" x14ac:dyDescent="0.25">
      <c r="B177" s="106">
        <f t="shared" si="0"/>
        <v>2052</v>
      </c>
      <c r="C177" s="107">
        <f>[22]С2.5!$AK$11</f>
        <v>0</v>
      </c>
    </row>
    <row r="178" spans="2:3" ht="13.5" hidden="1" thickBot="1" x14ac:dyDescent="0.25">
      <c r="B178" s="106">
        <f t="shared" si="0"/>
        <v>2053</v>
      </c>
      <c r="C178" s="107">
        <f>[22]С2.5!$AL$11</f>
        <v>0</v>
      </c>
    </row>
    <row r="179" spans="2:3" ht="13.5" hidden="1" thickBot="1" x14ac:dyDescent="0.25">
      <c r="B179" s="106">
        <f t="shared" si="0"/>
        <v>2054</v>
      </c>
      <c r="C179" s="107">
        <f>[22]С2.5!$AM$11</f>
        <v>0</v>
      </c>
    </row>
    <row r="180" spans="2:3" ht="13.5" hidden="1" thickBot="1" x14ac:dyDescent="0.25">
      <c r="B180" s="106">
        <f t="shared" si="0"/>
        <v>2055</v>
      </c>
      <c r="C180" s="107">
        <f>[22]С2.5!$AN$11</f>
        <v>0</v>
      </c>
    </row>
    <row r="181" spans="2:3" ht="13.5" hidden="1" thickBot="1" x14ac:dyDescent="0.25">
      <c r="B181" s="106">
        <f t="shared" si="0"/>
        <v>2056</v>
      </c>
      <c r="C181" s="107">
        <f>[22]С2.5!$AO$11</f>
        <v>0</v>
      </c>
    </row>
    <row r="182" spans="2:3" ht="13.5" hidden="1" thickBot="1" x14ac:dyDescent="0.25">
      <c r="B182" s="106">
        <f t="shared" si="0"/>
        <v>2057</v>
      </c>
      <c r="C182" s="107">
        <f>[22]С2.5!$AP$11</f>
        <v>0</v>
      </c>
    </row>
    <row r="183" spans="2:3" ht="13.5" hidden="1" thickBot="1" x14ac:dyDescent="0.25">
      <c r="B183" s="106">
        <f t="shared" si="0"/>
        <v>2058</v>
      </c>
      <c r="C183" s="107">
        <f>[22]С2.5!$AQ$11</f>
        <v>0</v>
      </c>
    </row>
    <row r="184" spans="2:3" ht="13.5" hidden="1" thickBot="1" x14ac:dyDescent="0.25">
      <c r="B184" s="106">
        <f t="shared" si="0"/>
        <v>2059</v>
      </c>
      <c r="C184" s="107">
        <f>[22]С2.5!$AR$11</f>
        <v>0</v>
      </c>
    </row>
    <row r="185" spans="2:3" ht="13.5" hidden="1" thickBot="1" x14ac:dyDescent="0.25">
      <c r="B185" s="106">
        <f t="shared" si="0"/>
        <v>2060</v>
      </c>
      <c r="C185" s="107">
        <f>[22]С2.5!$AS$11</f>
        <v>0</v>
      </c>
    </row>
    <row r="186" spans="2:3" ht="13.5" hidden="1" thickBot="1" x14ac:dyDescent="0.25">
      <c r="B186" s="106">
        <f t="shared" si="0"/>
        <v>2061</v>
      </c>
      <c r="C186" s="107">
        <f>[22]С2.5!$AT$11</f>
        <v>0</v>
      </c>
    </row>
    <row r="187" spans="2:3" ht="13.5" hidden="1" thickBot="1" x14ac:dyDescent="0.25">
      <c r="B187" s="106">
        <f t="shared" si="0"/>
        <v>2062</v>
      </c>
      <c r="C187" s="107">
        <f>[22]С2.5!$AU$11</f>
        <v>0</v>
      </c>
    </row>
    <row r="188" spans="2:3" ht="13.5" hidden="1" thickBot="1" x14ac:dyDescent="0.25">
      <c r="B188" s="106">
        <f t="shared" si="0"/>
        <v>2063</v>
      </c>
      <c r="C188" s="107">
        <f>[22]С2.5!$AV$11</f>
        <v>0</v>
      </c>
    </row>
    <row r="189" spans="2:3" ht="13.5" hidden="1" thickBot="1" x14ac:dyDescent="0.25">
      <c r="B189" s="106">
        <f t="shared" si="0"/>
        <v>2064</v>
      </c>
      <c r="C189" s="107">
        <f>[22]С2.5!$AW$11</f>
        <v>0</v>
      </c>
    </row>
    <row r="190" spans="2:3" ht="13.5" hidden="1" thickBot="1" x14ac:dyDescent="0.25">
      <c r="B190" s="106">
        <f t="shared" si="0"/>
        <v>2065</v>
      </c>
      <c r="C190" s="107">
        <f>[22]С2.5!$AX$11</f>
        <v>0</v>
      </c>
    </row>
    <row r="191" spans="2:3" ht="13.5" hidden="1" thickBot="1" x14ac:dyDescent="0.25">
      <c r="B191" s="106">
        <f t="shared" si="0"/>
        <v>2066</v>
      </c>
      <c r="C191" s="107">
        <f>[22]С2.5!$AY$11</f>
        <v>0</v>
      </c>
    </row>
    <row r="192" spans="2:3" ht="13.5" hidden="1" thickBot="1" x14ac:dyDescent="0.25">
      <c r="B192" s="106">
        <f t="shared" si="0"/>
        <v>2067</v>
      </c>
      <c r="C192" s="107">
        <f>[22]С2.5!$AZ$11</f>
        <v>0</v>
      </c>
    </row>
    <row r="193" spans="2:3" ht="13.5" hidden="1" thickBot="1" x14ac:dyDescent="0.25">
      <c r="B193" s="106">
        <f t="shared" si="0"/>
        <v>2068</v>
      </c>
      <c r="C193" s="107">
        <f>[22]С2.5!$BA$11</f>
        <v>0</v>
      </c>
    </row>
    <row r="194" spans="2:3" ht="13.5" hidden="1" thickBot="1" x14ac:dyDescent="0.25">
      <c r="B194" s="106">
        <f t="shared" si="0"/>
        <v>2069</v>
      </c>
      <c r="C194" s="107">
        <f>[22]С2.5!$BB$11</f>
        <v>0</v>
      </c>
    </row>
    <row r="195" spans="2:3" ht="13.5" hidden="1" thickBot="1" x14ac:dyDescent="0.25">
      <c r="B195" s="106">
        <f t="shared" si="0"/>
        <v>2070</v>
      </c>
      <c r="C195" s="107">
        <f>[22]С2.5!$BC$11</f>
        <v>0</v>
      </c>
    </row>
    <row r="196" spans="2:3" ht="13.5" hidden="1" thickBot="1" x14ac:dyDescent="0.25">
      <c r="B196" s="106">
        <f t="shared" si="0"/>
        <v>2071</v>
      </c>
      <c r="C196" s="107">
        <f>[22]С2.5!$BD$11</f>
        <v>0</v>
      </c>
    </row>
    <row r="197" spans="2:3" ht="13.5" hidden="1" thickBot="1" x14ac:dyDescent="0.25">
      <c r="B197" s="106">
        <f t="shared" si="0"/>
        <v>2072</v>
      </c>
      <c r="C197" s="107">
        <f>[22]С2.5!$BE$11</f>
        <v>0</v>
      </c>
    </row>
    <row r="198" spans="2:3" ht="13.5" hidden="1" thickBot="1" x14ac:dyDescent="0.25">
      <c r="B198" s="106">
        <f t="shared" si="0"/>
        <v>2073</v>
      </c>
      <c r="C198" s="107">
        <f>[22]С2.5!$BF$11</f>
        <v>0</v>
      </c>
    </row>
    <row r="199" spans="2:3" ht="13.5" hidden="1" thickBot="1" x14ac:dyDescent="0.25">
      <c r="B199" s="106">
        <f t="shared" si="0"/>
        <v>2074</v>
      </c>
      <c r="C199" s="107">
        <f>[22]С2.5!$BG$11</f>
        <v>0</v>
      </c>
    </row>
    <row r="200" spans="2:3" ht="13.5" hidden="1" thickBot="1" x14ac:dyDescent="0.25">
      <c r="B200" s="106">
        <f t="shared" si="0"/>
        <v>2075</v>
      </c>
      <c r="C200" s="107">
        <f>[22]С2.5!$BH$11</f>
        <v>0</v>
      </c>
    </row>
    <row r="201" spans="2:3" ht="13.5" hidden="1" thickBot="1" x14ac:dyDescent="0.25">
      <c r="B201" s="106">
        <f t="shared" si="0"/>
        <v>2076</v>
      </c>
      <c r="C201" s="107">
        <f>[22]С2.5!$BI$11</f>
        <v>0</v>
      </c>
    </row>
    <row r="202" spans="2:3" ht="13.5" hidden="1" thickBot="1" x14ac:dyDescent="0.25">
      <c r="B202" s="106">
        <f t="shared" si="0"/>
        <v>2077</v>
      </c>
      <c r="C202" s="107">
        <f>[22]С2.5!$BJ$11</f>
        <v>0</v>
      </c>
    </row>
    <row r="203" spans="2:3" ht="13.5" hidden="1" thickBot="1" x14ac:dyDescent="0.25">
      <c r="B203" s="106">
        <f t="shared" si="0"/>
        <v>2078</v>
      </c>
      <c r="C203" s="107">
        <f>[22]С2.5!$BK$11</f>
        <v>0</v>
      </c>
    </row>
    <row r="204" spans="2:3" ht="13.5" hidden="1" thickBot="1" x14ac:dyDescent="0.25">
      <c r="B204" s="106">
        <f t="shared" si="0"/>
        <v>2079</v>
      </c>
      <c r="C204" s="107">
        <f>[22]С2.5!$BL$11</f>
        <v>0</v>
      </c>
    </row>
    <row r="205" spans="2:3" ht="13.5" hidden="1" thickBot="1" x14ac:dyDescent="0.25">
      <c r="B205" s="106">
        <f t="shared" si="0"/>
        <v>2080</v>
      </c>
      <c r="C205" s="107">
        <f>[22]С2.5!$BM$11</f>
        <v>0</v>
      </c>
    </row>
    <row r="206" spans="2:3" ht="13.5" hidden="1" thickBot="1" x14ac:dyDescent="0.25">
      <c r="B206" s="106">
        <f t="shared" si="0"/>
        <v>2081</v>
      </c>
      <c r="C206" s="107">
        <f>[22]С2.5!$BN$11</f>
        <v>0</v>
      </c>
    </row>
    <row r="207" spans="2:3" ht="13.5" hidden="1" thickBot="1" x14ac:dyDescent="0.25">
      <c r="B207" s="106">
        <f t="shared" si="0"/>
        <v>2082</v>
      </c>
      <c r="C207" s="107">
        <f>[22]С2.5!$BO$11</f>
        <v>0</v>
      </c>
    </row>
    <row r="208" spans="2:3" ht="13.5" hidden="1" thickBot="1" x14ac:dyDescent="0.25">
      <c r="B208" s="106">
        <f t="shared" si="0"/>
        <v>2083</v>
      </c>
      <c r="C208" s="107">
        <f>[22]С2.5!$BP$11</f>
        <v>0</v>
      </c>
    </row>
    <row r="209" spans="2:3" ht="13.5" hidden="1" thickBot="1" x14ac:dyDescent="0.25">
      <c r="B209" s="106">
        <f t="shared" si="0"/>
        <v>2084</v>
      </c>
      <c r="C209" s="107">
        <f>[22]С2.5!$BQ$11</f>
        <v>0</v>
      </c>
    </row>
    <row r="210" spans="2:3" ht="13.5" hidden="1" thickBot="1" x14ac:dyDescent="0.25">
      <c r="B210" s="106">
        <f t="shared" si="0"/>
        <v>2085</v>
      </c>
      <c r="C210" s="107">
        <f>[22]С2.5!$BR$11</f>
        <v>0</v>
      </c>
    </row>
    <row r="211" spans="2:3" ht="13.5" hidden="1" thickBot="1" x14ac:dyDescent="0.25">
      <c r="B211" s="106">
        <f t="shared" ref="B211:B224" si="1">B210+1</f>
        <v>2086</v>
      </c>
      <c r="C211" s="107">
        <f>[22]С2.5!$BS$11</f>
        <v>0</v>
      </c>
    </row>
    <row r="212" spans="2:3" ht="13.5" hidden="1" thickBot="1" x14ac:dyDescent="0.25">
      <c r="B212" s="106">
        <f t="shared" si="1"/>
        <v>2087</v>
      </c>
      <c r="C212" s="107">
        <f>[22]С2.5!$BT$11</f>
        <v>0</v>
      </c>
    </row>
    <row r="213" spans="2:3" ht="13.5" hidden="1" thickBot="1" x14ac:dyDescent="0.25">
      <c r="B213" s="106">
        <f t="shared" si="1"/>
        <v>2088</v>
      </c>
      <c r="C213" s="107">
        <f>[22]С2.5!$BU$11</f>
        <v>0</v>
      </c>
    </row>
    <row r="214" spans="2:3" ht="13.5" hidden="1" thickBot="1" x14ac:dyDescent="0.25">
      <c r="B214" s="106">
        <f t="shared" si="1"/>
        <v>2089</v>
      </c>
      <c r="C214" s="107">
        <f>[22]С2.5!$BV$11</f>
        <v>0</v>
      </c>
    </row>
    <row r="215" spans="2:3" ht="13.5" hidden="1" thickBot="1" x14ac:dyDescent="0.25">
      <c r="B215" s="106">
        <f t="shared" si="1"/>
        <v>2090</v>
      </c>
      <c r="C215" s="107">
        <f>[22]С2.5!$BW$11</f>
        <v>0</v>
      </c>
    </row>
    <row r="216" spans="2:3" ht="13.5" hidden="1" thickBot="1" x14ac:dyDescent="0.25">
      <c r="B216" s="106">
        <f t="shared" si="1"/>
        <v>2091</v>
      </c>
      <c r="C216" s="107">
        <f>[22]С2.5!$BX$11</f>
        <v>0</v>
      </c>
    </row>
    <row r="217" spans="2:3" ht="13.5" hidden="1" thickBot="1" x14ac:dyDescent="0.25">
      <c r="B217" s="106">
        <f t="shared" si="1"/>
        <v>2092</v>
      </c>
      <c r="C217" s="107">
        <f>[22]С2.5!$BY$11</f>
        <v>0</v>
      </c>
    </row>
    <row r="218" spans="2:3" ht="13.5" hidden="1" thickBot="1" x14ac:dyDescent="0.25">
      <c r="B218" s="106">
        <f t="shared" si="1"/>
        <v>2093</v>
      </c>
      <c r="C218" s="107">
        <f>[22]С2.5!$BZ$11</f>
        <v>0</v>
      </c>
    </row>
    <row r="219" spans="2:3" ht="13.5" hidden="1" thickBot="1" x14ac:dyDescent="0.25">
      <c r="B219" s="106">
        <f t="shared" si="1"/>
        <v>2094</v>
      </c>
      <c r="C219" s="107">
        <f>[22]С2.5!$CA$11</f>
        <v>0</v>
      </c>
    </row>
    <row r="220" spans="2:3" ht="13.5" hidden="1" thickBot="1" x14ac:dyDescent="0.25">
      <c r="B220" s="106">
        <f t="shared" si="1"/>
        <v>2095</v>
      </c>
      <c r="C220" s="107">
        <f>[22]С2.5!$CB$11</f>
        <v>0</v>
      </c>
    </row>
    <row r="221" spans="2:3" ht="13.5" hidden="1" thickBot="1" x14ac:dyDescent="0.25">
      <c r="B221" s="106">
        <f t="shared" si="1"/>
        <v>2096</v>
      </c>
      <c r="C221" s="107">
        <f>[22]С2.5!$CC$11</f>
        <v>0</v>
      </c>
    </row>
    <row r="222" spans="2:3" ht="13.5" hidden="1" thickBot="1" x14ac:dyDescent="0.25">
      <c r="B222" s="106">
        <f t="shared" si="1"/>
        <v>2097</v>
      </c>
      <c r="C222" s="107">
        <f>[22]С2.5!$CD$11</f>
        <v>0</v>
      </c>
    </row>
    <row r="223" spans="2:3" ht="13.5" hidden="1" thickBot="1" x14ac:dyDescent="0.25">
      <c r="B223" s="106">
        <f t="shared" si="1"/>
        <v>2098</v>
      </c>
      <c r="C223" s="107">
        <f>[22]С2.5!$CE$11</f>
        <v>0</v>
      </c>
    </row>
    <row r="224" spans="2:3" ht="13.5" hidden="1" thickBot="1" x14ac:dyDescent="0.25">
      <c r="B224" s="106">
        <f t="shared" si="1"/>
        <v>2099</v>
      </c>
      <c r="C224" s="107">
        <f>[22]С2.5!$CF$11</f>
        <v>0</v>
      </c>
    </row>
    <row r="225" spans="2:3" ht="13.5" hidden="1" thickBot="1" x14ac:dyDescent="0.25">
      <c r="B225" s="108">
        <f>B162+1</f>
        <v>2038</v>
      </c>
      <c r="C225" s="109" t="e">
        <f>[22]С2.5!#REF!</f>
        <v>#REF!</v>
      </c>
    </row>
    <row r="226" spans="2:3" x14ac:dyDescent="0.2">
      <c r="B226" s="110"/>
      <c r="C226" s="111"/>
    </row>
  </sheetData>
  <mergeCells count="9">
    <mergeCell ref="B1:C1"/>
    <mergeCell ref="A14:C14"/>
    <mergeCell ref="B27:C27"/>
    <mergeCell ref="B143:C143"/>
    <mergeCell ref="B45:C45"/>
    <mergeCell ref="B90:C90"/>
    <mergeCell ref="B101:C101"/>
    <mergeCell ref="B126:C126"/>
    <mergeCell ref="B129:C129"/>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21505" r:id="rId4" name="Button 1">
              <controlPr defaultSize="0" print="0" autoFill="0" autoPict="0" macro="[22]!Лист29.PrintBlock">
                <anchor moveWithCells="1" sizeWithCells="1">
                  <from>
                    <xdr:col>3</xdr:col>
                    <xdr:colOff>47625</xdr:colOff>
                    <xdr:row>0</xdr:row>
                    <xdr:rowOff>104775</xdr:rowOff>
                  </from>
                  <to>
                    <xdr:col>4</xdr:col>
                    <xdr:colOff>1095375</xdr:colOff>
                    <xdr:row>0</xdr:row>
                    <xdr:rowOff>352425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21</vt:i4>
      </vt:variant>
      <vt:variant>
        <vt:lpstr>Именованные диапазоны</vt:lpstr>
      </vt:variant>
      <vt:variant>
        <vt:i4>21</vt:i4>
      </vt:variant>
    </vt:vector>
  </HeadingPairs>
  <TitlesOfParts>
    <vt:vector size="42" baseType="lpstr">
      <vt:lpstr>Новошарапский</vt:lpstr>
      <vt:lpstr>Березовский</vt:lpstr>
      <vt:lpstr>Вагайцевский</vt:lpstr>
      <vt:lpstr>Верх-Алеусский</vt:lpstr>
      <vt:lpstr>Верх-Ирменский</vt:lpstr>
      <vt:lpstr>Верх-Чикский</vt:lpstr>
      <vt:lpstr>Кирзинский</vt:lpstr>
      <vt:lpstr>Козихинский</vt:lpstr>
      <vt:lpstr>Красноярский</vt:lpstr>
      <vt:lpstr>Нижнекаменский</vt:lpstr>
      <vt:lpstr>Новопичуговский</vt:lpstr>
      <vt:lpstr>Чингисский</vt:lpstr>
      <vt:lpstr>Шаидуровский</vt:lpstr>
      <vt:lpstr>Петровский</vt:lpstr>
      <vt:lpstr>Пролетарский</vt:lpstr>
      <vt:lpstr>Рогалевский</vt:lpstr>
      <vt:lpstr>Спиринский</vt:lpstr>
      <vt:lpstr>Усть-Луковский</vt:lpstr>
      <vt:lpstr>Устюжанинский</vt:lpstr>
      <vt:lpstr>Филипповский</vt:lpstr>
      <vt:lpstr>р.п. Ордынское</vt:lpstr>
      <vt:lpstr>Березовский!Область_печати</vt:lpstr>
      <vt:lpstr>Вагайцевский!Область_печати</vt:lpstr>
      <vt:lpstr>'Верх-Алеусский'!Область_печати</vt:lpstr>
      <vt:lpstr>'Верх-Ирменский'!Область_печати</vt:lpstr>
      <vt:lpstr>'Верх-Чикский'!Область_печати</vt:lpstr>
      <vt:lpstr>Кирзинский!Область_печати</vt:lpstr>
      <vt:lpstr>Козихинский!Область_печати</vt:lpstr>
      <vt:lpstr>Красноярский!Область_печати</vt:lpstr>
      <vt:lpstr>Нижнекаменский!Область_печати</vt:lpstr>
      <vt:lpstr>Новопичуговский!Область_печати</vt:lpstr>
      <vt:lpstr>Новошарапский!Область_печати</vt:lpstr>
      <vt:lpstr>Петровский!Область_печати</vt:lpstr>
      <vt:lpstr>Пролетарский!Область_печати</vt:lpstr>
      <vt:lpstr>'р.п. Ордынское'!Область_печати</vt:lpstr>
      <vt:lpstr>Рогалевский!Область_печати</vt:lpstr>
      <vt:lpstr>Спиринский!Область_печати</vt:lpstr>
      <vt:lpstr>'Усть-Луковский'!Область_печати</vt:lpstr>
      <vt:lpstr>Устюжанинский!Область_печати</vt:lpstr>
      <vt:lpstr>Филипповский!Область_печати</vt:lpstr>
      <vt:lpstr>Чингисский!Область_печати</vt:lpstr>
      <vt:lpstr>Шаидуровский!Область_печати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2023-01-18T04:53:33Z</dcterms:modified>
</cp:coreProperties>
</file>