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2870" windowHeight="10395" firstSheet="11" activeTab="20"/>
  </bookViews>
  <sheets>
    <sheet name="Новошарапский" sheetId="25" r:id="rId1"/>
    <sheet name="Березовский" sheetId="26" r:id="rId2"/>
    <sheet name="Вагайцевский" sheetId="27" r:id="rId3"/>
    <sheet name="Верх-Алеусский" sheetId="28" r:id="rId4"/>
    <sheet name="Верх-Ирменский" sheetId="29" r:id="rId5"/>
    <sheet name="Верх-Чикский" sheetId="30" r:id="rId6"/>
    <sheet name="Кирзинский" sheetId="31" r:id="rId7"/>
    <sheet name="Козихинский" sheetId="32" r:id="rId8"/>
    <sheet name="Красноярский" sheetId="33" r:id="rId9"/>
    <sheet name="Нижнекаменский" sheetId="34" r:id="rId10"/>
    <sheet name="Новопичуговский" sheetId="35" r:id="rId11"/>
    <sheet name="Чингисский" sheetId="36" r:id="rId12"/>
    <sheet name="Шаидуровский" sheetId="37" r:id="rId13"/>
    <sheet name="Петровский" sheetId="38" r:id="rId14"/>
    <sheet name="Пролетарский" sheetId="39" r:id="rId15"/>
    <sheet name="Рогалевский" sheetId="40" r:id="rId16"/>
    <sheet name="Спиринский" sheetId="41" r:id="rId17"/>
    <sheet name="Усть-Луковский" sheetId="42" r:id="rId18"/>
    <sheet name="Устюжанинский" sheetId="43" r:id="rId19"/>
    <sheet name="Филипповский" sheetId="44" r:id="rId20"/>
    <sheet name="р.п. Ордынское" sheetId="45"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srok">[1]Предположения!$E$161</definedName>
    <definedName name="tar">[1]Предположения!$E$165</definedName>
    <definedName name="_xlnm.Print_Area" localSheetId="1">Березовский!#REF!</definedName>
    <definedName name="_xlnm.Print_Area" localSheetId="2">Вагайцевский!#REF!</definedName>
    <definedName name="_xlnm.Print_Area" localSheetId="3">'Верх-Алеусский'!#REF!</definedName>
    <definedName name="_xlnm.Print_Area" localSheetId="4">'Верх-Ирменский'!#REF!</definedName>
    <definedName name="_xlnm.Print_Area" localSheetId="5">'Верх-Чикский'!#REF!</definedName>
    <definedName name="_xlnm.Print_Area" localSheetId="6">Кирзинский!#REF!</definedName>
    <definedName name="_xlnm.Print_Area" localSheetId="7">Козихинский!#REF!</definedName>
    <definedName name="_xlnm.Print_Area" localSheetId="8">Красноярский!#REF!</definedName>
    <definedName name="_xlnm.Print_Area" localSheetId="9">Нижнекаменский!#REF!</definedName>
    <definedName name="_xlnm.Print_Area" localSheetId="10">Новопичуговский!#REF!</definedName>
    <definedName name="_xlnm.Print_Area" localSheetId="0">Новошарапский!#REF!</definedName>
    <definedName name="_xlnm.Print_Area" localSheetId="13">Петровский!#REF!</definedName>
    <definedName name="_xlnm.Print_Area" localSheetId="14">Пролетарский!#REF!</definedName>
    <definedName name="_xlnm.Print_Area" localSheetId="20">'р.п. Ордынское'!#REF!</definedName>
    <definedName name="_xlnm.Print_Area" localSheetId="15">Рогалевский!#REF!</definedName>
    <definedName name="_xlnm.Print_Area" localSheetId="16">Спиринский!#REF!</definedName>
    <definedName name="_xlnm.Print_Area" localSheetId="17">'Усть-Луковский'!#REF!</definedName>
    <definedName name="_xlnm.Print_Area" localSheetId="18">Устюжанинский!#REF!</definedName>
    <definedName name="_xlnm.Print_Area" localSheetId="19">Филипповский!#REF!</definedName>
    <definedName name="_xlnm.Print_Area" localSheetId="11">Чингисский!#REF!</definedName>
    <definedName name="_xlnm.Print_Area" localSheetId="12">Шаидуровский!#REF!</definedName>
  </definedNames>
  <calcPr calcId="145621"/>
</workbook>
</file>

<file path=xl/calcChain.xml><?xml version="1.0" encoding="utf-8"?>
<calcChain xmlns="http://schemas.openxmlformats.org/spreadsheetml/2006/main">
  <c r="C225" i="45" l="1"/>
  <c r="C224" i="45"/>
  <c r="C223" i="45"/>
  <c r="C222" i="45"/>
  <c r="C221" i="45"/>
  <c r="C220" i="45"/>
  <c r="C219" i="45"/>
  <c r="C218" i="45"/>
  <c r="C217" i="45"/>
  <c r="C216" i="45"/>
  <c r="C215" i="45"/>
  <c r="C214" i="45"/>
  <c r="C213" i="45"/>
  <c r="C212" i="45"/>
  <c r="C211" i="45"/>
  <c r="C210" i="45"/>
  <c r="C209" i="45"/>
  <c r="C208" i="45"/>
  <c r="C207" i="45"/>
  <c r="C206" i="45"/>
  <c r="C205" i="45"/>
  <c r="C204" i="45"/>
  <c r="C203" i="45"/>
  <c r="C202" i="45"/>
  <c r="C201" i="45"/>
  <c r="C200" i="45"/>
  <c r="C199" i="45"/>
  <c r="C198" i="45"/>
  <c r="C197" i="45"/>
  <c r="C196" i="45"/>
  <c r="C195" i="45"/>
  <c r="C194" i="45"/>
  <c r="C193" i="45"/>
  <c r="C192" i="45"/>
  <c r="C191" i="45"/>
  <c r="C190" i="45"/>
  <c r="C189" i="45"/>
  <c r="C188" i="45"/>
  <c r="C187" i="45"/>
  <c r="C186" i="45"/>
  <c r="C185" i="45"/>
  <c r="C184" i="45"/>
  <c r="C183" i="45"/>
  <c r="C182" i="45"/>
  <c r="C181" i="45"/>
  <c r="C180" i="45"/>
  <c r="C179" i="45"/>
  <c r="C178" i="45"/>
  <c r="C177" i="45"/>
  <c r="C176" i="45"/>
  <c r="C175" i="45"/>
  <c r="C174" i="45"/>
  <c r="C173" i="45"/>
  <c r="C172" i="45"/>
  <c r="C171" i="45"/>
  <c r="C170" i="45"/>
  <c r="C169" i="45"/>
  <c r="C168" i="45"/>
  <c r="C167" i="45"/>
  <c r="C166" i="45"/>
  <c r="C165" i="45"/>
  <c r="C164" i="45"/>
  <c r="C163" i="45"/>
  <c r="C162" i="45"/>
  <c r="C161" i="45"/>
  <c r="C160" i="45"/>
  <c r="C159" i="45"/>
  <c r="C158" i="45"/>
  <c r="C157" i="45"/>
  <c r="C156" i="45"/>
  <c r="C155" i="45"/>
  <c r="C154" i="45"/>
  <c r="C153" i="45"/>
  <c r="C152" i="45"/>
  <c r="C151" i="45"/>
  <c r="C150" i="45"/>
  <c r="C149" i="45"/>
  <c r="C148" i="45"/>
  <c r="C147" i="45"/>
  <c r="C146" i="45"/>
  <c r="B146" i="45"/>
  <c r="B147" i="45" s="1"/>
  <c r="B148" i="45" s="1"/>
  <c r="B149" i="45" s="1"/>
  <c r="B150" i="45" s="1"/>
  <c r="B151" i="45" s="1"/>
  <c r="B152" i="45" s="1"/>
  <c r="B153" i="45" s="1"/>
  <c r="B154" i="45" s="1"/>
  <c r="B155" i="45" s="1"/>
  <c r="B156" i="45" s="1"/>
  <c r="B157" i="45" s="1"/>
  <c r="B158" i="45" s="1"/>
  <c r="B159" i="45" s="1"/>
  <c r="B160" i="45" s="1"/>
  <c r="B161" i="45" s="1"/>
  <c r="B162" i="45" s="1"/>
  <c r="C145" i="45"/>
  <c r="C142" i="45"/>
  <c r="C140" i="45"/>
  <c r="C139" i="45"/>
  <c r="C138" i="45"/>
  <c r="C137" i="45"/>
  <c r="C135" i="45"/>
  <c r="C134" i="45"/>
  <c r="C133" i="45"/>
  <c r="C132" i="45"/>
  <c r="C131" i="45"/>
  <c r="C130" i="45"/>
  <c r="C127" i="45"/>
  <c r="C124" i="45"/>
  <c r="C123" i="45"/>
  <c r="C122" i="45"/>
  <c r="C121" i="45"/>
  <c r="C120" i="45"/>
  <c r="C119" i="45"/>
  <c r="C118" i="45"/>
  <c r="C117" i="45"/>
  <c r="C116" i="45"/>
  <c r="C115" i="45"/>
  <c r="C114" i="45"/>
  <c r="C113" i="45"/>
  <c r="C112" i="45"/>
  <c r="C111" i="45"/>
  <c r="C110" i="45"/>
  <c r="C109" i="45"/>
  <c r="C108" i="45"/>
  <c r="C107" i="45"/>
  <c r="C106" i="45"/>
  <c r="C105" i="45"/>
  <c r="C104" i="45"/>
  <c r="C103" i="45"/>
  <c r="C102" i="45"/>
  <c r="C99" i="45"/>
  <c r="C98" i="45"/>
  <c r="C97" i="45"/>
  <c r="C96" i="45"/>
  <c r="C95" i="45"/>
  <c r="C94" i="45"/>
  <c r="C93" i="45"/>
  <c r="C92" i="45"/>
  <c r="C91" i="45"/>
  <c r="C88" i="45"/>
  <c r="C87" i="45"/>
  <c r="C86" i="45"/>
  <c r="C85" i="45"/>
  <c r="C84" i="45"/>
  <c r="C83" i="45"/>
  <c r="C82" i="45"/>
  <c r="C81" i="45"/>
  <c r="C80" i="45"/>
  <c r="C79" i="45"/>
  <c r="C78" i="45"/>
  <c r="C77" i="45"/>
  <c r="C76" i="45"/>
  <c r="C75" i="45"/>
  <c r="C74" i="45"/>
  <c r="C73" i="45"/>
  <c r="C72" i="45"/>
  <c r="C71" i="45"/>
  <c r="C70" i="45"/>
  <c r="C69" i="45"/>
  <c r="C68" i="45"/>
  <c r="C67" i="45"/>
  <c r="C66" i="45"/>
  <c r="C65" i="45"/>
  <c r="C64" i="45"/>
  <c r="C63" i="45"/>
  <c r="C62" i="45"/>
  <c r="C61" i="45"/>
  <c r="C60" i="45"/>
  <c r="C59" i="45"/>
  <c r="C58" i="45"/>
  <c r="C57" i="45"/>
  <c r="C56" i="45"/>
  <c r="C55" i="45"/>
  <c r="C54" i="45"/>
  <c r="C53" i="45"/>
  <c r="C52" i="45"/>
  <c r="C51" i="45"/>
  <c r="C50" i="45"/>
  <c r="C49" i="45"/>
  <c r="C48" i="45"/>
  <c r="C47" i="45"/>
  <c r="C46" i="45"/>
  <c r="C43" i="45"/>
  <c r="C42" i="45"/>
  <c r="C41" i="45"/>
  <c r="C40" i="45"/>
  <c r="C39" i="45"/>
  <c r="C38" i="45"/>
  <c r="C37" i="45"/>
  <c r="C36" i="45"/>
  <c r="C35" i="45"/>
  <c r="C34" i="45"/>
  <c r="B34" i="45"/>
  <c r="C33" i="45"/>
  <c r="B33" i="45"/>
  <c r="C32" i="45"/>
  <c r="B32" i="45"/>
  <c r="C31" i="45"/>
  <c r="B31" i="45"/>
  <c r="C30" i="45"/>
  <c r="C29" i="45"/>
  <c r="C28" i="45"/>
  <c r="C23" i="45"/>
  <c r="C22" i="45"/>
  <c r="C21" i="45"/>
  <c r="C20" i="45"/>
  <c r="C19" i="45"/>
  <c r="C17" i="45" s="1"/>
  <c r="C18" i="45"/>
  <c r="C13" i="45"/>
  <c r="B13" i="45"/>
  <c r="C12" i="45"/>
  <c r="B12" i="45"/>
  <c r="C11" i="45"/>
  <c r="B11" i="45"/>
  <c r="C10" i="45"/>
  <c r="B10" i="45"/>
  <c r="C9" i="45"/>
  <c r="B9" i="45"/>
  <c r="C8" i="45"/>
  <c r="B8" i="45"/>
  <c r="C7" i="45"/>
  <c r="B7" i="45"/>
  <c r="C6" i="45"/>
  <c r="B6" i="45"/>
  <c r="C5" i="45"/>
  <c r="B5" i="45"/>
  <c r="C4" i="45"/>
  <c r="B4" i="45"/>
  <c r="B225" i="45" l="1"/>
  <c r="B163" i="45"/>
  <c r="B164" i="45" s="1"/>
  <c r="B165" i="45" s="1"/>
  <c r="B166" i="45" s="1"/>
  <c r="B167" i="45" s="1"/>
  <c r="B168" i="45" s="1"/>
  <c r="B169" i="45" s="1"/>
  <c r="B170" i="45" s="1"/>
  <c r="B171" i="45" s="1"/>
  <c r="B172" i="45" s="1"/>
  <c r="B173" i="45" s="1"/>
  <c r="B174" i="45" s="1"/>
  <c r="B175" i="45" s="1"/>
  <c r="B176" i="45" s="1"/>
  <c r="B177" i="45" s="1"/>
  <c r="B178" i="45" s="1"/>
  <c r="B179" i="45" s="1"/>
  <c r="B180" i="45" s="1"/>
  <c r="B181" i="45" s="1"/>
  <c r="B182" i="45" s="1"/>
  <c r="B183" i="45" s="1"/>
  <c r="B184" i="45" s="1"/>
  <c r="B185" i="45" s="1"/>
  <c r="B186" i="45" s="1"/>
  <c r="B187" i="45" s="1"/>
  <c r="B188" i="45" s="1"/>
  <c r="B189" i="45" s="1"/>
  <c r="B190" i="45" s="1"/>
  <c r="B191" i="45" s="1"/>
  <c r="B192" i="45" s="1"/>
  <c r="B193" i="45" s="1"/>
  <c r="B194" i="45" s="1"/>
  <c r="B195" i="45" s="1"/>
  <c r="B196" i="45" s="1"/>
  <c r="B197" i="45" s="1"/>
  <c r="B198" i="45" s="1"/>
  <c r="B199" i="45" s="1"/>
  <c r="B200" i="45" s="1"/>
  <c r="B201" i="45" s="1"/>
  <c r="B202" i="45" s="1"/>
  <c r="B203" i="45" s="1"/>
  <c r="B204" i="45" s="1"/>
  <c r="B205" i="45" s="1"/>
  <c r="B206" i="45" s="1"/>
  <c r="B207" i="45" s="1"/>
  <c r="B208" i="45" s="1"/>
  <c r="B209" i="45" s="1"/>
  <c r="B210" i="45" s="1"/>
  <c r="B211" i="45" s="1"/>
  <c r="B212" i="45" s="1"/>
  <c r="B213" i="45" s="1"/>
  <c r="B214" i="45" s="1"/>
  <c r="B215" i="45" s="1"/>
  <c r="B216" i="45" s="1"/>
  <c r="B217" i="45" s="1"/>
  <c r="B218" i="45" s="1"/>
  <c r="B219" i="45" s="1"/>
  <c r="B220" i="45" s="1"/>
  <c r="B221" i="45" s="1"/>
  <c r="B222" i="45" s="1"/>
  <c r="B223" i="45" s="1"/>
  <c r="B224" i="45" s="1"/>
  <c r="C223" i="44" l="1"/>
  <c r="C222" i="44"/>
  <c r="C221" i="44"/>
  <c r="C220" i="44"/>
  <c r="C219" i="44"/>
  <c r="C218" i="44"/>
  <c r="C217" i="44"/>
  <c r="C216" i="44"/>
  <c r="C215" i="44"/>
  <c r="C214" i="44"/>
  <c r="C213" i="44"/>
  <c r="C212" i="44"/>
  <c r="C211" i="44"/>
  <c r="C210" i="44"/>
  <c r="C209" i="44"/>
  <c r="C208" i="44"/>
  <c r="C207" i="44"/>
  <c r="C206" i="44"/>
  <c r="C205" i="44"/>
  <c r="C204" i="44"/>
  <c r="C203" i="44"/>
  <c r="C202" i="44"/>
  <c r="C201" i="44"/>
  <c r="C200" i="44"/>
  <c r="C199" i="44"/>
  <c r="C198" i="44"/>
  <c r="C197" i="44"/>
  <c r="C196" i="44"/>
  <c r="C195" i="44"/>
  <c r="C194" i="44"/>
  <c r="C193" i="44"/>
  <c r="C192" i="44"/>
  <c r="C191" i="44"/>
  <c r="C190" i="44"/>
  <c r="C189" i="44"/>
  <c r="C188" i="44"/>
  <c r="C187" i="44"/>
  <c r="C186" i="44"/>
  <c r="C185" i="44"/>
  <c r="C184" i="44"/>
  <c r="C183" i="44"/>
  <c r="C182" i="44"/>
  <c r="C181" i="44"/>
  <c r="C180" i="44"/>
  <c r="C179" i="44"/>
  <c r="C178" i="44"/>
  <c r="C177" i="44"/>
  <c r="C176" i="44"/>
  <c r="C175" i="44"/>
  <c r="C174" i="44"/>
  <c r="C173" i="44"/>
  <c r="C172" i="44"/>
  <c r="C171" i="44"/>
  <c r="C170" i="44"/>
  <c r="C169" i="44"/>
  <c r="C168" i="44"/>
  <c r="C167" i="44"/>
  <c r="C166" i="44"/>
  <c r="C165" i="44"/>
  <c r="C164" i="44"/>
  <c r="C163" i="44"/>
  <c r="C162" i="44"/>
  <c r="C161" i="44"/>
  <c r="C160" i="44"/>
  <c r="C159" i="44"/>
  <c r="C158" i="44"/>
  <c r="C157" i="44"/>
  <c r="C156" i="44"/>
  <c r="C155" i="44"/>
  <c r="C154" i="44"/>
  <c r="C153" i="44"/>
  <c r="C152" i="44"/>
  <c r="C151" i="44"/>
  <c r="C150" i="44"/>
  <c r="C149" i="44"/>
  <c r="C148" i="44"/>
  <c r="C147" i="44"/>
  <c r="C146" i="44"/>
  <c r="C145" i="44"/>
  <c r="C144" i="44"/>
  <c r="B144" i="44"/>
  <c r="B145" i="44" s="1"/>
  <c r="B146" i="44" s="1"/>
  <c r="B147" i="44" s="1"/>
  <c r="B148" i="44" s="1"/>
  <c r="B149" i="44" s="1"/>
  <c r="B150" i="44" s="1"/>
  <c r="B151" i="44" s="1"/>
  <c r="B152" i="44" s="1"/>
  <c r="B153" i="44" s="1"/>
  <c r="B154" i="44" s="1"/>
  <c r="B155" i="44" s="1"/>
  <c r="B156" i="44" s="1"/>
  <c r="B157" i="44" s="1"/>
  <c r="B158" i="44" s="1"/>
  <c r="B159" i="44" s="1"/>
  <c r="B160" i="44" s="1"/>
  <c r="B161" i="44" s="1"/>
  <c r="B162" i="44" s="1"/>
  <c r="B163" i="44" s="1"/>
  <c r="B164" i="44" s="1"/>
  <c r="B165" i="44" s="1"/>
  <c r="B166" i="44" s="1"/>
  <c r="B167" i="44" s="1"/>
  <c r="B168" i="44" s="1"/>
  <c r="B169" i="44" s="1"/>
  <c r="B170" i="44" s="1"/>
  <c r="B171" i="44" s="1"/>
  <c r="B172" i="44" s="1"/>
  <c r="B173" i="44" s="1"/>
  <c r="B174" i="44" s="1"/>
  <c r="B175" i="44" s="1"/>
  <c r="B176" i="44" s="1"/>
  <c r="B177" i="44" s="1"/>
  <c r="B178" i="44" s="1"/>
  <c r="B179" i="44" s="1"/>
  <c r="B180" i="44" s="1"/>
  <c r="B181" i="44" s="1"/>
  <c r="B182" i="44" s="1"/>
  <c r="B183" i="44" s="1"/>
  <c r="B184" i="44" s="1"/>
  <c r="B185" i="44" s="1"/>
  <c r="B186" i="44" s="1"/>
  <c r="B187" i="44" s="1"/>
  <c r="B188" i="44" s="1"/>
  <c r="B189" i="44" s="1"/>
  <c r="B190" i="44" s="1"/>
  <c r="B191" i="44" s="1"/>
  <c r="B192" i="44" s="1"/>
  <c r="B193" i="44" s="1"/>
  <c r="B194" i="44" s="1"/>
  <c r="B195" i="44" s="1"/>
  <c r="B196" i="44" s="1"/>
  <c r="B197" i="44" s="1"/>
  <c r="B198" i="44" s="1"/>
  <c r="B199" i="44" s="1"/>
  <c r="B200" i="44" s="1"/>
  <c r="B201" i="44" s="1"/>
  <c r="B202" i="44" s="1"/>
  <c r="B203" i="44" s="1"/>
  <c r="B204" i="44" s="1"/>
  <c r="B205" i="44" s="1"/>
  <c r="B206" i="44" s="1"/>
  <c r="B207" i="44" s="1"/>
  <c r="B208" i="44" s="1"/>
  <c r="B209" i="44" s="1"/>
  <c r="B210" i="44" s="1"/>
  <c r="B211" i="44" s="1"/>
  <c r="B212" i="44" s="1"/>
  <c r="B213" i="44" s="1"/>
  <c r="B214" i="44" s="1"/>
  <c r="B215" i="44" s="1"/>
  <c r="B216" i="44" s="1"/>
  <c r="B217" i="44" s="1"/>
  <c r="B218" i="44" s="1"/>
  <c r="B219" i="44" s="1"/>
  <c r="B220" i="44" s="1"/>
  <c r="B221" i="44" s="1"/>
  <c r="B222" i="44" s="1"/>
  <c r="B223" i="44" s="1"/>
  <c r="C143" i="44"/>
  <c r="C140" i="44"/>
  <c r="C138" i="44"/>
  <c r="C137" i="44"/>
  <c r="C136" i="44"/>
  <c r="C135" i="44"/>
  <c r="C125" i="44"/>
  <c r="C122" i="44"/>
  <c r="C121" i="44"/>
  <c r="C120" i="44"/>
  <c r="C119" i="44"/>
  <c r="C118" i="44"/>
  <c r="C117" i="44"/>
  <c r="C116" i="44"/>
  <c r="C115" i="44"/>
  <c r="C114" i="44"/>
  <c r="C113" i="44"/>
  <c r="C112" i="44"/>
  <c r="C111" i="44"/>
  <c r="C110" i="44"/>
  <c r="C109" i="44"/>
  <c r="C108" i="44"/>
  <c r="C107" i="44"/>
  <c r="C106" i="44"/>
  <c r="C105" i="44"/>
  <c r="C104" i="44"/>
  <c r="C103" i="44"/>
  <c r="C102" i="44"/>
  <c r="C101" i="44"/>
  <c r="C100" i="44"/>
  <c r="C99" i="44"/>
  <c r="C98" i="44"/>
  <c r="C97" i="44"/>
  <c r="C96" i="44"/>
  <c r="C93" i="44"/>
  <c r="C92" i="44"/>
  <c r="C91" i="44"/>
  <c r="C90" i="44"/>
  <c r="C89" i="44"/>
  <c r="C88" i="44"/>
  <c r="C87" i="44"/>
  <c r="C86" i="44"/>
  <c r="C85" i="44"/>
  <c r="C82" i="44"/>
  <c r="C81" i="44"/>
  <c r="C80" i="44"/>
  <c r="C79" i="44"/>
  <c r="C78" i="44"/>
  <c r="C77" i="44"/>
  <c r="C76" i="44"/>
  <c r="C75" i="44"/>
  <c r="C74" i="44"/>
  <c r="C73" i="44"/>
  <c r="C72" i="44"/>
  <c r="C71" i="44"/>
  <c r="C70" i="44"/>
  <c r="C69" i="44"/>
  <c r="C68" i="44"/>
  <c r="C67" i="44"/>
  <c r="C66" i="44"/>
  <c r="C65" i="44"/>
  <c r="C64" i="44"/>
  <c r="C63" i="44"/>
  <c r="C62" i="44"/>
  <c r="C61" i="44"/>
  <c r="C60" i="44"/>
  <c r="C59" i="44"/>
  <c r="C58" i="44"/>
  <c r="C57" i="44"/>
  <c r="C56" i="44"/>
  <c r="C55" i="44"/>
  <c r="C54" i="44"/>
  <c r="C53" i="44"/>
  <c r="C52" i="44"/>
  <c r="C51" i="44"/>
  <c r="C50" i="44"/>
  <c r="C49" i="44"/>
  <c r="C48" i="44"/>
  <c r="C47" i="44"/>
  <c r="C46" i="44"/>
  <c r="C45" i="44"/>
  <c r="C44" i="44"/>
  <c r="C43" i="44"/>
  <c r="C42" i="44"/>
  <c r="C41" i="44"/>
  <c r="C38" i="44"/>
  <c r="C37" i="44"/>
  <c r="C36" i="44"/>
  <c r="C35" i="44"/>
  <c r="C34" i="44"/>
  <c r="C33" i="44"/>
  <c r="C32" i="44"/>
  <c r="C31" i="44"/>
  <c r="C30" i="44"/>
  <c r="C29" i="44"/>
  <c r="C28" i="44"/>
  <c r="C23" i="44"/>
  <c r="C22" i="44"/>
  <c r="C21" i="44"/>
  <c r="C20" i="44"/>
  <c r="C17" i="44" s="1"/>
  <c r="C19" i="44"/>
  <c r="C18" i="44"/>
  <c r="C13" i="44"/>
  <c r="B13" i="44"/>
  <c r="C12" i="44"/>
  <c r="B12" i="44"/>
  <c r="C11" i="44"/>
  <c r="B11" i="44"/>
  <c r="C10" i="44"/>
  <c r="B10" i="44"/>
  <c r="C9" i="44"/>
  <c r="B9" i="44"/>
  <c r="C8" i="44"/>
  <c r="B8" i="44"/>
  <c r="C7" i="44"/>
  <c r="B7" i="44"/>
  <c r="C6" i="44"/>
  <c r="B6" i="44"/>
  <c r="C5" i="44"/>
  <c r="B5" i="44"/>
  <c r="C4" i="44"/>
  <c r="B4" i="44"/>
  <c r="C223" i="43" l="1"/>
  <c r="C222" i="43"/>
  <c r="C221" i="43"/>
  <c r="C220" i="43"/>
  <c r="C219" i="43"/>
  <c r="C218" i="43"/>
  <c r="C217" i="43"/>
  <c r="C216" i="43"/>
  <c r="C215" i="43"/>
  <c r="C214" i="43"/>
  <c r="C213" i="43"/>
  <c r="C212" i="43"/>
  <c r="C211" i="43"/>
  <c r="C210" i="43"/>
  <c r="C209" i="43"/>
  <c r="C208" i="43"/>
  <c r="C207" i="43"/>
  <c r="C206" i="43"/>
  <c r="C205" i="43"/>
  <c r="C204" i="43"/>
  <c r="C203" i="43"/>
  <c r="C202" i="43"/>
  <c r="C201" i="43"/>
  <c r="C200" i="43"/>
  <c r="C199" i="43"/>
  <c r="C198" i="43"/>
  <c r="C197" i="43"/>
  <c r="C196" i="43"/>
  <c r="C195" i="43"/>
  <c r="C194" i="43"/>
  <c r="C193" i="43"/>
  <c r="C192" i="43"/>
  <c r="C191" i="43"/>
  <c r="C190" i="43"/>
  <c r="C189" i="43"/>
  <c r="C188" i="43"/>
  <c r="C187" i="43"/>
  <c r="C186" i="43"/>
  <c r="C185" i="43"/>
  <c r="C184" i="43"/>
  <c r="C183" i="43"/>
  <c r="C182" i="43"/>
  <c r="C181" i="43"/>
  <c r="C180" i="43"/>
  <c r="C179" i="43"/>
  <c r="C178" i="43"/>
  <c r="C177" i="43"/>
  <c r="C176" i="43"/>
  <c r="C175" i="43"/>
  <c r="C174" i="43"/>
  <c r="C173" i="43"/>
  <c r="C172" i="43"/>
  <c r="C171" i="43"/>
  <c r="C170" i="43"/>
  <c r="C169" i="43"/>
  <c r="C168" i="43"/>
  <c r="C167" i="43"/>
  <c r="C166" i="43"/>
  <c r="C165" i="43"/>
  <c r="C164" i="43"/>
  <c r="C163" i="43"/>
  <c r="C162" i="43"/>
  <c r="C161" i="43"/>
  <c r="C160" i="43"/>
  <c r="C159" i="43"/>
  <c r="C158" i="43"/>
  <c r="C157" i="43"/>
  <c r="C156" i="43"/>
  <c r="C155" i="43"/>
  <c r="C154" i="43"/>
  <c r="C153" i="43"/>
  <c r="C152" i="43"/>
  <c r="C151" i="43"/>
  <c r="C150" i="43"/>
  <c r="C149" i="43"/>
  <c r="C148" i="43"/>
  <c r="C147" i="43"/>
  <c r="C146" i="43"/>
  <c r="C145" i="43"/>
  <c r="C144" i="43"/>
  <c r="B144" i="43"/>
  <c r="B145" i="43" s="1"/>
  <c r="B146" i="43" s="1"/>
  <c r="B147" i="43" s="1"/>
  <c r="B148" i="43" s="1"/>
  <c r="B149" i="43" s="1"/>
  <c r="B150" i="43" s="1"/>
  <c r="B151" i="43" s="1"/>
  <c r="B152" i="43" s="1"/>
  <c r="B153" i="43" s="1"/>
  <c r="B154" i="43" s="1"/>
  <c r="B155" i="43" s="1"/>
  <c r="B156" i="43" s="1"/>
  <c r="B157" i="43" s="1"/>
  <c r="B158" i="43" s="1"/>
  <c r="B159" i="43" s="1"/>
  <c r="B160" i="43" s="1"/>
  <c r="B161" i="43" s="1"/>
  <c r="B162" i="43" s="1"/>
  <c r="B163" i="43" s="1"/>
  <c r="B164" i="43" s="1"/>
  <c r="B165" i="43" s="1"/>
  <c r="B166" i="43" s="1"/>
  <c r="B167" i="43" s="1"/>
  <c r="B168" i="43" s="1"/>
  <c r="B169" i="43" s="1"/>
  <c r="B170" i="43" s="1"/>
  <c r="B171" i="43" s="1"/>
  <c r="B172" i="43" s="1"/>
  <c r="B173" i="43" s="1"/>
  <c r="B174" i="43" s="1"/>
  <c r="B175" i="43" s="1"/>
  <c r="B176" i="43" s="1"/>
  <c r="B177" i="43" s="1"/>
  <c r="B178" i="43" s="1"/>
  <c r="B179" i="43" s="1"/>
  <c r="B180" i="43" s="1"/>
  <c r="B181" i="43" s="1"/>
  <c r="B182" i="43" s="1"/>
  <c r="B183" i="43" s="1"/>
  <c r="B184" i="43" s="1"/>
  <c r="B185" i="43" s="1"/>
  <c r="B186" i="43" s="1"/>
  <c r="B187" i="43" s="1"/>
  <c r="B188" i="43" s="1"/>
  <c r="B189" i="43" s="1"/>
  <c r="B190" i="43" s="1"/>
  <c r="B191" i="43" s="1"/>
  <c r="B192" i="43" s="1"/>
  <c r="B193" i="43" s="1"/>
  <c r="B194" i="43" s="1"/>
  <c r="B195" i="43" s="1"/>
  <c r="B196" i="43" s="1"/>
  <c r="B197" i="43" s="1"/>
  <c r="B198" i="43" s="1"/>
  <c r="B199" i="43" s="1"/>
  <c r="B200" i="43" s="1"/>
  <c r="B201" i="43" s="1"/>
  <c r="B202" i="43" s="1"/>
  <c r="B203" i="43" s="1"/>
  <c r="B204" i="43" s="1"/>
  <c r="B205" i="43" s="1"/>
  <c r="B206" i="43" s="1"/>
  <c r="B207" i="43" s="1"/>
  <c r="B208" i="43" s="1"/>
  <c r="B209" i="43" s="1"/>
  <c r="B210" i="43" s="1"/>
  <c r="B211" i="43" s="1"/>
  <c r="B212" i="43" s="1"/>
  <c r="B213" i="43" s="1"/>
  <c r="B214" i="43" s="1"/>
  <c r="B215" i="43" s="1"/>
  <c r="B216" i="43" s="1"/>
  <c r="B217" i="43" s="1"/>
  <c r="B218" i="43" s="1"/>
  <c r="B219" i="43" s="1"/>
  <c r="B220" i="43" s="1"/>
  <c r="B221" i="43" s="1"/>
  <c r="B222" i="43" s="1"/>
  <c r="B223" i="43" s="1"/>
  <c r="C143" i="43"/>
  <c r="C140" i="43"/>
  <c r="C138" i="43"/>
  <c r="C137" i="43"/>
  <c r="C136" i="43"/>
  <c r="C135" i="43"/>
  <c r="C125" i="43"/>
  <c r="C122" i="43"/>
  <c r="C121" i="43"/>
  <c r="C120" i="43"/>
  <c r="C119" i="43"/>
  <c r="C118" i="43"/>
  <c r="C117" i="43"/>
  <c r="C116" i="43"/>
  <c r="C115" i="43"/>
  <c r="C114" i="43"/>
  <c r="C113" i="43"/>
  <c r="C112" i="43"/>
  <c r="C111" i="43"/>
  <c r="C110" i="43"/>
  <c r="C109" i="43"/>
  <c r="C108" i="43"/>
  <c r="C107" i="43"/>
  <c r="C106" i="43"/>
  <c r="C105" i="43"/>
  <c r="C104" i="43"/>
  <c r="C103" i="43"/>
  <c r="C102" i="43"/>
  <c r="C101" i="43"/>
  <c r="C100" i="43"/>
  <c r="C99" i="43"/>
  <c r="C98" i="43"/>
  <c r="C97" i="43"/>
  <c r="C96" i="43"/>
  <c r="C93" i="43"/>
  <c r="C92" i="43"/>
  <c r="C91" i="43"/>
  <c r="C90" i="43"/>
  <c r="C89" i="43"/>
  <c r="C88" i="43"/>
  <c r="C87" i="43"/>
  <c r="C86" i="43"/>
  <c r="C85" i="43"/>
  <c r="C82" i="43"/>
  <c r="C81" i="43"/>
  <c r="C80" i="43"/>
  <c r="C79" i="43"/>
  <c r="C78" i="43"/>
  <c r="C77" i="43"/>
  <c r="C76" i="43"/>
  <c r="C75" i="43"/>
  <c r="C74" i="43"/>
  <c r="C73" i="43"/>
  <c r="C72" i="43"/>
  <c r="C71" i="43"/>
  <c r="C70" i="43"/>
  <c r="C69" i="43"/>
  <c r="C68" i="43"/>
  <c r="C67" i="43"/>
  <c r="C66" i="43"/>
  <c r="C65" i="43"/>
  <c r="C64" i="43"/>
  <c r="C63" i="43"/>
  <c r="C62" i="43"/>
  <c r="C61" i="43"/>
  <c r="C60" i="43"/>
  <c r="C59" i="43"/>
  <c r="C58" i="43"/>
  <c r="C57" i="43"/>
  <c r="C56" i="43"/>
  <c r="C55" i="43"/>
  <c r="C54" i="43"/>
  <c r="C53" i="43"/>
  <c r="C52" i="43"/>
  <c r="C51" i="43"/>
  <c r="C50" i="43"/>
  <c r="C49" i="43"/>
  <c r="C48" i="43"/>
  <c r="C47" i="43"/>
  <c r="C46" i="43"/>
  <c r="C45" i="43"/>
  <c r="C44" i="43"/>
  <c r="C43" i="43"/>
  <c r="C42" i="43"/>
  <c r="C41" i="43"/>
  <c r="C38" i="43"/>
  <c r="C37" i="43"/>
  <c r="C36" i="43"/>
  <c r="C35" i="43"/>
  <c r="C34" i="43"/>
  <c r="C33" i="43"/>
  <c r="C32" i="43"/>
  <c r="C31" i="43"/>
  <c r="C30" i="43"/>
  <c r="C29" i="43"/>
  <c r="C28" i="43"/>
  <c r="C23" i="43"/>
  <c r="C22" i="43"/>
  <c r="C21" i="43"/>
  <c r="C20" i="43"/>
  <c r="C19" i="43"/>
  <c r="C18" i="43"/>
  <c r="C13" i="43"/>
  <c r="B13" i="43"/>
  <c r="C12" i="43"/>
  <c r="B12" i="43"/>
  <c r="C11" i="43"/>
  <c r="B11" i="43"/>
  <c r="C10" i="43"/>
  <c r="B10" i="43"/>
  <c r="C9" i="43"/>
  <c r="B9" i="43"/>
  <c r="C8" i="43"/>
  <c r="B8" i="43"/>
  <c r="C7" i="43"/>
  <c r="B7" i="43"/>
  <c r="C6" i="43"/>
  <c r="B6" i="43"/>
  <c r="C5" i="43"/>
  <c r="B5" i="43"/>
  <c r="C4" i="43"/>
  <c r="B4" i="43"/>
  <c r="C17" i="43" l="1"/>
  <c r="C223" i="42" l="1"/>
  <c r="C222" i="42"/>
  <c r="C221" i="42"/>
  <c r="C220" i="42"/>
  <c r="C219" i="42"/>
  <c r="C218" i="42"/>
  <c r="C217" i="42"/>
  <c r="C216" i="42"/>
  <c r="C215" i="42"/>
  <c r="C214" i="42"/>
  <c r="C213" i="42"/>
  <c r="C212" i="42"/>
  <c r="C211" i="42"/>
  <c r="C210" i="42"/>
  <c r="C209" i="42"/>
  <c r="C208" i="42"/>
  <c r="C207" i="42"/>
  <c r="C206" i="42"/>
  <c r="C205" i="42"/>
  <c r="C204" i="42"/>
  <c r="C203" i="42"/>
  <c r="C202" i="42"/>
  <c r="C201" i="42"/>
  <c r="C200" i="42"/>
  <c r="C199" i="42"/>
  <c r="C198" i="42"/>
  <c r="C197" i="42"/>
  <c r="C196" i="42"/>
  <c r="C195" i="42"/>
  <c r="C194" i="42"/>
  <c r="C193" i="42"/>
  <c r="C192" i="42"/>
  <c r="C191" i="42"/>
  <c r="C190" i="42"/>
  <c r="C189" i="42"/>
  <c r="C188" i="42"/>
  <c r="C187" i="42"/>
  <c r="C186" i="42"/>
  <c r="C185" i="42"/>
  <c r="C184" i="42"/>
  <c r="C183" i="42"/>
  <c r="C182" i="42"/>
  <c r="C181" i="42"/>
  <c r="C180" i="42"/>
  <c r="C179" i="42"/>
  <c r="C178" i="42"/>
  <c r="C177" i="42"/>
  <c r="C176" i="42"/>
  <c r="C175" i="42"/>
  <c r="C174" i="42"/>
  <c r="C173" i="42"/>
  <c r="C172" i="42"/>
  <c r="C171" i="42"/>
  <c r="C170" i="42"/>
  <c r="C169" i="42"/>
  <c r="C168" i="42"/>
  <c r="C167" i="42"/>
  <c r="C166" i="42"/>
  <c r="C165" i="42"/>
  <c r="C164" i="42"/>
  <c r="C163" i="42"/>
  <c r="C162" i="42"/>
  <c r="C161" i="42"/>
  <c r="C160" i="42"/>
  <c r="C159" i="42"/>
  <c r="C158" i="42"/>
  <c r="C157" i="42"/>
  <c r="C156" i="42"/>
  <c r="C155" i="42"/>
  <c r="C154" i="42"/>
  <c r="C153" i="42"/>
  <c r="C152" i="42"/>
  <c r="C151" i="42"/>
  <c r="C150" i="42"/>
  <c r="C149" i="42"/>
  <c r="C148" i="42"/>
  <c r="C147" i="42"/>
  <c r="C146" i="42"/>
  <c r="C145" i="42"/>
  <c r="C144" i="42"/>
  <c r="B144" i="42"/>
  <c r="B145" i="42" s="1"/>
  <c r="B146" i="42" s="1"/>
  <c r="B147" i="42" s="1"/>
  <c r="B148" i="42" s="1"/>
  <c r="B149" i="42" s="1"/>
  <c r="B150" i="42" s="1"/>
  <c r="B151" i="42" s="1"/>
  <c r="B152" i="42" s="1"/>
  <c r="B153" i="42" s="1"/>
  <c r="B154" i="42" s="1"/>
  <c r="B155" i="42" s="1"/>
  <c r="B156" i="42" s="1"/>
  <c r="B157" i="42" s="1"/>
  <c r="B158" i="42" s="1"/>
  <c r="B159" i="42" s="1"/>
  <c r="B160" i="42" s="1"/>
  <c r="B161" i="42" s="1"/>
  <c r="B162" i="42" s="1"/>
  <c r="B163" i="42" s="1"/>
  <c r="B164" i="42" s="1"/>
  <c r="B165" i="42" s="1"/>
  <c r="B166" i="42" s="1"/>
  <c r="B167" i="42" s="1"/>
  <c r="B168" i="42" s="1"/>
  <c r="B169" i="42" s="1"/>
  <c r="B170" i="42" s="1"/>
  <c r="B171" i="42" s="1"/>
  <c r="B172" i="42" s="1"/>
  <c r="B173" i="42" s="1"/>
  <c r="B174" i="42" s="1"/>
  <c r="B175" i="42" s="1"/>
  <c r="B176" i="42" s="1"/>
  <c r="B177" i="42" s="1"/>
  <c r="B178" i="42" s="1"/>
  <c r="B179" i="42" s="1"/>
  <c r="B180" i="42" s="1"/>
  <c r="B181" i="42" s="1"/>
  <c r="B182" i="42" s="1"/>
  <c r="B183" i="42" s="1"/>
  <c r="B184" i="42" s="1"/>
  <c r="B185" i="42" s="1"/>
  <c r="B186" i="42" s="1"/>
  <c r="B187" i="42" s="1"/>
  <c r="B188" i="42" s="1"/>
  <c r="B189" i="42" s="1"/>
  <c r="B190" i="42" s="1"/>
  <c r="B191" i="42" s="1"/>
  <c r="B192" i="42" s="1"/>
  <c r="B193" i="42" s="1"/>
  <c r="B194" i="42" s="1"/>
  <c r="B195" i="42" s="1"/>
  <c r="B196" i="42" s="1"/>
  <c r="B197" i="42" s="1"/>
  <c r="B198" i="42" s="1"/>
  <c r="B199" i="42" s="1"/>
  <c r="B200" i="42" s="1"/>
  <c r="B201" i="42" s="1"/>
  <c r="B202" i="42" s="1"/>
  <c r="B203" i="42" s="1"/>
  <c r="B204" i="42" s="1"/>
  <c r="B205" i="42" s="1"/>
  <c r="B206" i="42" s="1"/>
  <c r="B207" i="42" s="1"/>
  <c r="B208" i="42" s="1"/>
  <c r="B209" i="42" s="1"/>
  <c r="B210" i="42" s="1"/>
  <c r="B211" i="42" s="1"/>
  <c r="B212" i="42" s="1"/>
  <c r="B213" i="42" s="1"/>
  <c r="B214" i="42" s="1"/>
  <c r="B215" i="42" s="1"/>
  <c r="B216" i="42" s="1"/>
  <c r="B217" i="42" s="1"/>
  <c r="B218" i="42" s="1"/>
  <c r="B219" i="42" s="1"/>
  <c r="B220" i="42" s="1"/>
  <c r="B221" i="42" s="1"/>
  <c r="B222" i="42" s="1"/>
  <c r="B223" i="42" s="1"/>
  <c r="C143" i="42"/>
  <c r="C140" i="42"/>
  <c r="C138" i="42"/>
  <c r="C137" i="42"/>
  <c r="C136" i="42"/>
  <c r="C135" i="42"/>
  <c r="C125" i="42"/>
  <c r="C122" i="42"/>
  <c r="C121" i="42"/>
  <c r="C120" i="42"/>
  <c r="C119" i="42"/>
  <c r="C118" i="42"/>
  <c r="C117" i="42"/>
  <c r="C116" i="42"/>
  <c r="C115" i="42"/>
  <c r="C114" i="42"/>
  <c r="C113" i="42"/>
  <c r="C112" i="42"/>
  <c r="C111" i="42"/>
  <c r="C110" i="42"/>
  <c r="C109" i="42"/>
  <c r="C108" i="42"/>
  <c r="C107" i="42"/>
  <c r="C106" i="42"/>
  <c r="C105" i="42"/>
  <c r="C104" i="42"/>
  <c r="C103" i="42"/>
  <c r="C102" i="42"/>
  <c r="C101" i="42"/>
  <c r="C100" i="42"/>
  <c r="C99" i="42"/>
  <c r="C98" i="42"/>
  <c r="C97" i="42"/>
  <c r="C96" i="42"/>
  <c r="C93" i="42"/>
  <c r="C92" i="42"/>
  <c r="C91" i="42"/>
  <c r="C90" i="42"/>
  <c r="C89" i="42"/>
  <c r="C88" i="42"/>
  <c r="C87" i="42"/>
  <c r="C86" i="42"/>
  <c r="C85" i="42"/>
  <c r="C82" i="42"/>
  <c r="C81" i="42"/>
  <c r="C80" i="42"/>
  <c r="C79" i="42"/>
  <c r="C78" i="42"/>
  <c r="C77" i="42"/>
  <c r="C76" i="42"/>
  <c r="C75" i="42"/>
  <c r="C74" i="42"/>
  <c r="C73" i="42"/>
  <c r="C72" i="42"/>
  <c r="C71" i="42"/>
  <c r="C70" i="42"/>
  <c r="C69" i="42"/>
  <c r="C68" i="42"/>
  <c r="C67" i="42"/>
  <c r="C66" i="42"/>
  <c r="C65" i="42"/>
  <c r="C64" i="42"/>
  <c r="C63" i="42"/>
  <c r="C62" i="42"/>
  <c r="C61" i="42"/>
  <c r="C60" i="42"/>
  <c r="C59" i="42"/>
  <c r="C58" i="42"/>
  <c r="C57" i="42"/>
  <c r="C56" i="42"/>
  <c r="C55" i="42"/>
  <c r="C54" i="42"/>
  <c r="C53" i="42"/>
  <c r="C52" i="42"/>
  <c r="C51" i="42"/>
  <c r="C50" i="42"/>
  <c r="C49" i="42"/>
  <c r="C48" i="42"/>
  <c r="C47" i="42"/>
  <c r="C46" i="42"/>
  <c r="C45" i="42"/>
  <c r="C44" i="42"/>
  <c r="C43" i="42"/>
  <c r="C42" i="42"/>
  <c r="C41" i="42"/>
  <c r="C38" i="42"/>
  <c r="C37" i="42"/>
  <c r="C36" i="42"/>
  <c r="C35" i="42"/>
  <c r="C34" i="42"/>
  <c r="C33" i="42"/>
  <c r="C32" i="42"/>
  <c r="C31" i="42"/>
  <c r="C30" i="42"/>
  <c r="C29" i="42"/>
  <c r="C28" i="42"/>
  <c r="C23" i="42"/>
  <c r="C22" i="42"/>
  <c r="C21" i="42"/>
  <c r="C20" i="42"/>
  <c r="C17" i="42" s="1"/>
  <c r="C19" i="42"/>
  <c r="C18" i="42"/>
  <c r="C13" i="42"/>
  <c r="B13" i="42"/>
  <c r="C12" i="42"/>
  <c r="B12" i="42"/>
  <c r="C11" i="42"/>
  <c r="B11" i="42"/>
  <c r="C10" i="42"/>
  <c r="B10" i="42"/>
  <c r="C9" i="42"/>
  <c r="B9" i="42"/>
  <c r="C8" i="42"/>
  <c r="B8" i="42"/>
  <c r="C7" i="42"/>
  <c r="B7" i="42"/>
  <c r="C6" i="42"/>
  <c r="B6" i="42"/>
  <c r="C5" i="42"/>
  <c r="B5" i="42"/>
  <c r="C4" i="42"/>
  <c r="B4" i="42"/>
  <c r="C223" i="41" l="1"/>
  <c r="C222" i="41"/>
  <c r="C221" i="41"/>
  <c r="C220" i="41"/>
  <c r="C219" i="41"/>
  <c r="C218" i="41"/>
  <c r="C217" i="41"/>
  <c r="C216" i="41"/>
  <c r="C215" i="41"/>
  <c r="C214" i="41"/>
  <c r="C213" i="41"/>
  <c r="C212" i="41"/>
  <c r="C211" i="41"/>
  <c r="C210" i="41"/>
  <c r="C209" i="41"/>
  <c r="C208" i="41"/>
  <c r="C207" i="41"/>
  <c r="C206" i="41"/>
  <c r="C205" i="41"/>
  <c r="C204" i="41"/>
  <c r="C203" i="41"/>
  <c r="C202" i="41"/>
  <c r="C201" i="41"/>
  <c r="C200" i="41"/>
  <c r="C199" i="41"/>
  <c r="C198" i="41"/>
  <c r="C197" i="41"/>
  <c r="C196" i="41"/>
  <c r="C195" i="41"/>
  <c r="C194" i="41"/>
  <c r="C193" i="41"/>
  <c r="C192" i="41"/>
  <c r="C191" i="41"/>
  <c r="C190" i="41"/>
  <c r="C189" i="41"/>
  <c r="C188" i="41"/>
  <c r="C187" i="41"/>
  <c r="C186" i="41"/>
  <c r="C185" i="41"/>
  <c r="C184" i="41"/>
  <c r="C183" i="41"/>
  <c r="C182" i="41"/>
  <c r="C181" i="41"/>
  <c r="C180" i="41"/>
  <c r="C179" i="41"/>
  <c r="C178" i="41"/>
  <c r="C177" i="41"/>
  <c r="C176" i="41"/>
  <c r="C175" i="41"/>
  <c r="C174" i="41"/>
  <c r="C173" i="41"/>
  <c r="C172" i="41"/>
  <c r="C171" i="41"/>
  <c r="C170" i="41"/>
  <c r="C169" i="41"/>
  <c r="C168" i="41"/>
  <c r="C167" i="41"/>
  <c r="C166" i="41"/>
  <c r="C165" i="41"/>
  <c r="C164" i="41"/>
  <c r="C163" i="41"/>
  <c r="C162" i="41"/>
  <c r="C161" i="41"/>
  <c r="C160" i="41"/>
  <c r="C159" i="41"/>
  <c r="C158" i="41"/>
  <c r="C157" i="41"/>
  <c r="C156" i="41"/>
  <c r="C155" i="41"/>
  <c r="C154" i="41"/>
  <c r="C153" i="41"/>
  <c r="C152" i="41"/>
  <c r="C151" i="41"/>
  <c r="C150" i="41"/>
  <c r="C149" i="41"/>
  <c r="C148" i="41"/>
  <c r="C147" i="41"/>
  <c r="C146" i="41"/>
  <c r="C145" i="41"/>
  <c r="C144" i="41"/>
  <c r="B144" i="41"/>
  <c r="B145" i="41" s="1"/>
  <c r="B146" i="41" s="1"/>
  <c r="B147" i="41" s="1"/>
  <c r="B148" i="41" s="1"/>
  <c r="B149" i="41" s="1"/>
  <c r="B150" i="41" s="1"/>
  <c r="B151" i="41" s="1"/>
  <c r="B152" i="41" s="1"/>
  <c r="B153" i="41" s="1"/>
  <c r="B154" i="41" s="1"/>
  <c r="B155" i="41" s="1"/>
  <c r="B156" i="41" s="1"/>
  <c r="B157" i="41" s="1"/>
  <c r="B158" i="41" s="1"/>
  <c r="B159" i="41" s="1"/>
  <c r="B160" i="41" s="1"/>
  <c r="B161" i="41" s="1"/>
  <c r="B162" i="41" s="1"/>
  <c r="B163" i="41" s="1"/>
  <c r="B164" i="41" s="1"/>
  <c r="B165" i="41" s="1"/>
  <c r="B166" i="41" s="1"/>
  <c r="B167" i="41" s="1"/>
  <c r="B168" i="41" s="1"/>
  <c r="B169" i="41" s="1"/>
  <c r="B170" i="41" s="1"/>
  <c r="B171" i="41" s="1"/>
  <c r="B172" i="41" s="1"/>
  <c r="B173" i="41" s="1"/>
  <c r="B174" i="41" s="1"/>
  <c r="B175" i="41" s="1"/>
  <c r="B176" i="41" s="1"/>
  <c r="B177" i="41" s="1"/>
  <c r="B178" i="41" s="1"/>
  <c r="B179" i="41" s="1"/>
  <c r="B180" i="41" s="1"/>
  <c r="B181" i="41" s="1"/>
  <c r="B182" i="41" s="1"/>
  <c r="B183" i="41" s="1"/>
  <c r="B184" i="41" s="1"/>
  <c r="B185" i="41" s="1"/>
  <c r="B186" i="41" s="1"/>
  <c r="B187" i="41" s="1"/>
  <c r="B188" i="41" s="1"/>
  <c r="B189" i="41" s="1"/>
  <c r="B190" i="41" s="1"/>
  <c r="B191" i="41" s="1"/>
  <c r="B192" i="41" s="1"/>
  <c r="B193" i="41" s="1"/>
  <c r="B194" i="41" s="1"/>
  <c r="B195" i="41" s="1"/>
  <c r="B196" i="41" s="1"/>
  <c r="B197" i="41" s="1"/>
  <c r="B198" i="41" s="1"/>
  <c r="B199" i="41" s="1"/>
  <c r="B200" i="41" s="1"/>
  <c r="B201" i="41" s="1"/>
  <c r="B202" i="41" s="1"/>
  <c r="B203" i="41" s="1"/>
  <c r="B204" i="41" s="1"/>
  <c r="B205" i="41" s="1"/>
  <c r="B206" i="41" s="1"/>
  <c r="B207" i="41" s="1"/>
  <c r="B208" i="41" s="1"/>
  <c r="B209" i="41" s="1"/>
  <c r="B210" i="41" s="1"/>
  <c r="B211" i="41" s="1"/>
  <c r="B212" i="41" s="1"/>
  <c r="B213" i="41" s="1"/>
  <c r="B214" i="41" s="1"/>
  <c r="B215" i="41" s="1"/>
  <c r="B216" i="41" s="1"/>
  <c r="B217" i="41" s="1"/>
  <c r="B218" i="41" s="1"/>
  <c r="B219" i="41" s="1"/>
  <c r="B220" i="41" s="1"/>
  <c r="B221" i="41" s="1"/>
  <c r="B222" i="41" s="1"/>
  <c r="B223" i="41" s="1"/>
  <c r="C143" i="41"/>
  <c r="C140" i="41"/>
  <c r="C138" i="41"/>
  <c r="C137" i="41"/>
  <c r="C136" i="41"/>
  <c r="C135" i="41"/>
  <c r="C125" i="41"/>
  <c r="C122" i="41"/>
  <c r="C121" i="41"/>
  <c r="C120" i="41"/>
  <c r="C119" i="41"/>
  <c r="C118" i="41"/>
  <c r="C117" i="41"/>
  <c r="C116" i="41"/>
  <c r="C115" i="41"/>
  <c r="C114" i="41"/>
  <c r="C113" i="41"/>
  <c r="C112" i="41"/>
  <c r="C111" i="41"/>
  <c r="C110" i="41"/>
  <c r="C109" i="41"/>
  <c r="C108" i="41"/>
  <c r="C107" i="41"/>
  <c r="C106" i="41"/>
  <c r="C105" i="41"/>
  <c r="C104" i="41"/>
  <c r="C103" i="41"/>
  <c r="C102" i="41"/>
  <c r="C101" i="41"/>
  <c r="C100" i="41"/>
  <c r="C99" i="41"/>
  <c r="C98" i="41"/>
  <c r="C97" i="41"/>
  <c r="C96" i="41"/>
  <c r="C93" i="41"/>
  <c r="C92" i="41"/>
  <c r="C91" i="41"/>
  <c r="C90" i="41"/>
  <c r="C89" i="41"/>
  <c r="C88" i="41"/>
  <c r="C87" i="41"/>
  <c r="C86" i="41"/>
  <c r="C85" i="41"/>
  <c r="C82" i="41"/>
  <c r="C81" i="41"/>
  <c r="C80" i="41"/>
  <c r="C79" i="41"/>
  <c r="C78" i="41"/>
  <c r="C77" i="41"/>
  <c r="C76" i="41"/>
  <c r="C75" i="41"/>
  <c r="C74" i="41"/>
  <c r="C73" i="41"/>
  <c r="C72" i="41"/>
  <c r="C71" i="41"/>
  <c r="C70" i="41"/>
  <c r="C69" i="41"/>
  <c r="C68" i="41"/>
  <c r="C67" i="41"/>
  <c r="C66" i="41"/>
  <c r="C65" i="41"/>
  <c r="C64" i="41"/>
  <c r="C63" i="41"/>
  <c r="C62" i="41"/>
  <c r="C61" i="41"/>
  <c r="C60" i="41"/>
  <c r="C59" i="41"/>
  <c r="C58" i="41"/>
  <c r="C57" i="41"/>
  <c r="C56" i="41"/>
  <c r="C55" i="41"/>
  <c r="C54" i="41"/>
  <c r="C53" i="41"/>
  <c r="C52" i="41"/>
  <c r="C51" i="41"/>
  <c r="C50" i="41"/>
  <c r="C49" i="41"/>
  <c r="C48" i="41"/>
  <c r="C47" i="41"/>
  <c r="C46" i="41"/>
  <c r="C45" i="41"/>
  <c r="C44" i="41"/>
  <c r="C43" i="41"/>
  <c r="C42" i="41"/>
  <c r="C41" i="41"/>
  <c r="C38" i="41"/>
  <c r="C37" i="41"/>
  <c r="C36" i="41"/>
  <c r="C35" i="41"/>
  <c r="C34" i="41"/>
  <c r="C33" i="41"/>
  <c r="C32" i="41"/>
  <c r="C31" i="41"/>
  <c r="C30" i="41"/>
  <c r="C29" i="41"/>
  <c r="C28" i="41"/>
  <c r="C23" i="41"/>
  <c r="C22" i="41"/>
  <c r="C21" i="41"/>
  <c r="C20" i="41"/>
  <c r="C19" i="41"/>
  <c r="C18" i="41"/>
  <c r="C13" i="41"/>
  <c r="B13" i="41"/>
  <c r="C12" i="41"/>
  <c r="B12" i="41"/>
  <c r="C11" i="41"/>
  <c r="B11" i="41"/>
  <c r="C10" i="41"/>
  <c r="B10" i="41"/>
  <c r="C9" i="41"/>
  <c r="B9" i="41"/>
  <c r="C8" i="41"/>
  <c r="B8" i="41"/>
  <c r="C7" i="41"/>
  <c r="B7" i="41"/>
  <c r="C6" i="41"/>
  <c r="B6" i="41"/>
  <c r="C5" i="41"/>
  <c r="B5" i="41"/>
  <c r="C4" i="41"/>
  <c r="B4" i="41"/>
  <c r="C17" i="41" l="1"/>
  <c r="C223" i="40" l="1"/>
  <c r="C222" i="40"/>
  <c r="C221" i="40"/>
  <c r="C220" i="40"/>
  <c r="C219" i="40"/>
  <c r="C218" i="40"/>
  <c r="C217" i="40"/>
  <c r="C216" i="40"/>
  <c r="C215" i="40"/>
  <c r="C214" i="40"/>
  <c r="C213" i="40"/>
  <c r="C212" i="40"/>
  <c r="C211" i="40"/>
  <c r="C210" i="40"/>
  <c r="C209" i="40"/>
  <c r="C208" i="40"/>
  <c r="C207" i="40"/>
  <c r="C206" i="40"/>
  <c r="C205" i="40"/>
  <c r="C204" i="40"/>
  <c r="C203" i="40"/>
  <c r="C202" i="40"/>
  <c r="C201" i="40"/>
  <c r="C200" i="40"/>
  <c r="C199" i="40"/>
  <c r="C198" i="40"/>
  <c r="C197" i="40"/>
  <c r="C196" i="40"/>
  <c r="C195" i="40"/>
  <c r="C194" i="40"/>
  <c r="C193" i="40"/>
  <c r="C192" i="40"/>
  <c r="C191" i="40"/>
  <c r="C190" i="40"/>
  <c r="C189" i="40"/>
  <c r="C188" i="40"/>
  <c r="C187" i="40"/>
  <c r="C186" i="40"/>
  <c r="C185" i="40"/>
  <c r="C184" i="40"/>
  <c r="C183" i="40"/>
  <c r="C182" i="40"/>
  <c r="C181" i="40"/>
  <c r="C180" i="40"/>
  <c r="C179" i="40"/>
  <c r="C178" i="40"/>
  <c r="C177" i="40"/>
  <c r="C176" i="40"/>
  <c r="C175" i="40"/>
  <c r="C174" i="40"/>
  <c r="C173" i="40"/>
  <c r="C172" i="40"/>
  <c r="C171" i="40"/>
  <c r="C170" i="40"/>
  <c r="C169" i="40"/>
  <c r="C168" i="40"/>
  <c r="C167" i="40"/>
  <c r="C166" i="40"/>
  <c r="C165" i="40"/>
  <c r="C164" i="40"/>
  <c r="C163" i="40"/>
  <c r="C162" i="40"/>
  <c r="C161" i="40"/>
  <c r="C160" i="40"/>
  <c r="C159" i="40"/>
  <c r="C158" i="40"/>
  <c r="C157" i="40"/>
  <c r="C156" i="40"/>
  <c r="C155" i="40"/>
  <c r="C154" i="40"/>
  <c r="C153" i="40"/>
  <c r="C152" i="40"/>
  <c r="C151" i="40"/>
  <c r="C150" i="40"/>
  <c r="C149" i="40"/>
  <c r="C148" i="40"/>
  <c r="C147" i="40"/>
  <c r="C146" i="40"/>
  <c r="C145" i="40"/>
  <c r="C144" i="40"/>
  <c r="B144" i="40"/>
  <c r="B145" i="40" s="1"/>
  <c r="B146" i="40" s="1"/>
  <c r="B147" i="40" s="1"/>
  <c r="B148" i="40" s="1"/>
  <c r="B149" i="40" s="1"/>
  <c r="B150" i="40" s="1"/>
  <c r="B151" i="40" s="1"/>
  <c r="B152" i="40" s="1"/>
  <c r="B153" i="40" s="1"/>
  <c r="B154" i="40" s="1"/>
  <c r="B155" i="40" s="1"/>
  <c r="B156" i="40" s="1"/>
  <c r="B157" i="40" s="1"/>
  <c r="B158" i="40" s="1"/>
  <c r="B159" i="40" s="1"/>
  <c r="B160" i="40" s="1"/>
  <c r="B161" i="40" s="1"/>
  <c r="B162" i="40" s="1"/>
  <c r="B163" i="40" s="1"/>
  <c r="B164" i="40" s="1"/>
  <c r="B165" i="40" s="1"/>
  <c r="B166" i="40" s="1"/>
  <c r="B167" i="40" s="1"/>
  <c r="B168" i="40" s="1"/>
  <c r="B169" i="40" s="1"/>
  <c r="B170" i="40" s="1"/>
  <c r="B171" i="40" s="1"/>
  <c r="B172" i="40" s="1"/>
  <c r="B173" i="40" s="1"/>
  <c r="B174" i="40" s="1"/>
  <c r="B175" i="40" s="1"/>
  <c r="B176" i="40" s="1"/>
  <c r="B177" i="40" s="1"/>
  <c r="B178" i="40" s="1"/>
  <c r="B179" i="40" s="1"/>
  <c r="B180" i="40" s="1"/>
  <c r="B181" i="40" s="1"/>
  <c r="B182" i="40" s="1"/>
  <c r="B183" i="40" s="1"/>
  <c r="B184" i="40" s="1"/>
  <c r="B185" i="40" s="1"/>
  <c r="B186" i="40" s="1"/>
  <c r="B187" i="40" s="1"/>
  <c r="B188" i="40" s="1"/>
  <c r="B189" i="40" s="1"/>
  <c r="B190" i="40" s="1"/>
  <c r="B191" i="40" s="1"/>
  <c r="B192" i="40" s="1"/>
  <c r="B193" i="40" s="1"/>
  <c r="B194" i="40" s="1"/>
  <c r="B195" i="40" s="1"/>
  <c r="B196" i="40" s="1"/>
  <c r="B197" i="40" s="1"/>
  <c r="B198" i="40" s="1"/>
  <c r="B199" i="40" s="1"/>
  <c r="B200" i="40" s="1"/>
  <c r="B201" i="40" s="1"/>
  <c r="B202" i="40" s="1"/>
  <c r="B203" i="40" s="1"/>
  <c r="B204" i="40" s="1"/>
  <c r="B205" i="40" s="1"/>
  <c r="B206" i="40" s="1"/>
  <c r="B207" i="40" s="1"/>
  <c r="B208" i="40" s="1"/>
  <c r="B209" i="40" s="1"/>
  <c r="B210" i="40" s="1"/>
  <c r="B211" i="40" s="1"/>
  <c r="B212" i="40" s="1"/>
  <c r="B213" i="40" s="1"/>
  <c r="B214" i="40" s="1"/>
  <c r="B215" i="40" s="1"/>
  <c r="B216" i="40" s="1"/>
  <c r="B217" i="40" s="1"/>
  <c r="B218" i="40" s="1"/>
  <c r="B219" i="40" s="1"/>
  <c r="B220" i="40" s="1"/>
  <c r="B221" i="40" s="1"/>
  <c r="B222" i="40" s="1"/>
  <c r="B223" i="40" s="1"/>
  <c r="C143" i="40"/>
  <c r="C140" i="40"/>
  <c r="C138" i="40"/>
  <c r="C137" i="40"/>
  <c r="C136" i="40"/>
  <c r="C135" i="40"/>
  <c r="C125" i="40"/>
  <c r="C122" i="40"/>
  <c r="C121" i="40"/>
  <c r="C120" i="40"/>
  <c r="C119" i="40"/>
  <c r="C118" i="40"/>
  <c r="C117" i="40"/>
  <c r="C116" i="40"/>
  <c r="C115" i="40"/>
  <c r="C114" i="40"/>
  <c r="C113" i="40"/>
  <c r="C112" i="40"/>
  <c r="C111" i="40"/>
  <c r="C110" i="40"/>
  <c r="C109" i="40"/>
  <c r="C108" i="40"/>
  <c r="C107" i="40"/>
  <c r="C106" i="40"/>
  <c r="C105" i="40"/>
  <c r="C104" i="40"/>
  <c r="C103" i="40"/>
  <c r="C102" i="40"/>
  <c r="C101" i="40"/>
  <c r="C100" i="40"/>
  <c r="C99" i="40"/>
  <c r="C98" i="40"/>
  <c r="C97" i="40"/>
  <c r="C96" i="40"/>
  <c r="C93" i="40"/>
  <c r="C92" i="40"/>
  <c r="C91" i="40"/>
  <c r="C90" i="40"/>
  <c r="C89" i="40"/>
  <c r="C88" i="40"/>
  <c r="C87" i="40"/>
  <c r="C86" i="40"/>
  <c r="C85" i="40"/>
  <c r="C82" i="40"/>
  <c r="C81" i="40"/>
  <c r="C80" i="40"/>
  <c r="C79" i="40"/>
  <c r="C78" i="40"/>
  <c r="C77" i="40"/>
  <c r="C76" i="40"/>
  <c r="C75" i="40"/>
  <c r="C74" i="40"/>
  <c r="C73" i="40"/>
  <c r="C72" i="40"/>
  <c r="C71" i="40"/>
  <c r="C70" i="40"/>
  <c r="C69" i="40"/>
  <c r="C68" i="40"/>
  <c r="C67" i="40"/>
  <c r="C66" i="40"/>
  <c r="C65" i="40"/>
  <c r="C64" i="40"/>
  <c r="C63" i="40"/>
  <c r="C62" i="40"/>
  <c r="C61" i="40"/>
  <c r="C60" i="40"/>
  <c r="C59" i="40"/>
  <c r="C58" i="40"/>
  <c r="C57" i="40"/>
  <c r="C56" i="40"/>
  <c r="C55" i="40"/>
  <c r="C54" i="40"/>
  <c r="C53" i="40"/>
  <c r="C52" i="40"/>
  <c r="C51" i="40"/>
  <c r="C50" i="40"/>
  <c r="C49" i="40"/>
  <c r="C48" i="40"/>
  <c r="C47" i="40"/>
  <c r="C46" i="40"/>
  <c r="C45" i="40"/>
  <c r="C44" i="40"/>
  <c r="C43" i="40"/>
  <c r="C42" i="40"/>
  <c r="C41" i="40"/>
  <c r="C38" i="40"/>
  <c r="C37" i="40"/>
  <c r="C36" i="40"/>
  <c r="C35" i="40"/>
  <c r="C34" i="40"/>
  <c r="C33" i="40"/>
  <c r="C32" i="40"/>
  <c r="C31" i="40"/>
  <c r="C30" i="40"/>
  <c r="C29" i="40"/>
  <c r="C28" i="40"/>
  <c r="C23" i="40"/>
  <c r="C22" i="40"/>
  <c r="C21" i="40"/>
  <c r="C20" i="40"/>
  <c r="C19" i="40"/>
  <c r="C18" i="40"/>
  <c r="C13" i="40"/>
  <c r="B13" i="40"/>
  <c r="C12" i="40"/>
  <c r="B12" i="40"/>
  <c r="C11" i="40"/>
  <c r="B11" i="40"/>
  <c r="C10" i="40"/>
  <c r="B10" i="40"/>
  <c r="C9" i="40"/>
  <c r="B9" i="40"/>
  <c r="C8" i="40"/>
  <c r="B8" i="40"/>
  <c r="C7" i="40"/>
  <c r="B7" i="40"/>
  <c r="C6" i="40"/>
  <c r="B6" i="40"/>
  <c r="C5" i="40"/>
  <c r="B5" i="40"/>
  <c r="C4" i="40"/>
  <c r="B4" i="40"/>
  <c r="C17" i="40" l="1"/>
  <c r="C223" i="39" l="1"/>
  <c r="C222" i="39"/>
  <c r="C221" i="39"/>
  <c r="C220" i="39"/>
  <c r="C219" i="39"/>
  <c r="C218" i="39"/>
  <c r="C217" i="39"/>
  <c r="C216" i="39"/>
  <c r="C215" i="39"/>
  <c r="C214" i="39"/>
  <c r="C213" i="39"/>
  <c r="C212" i="39"/>
  <c r="C211" i="39"/>
  <c r="C210" i="39"/>
  <c r="C209" i="39"/>
  <c r="C208" i="39"/>
  <c r="C207" i="39"/>
  <c r="C206" i="39"/>
  <c r="C205" i="39"/>
  <c r="C204" i="39"/>
  <c r="C203" i="39"/>
  <c r="C202" i="39"/>
  <c r="C201" i="39"/>
  <c r="C200" i="39"/>
  <c r="C199" i="39"/>
  <c r="C198" i="39"/>
  <c r="C197" i="39"/>
  <c r="C196" i="39"/>
  <c r="C195" i="39"/>
  <c r="C194" i="39"/>
  <c r="C193" i="39"/>
  <c r="C192" i="39"/>
  <c r="C191" i="39"/>
  <c r="C190" i="39"/>
  <c r="C189" i="39"/>
  <c r="C188" i="39"/>
  <c r="C187" i="39"/>
  <c r="C186" i="39"/>
  <c r="C185" i="39"/>
  <c r="C184" i="39"/>
  <c r="C183" i="39"/>
  <c r="C182" i="39"/>
  <c r="C181" i="39"/>
  <c r="C180" i="39"/>
  <c r="C179" i="39"/>
  <c r="C178" i="39"/>
  <c r="C177" i="39"/>
  <c r="C176" i="39"/>
  <c r="C175" i="39"/>
  <c r="C174" i="39"/>
  <c r="C173" i="39"/>
  <c r="C172" i="39"/>
  <c r="C171" i="39"/>
  <c r="C170" i="39"/>
  <c r="C169" i="39"/>
  <c r="C168" i="39"/>
  <c r="C167" i="39"/>
  <c r="C166" i="39"/>
  <c r="C165" i="39"/>
  <c r="C164" i="39"/>
  <c r="C163" i="39"/>
  <c r="C162" i="39"/>
  <c r="C161" i="39"/>
  <c r="C160" i="39"/>
  <c r="C159" i="39"/>
  <c r="C158" i="39"/>
  <c r="C157" i="39"/>
  <c r="C156" i="39"/>
  <c r="C155" i="39"/>
  <c r="C154" i="39"/>
  <c r="C153" i="39"/>
  <c r="C152" i="39"/>
  <c r="C151" i="39"/>
  <c r="C150" i="39"/>
  <c r="C149" i="39"/>
  <c r="C148" i="39"/>
  <c r="C147" i="39"/>
  <c r="C146" i="39"/>
  <c r="C145" i="39"/>
  <c r="C144" i="39"/>
  <c r="B144" i="39"/>
  <c r="B145" i="39" s="1"/>
  <c r="B146" i="39" s="1"/>
  <c r="B147" i="39" s="1"/>
  <c r="B148" i="39" s="1"/>
  <c r="B149" i="39" s="1"/>
  <c r="B150" i="39" s="1"/>
  <c r="B151" i="39" s="1"/>
  <c r="B152" i="39" s="1"/>
  <c r="B153" i="39" s="1"/>
  <c r="B154" i="39" s="1"/>
  <c r="B155" i="39" s="1"/>
  <c r="B156" i="39" s="1"/>
  <c r="B157" i="39" s="1"/>
  <c r="B158" i="39" s="1"/>
  <c r="B159" i="39" s="1"/>
  <c r="B160" i="39" s="1"/>
  <c r="B161" i="39" s="1"/>
  <c r="B162" i="39" s="1"/>
  <c r="B163" i="39" s="1"/>
  <c r="B164" i="39" s="1"/>
  <c r="B165" i="39" s="1"/>
  <c r="B166" i="39" s="1"/>
  <c r="B167" i="39" s="1"/>
  <c r="B168" i="39" s="1"/>
  <c r="B169" i="39" s="1"/>
  <c r="B170" i="39" s="1"/>
  <c r="B171" i="39" s="1"/>
  <c r="B172" i="39" s="1"/>
  <c r="B173" i="39" s="1"/>
  <c r="B174" i="39" s="1"/>
  <c r="B175" i="39" s="1"/>
  <c r="B176" i="39" s="1"/>
  <c r="B177" i="39" s="1"/>
  <c r="B178" i="39" s="1"/>
  <c r="B179" i="39" s="1"/>
  <c r="B180" i="39" s="1"/>
  <c r="B181" i="39" s="1"/>
  <c r="B182" i="39" s="1"/>
  <c r="B183" i="39" s="1"/>
  <c r="B184" i="39" s="1"/>
  <c r="B185" i="39" s="1"/>
  <c r="B186" i="39" s="1"/>
  <c r="B187" i="39" s="1"/>
  <c r="B188" i="39" s="1"/>
  <c r="B189" i="39" s="1"/>
  <c r="B190" i="39" s="1"/>
  <c r="B191" i="39" s="1"/>
  <c r="B192" i="39" s="1"/>
  <c r="B193" i="39" s="1"/>
  <c r="B194" i="39" s="1"/>
  <c r="B195" i="39" s="1"/>
  <c r="B196" i="39" s="1"/>
  <c r="B197" i="39" s="1"/>
  <c r="B198" i="39" s="1"/>
  <c r="B199" i="39" s="1"/>
  <c r="B200" i="39" s="1"/>
  <c r="B201" i="39" s="1"/>
  <c r="B202" i="39" s="1"/>
  <c r="B203" i="39" s="1"/>
  <c r="B204" i="39" s="1"/>
  <c r="B205" i="39" s="1"/>
  <c r="B206" i="39" s="1"/>
  <c r="B207" i="39" s="1"/>
  <c r="B208" i="39" s="1"/>
  <c r="B209" i="39" s="1"/>
  <c r="B210" i="39" s="1"/>
  <c r="B211" i="39" s="1"/>
  <c r="B212" i="39" s="1"/>
  <c r="B213" i="39" s="1"/>
  <c r="B214" i="39" s="1"/>
  <c r="B215" i="39" s="1"/>
  <c r="B216" i="39" s="1"/>
  <c r="B217" i="39" s="1"/>
  <c r="B218" i="39" s="1"/>
  <c r="B219" i="39" s="1"/>
  <c r="B220" i="39" s="1"/>
  <c r="B221" i="39" s="1"/>
  <c r="B222" i="39" s="1"/>
  <c r="B223" i="39" s="1"/>
  <c r="C143" i="39"/>
  <c r="C140" i="39"/>
  <c r="C138" i="39"/>
  <c r="C137" i="39"/>
  <c r="C136" i="39"/>
  <c r="C135" i="39"/>
  <c r="C125" i="39"/>
  <c r="C122" i="39"/>
  <c r="C121" i="39"/>
  <c r="C120" i="39"/>
  <c r="C119" i="39"/>
  <c r="C118" i="39"/>
  <c r="C117" i="39"/>
  <c r="C116" i="39"/>
  <c r="C115" i="39"/>
  <c r="C114" i="39"/>
  <c r="C113" i="39"/>
  <c r="C112" i="39"/>
  <c r="C111" i="39"/>
  <c r="C110" i="39"/>
  <c r="C109" i="39"/>
  <c r="C108" i="39"/>
  <c r="C107" i="39"/>
  <c r="C106" i="39"/>
  <c r="C105" i="39"/>
  <c r="C104" i="39"/>
  <c r="C103" i="39"/>
  <c r="C102" i="39"/>
  <c r="C101" i="39"/>
  <c r="C100" i="39"/>
  <c r="C99" i="39"/>
  <c r="C98" i="39"/>
  <c r="C97" i="39"/>
  <c r="C96" i="39"/>
  <c r="C93" i="39"/>
  <c r="C92" i="39"/>
  <c r="C91" i="39"/>
  <c r="C90" i="39"/>
  <c r="C89" i="39"/>
  <c r="C88" i="39"/>
  <c r="C87" i="39"/>
  <c r="C86" i="39"/>
  <c r="C85" i="39"/>
  <c r="C82" i="39"/>
  <c r="C81" i="39"/>
  <c r="C80" i="39"/>
  <c r="C79" i="39"/>
  <c r="C78" i="39"/>
  <c r="C77" i="39"/>
  <c r="C76" i="39"/>
  <c r="C75" i="39"/>
  <c r="C74" i="39"/>
  <c r="C73" i="39"/>
  <c r="C72" i="39"/>
  <c r="C71" i="39"/>
  <c r="C70" i="39"/>
  <c r="C69" i="39"/>
  <c r="C68" i="39"/>
  <c r="C67" i="39"/>
  <c r="C66" i="39"/>
  <c r="C65" i="39"/>
  <c r="C64" i="39"/>
  <c r="C63" i="39"/>
  <c r="C62" i="39"/>
  <c r="C61" i="39"/>
  <c r="C60" i="39"/>
  <c r="C59" i="39"/>
  <c r="C58" i="39"/>
  <c r="C57" i="39"/>
  <c r="C56" i="39"/>
  <c r="C55" i="39"/>
  <c r="C54" i="39"/>
  <c r="C53" i="39"/>
  <c r="C52" i="39"/>
  <c r="C51" i="39"/>
  <c r="C50" i="39"/>
  <c r="C49" i="39"/>
  <c r="C48" i="39"/>
  <c r="C47" i="39"/>
  <c r="C46" i="39"/>
  <c r="C45" i="39"/>
  <c r="C44" i="39"/>
  <c r="C43" i="39"/>
  <c r="C42" i="39"/>
  <c r="C41" i="39"/>
  <c r="C38" i="39"/>
  <c r="C37" i="39"/>
  <c r="C36" i="39"/>
  <c r="C35" i="39"/>
  <c r="C34" i="39"/>
  <c r="C33" i="39"/>
  <c r="C32" i="39"/>
  <c r="C31" i="39"/>
  <c r="C30" i="39"/>
  <c r="C29" i="39"/>
  <c r="C28" i="39"/>
  <c r="C23" i="39"/>
  <c r="C22" i="39"/>
  <c r="C21" i="39"/>
  <c r="C20" i="39"/>
  <c r="C19" i="39"/>
  <c r="C18" i="39"/>
  <c r="C13" i="39"/>
  <c r="B13" i="39"/>
  <c r="C12" i="39"/>
  <c r="B12" i="39"/>
  <c r="C11" i="39"/>
  <c r="B11" i="39"/>
  <c r="C10" i="39"/>
  <c r="B10" i="39"/>
  <c r="C9" i="39"/>
  <c r="B9" i="39"/>
  <c r="C8" i="39"/>
  <c r="B8" i="39"/>
  <c r="C7" i="39"/>
  <c r="B7" i="39"/>
  <c r="C6" i="39"/>
  <c r="B6" i="39"/>
  <c r="C5" i="39"/>
  <c r="B5" i="39"/>
  <c r="C4" i="39"/>
  <c r="B4" i="39"/>
  <c r="C17" i="39" l="1"/>
  <c r="C223" i="38" l="1"/>
  <c r="C222" i="38"/>
  <c r="C221" i="38"/>
  <c r="C220" i="38"/>
  <c r="C219" i="38"/>
  <c r="C218" i="38"/>
  <c r="C217" i="38"/>
  <c r="C216" i="38"/>
  <c r="C215" i="38"/>
  <c r="C214" i="38"/>
  <c r="C213" i="38"/>
  <c r="C212" i="38"/>
  <c r="C211" i="38"/>
  <c r="C210" i="38"/>
  <c r="C209" i="38"/>
  <c r="C208" i="38"/>
  <c r="C207" i="38"/>
  <c r="C206" i="38"/>
  <c r="C205" i="38"/>
  <c r="C204" i="38"/>
  <c r="C203" i="38"/>
  <c r="C202" i="38"/>
  <c r="C201" i="38"/>
  <c r="C200" i="38"/>
  <c r="C199" i="38"/>
  <c r="C198" i="38"/>
  <c r="C197" i="38"/>
  <c r="C196" i="38"/>
  <c r="C195" i="38"/>
  <c r="C194" i="38"/>
  <c r="C193" i="38"/>
  <c r="C192" i="38"/>
  <c r="C191" i="38"/>
  <c r="C190" i="38"/>
  <c r="C189" i="38"/>
  <c r="C188" i="38"/>
  <c r="C187" i="38"/>
  <c r="C186" i="38"/>
  <c r="C185" i="38"/>
  <c r="C184" i="38"/>
  <c r="C183" i="38"/>
  <c r="C182" i="38"/>
  <c r="C181" i="38"/>
  <c r="C180" i="38"/>
  <c r="C179" i="38"/>
  <c r="C178" i="38"/>
  <c r="C177" i="38"/>
  <c r="C176" i="38"/>
  <c r="C175" i="38"/>
  <c r="C174" i="38"/>
  <c r="C173" i="38"/>
  <c r="C172" i="38"/>
  <c r="C171" i="38"/>
  <c r="C170" i="38"/>
  <c r="C169" i="38"/>
  <c r="C168" i="38"/>
  <c r="C167" i="38"/>
  <c r="C166" i="38"/>
  <c r="C165" i="38"/>
  <c r="C164" i="38"/>
  <c r="C163" i="38"/>
  <c r="C162" i="38"/>
  <c r="C161" i="38"/>
  <c r="C160" i="38"/>
  <c r="C159" i="38"/>
  <c r="C158" i="38"/>
  <c r="C157" i="38"/>
  <c r="C156" i="38"/>
  <c r="C155" i="38"/>
  <c r="C154" i="38"/>
  <c r="C153" i="38"/>
  <c r="C152" i="38"/>
  <c r="C151" i="38"/>
  <c r="C150" i="38"/>
  <c r="C149" i="38"/>
  <c r="C148" i="38"/>
  <c r="C147" i="38"/>
  <c r="C146" i="38"/>
  <c r="C145" i="38"/>
  <c r="C144" i="38"/>
  <c r="B144" i="38"/>
  <c r="B145" i="38" s="1"/>
  <c r="B146" i="38" s="1"/>
  <c r="B147" i="38" s="1"/>
  <c r="B148" i="38" s="1"/>
  <c r="B149" i="38" s="1"/>
  <c r="B150" i="38" s="1"/>
  <c r="B151" i="38" s="1"/>
  <c r="B152" i="38" s="1"/>
  <c r="B153" i="38" s="1"/>
  <c r="B154" i="38" s="1"/>
  <c r="B155" i="38" s="1"/>
  <c r="B156" i="38" s="1"/>
  <c r="B157" i="38" s="1"/>
  <c r="B158" i="38" s="1"/>
  <c r="B159" i="38" s="1"/>
  <c r="B160" i="38" s="1"/>
  <c r="B161" i="38" s="1"/>
  <c r="B162" i="38" s="1"/>
  <c r="B163" i="38" s="1"/>
  <c r="B164" i="38" s="1"/>
  <c r="B165" i="38" s="1"/>
  <c r="B166" i="38" s="1"/>
  <c r="B167" i="38" s="1"/>
  <c r="B168" i="38" s="1"/>
  <c r="B169" i="38" s="1"/>
  <c r="B170" i="38" s="1"/>
  <c r="B171" i="38" s="1"/>
  <c r="B172" i="38" s="1"/>
  <c r="B173" i="38" s="1"/>
  <c r="B174" i="38" s="1"/>
  <c r="B175" i="38" s="1"/>
  <c r="B176" i="38" s="1"/>
  <c r="B177" i="38" s="1"/>
  <c r="B178" i="38" s="1"/>
  <c r="B179" i="38" s="1"/>
  <c r="B180" i="38" s="1"/>
  <c r="B181" i="38" s="1"/>
  <c r="B182" i="38" s="1"/>
  <c r="B183" i="38" s="1"/>
  <c r="B184" i="38" s="1"/>
  <c r="B185" i="38" s="1"/>
  <c r="B186" i="38" s="1"/>
  <c r="B187" i="38" s="1"/>
  <c r="B188" i="38" s="1"/>
  <c r="B189" i="38" s="1"/>
  <c r="B190" i="38" s="1"/>
  <c r="B191" i="38" s="1"/>
  <c r="B192" i="38" s="1"/>
  <c r="B193" i="38" s="1"/>
  <c r="B194" i="38" s="1"/>
  <c r="B195" i="38" s="1"/>
  <c r="B196" i="38" s="1"/>
  <c r="B197" i="38" s="1"/>
  <c r="B198" i="38" s="1"/>
  <c r="B199" i="38" s="1"/>
  <c r="B200" i="38" s="1"/>
  <c r="B201" i="38" s="1"/>
  <c r="B202" i="38" s="1"/>
  <c r="B203" i="38" s="1"/>
  <c r="B204" i="38" s="1"/>
  <c r="B205" i="38" s="1"/>
  <c r="B206" i="38" s="1"/>
  <c r="B207" i="38" s="1"/>
  <c r="B208" i="38" s="1"/>
  <c r="B209" i="38" s="1"/>
  <c r="B210" i="38" s="1"/>
  <c r="B211" i="38" s="1"/>
  <c r="B212" i="38" s="1"/>
  <c r="B213" i="38" s="1"/>
  <c r="B214" i="38" s="1"/>
  <c r="B215" i="38" s="1"/>
  <c r="B216" i="38" s="1"/>
  <c r="B217" i="38" s="1"/>
  <c r="B218" i="38" s="1"/>
  <c r="B219" i="38" s="1"/>
  <c r="B220" i="38" s="1"/>
  <c r="B221" i="38" s="1"/>
  <c r="B222" i="38" s="1"/>
  <c r="B223" i="38" s="1"/>
  <c r="C143" i="38"/>
  <c r="C140" i="38"/>
  <c r="C138" i="38"/>
  <c r="C137" i="38"/>
  <c r="C136" i="38"/>
  <c r="C135" i="38"/>
  <c r="C125" i="38"/>
  <c r="C122" i="38"/>
  <c r="C121" i="38"/>
  <c r="C120" i="38"/>
  <c r="C119" i="38"/>
  <c r="C118" i="38"/>
  <c r="C117" i="38"/>
  <c r="C116" i="38"/>
  <c r="C115" i="38"/>
  <c r="C114" i="38"/>
  <c r="C113" i="38"/>
  <c r="C112" i="38"/>
  <c r="C111" i="38"/>
  <c r="C110" i="38"/>
  <c r="C109" i="38"/>
  <c r="C108" i="38"/>
  <c r="C107" i="38"/>
  <c r="C106" i="38"/>
  <c r="C105" i="38"/>
  <c r="C104" i="38"/>
  <c r="C103" i="38"/>
  <c r="C102" i="38"/>
  <c r="C101" i="38"/>
  <c r="C100" i="38"/>
  <c r="C99" i="38"/>
  <c r="C98" i="38"/>
  <c r="C97" i="38"/>
  <c r="C96" i="38"/>
  <c r="C93" i="38"/>
  <c r="C92" i="38"/>
  <c r="C91" i="38"/>
  <c r="C90" i="38"/>
  <c r="C89" i="38"/>
  <c r="C88" i="38"/>
  <c r="C87" i="38"/>
  <c r="C86" i="38"/>
  <c r="C85" i="38"/>
  <c r="C82" i="38"/>
  <c r="C81" i="38"/>
  <c r="C80" i="38"/>
  <c r="C79" i="38"/>
  <c r="C78" i="38"/>
  <c r="C77" i="38"/>
  <c r="C76" i="38"/>
  <c r="C75" i="38"/>
  <c r="C74" i="38"/>
  <c r="C73" i="38"/>
  <c r="C72" i="38"/>
  <c r="C71" i="38"/>
  <c r="C70" i="38"/>
  <c r="C69" i="38"/>
  <c r="C68" i="38"/>
  <c r="C67" i="38"/>
  <c r="C66" i="38"/>
  <c r="C65" i="38"/>
  <c r="C64" i="38"/>
  <c r="C63" i="38"/>
  <c r="C62" i="38"/>
  <c r="C61" i="38"/>
  <c r="C60" i="38"/>
  <c r="C59" i="38"/>
  <c r="C58" i="38"/>
  <c r="C57" i="38"/>
  <c r="C56" i="38"/>
  <c r="C55" i="38"/>
  <c r="C54" i="38"/>
  <c r="C53" i="38"/>
  <c r="C52" i="38"/>
  <c r="C51" i="38"/>
  <c r="C50" i="38"/>
  <c r="C49" i="38"/>
  <c r="C48" i="38"/>
  <c r="C47" i="38"/>
  <c r="C46" i="38"/>
  <c r="C45" i="38"/>
  <c r="C44" i="38"/>
  <c r="C43" i="38"/>
  <c r="C42" i="38"/>
  <c r="C41" i="38"/>
  <c r="C38" i="38"/>
  <c r="C37" i="38"/>
  <c r="C36" i="38"/>
  <c r="C35" i="38"/>
  <c r="C34" i="38"/>
  <c r="C33" i="38"/>
  <c r="C32" i="38"/>
  <c r="C31" i="38"/>
  <c r="C30" i="38"/>
  <c r="C29" i="38"/>
  <c r="C28" i="38"/>
  <c r="C23" i="38"/>
  <c r="C22" i="38"/>
  <c r="C21" i="38"/>
  <c r="C20" i="38"/>
  <c r="C19" i="38"/>
  <c r="C18" i="38"/>
  <c r="C13" i="38"/>
  <c r="B13" i="38"/>
  <c r="C12" i="38"/>
  <c r="B12" i="38"/>
  <c r="C11" i="38"/>
  <c r="B11" i="38"/>
  <c r="C10" i="38"/>
  <c r="B10" i="38"/>
  <c r="C9" i="38"/>
  <c r="B9" i="38"/>
  <c r="C8" i="38"/>
  <c r="B8" i="38"/>
  <c r="C7" i="38"/>
  <c r="B7" i="38"/>
  <c r="C6" i="38"/>
  <c r="B6" i="38"/>
  <c r="C5" i="38"/>
  <c r="B5" i="38"/>
  <c r="C4" i="38"/>
  <c r="B4" i="38"/>
  <c r="C17" i="38" l="1"/>
  <c r="C223" i="37" l="1"/>
  <c r="C222" i="37"/>
  <c r="C221" i="37"/>
  <c r="C220" i="37"/>
  <c r="C219" i="37"/>
  <c r="C218" i="37"/>
  <c r="C217" i="37"/>
  <c r="C216" i="37"/>
  <c r="C215" i="37"/>
  <c r="C214" i="37"/>
  <c r="C213" i="37"/>
  <c r="C212" i="37"/>
  <c r="C211" i="37"/>
  <c r="C210" i="37"/>
  <c r="C209" i="37"/>
  <c r="C208" i="37"/>
  <c r="C207" i="37"/>
  <c r="C206" i="37"/>
  <c r="C205" i="37"/>
  <c r="C204" i="37"/>
  <c r="C203" i="37"/>
  <c r="C202" i="37"/>
  <c r="C201" i="37"/>
  <c r="C200" i="37"/>
  <c r="C199" i="37"/>
  <c r="C198" i="37"/>
  <c r="C197" i="37"/>
  <c r="C196" i="37"/>
  <c r="C195" i="37"/>
  <c r="C194" i="37"/>
  <c r="C193" i="37"/>
  <c r="C192" i="37"/>
  <c r="C191" i="37"/>
  <c r="C190" i="37"/>
  <c r="C189" i="37"/>
  <c r="C188" i="37"/>
  <c r="C187" i="37"/>
  <c r="C186" i="37"/>
  <c r="C185" i="37"/>
  <c r="C184" i="37"/>
  <c r="C183" i="37"/>
  <c r="C182" i="37"/>
  <c r="C181" i="37"/>
  <c r="C180" i="37"/>
  <c r="C179" i="37"/>
  <c r="C178" i="37"/>
  <c r="C177" i="37"/>
  <c r="C176" i="37"/>
  <c r="C175" i="37"/>
  <c r="C174" i="37"/>
  <c r="C173" i="37"/>
  <c r="C172" i="37"/>
  <c r="C171" i="37"/>
  <c r="C170" i="37"/>
  <c r="C169" i="37"/>
  <c r="C168" i="37"/>
  <c r="C167" i="37"/>
  <c r="C166" i="37"/>
  <c r="C165" i="37"/>
  <c r="C164" i="37"/>
  <c r="C163" i="37"/>
  <c r="C162" i="37"/>
  <c r="C161" i="37"/>
  <c r="C160" i="37"/>
  <c r="C159" i="37"/>
  <c r="C158" i="37"/>
  <c r="C157" i="37"/>
  <c r="C156" i="37"/>
  <c r="C155" i="37"/>
  <c r="C154" i="37"/>
  <c r="C153" i="37"/>
  <c r="C152" i="37"/>
  <c r="C151" i="37"/>
  <c r="C150" i="37"/>
  <c r="C149" i="37"/>
  <c r="C148" i="37"/>
  <c r="C147" i="37"/>
  <c r="C146" i="37"/>
  <c r="C145" i="37"/>
  <c r="C144" i="37"/>
  <c r="B144" i="37"/>
  <c r="B145" i="37" s="1"/>
  <c r="B146" i="37" s="1"/>
  <c r="B147" i="37" s="1"/>
  <c r="B148" i="37" s="1"/>
  <c r="B149" i="37" s="1"/>
  <c r="B150" i="37" s="1"/>
  <c r="B151" i="37" s="1"/>
  <c r="B152" i="37" s="1"/>
  <c r="B153" i="37" s="1"/>
  <c r="B154" i="37" s="1"/>
  <c r="B155" i="37" s="1"/>
  <c r="B156" i="37" s="1"/>
  <c r="B157" i="37" s="1"/>
  <c r="B158" i="37" s="1"/>
  <c r="B159" i="37" s="1"/>
  <c r="B160" i="37" s="1"/>
  <c r="B161" i="37" s="1"/>
  <c r="B162" i="37" s="1"/>
  <c r="B163" i="37" s="1"/>
  <c r="B164" i="37" s="1"/>
  <c r="B165" i="37" s="1"/>
  <c r="B166" i="37" s="1"/>
  <c r="B167" i="37" s="1"/>
  <c r="B168" i="37" s="1"/>
  <c r="B169" i="37" s="1"/>
  <c r="B170" i="37" s="1"/>
  <c r="B171" i="37" s="1"/>
  <c r="B172" i="37" s="1"/>
  <c r="B173" i="37" s="1"/>
  <c r="B174" i="37" s="1"/>
  <c r="B175" i="37" s="1"/>
  <c r="B176" i="37" s="1"/>
  <c r="B177" i="37" s="1"/>
  <c r="B178" i="37" s="1"/>
  <c r="B179" i="37" s="1"/>
  <c r="B180" i="37" s="1"/>
  <c r="B181" i="37" s="1"/>
  <c r="B182" i="37" s="1"/>
  <c r="B183" i="37" s="1"/>
  <c r="B184" i="37" s="1"/>
  <c r="B185" i="37" s="1"/>
  <c r="B186" i="37" s="1"/>
  <c r="B187" i="37" s="1"/>
  <c r="B188" i="37" s="1"/>
  <c r="B189" i="37" s="1"/>
  <c r="B190" i="37" s="1"/>
  <c r="B191" i="37" s="1"/>
  <c r="B192" i="37" s="1"/>
  <c r="B193" i="37" s="1"/>
  <c r="B194" i="37" s="1"/>
  <c r="B195" i="37" s="1"/>
  <c r="B196" i="37" s="1"/>
  <c r="B197" i="37" s="1"/>
  <c r="B198" i="37" s="1"/>
  <c r="B199" i="37" s="1"/>
  <c r="B200" i="37" s="1"/>
  <c r="B201" i="37" s="1"/>
  <c r="B202" i="37" s="1"/>
  <c r="B203" i="37" s="1"/>
  <c r="B204" i="37" s="1"/>
  <c r="B205" i="37" s="1"/>
  <c r="B206" i="37" s="1"/>
  <c r="B207" i="37" s="1"/>
  <c r="B208" i="37" s="1"/>
  <c r="B209" i="37" s="1"/>
  <c r="B210" i="37" s="1"/>
  <c r="B211" i="37" s="1"/>
  <c r="B212" i="37" s="1"/>
  <c r="B213" i="37" s="1"/>
  <c r="B214" i="37" s="1"/>
  <c r="B215" i="37" s="1"/>
  <c r="B216" i="37" s="1"/>
  <c r="B217" i="37" s="1"/>
  <c r="B218" i="37" s="1"/>
  <c r="B219" i="37" s="1"/>
  <c r="B220" i="37" s="1"/>
  <c r="B221" i="37" s="1"/>
  <c r="B222" i="37" s="1"/>
  <c r="B223" i="37" s="1"/>
  <c r="C143" i="37"/>
  <c r="C140" i="37"/>
  <c r="C138" i="37"/>
  <c r="C137" i="37"/>
  <c r="C136" i="37"/>
  <c r="C135" i="37"/>
  <c r="C125" i="37"/>
  <c r="C122" i="37"/>
  <c r="C121" i="37"/>
  <c r="C120" i="37"/>
  <c r="C119" i="37"/>
  <c r="C118" i="37"/>
  <c r="C117" i="37"/>
  <c r="C116" i="37"/>
  <c r="C115" i="37"/>
  <c r="C114" i="37"/>
  <c r="C113" i="37"/>
  <c r="C112" i="37"/>
  <c r="C111" i="37"/>
  <c r="C110" i="37"/>
  <c r="C109" i="37"/>
  <c r="C108" i="37"/>
  <c r="C107" i="37"/>
  <c r="C106" i="37"/>
  <c r="C105" i="37"/>
  <c r="C104" i="37"/>
  <c r="C103" i="37"/>
  <c r="C102" i="37"/>
  <c r="C101" i="37"/>
  <c r="C100" i="37"/>
  <c r="C99" i="37"/>
  <c r="C98" i="37"/>
  <c r="C97" i="37"/>
  <c r="C96" i="37"/>
  <c r="C93" i="37"/>
  <c r="C92" i="37"/>
  <c r="C91" i="37"/>
  <c r="C90" i="37"/>
  <c r="C89" i="37"/>
  <c r="C88" i="37"/>
  <c r="C87" i="37"/>
  <c r="C86" i="37"/>
  <c r="C85" i="37"/>
  <c r="C82" i="37"/>
  <c r="C81" i="37"/>
  <c r="C80" i="37"/>
  <c r="C79" i="37"/>
  <c r="C78" i="37"/>
  <c r="C77" i="37"/>
  <c r="C76" i="37"/>
  <c r="C75" i="37"/>
  <c r="C74" i="37"/>
  <c r="C73" i="37"/>
  <c r="C72" i="37"/>
  <c r="C71" i="37"/>
  <c r="C70" i="37"/>
  <c r="C69" i="37"/>
  <c r="C68" i="37"/>
  <c r="C67" i="37"/>
  <c r="C66" i="37"/>
  <c r="C65" i="37"/>
  <c r="C64" i="37"/>
  <c r="C63" i="37"/>
  <c r="C62" i="37"/>
  <c r="C61" i="37"/>
  <c r="C60" i="37"/>
  <c r="C59" i="37"/>
  <c r="C58" i="37"/>
  <c r="C57" i="37"/>
  <c r="C56" i="37"/>
  <c r="C55" i="37"/>
  <c r="C54" i="37"/>
  <c r="C53" i="37"/>
  <c r="C52" i="37"/>
  <c r="C51" i="37"/>
  <c r="C50" i="37"/>
  <c r="C49" i="37"/>
  <c r="C48" i="37"/>
  <c r="C47" i="37"/>
  <c r="C46" i="37"/>
  <c r="C45" i="37"/>
  <c r="C44" i="37"/>
  <c r="C43" i="37"/>
  <c r="C42" i="37"/>
  <c r="C41" i="37"/>
  <c r="C38" i="37"/>
  <c r="C37" i="37"/>
  <c r="C36" i="37"/>
  <c r="C35" i="37"/>
  <c r="C34" i="37"/>
  <c r="C33" i="37"/>
  <c r="C32" i="37"/>
  <c r="C31" i="37"/>
  <c r="C30" i="37"/>
  <c r="C29" i="37"/>
  <c r="C28" i="37"/>
  <c r="C23" i="37"/>
  <c r="C22" i="37"/>
  <c r="C21" i="37"/>
  <c r="C20" i="37"/>
  <c r="C19" i="37"/>
  <c r="C18" i="37"/>
  <c r="C13" i="37"/>
  <c r="B13" i="37"/>
  <c r="C12" i="37"/>
  <c r="B12" i="37"/>
  <c r="C11" i="37"/>
  <c r="B11" i="37"/>
  <c r="C10" i="37"/>
  <c r="B10" i="37"/>
  <c r="C9" i="37"/>
  <c r="B9" i="37"/>
  <c r="C8" i="37"/>
  <c r="B8" i="37"/>
  <c r="C7" i="37"/>
  <c r="B7" i="37"/>
  <c r="C6" i="37"/>
  <c r="B6" i="37"/>
  <c r="C5" i="37"/>
  <c r="B5" i="37"/>
  <c r="C4" i="37"/>
  <c r="B4" i="37"/>
  <c r="C17" i="37" l="1"/>
  <c r="C223" i="36" l="1"/>
  <c r="C222" i="36"/>
  <c r="C221" i="36"/>
  <c r="C220" i="36"/>
  <c r="C219" i="36"/>
  <c r="C218" i="36"/>
  <c r="C217" i="36"/>
  <c r="C216" i="36"/>
  <c r="C215" i="36"/>
  <c r="C214" i="36"/>
  <c r="C213" i="36"/>
  <c r="C212" i="36"/>
  <c r="C211" i="36"/>
  <c r="C210" i="36"/>
  <c r="C209" i="36"/>
  <c r="C208" i="36"/>
  <c r="C207" i="36"/>
  <c r="C206" i="36"/>
  <c r="C205" i="36"/>
  <c r="C204" i="36"/>
  <c r="C203" i="36"/>
  <c r="C202" i="36"/>
  <c r="C201" i="36"/>
  <c r="C200" i="36"/>
  <c r="C199" i="36"/>
  <c r="C198" i="36"/>
  <c r="C197" i="36"/>
  <c r="C196" i="36"/>
  <c r="C195" i="36"/>
  <c r="C194" i="36"/>
  <c r="C193" i="36"/>
  <c r="C192" i="36"/>
  <c r="C191" i="36"/>
  <c r="C190" i="36"/>
  <c r="C189" i="36"/>
  <c r="C188" i="36"/>
  <c r="C187" i="36"/>
  <c r="C186" i="36"/>
  <c r="C185" i="36"/>
  <c r="C184" i="36"/>
  <c r="C183" i="36"/>
  <c r="C182" i="36"/>
  <c r="C181" i="36"/>
  <c r="C180" i="36"/>
  <c r="C179" i="36"/>
  <c r="C178" i="36"/>
  <c r="C177" i="36"/>
  <c r="C176" i="36"/>
  <c r="C175" i="36"/>
  <c r="C174" i="36"/>
  <c r="C173" i="36"/>
  <c r="C172" i="36"/>
  <c r="C171" i="36"/>
  <c r="C170" i="36"/>
  <c r="C169" i="36"/>
  <c r="C168" i="36"/>
  <c r="C167" i="36"/>
  <c r="C166" i="36"/>
  <c r="C165" i="36"/>
  <c r="C164" i="36"/>
  <c r="C163" i="36"/>
  <c r="C162" i="36"/>
  <c r="C161" i="36"/>
  <c r="C160" i="36"/>
  <c r="C159" i="36"/>
  <c r="C158" i="36"/>
  <c r="C157" i="36"/>
  <c r="C156" i="36"/>
  <c r="C155" i="36"/>
  <c r="C154" i="36"/>
  <c r="C153" i="36"/>
  <c r="C152" i="36"/>
  <c r="C151" i="36"/>
  <c r="C150" i="36"/>
  <c r="C149" i="36"/>
  <c r="C148" i="36"/>
  <c r="C147" i="36"/>
  <c r="C146" i="36"/>
  <c r="C145" i="36"/>
  <c r="C144" i="36"/>
  <c r="B144" i="36"/>
  <c r="B145" i="36" s="1"/>
  <c r="B146" i="36" s="1"/>
  <c r="B147" i="36" s="1"/>
  <c r="B148" i="36" s="1"/>
  <c r="B149" i="36" s="1"/>
  <c r="B150" i="36" s="1"/>
  <c r="B151" i="36" s="1"/>
  <c r="B152" i="36" s="1"/>
  <c r="B153" i="36" s="1"/>
  <c r="B154" i="36" s="1"/>
  <c r="B155" i="36" s="1"/>
  <c r="B156" i="36" s="1"/>
  <c r="B157" i="36" s="1"/>
  <c r="B158" i="36" s="1"/>
  <c r="B159" i="36" s="1"/>
  <c r="B160" i="36" s="1"/>
  <c r="B161" i="36" s="1"/>
  <c r="B162" i="36" s="1"/>
  <c r="B163" i="36" s="1"/>
  <c r="B164" i="36" s="1"/>
  <c r="B165" i="36" s="1"/>
  <c r="B166" i="36" s="1"/>
  <c r="B167" i="36" s="1"/>
  <c r="B168" i="36" s="1"/>
  <c r="B169" i="36" s="1"/>
  <c r="B170" i="36" s="1"/>
  <c r="B171" i="36" s="1"/>
  <c r="B172" i="36" s="1"/>
  <c r="B173" i="36" s="1"/>
  <c r="B174" i="36" s="1"/>
  <c r="B175" i="36" s="1"/>
  <c r="B176" i="36" s="1"/>
  <c r="B177" i="36" s="1"/>
  <c r="B178" i="36" s="1"/>
  <c r="B179" i="36" s="1"/>
  <c r="B180" i="36" s="1"/>
  <c r="B181" i="36" s="1"/>
  <c r="B182" i="36" s="1"/>
  <c r="B183" i="36" s="1"/>
  <c r="B184" i="36" s="1"/>
  <c r="B185" i="36" s="1"/>
  <c r="B186" i="36" s="1"/>
  <c r="B187" i="36" s="1"/>
  <c r="B188" i="36" s="1"/>
  <c r="B189" i="36" s="1"/>
  <c r="B190" i="36" s="1"/>
  <c r="B191" i="36" s="1"/>
  <c r="B192" i="36" s="1"/>
  <c r="B193" i="36" s="1"/>
  <c r="B194" i="36" s="1"/>
  <c r="B195" i="36" s="1"/>
  <c r="B196" i="36" s="1"/>
  <c r="B197" i="36" s="1"/>
  <c r="B198" i="36" s="1"/>
  <c r="B199" i="36" s="1"/>
  <c r="B200" i="36" s="1"/>
  <c r="B201" i="36" s="1"/>
  <c r="B202" i="36" s="1"/>
  <c r="B203" i="36" s="1"/>
  <c r="B204" i="36" s="1"/>
  <c r="B205" i="36" s="1"/>
  <c r="B206" i="36" s="1"/>
  <c r="B207" i="36" s="1"/>
  <c r="B208" i="36" s="1"/>
  <c r="B209" i="36" s="1"/>
  <c r="B210" i="36" s="1"/>
  <c r="B211" i="36" s="1"/>
  <c r="B212" i="36" s="1"/>
  <c r="B213" i="36" s="1"/>
  <c r="B214" i="36" s="1"/>
  <c r="B215" i="36" s="1"/>
  <c r="B216" i="36" s="1"/>
  <c r="B217" i="36" s="1"/>
  <c r="B218" i="36" s="1"/>
  <c r="B219" i="36" s="1"/>
  <c r="B220" i="36" s="1"/>
  <c r="B221" i="36" s="1"/>
  <c r="B222" i="36" s="1"/>
  <c r="B223" i="36" s="1"/>
  <c r="C143" i="36"/>
  <c r="C140" i="36"/>
  <c r="C138" i="36"/>
  <c r="C137" i="36"/>
  <c r="C136" i="36"/>
  <c r="C135" i="36"/>
  <c r="C125" i="36"/>
  <c r="C122" i="36"/>
  <c r="C121" i="36"/>
  <c r="C120" i="36"/>
  <c r="C119" i="36"/>
  <c r="C118" i="36"/>
  <c r="C117" i="36"/>
  <c r="C116" i="36"/>
  <c r="C115" i="36"/>
  <c r="C114" i="36"/>
  <c r="C113" i="36"/>
  <c r="C112" i="36"/>
  <c r="C111" i="36"/>
  <c r="C110" i="36"/>
  <c r="C109" i="36"/>
  <c r="C108" i="36"/>
  <c r="C107" i="36"/>
  <c r="C106" i="36"/>
  <c r="C105" i="36"/>
  <c r="C104" i="36"/>
  <c r="C103" i="36"/>
  <c r="C102" i="36"/>
  <c r="C101" i="36"/>
  <c r="C100" i="36"/>
  <c r="C99" i="36"/>
  <c r="C98" i="36"/>
  <c r="C97" i="36"/>
  <c r="C96" i="36"/>
  <c r="C93" i="36"/>
  <c r="C92" i="36"/>
  <c r="C91" i="36"/>
  <c r="C90" i="36"/>
  <c r="C89" i="36"/>
  <c r="C88" i="36"/>
  <c r="C87" i="36"/>
  <c r="C86" i="36"/>
  <c r="C85" i="36"/>
  <c r="C82" i="36"/>
  <c r="C81" i="36"/>
  <c r="C80" i="36"/>
  <c r="C79" i="36"/>
  <c r="C78" i="36"/>
  <c r="C77" i="36"/>
  <c r="C76" i="36"/>
  <c r="C75" i="36"/>
  <c r="C74" i="36"/>
  <c r="C73" i="36"/>
  <c r="C72" i="36"/>
  <c r="C71" i="36"/>
  <c r="C70" i="36"/>
  <c r="C69" i="36"/>
  <c r="C68" i="36"/>
  <c r="C67" i="36"/>
  <c r="C66" i="36"/>
  <c r="C65" i="36"/>
  <c r="C64" i="36"/>
  <c r="C63" i="36"/>
  <c r="C62" i="36"/>
  <c r="C61" i="36"/>
  <c r="C60" i="36"/>
  <c r="C59" i="36"/>
  <c r="C58" i="36"/>
  <c r="C57" i="36"/>
  <c r="C56" i="36"/>
  <c r="C55" i="36"/>
  <c r="C54" i="36"/>
  <c r="C53" i="36"/>
  <c r="C52" i="36"/>
  <c r="C51" i="36"/>
  <c r="C50" i="36"/>
  <c r="C49" i="36"/>
  <c r="C48" i="36"/>
  <c r="C47" i="36"/>
  <c r="C46" i="36"/>
  <c r="C45" i="36"/>
  <c r="C44" i="36"/>
  <c r="C43" i="36"/>
  <c r="C42" i="36"/>
  <c r="C41" i="36"/>
  <c r="C38" i="36"/>
  <c r="C37" i="36"/>
  <c r="C36" i="36"/>
  <c r="C35" i="36"/>
  <c r="C34" i="36"/>
  <c r="C33" i="36"/>
  <c r="C32" i="36"/>
  <c r="C31" i="36"/>
  <c r="C30" i="36"/>
  <c r="C29" i="36"/>
  <c r="C28" i="36"/>
  <c r="C23" i="36"/>
  <c r="C22" i="36"/>
  <c r="C21" i="36"/>
  <c r="C20" i="36"/>
  <c r="C19" i="36"/>
  <c r="C17" i="36" s="1"/>
  <c r="C18" i="36"/>
  <c r="C13" i="36"/>
  <c r="B13" i="36"/>
  <c r="C12" i="36"/>
  <c r="B12" i="36"/>
  <c r="C11" i="36"/>
  <c r="B11" i="36"/>
  <c r="C10" i="36"/>
  <c r="B10" i="36"/>
  <c r="C9" i="36"/>
  <c r="B9" i="36"/>
  <c r="C8" i="36"/>
  <c r="B8" i="36"/>
  <c r="C7" i="36"/>
  <c r="B7" i="36"/>
  <c r="C6" i="36"/>
  <c r="B6" i="36"/>
  <c r="C5" i="36"/>
  <c r="B5" i="36"/>
  <c r="C4" i="36"/>
  <c r="B4" i="36"/>
  <c r="C223" i="35" l="1"/>
  <c r="C222" i="35"/>
  <c r="C221" i="35"/>
  <c r="C220" i="35"/>
  <c r="C219" i="35"/>
  <c r="C218" i="35"/>
  <c r="C217" i="35"/>
  <c r="C216" i="35"/>
  <c r="C215" i="35"/>
  <c r="C214" i="35"/>
  <c r="C213" i="35"/>
  <c r="C212" i="35"/>
  <c r="C211" i="35"/>
  <c r="C210" i="35"/>
  <c r="C209" i="35"/>
  <c r="C208" i="35"/>
  <c r="C207" i="35"/>
  <c r="C206" i="35"/>
  <c r="C205" i="35"/>
  <c r="C204" i="35"/>
  <c r="C203" i="35"/>
  <c r="C202" i="35"/>
  <c r="C201" i="35"/>
  <c r="C200" i="35"/>
  <c r="C199" i="35"/>
  <c r="C198" i="35"/>
  <c r="C197" i="35"/>
  <c r="C196" i="35"/>
  <c r="C195" i="35"/>
  <c r="C194" i="35"/>
  <c r="C193" i="35"/>
  <c r="C192" i="35"/>
  <c r="C191" i="35"/>
  <c r="C190" i="35"/>
  <c r="C189" i="35"/>
  <c r="C188" i="35"/>
  <c r="C187" i="35"/>
  <c r="C186" i="35"/>
  <c r="C185" i="35"/>
  <c r="C184" i="35"/>
  <c r="C183" i="35"/>
  <c r="C182" i="35"/>
  <c r="C181" i="35"/>
  <c r="C180" i="35"/>
  <c r="C179" i="35"/>
  <c r="C178" i="35"/>
  <c r="C177" i="35"/>
  <c r="C176" i="35"/>
  <c r="C175" i="35"/>
  <c r="C174" i="35"/>
  <c r="C173" i="35"/>
  <c r="C172" i="35"/>
  <c r="C171" i="35"/>
  <c r="C170" i="35"/>
  <c r="C169" i="35"/>
  <c r="C168" i="35"/>
  <c r="C167" i="35"/>
  <c r="C166" i="35"/>
  <c r="C165" i="35"/>
  <c r="C164" i="35"/>
  <c r="C163" i="35"/>
  <c r="C162" i="35"/>
  <c r="C161" i="35"/>
  <c r="C160" i="35"/>
  <c r="C159" i="35"/>
  <c r="C158" i="35"/>
  <c r="C157" i="35"/>
  <c r="C156" i="35"/>
  <c r="C155" i="35"/>
  <c r="C154" i="35"/>
  <c r="C153" i="35"/>
  <c r="C152" i="35"/>
  <c r="C151" i="35"/>
  <c r="C150" i="35"/>
  <c r="C149" i="35"/>
  <c r="C148" i="35"/>
  <c r="C147" i="35"/>
  <c r="C146" i="35"/>
  <c r="C145" i="35"/>
  <c r="C144" i="35"/>
  <c r="B144" i="35"/>
  <c r="B145" i="35" s="1"/>
  <c r="B146" i="35" s="1"/>
  <c r="B147" i="35" s="1"/>
  <c r="B148" i="35" s="1"/>
  <c r="B149" i="35" s="1"/>
  <c r="B150" i="35" s="1"/>
  <c r="B151" i="35" s="1"/>
  <c r="B152" i="35" s="1"/>
  <c r="B153" i="35" s="1"/>
  <c r="B154" i="35" s="1"/>
  <c r="B155" i="35" s="1"/>
  <c r="B156" i="35" s="1"/>
  <c r="B157" i="35" s="1"/>
  <c r="B158" i="35" s="1"/>
  <c r="B159" i="35" s="1"/>
  <c r="B160" i="35" s="1"/>
  <c r="B161" i="35" s="1"/>
  <c r="B162" i="35" s="1"/>
  <c r="B163" i="35" s="1"/>
  <c r="B164" i="35" s="1"/>
  <c r="B165" i="35" s="1"/>
  <c r="B166" i="35" s="1"/>
  <c r="B167" i="35" s="1"/>
  <c r="B168" i="35" s="1"/>
  <c r="B169" i="35" s="1"/>
  <c r="B170" i="35" s="1"/>
  <c r="B171" i="35" s="1"/>
  <c r="B172" i="35" s="1"/>
  <c r="B173" i="35" s="1"/>
  <c r="B174" i="35" s="1"/>
  <c r="B175" i="35" s="1"/>
  <c r="B176" i="35" s="1"/>
  <c r="B177" i="35" s="1"/>
  <c r="B178" i="35" s="1"/>
  <c r="B179" i="35" s="1"/>
  <c r="B180" i="35" s="1"/>
  <c r="B181" i="35" s="1"/>
  <c r="B182" i="35" s="1"/>
  <c r="B183" i="35" s="1"/>
  <c r="B184" i="35" s="1"/>
  <c r="B185" i="35" s="1"/>
  <c r="B186" i="35" s="1"/>
  <c r="B187" i="35" s="1"/>
  <c r="B188" i="35" s="1"/>
  <c r="B189" i="35" s="1"/>
  <c r="B190" i="35" s="1"/>
  <c r="B191" i="35" s="1"/>
  <c r="B192" i="35" s="1"/>
  <c r="B193" i="35" s="1"/>
  <c r="B194" i="35" s="1"/>
  <c r="B195" i="35" s="1"/>
  <c r="B196" i="35" s="1"/>
  <c r="B197" i="35" s="1"/>
  <c r="B198" i="35" s="1"/>
  <c r="B199" i="35" s="1"/>
  <c r="B200" i="35" s="1"/>
  <c r="B201" i="35" s="1"/>
  <c r="B202" i="35" s="1"/>
  <c r="B203" i="35" s="1"/>
  <c r="B204" i="35" s="1"/>
  <c r="B205" i="35" s="1"/>
  <c r="B206" i="35" s="1"/>
  <c r="B207" i="35" s="1"/>
  <c r="B208" i="35" s="1"/>
  <c r="B209" i="35" s="1"/>
  <c r="B210" i="35" s="1"/>
  <c r="B211" i="35" s="1"/>
  <c r="B212" i="35" s="1"/>
  <c r="B213" i="35" s="1"/>
  <c r="B214" i="35" s="1"/>
  <c r="B215" i="35" s="1"/>
  <c r="B216" i="35" s="1"/>
  <c r="B217" i="35" s="1"/>
  <c r="B218" i="35" s="1"/>
  <c r="B219" i="35" s="1"/>
  <c r="B220" i="35" s="1"/>
  <c r="B221" i="35" s="1"/>
  <c r="B222" i="35" s="1"/>
  <c r="B223" i="35" s="1"/>
  <c r="C143" i="35"/>
  <c r="C140" i="35"/>
  <c r="C138" i="35"/>
  <c r="C137" i="35"/>
  <c r="C136" i="35"/>
  <c r="C135" i="35"/>
  <c r="C125" i="35"/>
  <c r="C122" i="35"/>
  <c r="C121" i="35"/>
  <c r="C120" i="35"/>
  <c r="C119" i="35"/>
  <c r="C118" i="35"/>
  <c r="C117" i="35"/>
  <c r="C116" i="35"/>
  <c r="C115" i="35"/>
  <c r="C114" i="35"/>
  <c r="C113" i="35"/>
  <c r="C112" i="35"/>
  <c r="C111" i="35"/>
  <c r="C110" i="35"/>
  <c r="C109" i="35"/>
  <c r="C108" i="35"/>
  <c r="C107" i="35"/>
  <c r="C106" i="35"/>
  <c r="C105" i="35"/>
  <c r="C104" i="35"/>
  <c r="C103" i="35"/>
  <c r="C102" i="35"/>
  <c r="C101" i="35"/>
  <c r="C100" i="35"/>
  <c r="C99" i="35"/>
  <c r="C98" i="35"/>
  <c r="C97" i="35"/>
  <c r="C96" i="35"/>
  <c r="C93" i="35"/>
  <c r="C92" i="35"/>
  <c r="C91" i="35"/>
  <c r="C90" i="35"/>
  <c r="C89" i="35"/>
  <c r="C88" i="35"/>
  <c r="C87" i="35"/>
  <c r="C86" i="35"/>
  <c r="C85" i="35"/>
  <c r="C82" i="35"/>
  <c r="C81" i="35"/>
  <c r="C80" i="35"/>
  <c r="C79" i="35"/>
  <c r="C78" i="35"/>
  <c r="C77" i="35"/>
  <c r="C76" i="35"/>
  <c r="C75" i="35"/>
  <c r="C74" i="35"/>
  <c r="C73" i="35"/>
  <c r="C72" i="35"/>
  <c r="C71" i="35"/>
  <c r="C70" i="35"/>
  <c r="C69" i="35"/>
  <c r="C68" i="35"/>
  <c r="C67" i="35"/>
  <c r="C66" i="35"/>
  <c r="C65" i="35"/>
  <c r="C64" i="35"/>
  <c r="C63" i="35"/>
  <c r="C62" i="35"/>
  <c r="C61" i="35"/>
  <c r="C60" i="35"/>
  <c r="C59" i="35"/>
  <c r="C58" i="35"/>
  <c r="C57" i="35"/>
  <c r="C56" i="35"/>
  <c r="C55" i="35"/>
  <c r="C54" i="35"/>
  <c r="C53" i="35"/>
  <c r="C52" i="35"/>
  <c r="C51" i="35"/>
  <c r="C50" i="35"/>
  <c r="C49" i="35"/>
  <c r="C48" i="35"/>
  <c r="C47" i="35"/>
  <c r="C46" i="35"/>
  <c r="C45" i="35"/>
  <c r="C44" i="35"/>
  <c r="C43" i="35"/>
  <c r="C42" i="35"/>
  <c r="C41" i="35"/>
  <c r="C38" i="35"/>
  <c r="C37" i="35"/>
  <c r="C36" i="35"/>
  <c r="C35" i="35"/>
  <c r="C34" i="35"/>
  <c r="C33" i="35"/>
  <c r="C32" i="35"/>
  <c r="C31" i="35"/>
  <c r="C30" i="35"/>
  <c r="C29" i="35"/>
  <c r="C28" i="35"/>
  <c r="C23" i="35"/>
  <c r="C22" i="35"/>
  <c r="C21" i="35"/>
  <c r="C20" i="35"/>
  <c r="C19" i="35"/>
  <c r="C18" i="35"/>
  <c r="C13" i="35"/>
  <c r="B13" i="35"/>
  <c r="C12" i="35"/>
  <c r="B12" i="35"/>
  <c r="C11" i="35"/>
  <c r="B11" i="35"/>
  <c r="C10" i="35"/>
  <c r="B10" i="35"/>
  <c r="C9" i="35"/>
  <c r="B9" i="35"/>
  <c r="C8" i="35"/>
  <c r="B8" i="35"/>
  <c r="C7" i="35"/>
  <c r="B7" i="35"/>
  <c r="C6" i="35"/>
  <c r="B6" i="35"/>
  <c r="C5" i="35"/>
  <c r="B5" i="35"/>
  <c r="C4" i="35"/>
  <c r="B4" i="35"/>
  <c r="C17" i="35" l="1"/>
  <c r="C223" i="34" l="1"/>
  <c r="C222" i="34"/>
  <c r="C221" i="34"/>
  <c r="C220" i="34"/>
  <c r="C219" i="34"/>
  <c r="C218" i="34"/>
  <c r="C217" i="34"/>
  <c r="C216" i="34"/>
  <c r="C215" i="34"/>
  <c r="C214" i="34"/>
  <c r="C213" i="34"/>
  <c r="C212" i="34"/>
  <c r="C211" i="34"/>
  <c r="C210" i="34"/>
  <c r="C209" i="34"/>
  <c r="C208" i="34"/>
  <c r="C207" i="34"/>
  <c r="C206" i="34"/>
  <c r="C205" i="34"/>
  <c r="C204" i="34"/>
  <c r="C203" i="34"/>
  <c r="C202" i="34"/>
  <c r="C201" i="34"/>
  <c r="C200" i="34"/>
  <c r="C199" i="34"/>
  <c r="C198" i="34"/>
  <c r="C197" i="34"/>
  <c r="C196" i="34"/>
  <c r="C195" i="34"/>
  <c r="C194" i="34"/>
  <c r="C193" i="34"/>
  <c r="C192" i="34"/>
  <c r="C191" i="34"/>
  <c r="C190" i="34"/>
  <c r="C189" i="34"/>
  <c r="C188" i="34"/>
  <c r="C187" i="34"/>
  <c r="C186" i="34"/>
  <c r="C185" i="34"/>
  <c r="C184" i="34"/>
  <c r="C183" i="34"/>
  <c r="C182" i="34"/>
  <c r="C181" i="34"/>
  <c r="C180" i="34"/>
  <c r="C179" i="34"/>
  <c r="C178" i="34"/>
  <c r="C177" i="34"/>
  <c r="C176" i="34"/>
  <c r="C175" i="34"/>
  <c r="C174" i="34"/>
  <c r="C173" i="34"/>
  <c r="C172" i="34"/>
  <c r="C171" i="34"/>
  <c r="C170" i="34"/>
  <c r="C169" i="34"/>
  <c r="C168" i="34"/>
  <c r="C167" i="34"/>
  <c r="C166" i="34"/>
  <c r="C165" i="34"/>
  <c r="C164" i="34"/>
  <c r="C163" i="34"/>
  <c r="C162" i="34"/>
  <c r="C161" i="34"/>
  <c r="C160" i="34"/>
  <c r="C159" i="34"/>
  <c r="C158" i="34"/>
  <c r="C157" i="34"/>
  <c r="C156" i="34"/>
  <c r="C155" i="34"/>
  <c r="C154" i="34"/>
  <c r="C153" i="34"/>
  <c r="C152" i="34"/>
  <c r="C151" i="34"/>
  <c r="C150" i="34"/>
  <c r="C149" i="34"/>
  <c r="C148" i="34"/>
  <c r="C147" i="34"/>
  <c r="C146" i="34"/>
  <c r="C145" i="34"/>
  <c r="C144" i="34"/>
  <c r="B144" i="34"/>
  <c r="B145" i="34" s="1"/>
  <c r="B146" i="34" s="1"/>
  <c r="B147" i="34" s="1"/>
  <c r="B148" i="34" s="1"/>
  <c r="B149" i="34" s="1"/>
  <c r="B150" i="34" s="1"/>
  <c r="B151" i="34" s="1"/>
  <c r="B152" i="34" s="1"/>
  <c r="B153" i="34" s="1"/>
  <c r="B154" i="34" s="1"/>
  <c r="B155" i="34" s="1"/>
  <c r="B156" i="34" s="1"/>
  <c r="B157" i="34" s="1"/>
  <c r="B158" i="34" s="1"/>
  <c r="B159" i="34" s="1"/>
  <c r="B160" i="34" s="1"/>
  <c r="B161" i="34" s="1"/>
  <c r="B162" i="34" s="1"/>
  <c r="B163" i="34" s="1"/>
  <c r="B164" i="34" s="1"/>
  <c r="B165" i="34" s="1"/>
  <c r="B166" i="34" s="1"/>
  <c r="B167" i="34" s="1"/>
  <c r="B168" i="34" s="1"/>
  <c r="B169" i="34" s="1"/>
  <c r="B170" i="34" s="1"/>
  <c r="B171" i="34" s="1"/>
  <c r="B172" i="34" s="1"/>
  <c r="B173" i="34" s="1"/>
  <c r="B174" i="34" s="1"/>
  <c r="B175" i="34" s="1"/>
  <c r="B176" i="34" s="1"/>
  <c r="B177" i="34" s="1"/>
  <c r="B178" i="34" s="1"/>
  <c r="B179" i="34" s="1"/>
  <c r="B180" i="34" s="1"/>
  <c r="B181" i="34" s="1"/>
  <c r="B182" i="34" s="1"/>
  <c r="B183" i="34" s="1"/>
  <c r="B184" i="34" s="1"/>
  <c r="B185" i="34" s="1"/>
  <c r="B186" i="34" s="1"/>
  <c r="B187" i="34" s="1"/>
  <c r="B188" i="34" s="1"/>
  <c r="B189" i="34" s="1"/>
  <c r="B190" i="34" s="1"/>
  <c r="B191" i="34" s="1"/>
  <c r="B192" i="34" s="1"/>
  <c r="B193" i="34" s="1"/>
  <c r="B194" i="34" s="1"/>
  <c r="B195" i="34" s="1"/>
  <c r="B196" i="34" s="1"/>
  <c r="B197" i="34" s="1"/>
  <c r="B198" i="34" s="1"/>
  <c r="B199" i="34" s="1"/>
  <c r="B200" i="34" s="1"/>
  <c r="B201" i="34" s="1"/>
  <c r="B202" i="34" s="1"/>
  <c r="B203" i="34" s="1"/>
  <c r="B204" i="34" s="1"/>
  <c r="B205" i="34" s="1"/>
  <c r="B206" i="34" s="1"/>
  <c r="B207" i="34" s="1"/>
  <c r="B208" i="34" s="1"/>
  <c r="B209" i="34" s="1"/>
  <c r="B210" i="34" s="1"/>
  <c r="B211" i="34" s="1"/>
  <c r="B212" i="34" s="1"/>
  <c r="B213" i="34" s="1"/>
  <c r="B214" i="34" s="1"/>
  <c r="B215" i="34" s="1"/>
  <c r="B216" i="34" s="1"/>
  <c r="B217" i="34" s="1"/>
  <c r="B218" i="34" s="1"/>
  <c r="B219" i="34" s="1"/>
  <c r="B220" i="34" s="1"/>
  <c r="B221" i="34" s="1"/>
  <c r="B222" i="34" s="1"/>
  <c r="B223" i="34" s="1"/>
  <c r="C143" i="34"/>
  <c r="C140" i="34"/>
  <c r="C138" i="34"/>
  <c r="C137" i="34"/>
  <c r="C136" i="34"/>
  <c r="C135" i="34"/>
  <c r="C125" i="34"/>
  <c r="C122" i="34"/>
  <c r="C121" i="34"/>
  <c r="C120" i="34"/>
  <c r="C119" i="34"/>
  <c r="C118" i="34"/>
  <c r="C117" i="34"/>
  <c r="C116" i="34"/>
  <c r="C115" i="34"/>
  <c r="C114" i="34"/>
  <c r="C113" i="34"/>
  <c r="C112" i="34"/>
  <c r="C111" i="34"/>
  <c r="C110" i="34"/>
  <c r="C109" i="34"/>
  <c r="C108" i="34"/>
  <c r="C107" i="34"/>
  <c r="C106" i="34"/>
  <c r="C105" i="34"/>
  <c r="C104" i="34"/>
  <c r="C103" i="34"/>
  <c r="C102" i="34"/>
  <c r="C101" i="34"/>
  <c r="C100" i="34"/>
  <c r="C99" i="34"/>
  <c r="C98" i="34"/>
  <c r="C97" i="34"/>
  <c r="C96" i="34"/>
  <c r="C93" i="34"/>
  <c r="C92" i="34"/>
  <c r="C91" i="34"/>
  <c r="C90" i="34"/>
  <c r="C89" i="34"/>
  <c r="C88" i="34"/>
  <c r="C87" i="34"/>
  <c r="C86" i="34"/>
  <c r="C85" i="34"/>
  <c r="C82" i="34"/>
  <c r="C81" i="34"/>
  <c r="C80" i="34"/>
  <c r="C79" i="34"/>
  <c r="C78" i="34"/>
  <c r="C77" i="34"/>
  <c r="C76" i="34"/>
  <c r="C75" i="34"/>
  <c r="C74" i="34"/>
  <c r="C73" i="34"/>
  <c r="C72" i="34"/>
  <c r="C71" i="34"/>
  <c r="C70" i="34"/>
  <c r="C69" i="34"/>
  <c r="C68" i="34"/>
  <c r="C67" i="34"/>
  <c r="C66" i="34"/>
  <c r="C65" i="34"/>
  <c r="C64" i="34"/>
  <c r="C63" i="34"/>
  <c r="C62" i="34"/>
  <c r="C61" i="34"/>
  <c r="C60" i="34"/>
  <c r="C59" i="34"/>
  <c r="C58" i="34"/>
  <c r="C57" i="34"/>
  <c r="C56" i="34"/>
  <c r="C55" i="34"/>
  <c r="C54" i="34"/>
  <c r="C53" i="34"/>
  <c r="C52" i="34"/>
  <c r="C51" i="34"/>
  <c r="C50" i="34"/>
  <c r="C49" i="34"/>
  <c r="C48" i="34"/>
  <c r="C47" i="34"/>
  <c r="C46" i="34"/>
  <c r="C45" i="34"/>
  <c r="C44" i="34"/>
  <c r="C43" i="34"/>
  <c r="C42" i="34"/>
  <c r="C41" i="34"/>
  <c r="C38" i="34"/>
  <c r="C37" i="34"/>
  <c r="C36" i="34"/>
  <c r="C35" i="34"/>
  <c r="C34" i="34"/>
  <c r="C33" i="34"/>
  <c r="C32" i="34"/>
  <c r="C31" i="34"/>
  <c r="C30" i="34"/>
  <c r="C29" i="34"/>
  <c r="C28" i="34"/>
  <c r="C23" i="34"/>
  <c r="C22" i="34"/>
  <c r="C21" i="34"/>
  <c r="C20" i="34"/>
  <c r="C19" i="34"/>
  <c r="C18" i="34"/>
  <c r="C13" i="34"/>
  <c r="B13" i="34"/>
  <c r="C12" i="34"/>
  <c r="B12" i="34"/>
  <c r="C11" i="34"/>
  <c r="B11" i="34"/>
  <c r="C10" i="34"/>
  <c r="B10" i="34"/>
  <c r="C9" i="34"/>
  <c r="B9" i="34"/>
  <c r="C8" i="34"/>
  <c r="B8" i="34"/>
  <c r="C7" i="34"/>
  <c r="B7" i="34"/>
  <c r="C6" i="34"/>
  <c r="B6" i="34"/>
  <c r="C5" i="34"/>
  <c r="B5" i="34"/>
  <c r="C4" i="34"/>
  <c r="B4" i="34"/>
  <c r="C17" i="34" l="1"/>
  <c r="C225" i="33" l="1"/>
  <c r="C224" i="33"/>
  <c r="C223" i="33"/>
  <c r="C222" i="33"/>
  <c r="C221" i="33"/>
  <c r="C220" i="33"/>
  <c r="C219" i="33"/>
  <c r="C218" i="33"/>
  <c r="C217" i="33"/>
  <c r="C216" i="33"/>
  <c r="C215" i="33"/>
  <c r="C214" i="33"/>
  <c r="C213" i="33"/>
  <c r="C212" i="33"/>
  <c r="C211" i="33"/>
  <c r="C210" i="33"/>
  <c r="C209" i="33"/>
  <c r="C208" i="33"/>
  <c r="C207" i="33"/>
  <c r="C206" i="33"/>
  <c r="C205" i="33"/>
  <c r="C204" i="33"/>
  <c r="C203" i="33"/>
  <c r="C202" i="33"/>
  <c r="C201" i="33"/>
  <c r="C200" i="33"/>
  <c r="C199" i="33"/>
  <c r="C198" i="33"/>
  <c r="C197" i="33"/>
  <c r="C196" i="33"/>
  <c r="C195" i="33"/>
  <c r="C194" i="33"/>
  <c r="C193" i="33"/>
  <c r="C192" i="33"/>
  <c r="C191" i="33"/>
  <c r="C190" i="33"/>
  <c r="C189" i="33"/>
  <c r="C188" i="33"/>
  <c r="C187" i="33"/>
  <c r="C186" i="33"/>
  <c r="C185" i="33"/>
  <c r="C184" i="33"/>
  <c r="C183" i="33"/>
  <c r="C182" i="33"/>
  <c r="C181" i="33"/>
  <c r="C180" i="33"/>
  <c r="C179" i="33"/>
  <c r="C178" i="33"/>
  <c r="C177" i="33"/>
  <c r="C176" i="33"/>
  <c r="C175" i="33"/>
  <c r="C174" i="33"/>
  <c r="C173" i="33"/>
  <c r="C172" i="33"/>
  <c r="C171" i="33"/>
  <c r="C170" i="33"/>
  <c r="C169" i="33"/>
  <c r="C168" i="33"/>
  <c r="C167" i="33"/>
  <c r="C166" i="33"/>
  <c r="C165" i="33"/>
  <c r="C164" i="33"/>
  <c r="C163" i="33"/>
  <c r="C162" i="33"/>
  <c r="C161" i="33"/>
  <c r="C160" i="33"/>
  <c r="C159" i="33"/>
  <c r="C158" i="33"/>
  <c r="C157" i="33"/>
  <c r="C156" i="33"/>
  <c r="C155" i="33"/>
  <c r="C154" i="33"/>
  <c r="C153" i="33"/>
  <c r="C152" i="33"/>
  <c r="C151" i="33"/>
  <c r="C150" i="33"/>
  <c r="C149" i="33"/>
  <c r="C148" i="33"/>
  <c r="C147" i="33"/>
  <c r="C146" i="33"/>
  <c r="B146" i="33"/>
  <c r="B147" i="33" s="1"/>
  <c r="B148" i="33" s="1"/>
  <c r="B149" i="33" s="1"/>
  <c r="B150" i="33" s="1"/>
  <c r="B151" i="33" s="1"/>
  <c r="B152" i="33" s="1"/>
  <c r="B153" i="33" s="1"/>
  <c r="B154" i="33" s="1"/>
  <c r="B155" i="33" s="1"/>
  <c r="B156" i="33" s="1"/>
  <c r="B157" i="33" s="1"/>
  <c r="B158" i="33" s="1"/>
  <c r="B159" i="33" s="1"/>
  <c r="B160" i="33" s="1"/>
  <c r="B161" i="33" s="1"/>
  <c r="B162" i="33" s="1"/>
  <c r="C145" i="33"/>
  <c r="C142" i="33"/>
  <c r="C140" i="33"/>
  <c r="C139" i="33"/>
  <c r="C138" i="33"/>
  <c r="C137" i="33"/>
  <c r="C135" i="33"/>
  <c r="C134" i="33"/>
  <c r="C133" i="33"/>
  <c r="C132" i="33"/>
  <c r="C131" i="33"/>
  <c r="C130" i="33"/>
  <c r="C127" i="33"/>
  <c r="C124" i="33"/>
  <c r="C123" i="33"/>
  <c r="C122" i="33"/>
  <c r="C121" i="33"/>
  <c r="C120" i="33"/>
  <c r="C119" i="33"/>
  <c r="C118" i="33"/>
  <c r="C117" i="33"/>
  <c r="C116" i="33"/>
  <c r="C115" i="33"/>
  <c r="C114" i="33"/>
  <c r="C113" i="33"/>
  <c r="C112" i="33"/>
  <c r="C111" i="33"/>
  <c r="C110" i="33"/>
  <c r="C109" i="33"/>
  <c r="C108" i="33"/>
  <c r="C107" i="33"/>
  <c r="C106" i="33"/>
  <c r="C105" i="33"/>
  <c r="C104" i="33"/>
  <c r="C103" i="33"/>
  <c r="C102" i="33"/>
  <c r="C99" i="33"/>
  <c r="C98" i="33"/>
  <c r="C97" i="33"/>
  <c r="C96" i="33"/>
  <c r="C95" i="33"/>
  <c r="C94" i="33"/>
  <c r="C93" i="33"/>
  <c r="C92" i="33"/>
  <c r="C91"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C59" i="33"/>
  <c r="C58" i="33"/>
  <c r="C57" i="33"/>
  <c r="C56" i="33"/>
  <c r="C55" i="33"/>
  <c r="C54" i="33"/>
  <c r="C53" i="33"/>
  <c r="C52" i="33"/>
  <c r="C51" i="33"/>
  <c r="C50" i="33"/>
  <c r="C49" i="33"/>
  <c r="C48" i="33"/>
  <c r="C47" i="33"/>
  <c r="C46" i="33"/>
  <c r="C43" i="33"/>
  <c r="C42" i="33"/>
  <c r="C41" i="33"/>
  <c r="C40" i="33"/>
  <c r="C39" i="33"/>
  <c r="C38" i="33"/>
  <c r="C37" i="33"/>
  <c r="C36" i="33"/>
  <c r="C35" i="33"/>
  <c r="C34" i="33"/>
  <c r="B34" i="33"/>
  <c r="C33" i="33"/>
  <c r="B33" i="33"/>
  <c r="C32" i="33"/>
  <c r="B32" i="33"/>
  <c r="C31" i="33"/>
  <c r="B31" i="33"/>
  <c r="C30" i="33"/>
  <c r="C29" i="33"/>
  <c r="C28" i="33"/>
  <c r="C23" i="33"/>
  <c r="C22" i="33"/>
  <c r="C21" i="33"/>
  <c r="C20" i="33"/>
  <c r="C19" i="33"/>
  <c r="C17" i="33" s="1"/>
  <c r="C18" i="33"/>
  <c r="C13" i="33"/>
  <c r="B13" i="33"/>
  <c r="C12" i="33"/>
  <c r="B12" i="33"/>
  <c r="C11" i="33"/>
  <c r="B11" i="33"/>
  <c r="C10" i="33"/>
  <c r="B10" i="33"/>
  <c r="C9" i="33"/>
  <c r="B9" i="33"/>
  <c r="C8" i="33"/>
  <c r="B8" i="33"/>
  <c r="C7" i="33"/>
  <c r="B7" i="33"/>
  <c r="C6" i="33"/>
  <c r="B6" i="33"/>
  <c r="C5" i="33"/>
  <c r="B5" i="33"/>
  <c r="C4" i="33"/>
  <c r="B4" i="33"/>
  <c r="B225" i="33" l="1"/>
  <c r="B163" i="33"/>
  <c r="B164" i="33" s="1"/>
  <c r="B165" i="33" s="1"/>
  <c r="B166" i="33" s="1"/>
  <c r="B167" i="33" s="1"/>
  <c r="B168" i="33" s="1"/>
  <c r="B169" i="33" s="1"/>
  <c r="B170" i="33" s="1"/>
  <c r="B171" i="33" s="1"/>
  <c r="B172" i="33" s="1"/>
  <c r="B173" i="33" s="1"/>
  <c r="B174" i="33" s="1"/>
  <c r="B175" i="33" s="1"/>
  <c r="B176" i="33" s="1"/>
  <c r="B177" i="33" s="1"/>
  <c r="B178" i="33" s="1"/>
  <c r="B179" i="33" s="1"/>
  <c r="B180" i="33" s="1"/>
  <c r="B181" i="33" s="1"/>
  <c r="B182" i="33" s="1"/>
  <c r="B183" i="33" s="1"/>
  <c r="B184" i="33" s="1"/>
  <c r="B185" i="33" s="1"/>
  <c r="B186" i="33" s="1"/>
  <c r="B187" i="33" s="1"/>
  <c r="B188" i="33" s="1"/>
  <c r="B189" i="33" s="1"/>
  <c r="B190" i="33" s="1"/>
  <c r="B191" i="33" s="1"/>
  <c r="B192" i="33" s="1"/>
  <c r="B193" i="33" s="1"/>
  <c r="B194" i="33" s="1"/>
  <c r="B195" i="33" s="1"/>
  <c r="B196" i="33" s="1"/>
  <c r="B197" i="33" s="1"/>
  <c r="B198" i="33" s="1"/>
  <c r="B199" i="33" s="1"/>
  <c r="B200" i="33" s="1"/>
  <c r="B201" i="33" s="1"/>
  <c r="B202" i="33" s="1"/>
  <c r="B203" i="33" s="1"/>
  <c r="B204" i="33" s="1"/>
  <c r="B205" i="33" s="1"/>
  <c r="B206" i="33" s="1"/>
  <c r="B207" i="33" s="1"/>
  <c r="B208" i="33" s="1"/>
  <c r="B209" i="33" s="1"/>
  <c r="B210" i="33" s="1"/>
  <c r="B211" i="33" s="1"/>
  <c r="B212" i="33" s="1"/>
  <c r="B213" i="33" s="1"/>
  <c r="B214" i="33" s="1"/>
  <c r="B215" i="33" s="1"/>
  <c r="B216" i="33" s="1"/>
  <c r="B217" i="33" s="1"/>
  <c r="B218" i="33" s="1"/>
  <c r="B219" i="33" s="1"/>
  <c r="B220" i="33" s="1"/>
  <c r="B221" i="33" s="1"/>
  <c r="B222" i="33" s="1"/>
  <c r="B223" i="33" s="1"/>
  <c r="B224" i="33" s="1"/>
  <c r="C223" i="32" l="1"/>
  <c r="C222" i="32"/>
  <c r="C221" i="32"/>
  <c r="C220" i="32"/>
  <c r="C219" i="32"/>
  <c r="C218" i="32"/>
  <c r="C217" i="32"/>
  <c r="C216" i="32"/>
  <c r="C215" i="32"/>
  <c r="C214" i="32"/>
  <c r="C213" i="32"/>
  <c r="C212" i="32"/>
  <c r="C211" i="32"/>
  <c r="C210" i="32"/>
  <c r="C209" i="32"/>
  <c r="C208" i="32"/>
  <c r="C207" i="32"/>
  <c r="C206" i="32"/>
  <c r="C205" i="32"/>
  <c r="C204" i="32"/>
  <c r="C203" i="32"/>
  <c r="C202" i="32"/>
  <c r="C201" i="32"/>
  <c r="C200" i="32"/>
  <c r="C199" i="32"/>
  <c r="C198" i="32"/>
  <c r="C197" i="32"/>
  <c r="C196" i="32"/>
  <c r="C195" i="32"/>
  <c r="C194" i="32"/>
  <c r="C193" i="32"/>
  <c r="C192" i="32"/>
  <c r="C191" i="32"/>
  <c r="C190" i="32"/>
  <c r="C189" i="32"/>
  <c r="C188" i="32"/>
  <c r="C187" i="32"/>
  <c r="C186" i="32"/>
  <c r="C185" i="32"/>
  <c r="C184" i="32"/>
  <c r="C183" i="32"/>
  <c r="C182" i="32"/>
  <c r="C181" i="32"/>
  <c r="C180" i="32"/>
  <c r="C179" i="32"/>
  <c r="C178" i="32"/>
  <c r="C177" i="32"/>
  <c r="C176" i="32"/>
  <c r="C175" i="32"/>
  <c r="C174" i="32"/>
  <c r="C173" i="32"/>
  <c r="C172" i="32"/>
  <c r="C171" i="32"/>
  <c r="C170" i="32"/>
  <c r="C169" i="32"/>
  <c r="C168" i="32"/>
  <c r="C167" i="32"/>
  <c r="C166" i="32"/>
  <c r="C165" i="32"/>
  <c r="C164" i="32"/>
  <c r="C163" i="32"/>
  <c r="C162" i="32"/>
  <c r="C161" i="32"/>
  <c r="C160" i="32"/>
  <c r="C159" i="32"/>
  <c r="C158" i="32"/>
  <c r="C157" i="32"/>
  <c r="C156" i="32"/>
  <c r="C155" i="32"/>
  <c r="C154" i="32"/>
  <c r="C153" i="32"/>
  <c r="C152" i="32"/>
  <c r="C151" i="32"/>
  <c r="C150" i="32"/>
  <c r="C149" i="32"/>
  <c r="C148" i="32"/>
  <c r="C147" i="32"/>
  <c r="C146" i="32"/>
  <c r="C145" i="32"/>
  <c r="C144" i="32"/>
  <c r="B144" i="32"/>
  <c r="B145" i="32" s="1"/>
  <c r="B146" i="32" s="1"/>
  <c r="B147" i="32" s="1"/>
  <c r="B148" i="32" s="1"/>
  <c r="B149" i="32" s="1"/>
  <c r="B150" i="32" s="1"/>
  <c r="B151" i="32" s="1"/>
  <c r="B152" i="32" s="1"/>
  <c r="B153" i="32" s="1"/>
  <c r="B154" i="32" s="1"/>
  <c r="B155" i="32" s="1"/>
  <c r="B156" i="32" s="1"/>
  <c r="B157" i="32" s="1"/>
  <c r="B158" i="32" s="1"/>
  <c r="B159" i="32" s="1"/>
  <c r="B160" i="32" s="1"/>
  <c r="B161" i="32" s="1"/>
  <c r="B162" i="32" s="1"/>
  <c r="B163" i="32" s="1"/>
  <c r="B164" i="32" s="1"/>
  <c r="B165" i="32" s="1"/>
  <c r="B166" i="32" s="1"/>
  <c r="B167" i="32" s="1"/>
  <c r="B168" i="32" s="1"/>
  <c r="B169" i="32" s="1"/>
  <c r="B170" i="32" s="1"/>
  <c r="B171" i="32" s="1"/>
  <c r="B172" i="32" s="1"/>
  <c r="B173" i="32" s="1"/>
  <c r="B174" i="32" s="1"/>
  <c r="B175" i="32" s="1"/>
  <c r="B176" i="32" s="1"/>
  <c r="B177" i="32" s="1"/>
  <c r="B178" i="32" s="1"/>
  <c r="B179" i="32" s="1"/>
  <c r="B180" i="32" s="1"/>
  <c r="B181" i="32" s="1"/>
  <c r="B182" i="32" s="1"/>
  <c r="B183" i="32" s="1"/>
  <c r="B184" i="32" s="1"/>
  <c r="B185" i="32" s="1"/>
  <c r="B186" i="32" s="1"/>
  <c r="B187" i="32" s="1"/>
  <c r="B188" i="32" s="1"/>
  <c r="B189" i="32" s="1"/>
  <c r="B190" i="32" s="1"/>
  <c r="B191" i="32" s="1"/>
  <c r="B192" i="32" s="1"/>
  <c r="B193" i="32" s="1"/>
  <c r="B194" i="32" s="1"/>
  <c r="B195" i="32" s="1"/>
  <c r="B196" i="32" s="1"/>
  <c r="B197" i="32" s="1"/>
  <c r="B198" i="32" s="1"/>
  <c r="B199" i="32" s="1"/>
  <c r="B200" i="32" s="1"/>
  <c r="B201" i="32" s="1"/>
  <c r="B202" i="32" s="1"/>
  <c r="B203" i="32" s="1"/>
  <c r="B204" i="32" s="1"/>
  <c r="B205" i="32" s="1"/>
  <c r="B206" i="32" s="1"/>
  <c r="B207" i="32" s="1"/>
  <c r="B208" i="32" s="1"/>
  <c r="B209" i="32" s="1"/>
  <c r="B210" i="32" s="1"/>
  <c r="B211" i="32" s="1"/>
  <c r="B212" i="32" s="1"/>
  <c r="B213" i="32" s="1"/>
  <c r="B214" i="32" s="1"/>
  <c r="B215" i="32" s="1"/>
  <c r="B216" i="32" s="1"/>
  <c r="B217" i="32" s="1"/>
  <c r="B218" i="32" s="1"/>
  <c r="B219" i="32" s="1"/>
  <c r="B220" i="32" s="1"/>
  <c r="B221" i="32" s="1"/>
  <c r="B222" i="32" s="1"/>
  <c r="B223" i="32" s="1"/>
  <c r="C143" i="32"/>
  <c r="C140" i="32"/>
  <c r="C138" i="32"/>
  <c r="C137" i="32"/>
  <c r="C136" i="32"/>
  <c r="C135" i="32"/>
  <c r="C125" i="32"/>
  <c r="C122" i="32"/>
  <c r="C121" i="32"/>
  <c r="C120" i="32"/>
  <c r="C119" i="32"/>
  <c r="C118" i="32"/>
  <c r="C117" i="32"/>
  <c r="C116" i="32"/>
  <c r="C115" i="32"/>
  <c r="C114" i="32"/>
  <c r="C113" i="32"/>
  <c r="C112" i="32"/>
  <c r="C111" i="32"/>
  <c r="C110" i="32"/>
  <c r="C109" i="32"/>
  <c r="C108" i="32"/>
  <c r="C107" i="32"/>
  <c r="C106" i="32"/>
  <c r="C105" i="32"/>
  <c r="C104" i="32"/>
  <c r="C103" i="32"/>
  <c r="C102" i="32"/>
  <c r="C101" i="32"/>
  <c r="C100" i="32"/>
  <c r="C99" i="32"/>
  <c r="C98" i="32"/>
  <c r="C97" i="32"/>
  <c r="C96" i="32"/>
  <c r="C93" i="32"/>
  <c r="C92" i="32"/>
  <c r="C91" i="32"/>
  <c r="C90" i="32"/>
  <c r="C89" i="32"/>
  <c r="C88" i="32"/>
  <c r="C87" i="32"/>
  <c r="C86" i="32"/>
  <c r="C85" i="32"/>
  <c r="C82" i="32"/>
  <c r="C81" i="32"/>
  <c r="C80" i="32"/>
  <c r="C79" i="32"/>
  <c r="C78" i="32"/>
  <c r="C77" i="32"/>
  <c r="C76" i="32"/>
  <c r="C75" i="32"/>
  <c r="C74" i="32"/>
  <c r="C73" i="32"/>
  <c r="C72" i="32"/>
  <c r="C71" i="32"/>
  <c r="C70" i="32"/>
  <c r="C69" i="32"/>
  <c r="C68" i="32"/>
  <c r="C67" i="32"/>
  <c r="C66" i="32"/>
  <c r="C65" i="32"/>
  <c r="C64" i="32"/>
  <c r="C63" i="32"/>
  <c r="C62" i="32"/>
  <c r="C61" i="32"/>
  <c r="C60" i="32"/>
  <c r="C59" i="32"/>
  <c r="C58" i="32"/>
  <c r="C57" i="32"/>
  <c r="C56" i="32"/>
  <c r="C55" i="32"/>
  <c r="C54" i="32"/>
  <c r="C53" i="32"/>
  <c r="C52" i="32"/>
  <c r="C51" i="32"/>
  <c r="C50" i="32"/>
  <c r="C49" i="32"/>
  <c r="C48" i="32"/>
  <c r="C47" i="32"/>
  <c r="C46" i="32"/>
  <c r="C45" i="32"/>
  <c r="C44" i="32"/>
  <c r="C43" i="32"/>
  <c r="C42" i="32"/>
  <c r="C41" i="32"/>
  <c r="C38" i="32"/>
  <c r="C37" i="32"/>
  <c r="C36" i="32"/>
  <c r="C35" i="32"/>
  <c r="C34" i="32"/>
  <c r="C33" i="32"/>
  <c r="C32" i="32"/>
  <c r="C31" i="32"/>
  <c r="C30" i="32"/>
  <c r="C29" i="32"/>
  <c r="C28" i="32"/>
  <c r="C23" i="32"/>
  <c r="C22" i="32"/>
  <c r="C21" i="32"/>
  <c r="C20" i="32"/>
  <c r="C19" i="32"/>
  <c r="C18" i="32"/>
  <c r="C13" i="32"/>
  <c r="B13" i="32"/>
  <c r="C12" i="32"/>
  <c r="B12" i="32"/>
  <c r="C11" i="32"/>
  <c r="B11" i="32"/>
  <c r="C10" i="32"/>
  <c r="B10" i="32"/>
  <c r="C9" i="32"/>
  <c r="B9" i="32"/>
  <c r="C8" i="32"/>
  <c r="B8" i="32"/>
  <c r="C7" i="32"/>
  <c r="B7" i="32"/>
  <c r="C6" i="32"/>
  <c r="B6" i="32"/>
  <c r="C5" i="32"/>
  <c r="B5" i="32"/>
  <c r="C4" i="32"/>
  <c r="B4" i="32"/>
  <c r="C17" i="32" l="1"/>
  <c r="C223" i="31" l="1"/>
  <c r="C222" i="31"/>
  <c r="C221" i="31"/>
  <c r="C220" i="31"/>
  <c r="C219" i="31"/>
  <c r="C218" i="31"/>
  <c r="C217" i="31"/>
  <c r="C216" i="31"/>
  <c r="C215" i="31"/>
  <c r="C214" i="31"/>
  <c r="C213" i="31"/>
  <c r="C212" i="31"/>
  <c r="C211" i="31"/>
  <c r="C210" i="31"/>
  <c r="C209" i="31"/>
  <c r="C208" i="31"/>
  <c r="C207" i="31"/>
  <c r="C206" i="31"/>
  <c r="C205" i="31"/>
  <c r="C204" i="31"/>
  <c r="C203" i="31"/>
  <c r="C202" i="31"/>
  <c r="C201" i="31"/>
  <c r="C200" i="31"/>
  <c r="C199" i="31"/>
  <c r="C198" i="31"/>
  <c r="C197" i="31"/>
  <c r="C196" i="31"/>
  <c r="C195" i="31"/>
  <c r="C194" i="31"/>
  <c r="C193" i="31"/>
  <c r="C192" i="31"/>
  <c r="C191" i="31"/>
  <c r="C190" i="31"/>
  <c r="C189" i="31"/>
  <c r="C188" i="31"/>
  <c r="C187" i="31"/>
  <c r="C186" i="31"/>
  <c r="C185" i="31"/>
  <c r="C184" i="31"/>
  <c r="C183" i="31"/>
  <c r="C182" i="31"/>
  <c r="C181" i="31"/>
  <c r="C180" i="31"/>
  <c r="C179" i="31"/>
  <c r="C178" i="31"/>
  <c r="C177" i="31"/>
  <c r="C176" i="31"/>
  <c r="C175" i="31"/>
  <c r="C174" i="31"/>
  <c r="C173" i="31"/>
  <c r="C172" i="31"/>
  <c r="C171" i="31"/>
  <c r="C170" i="31"/>
  <c r="C169" i="31"/>
  <c r="C168" i="31"/>
  <c r="C167" i="31"/>
  <c r="C166" i="31"/>
  <c r="C165" i="31"/>
  <c r="C164" i="31"/>
  <c r="C163" i="31"/>
  <c r="C162" i="31"/>
  <c r="C161" i="31"/>
  <c r="C160" i="31"/>
  <c r="C159" i="31"/>
  <c r="C158" i="31"/>
  <c r="C157" i="31"/>
  <c r="C156" i="31"/>
  <c r="C155" i="31"/>
  <c r="C154" i="31"/>
  <c r="C153" i="31"/>
  <c r="C152" i="31"/>
  <c r="C151" i="31"/>
  <c r="C150" i="31"/>
  <c r="C149" i="31"/>
  <c r="C148" i="31"/>
  <c r="C147" i="31"/>
  <c r="C146" i="31"/>
  <c r="C145" i="31"/>
  <c r="C144" i="31"/>
  <c r="B144" i="31"/>
  <c r="B145" i="31" s="1"/>
  <c r="B146" i="31" s="1"/>
  <c r="B147" i="31" s="1"/>
  <c r="B148" i="31" s="1"/>
  <c r="B149" i="31" s="1"/>
  <c r="B150" i="31" s="1"/>
  <c r="B151" i="31" s="1"/>
  <c r="B152" i="31" s="1"/>
  <c r="B153" i="31" s="1"/>
  <c r="B154" i="31" s="1"/>
  <c r="B155" i="31" s="1"/>
  <c r="B156" i="31" s="1"/>
  <c r="B157" i="31" s="1"/>
  <c r="B158" i="31" s="1"/>
  <c r="B159" i="31" s="1"/>
  <c r="B160" i="31" s="1"/>
  <c r="B161" i="31" s="1"/>
  <c r="B162" i="31" s="1"/>
  <c r="B163" i="31" s="1"/>
  <c r="B164" i="31" s="1"/>
  <c r="B165" i="31" s="1"/>
  <c r="B166" i="31" s="1"/>
  <c r="B167" i="31" s="1"/>
  <c r="B168" i="31" s="1"/>
  <c r="B169" i="31" s="1"/>
  <c r="B170" i="31" s="1"/>
  <c r="B171" i="31" s="1"/>
  <c r="B172" i="31" s="1"/>
  <c r="B173" i="31" s="1"/>
  <c r="B174" i="31" s="1"/>
  <c r="B175" i="31" s="1"/>
  <c r="B176" i="31" s="1"/>
  <c r="B177" i="31" s="1"/>
  <c r="B178" i="31" s="1"/>
  <c r="B179" i="31" s="1"/>
  <c r="B180" i="31" s="1"/>
  <c r="B181" i="31" s="1"/>
  <c r="B182" i="31" s="1"/>
  <c r="B183" i="31" s="1"/>
  <c r="B184" i="31" s="1"/>
  <c r="B185" i="31" s="1"/>
  <c r="B186" i="31" s="1"/>
  <c r="B187" i="31" s="1"/>
  <c r="B188" i="31" s="1"/>
  <c r="B189" i="31" s="1"/>
  <c r="B190" i="31" s="1"/>
  <c r="B191" i="31" s="1"/>
  <c r="B192" i="31" s="1"/>
  <c r="B193" i="31" s="1"/>
  <c r="B194" i="31" s="1"/>
  <c r="B195" i="31" s="1"/>
  <c r="B196" i="31" s="1"/>
  <c r="B197" i="31" s="1"/>
  <c r="B198" i="31" s="1"/>
  <c r="B199" i="31" s="1"/>
  <c r="B200" i="31" s="1"/>
  <c r="B201" i="31" s="1"/>
  <c r="B202" i="31" s="1"/>
  <c r="B203" i="31" s="1"/>
  <c r="B204" i="31" s="1"/>
  <c r="B205" i="31" s="1"/>
  <c r="B206" i="31" s="1"/>
  <c r="B207" i="31" s="1"/>
  <c r="B208" i="31" s="1"/>
  <c r="B209" i="31" s="1"/>
  <c r="B210" i="31" s="1"/>
  <c r="B211" i="31" s="1"/>
  <c r="B212" i="31" s="1"/>
  <c r="B213" i="31" s="1"/>
  <c r="B214" i="31" s="1"/>
  <c r="B215" i="31" s="1"/>
  <c r="B216" i="31" s="1"/>
  <c r="B217" i="31" s="1"/>
  <c r="B218" i="31" s="1"/>
  <c r="B219" i="31" s="1"/>
  <c r="B220" i="31" s="1"/>
  <c r="B221" i="31" s="1"/>
  <c r="B222" i="31" s="1"/>
  <c r="B223" i="31" s="1"/>
  <c r="C143" i="31"/>
  <c r="C140" i="31"/>
  <c r="C138" i="31"/>
  <c r="C137" i="31"/>
  <c r="C136" i="31"/>
  <c r="C135" i="31"/>
  <c r="C125" i="31"/>
  <c r="C122" i="31"/>
  <c r="C121" i="31"/>
  <c r="C120" i="31"/>
  <c r="C119" i="31"/>
  <c r="C118" i="31"/>
  <c r="C117" i="31"/>
  <c r="C116" i="31"/>
  <c r="C115" i="31"/>
  <c r="C114" i="31"/>
  <c r="C113" i="31"/>
  <c r="C112" i="31"/>
  <c r="C111" i="31"/>
  <c r="C110" i="31"/>
  <c r="C109" i="31"/>
  <c r="C108" i="31"/>
  <c r="C107" i="31"/>
  <c r="C106" i="31"/>
  <c r="C105" i="31"/>
  <c r="C104" i="31"/>
  <c r="C103" i="31"/>
  <c r="C102" i="31"/>
  <c r="C101" i="31"/>
  <c r="C100" i="31"/>
  <c r="C99" i="31"/>
  <c r="C98" i="31"/>
  <c r="C97" i="31"/>
  <c r="C96" i="31"/>
  <c r="C93" i="31"/>
  <c r="C92" i="31"/>
  <c r="C91" i="31"/>
  <c r="C90" i="31"/>
  <c r="C89" i="31"/>
  <c r="C88" i="31"/>
  <c r="C87" i="31"/>
  <c r="C86" i="31"/>
  <c r="C85" i="31"/>
  <c r="C82" i="31"/>
  <c r="C81" i="31"/>
  <c r="C80" i="31"/>
  <c r="C79" i="31"/>
  <c r="C78" i="31"/>
  <c r="C77" i="31"/>
  <c r="C76" i="31"/>
  <c r="C75" i="31"/>
  <c r="C74" i="31"/>
  <c r="C73" i="31"/>
  <c r="C72" i="31"/>
  <c r="C71" i="31"/>
  <c r="C70" i="31"/>
  <c r="C69" i="31"/>
  <c r="C68" i="31"/>
  <c r="C67" i="31"/>
  <c r="C66" i="31"/>
  <c r="C65" i="31"/>
  <c r="C64" i="31"/>
  <c r="C63" i="31"/>
  <c r="C62" i="31"/>
  <c r="C61" i="31"/>
  <c r="C60" i="31"/>
  <c r="C59" i="31"/>
  <c r="C58" i="31"/>
  <c r="C57" i="31"/>
  <c r="C56" i="31"/>
  <c r="C55" i="31"/>
  <c r="C54" i="31"/>
  <c r="C53" i="31"/>
  <c r="C52" i="31"/>
  <c r="C51" i="31"/>
  <c r="C50" i="31"/>
  <c r="C49" i="31"/>
  <c r="C48" i="31"/>
  <c r="C47" i="31"/>
  <c r="C46" i="31"/>
  <c r="C45" i="31"/>
  <c r="C44" i="31"/>
  <c r="C43" i="31"/>
  <c r="C42" i="31"/>
  <c r="C41" i="31"/>
  <c r="C38" i="31"/>
  <c r="C37" i="31"/>
  <c r="C36" i="31"/>
  <c r="C35" i="31"/>
  <c r="C34" i="31"/>
  <c r="C33" i="31"/>
  <c r="C32" i="31"/>
  <c r="C31" i="31"/>
  <c r="C30" i="31"/>
  <c r="C29" i="31"/>
  <c r="C28" i="31"/>
  <c r="C23" i="31"/>
  <c r="C22" i="31"/>
  <c r="C21" i="31"/>
  <c r="C20" i="31"/>
  <c r="C19" i="31"/>
  <c r="C18" i="31"/>
  <c r="C13" i="31"/>
  <c r="B13" i="31"/>
  <c r="C12" i="31"/>
  <c r="B12" i="31"/>
  <c r="C11" i="31"/>
  <c r="B11" i="31"/>
  <c r="C10" i="31"/>
  <c r="B10" i="31"/>
  <c r="C9" i="31"/>
  <c r="B9" i="31"/>
  <c r="C8" i="31"/>
  <c r="B8" i="31"/>
  <c r="C7" i="31"/>
  <c r="B7" i="31"/>
  <c r="C6" i="31"/>
  <c r="B6" i="31"/>
  <c r="C5" i="31"/>
  <c r="B5" i="31"/>
  <c r="C4" i="31"/>
  <c r="B4" i="31"/>
  <c r="C17" i="31" l="1"/>
  <c r="C223" i="30" l="1"/>
  <c r="C222" i="30"/>
  <c r="C221" i="30"/>
  <c r="C220" i="30"/>
  <c r="C219" i="30"/>
  <c r="C218" i="30"/>
  <c r="C217" i="30"/>
  <c r="C216" i="30"/>
  <c r="C215" i="30"/>
  <c r="C214" i="30"/>
  <c r="C213" i="30"/>
  <c r="C212" i="30"/>
  <c r="C211" i="30"/>
  <c r="C210" i="30"/>
  <c r="C209" i="30"/>
  <c r="C208" i="30"/>
  <c r="C207" i="30"/>
  <c r="C206" i="30"/>
  <c r="C205" i="30"/>
  <c r="C204" i="30"/>
  <c r="C203" i="30"/>
  <c r="C202" i="30"/>
  <c r="C201" i="30"/>
  <c r="C200" i="30"/>
  <c r="C199" i="30"/>
  <c r="C198" i="30"/>
  <c r="C197" i="30"/>
  <c r="C196" i="30"/>
  <c r="C195" i="30"/>
  <c r="C194" i="30"/>
  <c r="C193" i="30"/>
  <c r="C192" i="30"/>
  <c r="C191" i="30"/>
  <c r="C190" i="30"/>
  <c r="C189" i="30"/>
  <c r="C188" i="30"/>
  <c r="C187" i="30"/>
  <c r="C186" i="30"/>
  <c r="C185" i="30"/>
  <c r="C184" i="30"/>
  <c r="C183" i="30"/>
  <c r="C182" i="30"/>
  <c r="C181" i="30"/>
  <c r="C180" i="30"/>
  <c r="C179" i="30"/>
  <c r="C178" i="30"/>
  <c r="C177" i="30"/>
  <c r="C176" i="30"/>
  <c r="C175" i="30"/>
  <c r="C174" i="30"/>
  <c r="C173" i="30"/>
  <c r="C172" i="30"/>
  <c r="C171" i="30"/>
  <c r="C170" i="30"/>
  <c r="C169" i="30"/>
  <c r="C168" i="30"/>
  <c r="C167" i="30"/>
  <c r="C166" i="30"/>
  <c r="C165" i="30"/>
  <c r="C164" i="30"/>
  <c r="C163" i="30"/>
  <c r="C162" i="30"/>
  <c r="C161" i="30"/>
  <c r="C160" i="30"/>
  <c r="C159" i="30"/>
  <c r="C158" i="30"/>
  <c r="C157" i="30"/>
  <c r="C156" i="30"/>
  <c r="C155" i="30"/>
  <c r="C154" i="30"/>
  <c r="C153" i="30"/>
  <c r="C152" i="30"/>
  <c r="C151" i="30"/>
  <c r="C150" i="30"/>
  <c r="C149" i="30"/>
  <c r="C148" i="30"/>
  <c r="C147" i="30"/>
  <c r="C146" i="30"/>
  <c r="C145" i="30"/>
  <c r="C144" i="30"/>
  <c r="B144" i="30"/>
  <c r="B145" i="30" s="1"/>
  <c r="B146" i="30" s="1"/>
  <c r="B147" i="30" s="1"/>
  <c r="B148" i="30" s="1"/>
  <c r="B149" i="30" s="1"/>
  <c r="B150" i="30" s="1"/>
  <c r="B151" i="30" s="1"/>
  <c r="B152" i="30" s="1"/>
  <c r="B153" i="30" s="1"/>
  <c r="B154" i="30" s="1"/>
  <c r="B155" i="30" s="1"/>
  <c r="B156" i="30" s="1"/>
  <c r="B157" i="30" s="1"/>
  <c r="B158" i="30" s="1"/>
  <c r="B159" i="30" s="1"/>
  <c r="B160" i="30" s="1"/>
  <c r="B161" i="30" s="1"/>
  <c r="B162" i="30" s="1"/>
  <c r="B163" i="30" s="1"/>
  <c r="B164" i="30" s="1"/>
  <c r="B165" i="30" s="1"/>
  <c r="B166" i="30" s="1"/>
  <c r="B167" i="30" s="1"/>
  <c r="B168" i="30" s="1"/>
  <c r="B169" i="30" s="1"/>
  <c r="B170" i="30" s="1"/>
  <c r="B171" i="30" s="1"/>
  <c r="B172" i="30" s="1"/>
  <c r="B173" i="30" s="1"/>
  <c r="B174" i="30" s="1"/>
  <c r="B175" i="30" s="1"/>
  <c r="B176" i="30" s="1"/>
  <c r="B177" i="30" s="1"/>
  <c r="B178" i="30" s="1"/>
  <c r="B179" i="30" s="1"/>
  <c r="B180" i="30" s="1"/>
  <c r="B181" i="30" s="1"/>
  <c r="B182" i="30" s="1"/>
  <c r="B183" i="30" s="1"/>
  <c r="B184" i="30" s="1"/>
  <c r="B185" i="30" s="1"/>
  <c r="B186" i="30" s="1"/>
  <c r="B187" i="30" s="1"/>
  <c r="B188" i="30" s="1"/>
  <c r="B189" i="30" s="1"/>
  <c r="B190" i="30" s="1"/>
  <c r="B191" i="30" s="1"/>
  <c r="B192" i="30" s="1"/>
  <c r="B193" i="30" s="1"/>
  <c r="B194" i="30" s="1"/>
  <c r="B195" i="30" s="1"/>
  <c r="B196" i="30" s="1"/>
  <c r="B197" i="30" s="1"/>
  <c r="B198" i="30" s="1"/>
  <c r="B199" i="30" s="1"/>
  <c r="B200" i="30" s="1"/>
  <c r="B201" i="30" s="1"/>
  <c r="B202" i="30" s="1"/>
  <c r="B203" i="30" s="1"/>
  <c r="B204" i="30" s="1"/>
  <c r="B205" i="30" s="1"/>
  <c r="B206" i="30" s="1"/>
  <c r="B207" i="30" s="1"/>
  <c r="B208" i="30" s="1"/>
  <c r="B209" i="30" s="1"/>
  <c r="B210" i="30" s="1"/>
  <c r="B211" i="30" s="1"/>
  <c r="B212" i="30" s="1"/>
  <c r="B213" i="30" s="1"/>
  <c r="B214" i="30" s="1"/>
  <c r="B215" i="30" s="1"/>
  <c r="B216" i="30" s="1"/>
  <c r="B217" i="30" s="1"/>
  <c r="B218" i="30" s="1"/>
  <c r="B219" i="30" s="1"/>
  <c r="B220" i="30" s="1"/>
  <c r="B221" i="30" s="1"/>
  <c r="B222" i="30" s="1"/>
  <c r="B223" i="30" s="1"/>
  <c r="C143" i="30"/>
  <c r="C140" i="30"/>
  <c r="C138" i="30"/>
  <c r="C137" i="30"/>
  <c r="C136" i="30"/>
  <c r="C135" i="30"/>
  <c r="C125" i="30"/>
  <c r="C122" i="30"/>
  <c r="C121" i="30"/>
  <c r="C120" i="30"/>
  <c r="C119" i="30"/>
  <c r="C118" i="30"/>
  <c r="C117" i="30"/>
  <c r="C116" i="30"/>
  <c r="C115" i="30"/>
  <c r="C114" i="30"/>
  <c r="C113" i="30"/>
  <c r="C112" i="30"/>
  <c r="C111" i="30"/>
  <c r="C110" i="30"/>
  <c r="C109" i="30"/>
  <c r="C108" i="30"/>
  <c r="C107" i="30"/>
  <c r="C106" i="30"/>
  <c r="C105" i="30"/>
  <c r="C104" i="30"/>
  <c r="C103" i="30"/>
  <c r="C102" i="30"/>
  <c r="C101" i="30"/>
  <c r="C100" i="30"/>
  <c r="C99" i="30"/>
  <c r="C98" i="30"/>
  <c r="C97" i="30"/>
  <c r="C96" i="30"/>
  <c r="C93" i="30"/>
  <c r="C92" i="30"/>
  <c r="C91" i="30"/>
  <c r="C90" i="30"/>
  <c r="C89" i="30"/>
  <c r="C88" i="30"/>
  <c r="C87" i="30"/>
  <c r="C86" i="30"/>
  <c r="C85" i="30"/>
  <c r="C82" i="30"/>
  <c r="C81" i="30"/>
  <c r="C80" i="30"/>
  <c r="C79" i="30"/>
  <c r="C78" i="30"/>
  <c r="C77" i="30"/>
  <c r="C76" i="30"/>
  <c r="C75" i="30"/>
  <c r="C74" i="30"/>
  <c r="C73" i="30"/>
  <c r="C72" i="30"/>
  <c r="C71" i="30"/>
  <c r="C70" i="30"/>
  <c r="C69" i="30"/>
  <c r="C68" i="30"/>
  <c r="C67" i="30"/>
  <c r="C66" i="30"/>
  <c r="C65" i="30"/>
  <c r="C64" i="30"/>
  <c r="C63" i="30"/>
  <c r="C62" i="30"/>
  <c r="C61" i="30"/>
  <c r="C60" i="30"/>
  <c r="C59" i="30"/>
  <c r="C58" i="30"/>
  <c r="C57" i="30"/>
  <c r="C56" i="30"/>
  <c r="C55" i="30"/>
  <c r="C54" i="30"/>
  <c r="C53" i="30"/>
  <c r="C52" i="30"/>
  <c r="C51" i="30"/>
  <c r="C50" i="30"/>
  <c r="C49" i="30"/>
  <c r="C48" i="30"/>
  <c r="C47" i="30"/>
  <c r="C46" i="30"/>
  <c r="C45" i="30"/>
  <c r="C44" i="30"/>
  <c r="C43" i="30"/>
  <c r="C42" i="30"/>
  <c r="C41" i="30"/>
  <c r="C38" i="30"/>
  <c r="C37" i="30"/>
  <c r="C36" i="30"/>
  <c r="C35" i="30"/>
  <c r="C34" i="30"/>
  <c r="C33" i="30"/>
  <c r="C32" i="30"/>
  <c r="C31" i="30"/>
  <c r="C30" i="30"/>
  <c r="C29" i="30"/>
  <c r="C28" i="30"/>
  <c r="C23" i="30"/>
  <c r="C22" i="30"/>
  <c r="C21" i="30"/>
  <c r="C20" i="30"/>
  <c r="C19" i="30"/>
  <c r="C18" i="30"/>
  <c r="C13" i="30"/>
  <c r="B13" i="30"/>
  <c r="C12" i="30"/>
  <c r="B12" i="30"/>
  <c r="C11" i="30"/>
  <c r="B11" i="30"/>
  <c r="C10" i="30"/>
  <c r="B10" i="30"/>
  <c r="C9" i="30"/>
  <c r="B9" i="30"/>
  <c r="C8" i="30"/>
  <c r="B8" i="30"/>
  <c r="C7" i="30"/>
  <c r="B7" i="30"/>
  <c r="C6" i="30"/>
  <c r="B6" i="30"/>
  <c r="C5" i="30"/>
  <c r="B5" i="30"/>
  <c r="C4" i="30"/>
  <c r="B4" i="30"/>
  <c r="C17" i="30" l="1"/>
  <c r="C225" i="29" l="1"/>
  <c r="C224" i="29"/>
  <c r="C223" i="29"/>
  <c r="C222" i="29"/>
  <c r="C221" i="29"/>
  <c r="C220" i="29"/>
  <c r="C219" i="29"/>
  <c r="C218" i="29"/>
  <c r="C217" i="29"/>
  <c r="C216" i="29"/>
  <c r="C215" i="29"/>
  <c r="C214" i="29"/>
  <c r="C213" i="29"/>
  <c r="C212" i="29"/>
  <c r="C211" i="29"/>
  <c r="C210" i="29"/>
  <c r="C209" i="29"/>
  <c r="C208" i="29"/>
  <c r="C207" i="29"/>
  <c r="C206" i="29"/>
  <c r="C205" i="29"/>
  <c r="C204" i="29"/>
  <c r="C203" i="29"/>
  <c r="C202" i="29"/>
  <c r="C201" i="29"/>
  <c r="C200" i="29"/>
  <c r="C199" i="29"/>
  <c r="C198" i="29"/>
  <c r="C197" i="29"/>
  <c r="C196" i="29"/>
  <c r="C195" i="29"/>
  <c r="C194" i="29"/>
  <c r="C193" i="29"/>
  <c r="C192" i="29"/>
  <c r="C191" i="29"/>
  <c r="C190" i="29"/>
  <c r="C189" i="29"/>
  <c r="C188" i="29"/>
  <c r="C187" i="29"/>
  <c r="C186" i="29"/>
  <c r="C185" i="29"/>
  <c r="C184" i="29"/>
  <c r="C183" i="29"/>
  <c r="C182" i="29"/>
  <c r="C181" i="29"/>
  <c r="C180" i="29"/>
  <c r="C179" i="29"/>
  <c r="C178" i="29"/>
  <c r="C177" i="29"/>
  <c r="C176" i="29"/>
  <c r="C175" i="29"/>
  <c r="C174" i="29"/>
  <c r="C173" i="29"/>
  <c r="C172" i="29"/>
  <c r="C171" i="29"/>
  <c r="C170" i="29"/>
  <c r="C169" i="29"/>
  <c r="C168" i="29"/>
  <c r="C167" i="29"/>
  <c r="C166" i="29"/>
  <c r="C165" i="29"/>
  <c r="C164" i="29"/>
  <c r="C163" i="29"/>
  <c r="C162" i="29"/>
  <c r="C161" i="29"/>
  <c r="C160" i="29"/>
  <c r="C159" i="29"/>
  <c r="C158" i="29"/>
  <c r="C157" i="29"/>
  <c r="C156" i="29"/>
  <c r="C155" i="29"/>
  <c r="C154" i="29"/>
  <c r="C153" i="29"/>
  <c r="C152" i="29"/>
  <c r="C151" i="29"/>
  <c r="C150" i="29"/>
  <c r="C149" i="29"/>
  <c r="C148" i="29"/>
  <c r="C147" i="29"/>
  <c r="C146" i="29"/>
  <c r="B146" i="29"/>
  <c r="B147" i="29" s="1"/>
  <c r="B148" i="29" s="1"/>
  <c r="B149" i="29" s="1"/>
  <c r="B150" i="29" s="1"/>
  <c r="B151" i="29" s="1"/>
  <c r="B152" i="29" s="1"/>
  <c r="B153" i="29" s="1"/>
  <c r="B154" i="29" s="1"/>
  <c r="B155" i="29" s="1"/>
  <c r="B156" i="29" s="1"/>
  <c r="B157" i="29" s="1"/>
  <c r="B158" i="29" s="1"/>
  <c r="B159" i="29" s="1"/>
  <c r="B160" i="29" s="1"/>
  <c r="B161" i="29" s="1"/>
  <c r="B162" i="29" s="1"/>
  <c r="C145" i="29"/>
  <c r="C142" i="29"/>
  <c r="C140" i="29"/>
  <c r="C139" i="29"/>
  <c r="C138" i="29"/>
  <c r="C137" i="29"/>
  <c r="C135" i="29"/>
  <c r="C134" i="29"/>
  <c r="C133" i="29"/>
  <c r="C132" i="29"/>
  <c r="C131" i="29"/>
  <c r="C130" i="29"/>
  <c r="C127" i="29"/>
  <c r="C124" i="29"/>
  <c r="C123" i="29"/>
  <c r="C122" i="29"/>
  <c r="C121" i="29"/>
  <c r="C120" i="29"/>
  <c r="C119" i="29"/>
  <c r="C118" i="29"/>
  <c r="C117" i="29"/>
  <c r="C116" i="29"/>
  <c r="C115" i="29"/>
  <c r="C114" i="29"/>
  <c r="C113" i="29"/>
  <c r="C112" i="29"/>
  <c r="C111" i="29"/>
  <c r="C110" i="29"/>
  <c r="C109" i="29"/>
  <c r="C108" i="29"/>
  <c r="C107" i="29"/>
  <c r="C106" i="29"/>
  <c r="C105" i="29"/>
  <c r="C104" i="29"/>
  <c r="C103" i="29"/>
  <c r="C102" i="29"/>
  <c r="C99" i="29"/>
  <c r="C98" i="29"/>
  <c r="C97" i="29"/>
  <c r="C96" i="29"/>
  <c r="C95" i="29"/>
  <c r="C94" i="29"/>
  <c r="C93" i="29"/>
  <c r="C92" i="29"/>
  <c r="C91" i="29"/>
  <c r="C88" i="29"/>
  <c r="C87" i="29"/>
  <c r="C86" i="29"/>
  <c r="C85" i="29"/>
  <c r="C84" i="29"/>
  <c r="C83" i="29"/>
  <c r="C82" i="29"/>
  <c r="C81" i="29"/>
  <c r="C80" i="29"/>
  <c r="C79" i="29"/>
  <c r="C78" i="29"/>
  <c r="C77" i="29"/>
  <c r="C76" i="29"/>
  <c r="C75" i="29"/>
  <c r="C74" i="29"/>
  <c r="C73" i="29"/>
  <c r="C72" i="29"/>
  <c r="C71" i="29"/>
  <c r="C70" i="29"/>
  <c r="C69" i="29"/>
  <c r="C68" i="29"/>
  <c r="C67" i="29"/>
  <c r="C66" i="29"/>
  <c r="C65" i="29"/>
  <c r="C64" i="29"/>
  <c r="C63" i="29"/>
  <c r="C62" i="29"/>
  <c r="C61" i="29"/>
  <c r="C60" i="29"/>
  <c r="C59" i="29"/>
  <c r="C58" i="29"/>
  <c r="C57" i="29"/>
  <c r="C56" i="29"/>
  <c r="C55" i="29"/>
  <c r="C54" i="29"/>
  <c r="C53" i="29"/>
  <c r="C52" i="29"/>
  <c r="C51" i="29"/>
  <c r="C50" i="29"/>
  <c r="C49" i="29"/>
  <c r="C48" i="29"/>
  <c r="C47" i="29"/>
  <c r="C46" i="29"/>
  <c r="C43" i="29"/>
  <c r="C42" i="29"/>
  <c r="C41" i="29"/>
  <c r="C40" i="29"/>
  <c r="C39" i="29"/>
  <c r="C38" i="29"/>
  <c r="C37" i="29"/>
  <c r="C36" i="29"/>
  <c r="C35" i="29"/>
  <c r="C34" i="29"/>
  <c r="B34" i="29"/>
  <c r="C33" i="29"/>
  <c r="B33" i="29"/>
  <c r="C32" i="29"/>
  <c r="B32" i="29"/>
  <c r="C31" i="29"/>
  <c r="B31" i="29"/>
  <c r="C30" i="29"/>
  <c r="C29" i="29"/>
  <c r="C28" i="29"/>
  <c r="C23" i="29"/>
  <c r="C22" i="29"/>
  <c r="C21" i="29"/>
  <c r="C20" i="29"/>
  <c r="C19" i="29"/>
  <c r="C18" i="29"/>
  <c r="C17" i="29" s="1"/>
  <c r="C13" i="29"/>
  <c r="B13" i="29"/>
  <c r="C12" i="29"/>
  <c r="B12" i="29"/>
  <c r="C11" i="29"/>
  <c r="B11" i="29"/>
  <c r="C10" i="29"/>
  <c r="B10" i="29"/>
  <c r="C9" i="29"/>
  <c r="B9" i="29"/>
  <c r="C8" i="29"/>
  <c r="B8" i="29"/>
  <c r="C7" i="29"/>
  <c r="B7" i="29"/>
  <c r="C6" i="29"/>
  <c r="B6" i="29"/>
  <c r="C5" i="29"/>
  <c r="B5" i="29"/>
  <c r="C4" i="29"/>
  <c r="B4" i="29"/>
  <c r="B225" i="29" l="1"/>
  <c r="B163" i="29"/>
  <c r="B164" i="29" s="1"/>
  <c r="B165" i="29" s="1"/>
  <c r="B166" i="29" s="1"/>
  <c r="B167" i="29" s="1"/>
  <c r="B168" i="29" s="1"/>
  <c r="B169" i="29" s="1"/>
  <c r="B170" i="29" s="1"/>
  <c r="B171" i="29" s="1"/>
  <c r="B172" i="29" s="1"/>
  <c r="B173" i="29" s="1"/>
  <c r="B174" i="29" s="1"/>
  <c r="B175" i="29" s="1"/>
  <c r="B176" i="29" s="1"/>
  <c r="B177" i="29" s="1"/>
  <c r="B178" i="29" s="1"/>
  <c r="B179" i="29" s="1"/>
  <c r="B180" i="29" s="1"/>
  <c r="B181" i="29" s="1"/>
  <c r="B182" i="29" s="1"/>
  <c r="B183" i="29" s="1"/>
  <c r="B184" i="29" s="1"/>
  <c r="B185" i="29" s="1"/>
  <c r="B186" i="29" s="1"/>
  <c r="B187" i="29" s="1"/>
  <c r="B188" i="29" s="1"/>
  <c r="B189" i="29" s="1"/>
  <c r="B190" i="29" s="1"/>
  <c r="B191" i="29" s="1"/>
  <c r="B192" i="29" s="1"/>
  <c r="B193" i="29" s="1"/>
  <c r="B194" i="29" s="1"/>
  <c r="B195" i="29" s="1"/>
  <c r="B196" i="29" s="1"/>
  <c r="B197" i="29" s="1"/>
  <c r="B198" i="29" s="1"/>
  <c r="B199" i="29" s="1"/>
  <c r="B200" i="29" s="1"/>
  <c r="B201" i="29" s="1"/>
  <c r="B202" i="29" s="1"/>
  <c r="B203" i="29" s="1"/>
  <c r="B204" i="29" s="1"/>
  <c r="B205" i="29" s="1"/>
  <c r="B206" i="29" s="1"/>
  <c r="B207" i="29" s="1"/>
  <c r="B208" i="29" s="1"/>
  <c r="B209" i="29" s="1"/>
  <c r="B210" i="29" s="1"/>
  <c r="B211" i="29" s="1"/>
  <c r="B212" i="29" s="1"/>
  <c r="B213" i="29" s="1"/>
  <c r="B214" i="29" s="1"/>
  <c r="B215" i="29" s="1"/>
  <c r="B216" i="29" s="1"/>
  <c r="B217" i="29" s="1"/>
  <c r="B218" i="29" s="1"/>
  <c r="B219" i="29" s="1"/>
  <c r="B220" i="29" s="1"/>
  <c r="B221" i="29" s="1"/>
  <c r="B222" i="29" s="1"/>
  <c r="B223" i="29" s="1"/>
  <c r="B224" i="29" s="1"/>
  <c r="C223" i="28" l="1"/>
  <c r="C222" i="28"/>
  <c r="C221" i="28"/>
  <c r="C220" i="28"/>
  <c r="C219" i="28"/>
  <c r="C218" i="28"/>
  <c r="C217" i="28"/>
  <c r="C216" i="28"/>
  <c r="C215" i="28"/>
  <c r="C214" i="28"/>
  <c r="C213" i="28"/>
  <c r="C212" i="28"/>
  <c r="C211" i="28"/>
  <c r="C210" i="28"/>
  <c r="C209" i="28"/>
  <c r="C208" i="28"/>
  <c r="C207" i="28"/>
  <c r="C206" i="28"/>
  <c r="C205" i="28"/>
  <c r="C204" i="28"/>
  <c r="C203" i="28"/>
  <c r="C202" i="28"/>
  <c r="C201" i="28"/>
  <c r="C200" i="28"/>
  <c r="C199" i="28"/>
  <c r="C198" i="28"/>
  <c r="C197" i="28"/>
  <c r="C196" i="28"/>
  <c r="C195" i="28"/>
  <c r="C194" i="28"/>
  <c r="C193" i="28"/>
  <c r="C192" i="28"/>
  <c r="C191" i="28"/>
  <c r="C190" i="28"/>
  <c r="C189" i="28"/>
  <c r="C188" i="28"/>
  <c r="C187" i="28"/>
  <c r="C186" i="28"/>
  <c r="C185" i="28"/>
  <c r="C184" i="28"/>
  <c r="C183" i="28"/>
  <c r="C182" i="28"/>
  <c r="C181" i="28"/>
  <c r="C180" i="28"/>
  <c r="C179" i="28"/>
  <c r="C178" i="28"/>
  <c r="C177" i="28"/>
  <c r="C176" i="28"/>
  <c r="C175" i="28"/>
  <c r="C174" i="28"/>
  <c r="C173" i="28"/>
  <c r="C172" i="28"/>
  <c r="C171" i="28"/>
  <c r="C170" i="28"/>
  <c r="C169" i="28"/>
  <c r="C168" i="28"/>
  <c r="C167" i="28"/>
  <c r="C166" i="28"/>
  <c r="C165" i="28"/>
  <c r="C164" i="28"/>
  <c r="C163" i="28"/>
  <c r="C162" i="28"/>
  <c r="C161" i="28"/>
  <c r="C160" i="28"/>
  <c r="C159" i="28"/>
  <c r="C158" i="28"/>
  <c r="C157" i="28"/>
  <c r="C156" i="28"/>
  <c r="C155" i="28"/>
  <c r="C154" i="28"/>
  <c r="C153" i="28"/>
  <c r="C152" i="28"/>
  <c r="C151" i="28"/>
  <c r="C150" i="28"/>
  <c r="C149" i="28"/>
  <c r="C148" i="28"/>
  <c r="C147" i="28"/>
  <c r="C146" i="28"/>
  <c r="C145" i="28"/>
  <c r="C144" i="28"/>
  <c r="B144" i="28"/>
  <c r="B145" i="28" s="1"/>
  <c r="B146" i="28" s="1"/>
  <c r="B147" i="28" s="1"/>
  <c r="B148" i="28" s="1"/>
  <c r="B149" i="28" s="1"/>
  <c r="B150" i="28" s="1"/>
  <c r="B151" i="28" s="1"/>
  <c r="B152" i="28" s="1"/>
  <c r="B153" i="28" s="1"/>
  <c r="B154" i="28" s="1"/>
  <c r="B155" i="28" s="1"/>
  <c r="B156" i="28" s="1"/>
  <c r="B157" i="28" s="1"/>
  <c r="B158" i="28" s="1"/>
  <c r="B159" i="28" s="1"/>
  <c r="B160" i="28" s="1"/>
  <c r="B161" i="28" s="1"/>
  <c r="B162" i="28" s="1"/>
  <c r="B163" i="28" s="1"/>
  <c r="B164" i="28" s="1"/>
  <c r="B165" i="28" s="1"/>
  <c r="B166" i="28" s="1"/>
  <c r="B167" i="28" s="1"/>
  <c r="B168" i="28" s="1"/>
  <c r="B169" i="28" s="1"/>
  <c r="B170" i="28" s="1"/>
  <c r="B171" i="28" s="1"/>
  <c r="B172" i="28" s="1"/>
  <c r="B173" i="28" s="1"/>
  <c r="B174" i="28" s="1"/>
  <c r="B175" i="28" s="1"/>
  <c r="B176" i="28" s="1"/>
  <c r="B177" i="28" s="1"/>
  <c r="B178" i="28" s="1"/>
  <c r="B179" i="28" s="1"/>
  <c r="B180" i="28" s="1"/>
  <c r="B181" i="28" s="1"/>
  <c r="B182" i="28" s="1"/>
  <c r="B183" i="28" s="1"/>
  <c r="B184" i="28" s="1"/>
  <c r="B185" i="28" s="1"/>
  <c r="B186" i="28" s="1"/>
  <c r="B187" i="28" s="1"/>
  <c r="B188" i="28" s="1"/>
  <c r="B189" i="28" s="1"/>
  <c r="B190" i="28" s="1"/>
  <c r="B191" i="28" s="1"/>
  <c r="B192" i="28" s="1"/>
  <c r="B193" i="28" s="1"/>
  <c r="B194" i="28" s="1"/>
  <c r="B195" i="28" s="1"/>
  <c r="B196" i="28" s="1"/>
  <c r="B197" i="28" s="1"/>
  <c r="B198" i="28" s="1"/>
  <c r="B199" i="28" s="1"/>
  <c r="B200" i="28" s="1"/>
  <c r="B201" i="28" s="1"/>
  <c r="B202" i="28" s="1"/>
  <c r="B203" i="28" s="1"/>
  <c r="B204" i="28" s="1"/>
  <c r="B205" i="28" s="1"/>
  <c r="B206" i="28" s="1"/>
  <c r="B207" i="28" s="1"/>
  <c r="B208" i="28" s="1"/>
  <c r="B209" i="28" s="1"/>
  <c r="B210" i="28" s="1"/>
  <c r="B211" i="28" s="1"/>
  <c r="B212" i="28" s="1"/>
  <c r="B213" i="28" s="1"/>
  <c r="B214" i="28" s="1"/>
  <c r="B215" i="28" s="1"/>
  <c r="B216" i="28" s="1"/>
  <c r="B217" i="28" s="1"/>
  <c r="B218" i="28" s="1"/>
  <c r="B219" i="28" s="1"/>
  <c r="B220" i="28" s="1"/>
  <c r="B221" i="28" s="1"/>
  <c r="B222" i="28" s="1"/>
  <c r="B223" i="28" s="1"/>
  <c r="C143" i="28"/>
  <c r="C140" i="28"/>
  <c r="C138" i="28"/>
  <c r="C137" i="28"/>
  <c r="C136" i="28"/>
  <c r="C135" i="28"/>
  <c r="C125" i="28"/>
  <c r="C122" i="28"/>
  <c r="C121" i="28"/>
  <c r="C120" i="28"/>
  <c r="C119" i="28"/>
  <c r="C118" i="28"/>
  <c r="C117" i="28"/>
  <c r="C116" i="28"/>
  <c r="C115" i="28"/>
  <c r="C114" i="28"/>
  <c r="C113" i="28"/>
  <c r="C112" i="28"/>
  <c r="C111" i="28"/>
  <c r="C110" i="28"/>
  <c r="C109" i="28"/>
  <c r="C108" i="28"/>
  <c r="C107" i="28"/>
  <c r="C106" i="28"/>
  <c r="C105" i="28"/>
  <c r="C104" i="28"/>
  <c r="C103" i="28"/>
  <c r="C102" i="28"/>
  <c r="C101" i="28"/>
  <c r="C100" i="28"/>
  <c r="C99" i="28"/>
  <c r="C98" i="28"/>
  <c r="C97" i="28"/>
  <c r="C96" i="28"/>
  <c r="C93" i="28"/>
  <c r="C92" i="28"/>
  <c r="C91" i="28"/>
  <c r="C90" i="28"/>
  <c r="C89" i="28"/>
  <c r="C88" i="28"/>
  <c r="C87" i="28"/>
  <c r="C86" i="28"/>
  <c r="C85" i="28"/>
  <c r="C82" i="28"/>
  <c r="C81" i="28"/>
  <c r="C80" i="28"/>
  <c r="C79" i="28"/>
  <c r="C78" i="28"/>
  <c r="C77" i="28"/>
  <c r="C76" i="28"/>
  <c r="C75" i="28"/>
  <c r="C74" i="28"/>
  <c r="C73" i="28"/>
  <c r="C72" i="28"/>
  <c r="C71" i="28"/>
  <c r="C70" i="28"/>
  <c r="C69" i="28"/>
  <c r="C68" i="28"/>
  <c r="C67" i="28"/>
  <c r="C66" i="28"/>
  <c r="C65" i="28"/>
  <c r="C64" i="28"/>
  <c r="C63" i="28"/>
  <c r="C62" i="28"/>
  <c r="C61" i="28"/>
  <c r="C60" i="28"/>
  <c r="C59" i="28"/>
  <c r="C58" i="28"/>
  <c r="C57" i="28"/>
  <c r="C56" i="28"/>
  <c r="C55" i="28"/>
  <c r="C54" i="28"/>
  <c r="C53" i="28"/>
  <c r="C52" i="28"/>
  <c r="C51" i="28"/>
  <c r="C50" i="28"/>
  <c r="C49" i="28"/>
  <c r="C48" i="28"/>
  <c r="C47" i="28"/>
  <c r="C46" i="28"/>
  <c r="C45" i="28"/>
  <c r="C44" i="28"/>
  <c r="C43" i="28"/>
  <c r="C42" i="28"/>
  <c r="C41" i="28"/>
  <c r="C38" i="28"/>
  <c r="C37" i="28"/>
  <c r="C36" i="28"/>
  <c r="C35" i="28"/>
  <c r="C34" i="28"/>
  <c r="C33" i="28"/>
  <c r="C32" i="28"/>
  <c r="C31" i="28"/>
  <c r="C30" i="28"/>
  <c r="C29" i="28"/>
  <c r="C28" i="28"/>
  <c r="C23" i="28"/>
  <c r="C22" i="28"/>
  <c r="C21" i="28"/>
  <c r="C20" i="28"/>
  <c r="C19" i="28"/>
  <c r="C18" i="28"/>
  <c r="C13" i="28"/>
  <c r="B13" i="28"/>
  <c r="C12" i="28"/>
  <c r="B12" i="28"/>
  <c r="C11" i="28"/>
  <c r="B11" i="28"/>
  <c r="C10" i="28"/>
  <c r="B10" i="28"/>
  <c r="C9" i="28"/>
  <c r="B9" i="28"/>
  <c r="C8" i="28"/>
  <c r="B8" i="28"/>
  <c r="C7" i="28"/>
  <c r="B7" i="28"/>
  <c r="C6" i="28"/>
  <c r="B6" i="28"/>
  <c r="C5" i="28"/>
  <c r="B5" i="28"/>
  <c r="C4" i="28"/>
  <c r="B4" i="28"/>
  <c r="C17" i="28" l="1"/>
  <c r="C225" i="27" l="1"/>
  <c r="C224" i="27"/>
  <c r="C223" i="27"/>
  <c r="C222" i="27"/>
  <c r="C221" i="27"/>
  <c r="C220" i="27"/>
  <c r="C219" i="27"/>
  <c r="C218" i="27"/>
  <c r="C217" i="27"/>
  <c r="C216" i="27"/>
  <c r="C215" i="27"/>
  <c r="C214" i="27"/>
  <c r="C213" i="27"/>
  <c r="C212" i="27"/>
  <c r="C211" i="27"/>
  <c r="C210" i="27"/>
  <c r="C209" i="27"/>
  <c r="C208" i="27"/>
  <c r="C207" i="27"/>
  <c r="C206" i="27"/>
  <c r="C205" i="27"/>
  <c r="C204" i="27"/>
  <c r="C203" i="27"/>
  <c r="C202" i="27"/>
  <c r="C201" i="27"/>
  <c r="C200" i="27"/>
  <c r="C199" i="27"/>
  <c r="C198" i="27"/>
  <c r="C197" i="27"/>
  <c r="C196" i="27"/>
  <c r="C195" i="27"/>
  <c r="C194" i="27"/>
  <c r="C193" i="27"/>
  <c r="C192" i="27"/>
  <c r="C191" i="27"/>
  <c r="C190" i="27"/>
  <c r="C189" i="27"/>
  <c r="C188" i="27"/>
  <c r="C187" i="27"/>
  <c r="C186" i="27"/>
  <c r="C185" i="27"/>
  <c r="C184" i="27"/>
  <c r="C183" i="27"/>
  <c r="C182" i="27"/>
  <c r="C181" i="27"/>
  <c r="C180" i="27"/>
  <c r="C179" i="27"/>
  <c r="C178" i="27"/>
  <c r="C177" i="27"/>
  <c r="C176" i="27"/>
  <c r="C175" i="27"/>
  <c r="C174" i="27"/>
  <c r="C173" i="27"/>
  <c r="C172" i="27"/>
  <c r="C171" i="27"/>
  <c r="C170" i="27"/>
  <c r="C169" i="27"/>
  <c r="C168" i="27"/>
  <c r="C167" i="27"/>
  <c r="C166" i="27"/>
  <c r="C165" i="27"/>
  <c r="C164" i="27"/>
  <c r="C163" i="27"/>
  <c r="C162" i="27"/>
  <c r="C161" i="27"/>
  <c r="C160" i="27"/>
  <c r="C159" i="27"/>
  <c r="C158" i="27"/>
  <c r="C157" i="27"/>
  <c r="C156" i="27"/>
  <c r="C155" i="27"/>
  <c r="C154" i="27"/>
  <c r="C153" i="27"/>
  <c r="C152" i="27"/>
  <c r="C151" i="27"/>
  <c r="C150" i="27"/>
  <c r="C149" i="27"/>
  <c r="C148" i="27"/>
  <c r="C147" i="27"/>
  <c r="C146" i="27"/>
  <c r="B146" i="27"/>
  <c r="B147" i="27" s="1"/>
  <c r="B148" i="27" s="1"/>
  <c r="B149" i="27" s="1"/>
  <c r="B150" i="27" s="1"/>
  <c r="B151" i="27" s="1"/>
  <c r="B152" i="27" s="1"/>
  <c r="B153" i="27" s="1"/>
  <c r="B154" i="27" s="1"/>
  <c r="B155" i="27" s="1"/>
  <c r="B156" i="27" s="1"/>
  <c r="B157" i="27" s="1"/>
  <c r="B158" i="27" s="1"/>
  <c r="B159" i="27" s="1"/>
  <c r="B160" i="27" s="1"/>
  <c r="B161" i="27" s="1"/>
  <c r="B162" i="27" s="1"/>
  <c r="C145" i="27"/>
  <c r="C142" i="27"/>
  <c r="C140" i="27"/>
  <c r="C139" i="27"/>
  <c r="C138" i="27"/>
  <c r="C137" i="27"/>
  <c r="C135" i="27"/>
  <c r="C134" i="27"/>
  <c r="C133" i="27"/>
  <c r="C132" i="27"/>
  <c r="C131" i="27"/>
  <c r="C130" i="27"/>
  <c r="C127" i="27"/>
  <c r="C124" i="27"/>
  <c r="C123" i="27"/>
  <c r="C122" i="27"/>
  <c r="C121" i="27"/>
  <c r="C120" i="27"/>
  <c r="C119" i="27"/>
  <c r="C118" i="27"/>
  <c r="C117" i="27"/>
  <c r="C116" i="27"/>
  <c r="C115" i="27"/>
  <c r="C114" i="27"/>
  <c r="C113" i="27"/>
  <c r="C112" i="27"/>
  <c r="C111" i="27"/>
  <c r="C110" i="27"/>
  <c r="C109" i="27"/>
  <c r="C108" i="27"/>
  <c r="C107" i="27"/>
  <c r="C106" i="27"/>
  <c r="C105" i="27"/>
  <c r="C104" i="27"/>
  <c r="C103" i="27"/>
  <c r="C102" i="27"/>
  <c r="C99" i="27"/>
  <c r="C98" i="27"/>
  <c r="C97" i="27"/>
  <c r="C96" i="27"/>
  <c r="C95" i="27"/>
  <c r="C94" i="27"/>
  <c r="C93" i="27"/>
  <c r="C92" i="27"/>
  <c r="C91" i="27"/>
  <c r="C88" i="27"/>
  <c r="C87" i="27"/>
  <c r="C86" i="27"/>
  <c r="C85" i="27"/>
  <c r="C84" i="27"/>
  <c r="C83" i="27"/>
  <c r="C82" i="27"/>
  <c r="C81" i="27"/>
  <c r="C80" i="27"/>
  <c r="C79" i="27"/>
  <c r="C78" i="27"/>
  <c r="C77" i="27"/>
  <c r="C76" i="27"/>
  <c r="C75" i="27"/>
  <c r="C74" i="27"/>
  <c r="C73" i="27"/>
  <c r="C72" i="27"/>
  <c r="C71" i="27"/>
  <c r="C70" i="27"/>
  <c r="C69" i="27"/>
  <c r="C68" i="27"/>
  <c r="C67" i="27"/>
  <c r="C66" i="27"/>
  <c r="C65" i="27"/>
  <c r="C64" i="27"/>
  <c r="C63" i="27"/>
  <c r="C62" i="27"/>
  <c r="C61" i="27"/>
  <c r="C60" i="27"/>
  <c r="C59" i="27"/>
  <c r="C58" i="27"/>
  <c r="C57" i="27"/>
  <c r="C56" i="27"/>
  <c r="C55" i="27"/>
  <c r="C54" i="27"/>
  <c r="C53" i="27"/>
  <c r="C52" i="27"/>
  <c r="C51" i="27"/>
  <c r="C50" i="27"/>
  <c r="C49" i="27"/>
  <c r="C48" i="27"/>
  <c r="C47" i="27"/>
  <c r="C46" i="27"/>
  <c r="C43" i="27"/>
  <c r="C42" i="27"/>
  <c r="C41" i="27"/>
  <c r="C40" i="27"/>
  <c r="C39" i="27"/>
  <c r="C38" i="27"/>
  <c r="C37" i="27"/>
  <c r="C36" i="27"/>
  <c r="C35" i="27"/>
  <c r="C34" i="27"/>
  <c r="B34" i="27"/>
  <c r="C33" i="27"/>
  <c r="B33" i="27"/>
  <c r="C32" i="27"/>
  <c r="B32" i="27"/>
  <c r="C31" i="27"/>
  <c r="B31" i="27"/>
  <c r="C30" i="27"/>
  <c r="C29" i="27"/>
  <c r="C28" i="27"/>
  <c r="C23" i="27"/>
  <c r="C22" i="27"/>
  <c r="C21" i="27"/>
  <c r="C20" i="27"/>
  <c r="C19" i="27"/>
  <c r="C17" i="27" s="1"/>
  <c r="C18" i="27"/>
  <c r="C13" i="27"/>
  <c r="B13" i="27"/>
  <c r="C12" i="27"/>
  <c r="B12" i="27"/>
  <c r="C11" i="27"/>
  <c r="B11" i="27"/>
  <c r="C10" i="27"/>
  <c r="B10" i="27"/>
  <c r="C9" i="27"/>
  <c r="B9" i="27"/>
  <c r="C8" i="27"/>
  <c r="B8" i="27"/>
  <c r="C7" i="27"/>
  <c r="B7" i="27"/>
  <c r="C6" i="27"/>
  <c r="B6" i="27"/>
  <c r="C5" i="27"/>
  <c r="B5" i="27"/>
  <c r="C4" i="27"/>
  <c r="B4" i="27"/>
  <c r="B225" i="27" l="1"/>
  <c r="B163" i="27"/>
  <c r="B164" i="27" s="1"/>
  <c r="B165" i="27" s="1"/>
  <c r="B166" i="27" s="1"/>
  <c r="B167" i="27" s="1"/>
  <c r="B168" i="27" s="1"/>
  <c r="B169" i="27" s="1"/>
  <c r="B170" i="27" s="1"/>
  <c r="B171" i="27" s="1"/>
  <c r="B172" i="27" s="1"/>
  <c r="B173" i="27" s="1"/>
  <c r="B174" i="27" s="1"/>
  <c r="B175" i="27" s="1"/>
  <c r="B176" i="27" s="1"/>
  <c r="B177" i="27" s="1"/>
  <c r="B178" i="27" s="1"/>
  <c r="B179" i="27" s="1"/>
  <c r="B180" i="27" s="1"/>
  <c r="B181" i="27" s="1"/>
  <c r="B182" i="27" s="1"/>
  <c r="B183" i="27" s="1"/>
  <c r="B184" i="27" s="1"/>
  <c r="B185" i="27" s="1"/>
  <c r="B186" i="27" s="1"/>
  <c r="B187" i="27" s="1"/>
  <c r="B188" i="27" s="1"/>
  <c r="B189" i="27" s="1"/>
  <c r="B190" i="27" s="1"/>
  <c r="B191" i="27" s="1"/>
  <c r="B192" i="27" s="1"/>
  <c r="B193" i="27" s="1"/>
  <c r="B194" i="27" s="1"/>
  <c r="B195" i="27" s="1"/>
  <c r="B196" i="27" s="1"/>
  <c r="B197" i="27" s="1"/>
  <c r="B198" i="27" s="1"/>
  <c r="B199" i="27" s="1"/>
  <c r="B200" i="27" s="1"/>
  <c r="B201" i="27" s="1"/>
  <c r="B202" i="27" s="1"/>
  <c r="B203" i="27" s="1"/>
  <c r="B204" i="27" s="1"/>
  <c r="B205" i="27" s="1"/>
  <c r="B206" i="27" s="1"/>
  <c r="B207" i="27" s="1"/>
  <c r="B208" i="27" s="1"/>
  <c r="B209" i="27" s="1"/>
  <c r="B210" i="27" s="1"/>
  <c r="B211" i="27" s="1"/>
  <c r="B212" i="27" s="1"/>
  <c r="B213" i="27" s="1"/>
  <c r="B214" i="27" s="1"/>
  <c r="B215" i="27" s="1"/>
  <c r="B216" i="27" s="1"/>
  <c r="B217" i="27" s="1"/>
  <c r="B218" i="27" s="1"/>
  <c r="B219" i="27" s="1"/>
  <c r="B220" i="27" s="1"/>
  <c r="B221" i="27" s="1"/>
  <c r="B222" i="27" s="1"/>
  <c r="B223" i="27" s="1"/>
  <c r="B224" i="27" s="1"/>
  <c r="C223" i="26" l="1"/>
  <c r="C222" i="26"/>
  <c r="C221" i="26"/>
  <c r="C220" i="26"/>
  <c r="C219" i="26"/>
  <c r="C218" i="26"/>
  <c r="C217" i="26"/>
  <c r="C216" i="26"/>
  <c r="C215" i="26"/>
  <c r="C214" i="26"/>
  <c r="C213" i="26"/>
  <c r="C212" i="26"/>
  <c r="C211" i="26"/>
  <c r="C210" i="26"/>
  <c r="C209" i="26"/>
  <c r="C208" i="26"/>
  <c r="C207" i="26"/>
  <c r="C206" i="26"/>
  <c r="C205" i="26"/>
  <c r="C204" i="26"/>
  <c r="C203" i="26"/>
  <c r="C202" i="26"/>
  <c r="C201" i="26"/>
  <c r="C200" i="26"/>
  <c r="C199" i="26"/>
  <c r="C198" i="26"/>
  <c r="C197" i="26"/>
  <c r="C196" i="26"/>
  <c r="C195" i="26"/>
  <c r="C194" i="26"/>
  <c r="C193" i="26"/>
  <c r="C192" i="26"/>
  <c r="C191" i="26"/>
  <c r="C190" i="26"/>
  <c r="C189" i="26"/>
  <c r="C188" i="26"/>
  <c r="C187" i="26"/>
  <c r="C186" i="26"/>
  <c r="C185" i="26"/>
  <c r="C184" i="26"/>
  <c r="C183" i="26"/>
  <c r="C182" i="26"/>
  <c r="C181" i="26"/>
  <c r="C180" i="26"/>
  <c r="C179" i="26"/>
  <c r="C178" i="26"/>
  <c r="C177" i="26"/>
  <c r="C176" i="26"/>
  <c r="C175" i="26"/>
  <c r="C174" i="26"/>
  <c r="C173" i="26"/>
  <c r="C172" i="26"/>
  <c r="C171" i="26"/>
  <c r="C170" i="26"/>
  <c r="C169" i="26"/>
  <c r="C168" i="26"/>
  <c r="C167" i="26"/>
  <c r="C166" i="26"/>
  <c r="C165" i="26"/>
  <c r="C164" i="26"/>
  <c r="C163" i="26"/>
  <c r="C162" i="26"/>
  <c r="C161" i="26"/>
  <c r="C160" i="26"/>
  <c r="C159" i="26"/>
  <c r="C158" i="26"/>
  <c r="C157" i="26"/>
  <c r="C156" i="26"/>
  <c r="C155" i="26"/>
  <c r="C154" i="26"/>
  <c r="C153" i="26"/>
  <c r="C152" i="26"/>
  <c r="C151" i="26"/>
  <c r="C150" i="26"/>
  <c r="C149" i="26"/>
  <c r="C148" i="26"/>
  <c r="C147" i="26"/>
  <c r="C146" i="26"/>
  <c r="C145" i="26"/>
  <c r="C144" i="26"/>
  <c r="B144" i="26"/>
  <c r="B145" i="26" s="1"/>
  <c r="B146" i="26" s="1"/>
  <c r="B147" i="26" s="1"/>
  <c r="B148" i="26" s="1"/>
  <c r="B149" i="26" s="1"/>
  <c r="B150" i="26" s="1"/>
  <c r="B151" i="26" s="1"/>
  <c r="B152" i="26" s="1"/>
  <c r="B153" i="26" s="1"/>
  <c r="B154" i="26" s="1"/>
  <c r="B155" i="26" s="1"/>
  <c r="B156" i="26" s="1"/>
  <c r="B157" i="26" s="1"/>
  <c r="B158" i="26" s="1"/>
  <c r="B159" i="26" s="1"/>
  <c r="B160" i="26" s="1"/>
  <c r="B161" i="26" s="1"/>
  <c r="B162" i="26" s="1"/>
  <c r="B163" i="26" s="1"/>
  <c r="B164" i="26" s="1"/>
  <c r="B165" i="26" s="1"/>
  <c r="B166" i="26" s="1"/>
  <c r="B167" i="26" s="1"/>
  <c r="B168" i="26" s="1"/>
  <c r="B169" i="26" s="1"/>
  <c r="B170" i="26" s="1"/>
  <c r="B171" i="26" s="1"/>
  <c r="B172" i="26" s="1"/>
  <c r="B173" i="26" s="1"/>
  <c r="B174" i="26" s="1"/>
  <c r="B175" i="26" s="1"/>
  <c r="B176" i="26" s="1"/>
  <c r="B177" i="26" s="1"/>
  <c r="B178" i="26" s="1"/>
  <c r="B179" i="26" s="1"/>
  <c r="B180" i="26" s="1"/>
  <c r="B181" i="26" s="1"/>
  <c r="B182" i="26" s="1"/>
  <c r="B183" i="26" s="1"/>
  <c r="B184" i="26" s="1"/>
  <c r="B185" i="26" s="1"/>
  <c r="B186" i="26" s="1"/>
  <c r="B187" i="26" s="1"/>
  <c r="B188" i="26" s="1"/>
  <c r="B189" i="26" s="1"/>
  <c r="B190" i="26" s="1"/>
  <c r="B191" i="26" s="1"/>
  <c r="B192" i="26" s="1"/>
  <c r="B193" i="26" s="1"/>
  <c r="B194" i="26" s="1"/>
  <c r="B195" i="26" s="1"/>
  <c r="B196" i="26" s="1"/>
  <c r="B197" i="26" s="1"/>
  <c r="B198" i="26" s="1"/>
  <c r="B199" i="26" s="1"/>
  <c r="B200" i="26" s="1"/>
  <c r="B201" i="26" s="1"/>
  <c r="B202" i="26" s="1"/>
  <c r="B203" i="26" s="1"/>
  <c r="B204" i="26" s="1"/>
  <c r="B205" i="26" s="1"/>
  <c r="B206" i="26" s="1"/>
  <c r="B207" i="26" s="1"/>
  <c r="B208" i="26" s="1"/>
  <c r="B209" i="26" s="1"/>
  <c r="B210" i="26" s="1"/>
  <c r="B211" i="26" s="1"/>
  <c r="B212" i="26" s="1"/>
  <c r="B213" i="26" s="1"/>
  <c r="B214" i="26" s="1"/>
  <c r="B215" i="26" s="1"/>
  <c r="B216" i="26" s="1"/>
  <c r="B217" i="26" s="1"/>
  <c r="B218" i="26" s="1"/>
  <c r="B219" i="26" s="1"/>
  <c r="B220" i="26" s="1"/>
  <c r="B221" i="26" s="1"/>
  <c r="B222" i="26" s="1"/>
  <c r="B223" i="26" s="1"/>
  <c r="C143" i="26"/>
  <c r="C140" i="26"/>
  <c r="C138" i="26"/>
  <c r="C137" i="26"/>
  <c r="C136" i="26"/>
  <c r="C135" i="26"/>
  <c r="C125" i="26"/>
  <c r="C122" i="26"/>
  <c r="C121" i="26"/>
  <c r="C120" i="26"/>
  <c r="C119" i="26"/>
  <c r="C118" i="26"/>
  <c r="C117" i="26"/>
  <c r="C116" i="26"/>
  <c r="C115" i="26"/>
  <c r="C114" i="26"/>
  <c r="C113" i="26"/>
  <c r="C112" i="26"/>
  <c r="C111" i="26"/>
  <c r="C110" i="26"/>
  <c r="C109" i="26"/>
  <c r="C108" i="26"/>
  <c r="C107" i="26"/>
  <c r="C106" i="26"/>
  <c r="C105" i="26"/>
  <c r="C104" i="26"/>
  <c r="C103" i="26"/>
  <c r="C102" i="26"/>
  <c r="C101" i="26"/>
  <c r="C100" i="26"/>
  <c r="C99" i="26"/>
  <c r="C98" i="26"/>
  <c r="C97" i="26"/>
  <c r="C96" i="26"/>
  <c r="C93" i="26"/>
  <c r="C92" i="26"/>
  <c r="C91" i="26"/>
  <c r="C90" i="26"/>
  <c r="C89" i="26"/>
  <c r="C88" i="26"/>
  <c r="C87" i="26"/>
  <c r="C86" i="26"/>
  <c r="C85" i="26"/>
  <c r="C82" i="26"/>
  <c r="C81" i="26"/>
  <c r="C80" i="26"/>
  <c r="C79" i="26"/>
  <c r="C78" i="26"/>
  <c r="C77" i="26"/>
  <c r="C76" i="26"/>
  <c r="C75" i="26"/>
  <c r="C74" i="26"/>
  <c r="C73" i="26"/>
  <c r="C72" i="26"/>
  <c r="C71" i="26"/>
  <c r="C70" i="26"/>
  <c r="C69" i="26"/>
  <c r="C68" i="26"/>
  <c r="C67" i="26"/>
  <c r="C66" i="26"/>
  <c r="C65" i="26"/>
  <c r="C64" i="26"/>
  <c r="C63" i="26"/>
  <c r="C62" i="26"/>
  <c r="C61" i="26"/>
  <c r="C60" i="26"/>
  <c r="C59" i="26"/>
  <c r="C58" i="26"/>
  <c r="C57" i="26"/>
  <c r="C56" i="26"/>
  <c r="C55" i="26"/>
  <c r="C54" i="26"/>
  <c r="C53" i="26"/>
  <c r="C52" i="26"/>
  <c r="C51" i="26"/>
  <c r="C50" i="26"/>
  <c r="C49" i="26"/>
  <c r="C48" i="26"/>
  <c r="C47" i="26"/>
  <c r="C46" i="26"/>
  <c r="C45" i="26"/>
  <c r="C44" i="26"/>
  <c r="C43" i="26"/>
  <c r="C42" i="26"/>
  <c r="C41" i="26"/>
  <c r="C38" i="26"/>
  <c r="C37" i="26"/>
  <c r="C36" i="26"/>
  <c r="C35" i="26"/>
  <c r="C34" i="26"/>
  <c r="C33" i="26"/>
  <c r="C32" i="26"/>
  <c r="C31" i="26"/>
  <c r="C30" i="26"/>
  <c r="C29" i="26"/>
  <c r="C28" i="26"/>
  <c r="C23" i="26"/>
  <c r="C22" i="26"/>
  <c r="C21" i="26"/>
  <c r="C20" i="26"/>
  <c r="C19" i="26"/>
  <c r="C18" i="26"/>
  <c r="C13" i="26"/>
  <c r="B13" i="26"/>
  <c r="C12" i="26"/>
  <c r="B12" i="26"/>
  <c r="C11" i="26"/>
  <c r="B11" i="26"/>
  <c r="C10" i="26"/>
  <c r="B10" i="26"/>
  <c r="C9" i="26"/>
  <c r="B9" i="26"/>
  <c r="C8" i="26"/>
  <c r="B8" i="26"/>
  <c r="C7" i="26"/>
  <c r="B7" i="26"/>
  <c r="C6" i="26"/>
  <c r="B6" i="26"/>
  <c r="C5" i="26"/>
  <c r="B5" i="26"/>
  <c r="C4" i="26"/>
  <c r="B4" i="26"/>
  <c r="C17" i="26" l="1"/>
  <c r="C225" i="25" l="1"/>
  <c r="C224" i="25"/>
  <c r="C223" i="25"/>
  <c r="C222" i="25"/>
  <c r="C221" i="25"/>
  <c r="C220" i="25"/>
  <c r="C219" i="25"/>
  <c r="C218" i="25"/>
  <c r="C217" i="25"/>
  <c r="C216" i="25"/>
  <c r="C215" i="25"/>
  <c r="C214" i="25"/>
  <c r="C213" i="25"/>
  <c r="C212" i="25"/>
  <c r="C211" i="25"/>
  <c r="C210" i="25"/>
  <c r="C209" i="25"/>
  <c r="C208" i="25"/>
  <c r="C207" i="25"/>
  <c r="C206" i="25"/>
  <c r="C205" i="25"/>
  <c r="C204" i="25"/>
  <c r="C203" i="25"/>
  <c r="C202" i="25"/>
  <c r="C201" i="25"/>
  <c r="C200" i="25"/>
  <c r="C199" i="25"/>
  <c r="C198" i="25"/>
  <c r="C197" i="25"/>
  <c r="C196" i="25"/>
  <c r="C195" i="25"/>
  <c r="C194" i="25"/>
  <c r="C193" i="25"/>
  <c r="C192" i="25"/>
  <c r="C191" i="25"/>
  <c r="C190" i="25"/>
  <c r="C189" i="25"/>
  <c r="C188" i="25"/>
  <c r="C187" i="25"/>
  <c r="C186" i="25"/>
  <c r="C185" i="25"/>
  <c r="C184" i="25"/>
  <c r="C183" i="25"/>
  <c r="C182" i="25"/>
  <c r="C181" i="25"/>
  <c r="C180" i="25"/>
  <c r="C179" i="25"/>
  <c r="C178" i="25"/>
  <c r="C177" i="25"/>
  <c r="C176" i="25"/>
  <c r="C175" i="25"/>
  <c r="C174" i="25"/>
  <c r="C173" i="25"/>
  <c r="C172" i="25"/>
  <c r="C171" i="25"/>
  <c r="C170" i="25"/>
  <c r="C169" i="25"/>
  <c r="C168" i="25"/>
  <c r="C167" i="25"/>
  <c r="C166" i="25"/>
  <c r="C165" i="25"/>
  <c r="C164" i="25"/>
  <c r="C163" i="25"/>
  <c r="C162" i="25"/>
  <c r="C161" i="25"/>
  <c r="C160" i="25"/>
  <c r="C159" i="25"/>
  <c r="C158" i="25"/>
  <c r="C157" i="25"/>
  <c r="C156" i="25"/>
  <c r="C155" i="25"/>
  <c r="C154" i="25"/>
  <c r="C153" i="25"/>
  <c r="C152" i="25"/>
  <c r="C151" i="25"/>
  <c r="C150" i="25"/>
  <c r="C149" i="25"/>
  <c r="C148" i="25"/>
  <c r="C147" i="25"/>
  <c r="C146" i="25"/>
  <c r="B146" i="25"/>
  <c r="B147" i="25" s="1"/>
  <c r="B148" i="25" s="1"/>
  <c r="B149" i="25" s="1"/>
  <c r="B150" i="25" s="1"/>
  <c r="B151" i="25" s="1"/>
  <c r="B152" i="25" s="1"/>
  <c r="B153" i="25" s="1"/>
  <c r="B154" i="25" s="1"/>
  <c r="B155" i="25" s="1"/>
  <c r="B156" i="25" s="1"/>
  <c r="B157" i="25" s="1"/>
  <c r="B158" i="25" s="1"/>
  <c r="B159" i="25" s="1"/>
  <c r="B160" i="25" s="1"/>
  <c r="B161" i="25" s="1"/>
  <c r="B162" i="25" s="1"/>
  <c r="C145" i="25"/>
  <c r="C142" i="25"/>
  <c r="C140" i="25"/>
  <c r="C139" i="25"/>
  <c r="C138" i="25"/>
  <c r="C137" i="25"/>
  <c r="C135" i="25"/>
  <c r="C134" i="25"/>
  <c r="C133" i="25"/>
  <c r="C132" i="25"/>
  <c r="C131" i="25"/>
  <c r="C130" i="25"/>
  <c r="C127" i="25"/>
  <c r="C124" i="25"/>
  <c r="C123" i="25"/>
  <c r="C122" i="25"/>
  <c r="C121" i="25"/>
  <c r="C120" i="25"/>
  <c r="C119" i="25"/>
  <c r="C118" i="25"/>
  <c r="C117" i="25"/>
  <c r="C116" i="25"/>
  <c r="C115" i="25"/>
  <c r="C114" i="25"/>
  <c r="C113" i="25"/>
  <c r="C112" i="25"/>
  <c r="C111" i="25"/>
  <c r="C110" i="25"/>
  <c r="C109" i="25"/>
  <c r="C108" i="25"/>
  <c r="C107" i="25"/>
  <c r="C106" i="25"/>
  <c r="C105" i="25"/>
  <c r="C104" i="25"/>
  <c r="C103" i="25"/>
  <c r="C102" i="25"/>
  <c r="C99" i="25"/>
  <c r="C98" i="25"/>
  <c r="C97" i="25"/>
  <c r="C96" i="25"/>
  <c r="C95" i="25"/>
  <c r="C94" i="25"/>
  <c r="C93" i="25"/>
  <c r="C92" i="25"/>
  <c r="C91" i="25"/>
  <c r="C88" i="25"/>
  <c r="C87" i="25"/>
  <c r="C86" i="25"/>
  <c r="C85" i="25"/>
  <c r="C84" i="25"/>
  <c r="C83" i="25"/>
  <c r="C82" i="25"/>
  <c r="C81" i="25"/>
  <c r="C80" i="25"/>
  <c r="C79" i="25"/>
  <c r="C78" i="25"/>
  <c r="C77" i="25"/>
  <c r="C76" i="25"/>
  <c r="C75" i="25"/>
  <c r="C74" i="25"/>
  <c r="C73" i="25"/>
  <c r="C72" i="25"/>
  <c r="C71" i="25"/>
  <c r="C70" i="25"/>
  <c r="C69" i="25"/>
  <c r="C68" i="25"/>
  <c r="C67" i="25"/>
  <c r="C66" i="25"/>
  <c r="C65" i="25"/>
  <c r="C64" i="25"/>
  <c r="C63" i="25"/>
  <c r="C62" i="25"/>
  <c r="C61" i="25"/>
  <c r="C60" i="25"/>
  <c r="C59" i="25"/>
  <c r="C58" i="25"/>
  <c r="C57" i="25"/>
  <c r="C56" i="25"/>
  <c r="C55" i="25"/>
  <c r="C54" i="25"/>
  <c r="C53" i="25"/>
  <c r="C52" i="25"/>
  <c r="C51" i="25"/>
  <c r="C50" i="25"/>
  <c r="C49" i="25"/>
  <c r="C48" i="25"/>
  <c r="C47" i="25"/>
  <c r="C46" i="25"/>
  <c r="C43" i="25"/>
  <c r="C42" i="25"/>
  <c r="C41" i="25"/>
  <c r="C40" i="25"/>
  <c r="C39" i="25"/>
  <c r="C38" i="25"/>
  <c r="C37" i="25"/>
  <c r="C36" i="25"/>
  <c r="C35" i="25"/>
  <c r="C34" i="25"/>
  <c r="B34" i="25"/>
  <c r="C33" i="25"/>
  <c r="B33" i="25"/>
  <c r="C32" i="25"/>
  <c r="B32" i="25"/>
  <c r="C31" i="25"/>
  <c r="B31" i="25"/>
  <c r="C30" i="25"/>
  <c r="C29" i="25"/>
  <c r="C28" i="25"/>
  <c r="C23" i="25"/>
  <c r="C22" i="25"/>
  <c r="C21" i="25"/>
  <c r="C20" i="25"/>
  <c r="C19" i="25"/>
  <c r="C18" i="25"/>
  <c r="C13" i="25"/>
  <c r="B13" i="25"/>
  <c r="C12" i="25"/>
  <c r="B12" i="25"/>
  <c r="C11" i="25"/>
  <c r="B11" i="25"/>
  <c r="C10" i="25"/>
  <c r="B10" i="25"/>
  <c r="C9" i="25"/>
  <c r="B9" i="25"/>
  <c r="C8" i="25"/>
  <c r="B8" i="25"/>
  <c r="C7" i="25"/>
  <c r="B7" i="25"/>
  <c r="C6" i="25"/>
  <c r="B6" i="25"/>
  <c r="C5" i="25"/>
  <c r="B5" i="25"/>
  <c r="C4" i="25"/>
  <c r="B4" i="25"/>
  <c r="C17" i="25" l="1"/>
  <c r="B225" i="25"/>
  <c r="B163" i="25"/>
  <c r="B164" i="25" s="1"/>
  <c r="B165" i="25" s="1"/>
  <c r="B166" i="25" s="1"/>
  <c r="B167" i="25" s="1"/>
  <c r="B168" i="25" s="1"/>
  <c r="B169" i="25" s="1"/>
  <c r="B170" i="25" s="1"/>
  <c r="B171" i="25" s="1"/>
  <c r="B172" i="25" s="1"/>
  <c r="B173" i="25" s="1"/>
  <c r="B174" i="25" s="1"/>
  <c r="B175" i="25" s="1"/>
  <c r="B176" i="25" s="1"/>
  <c r="B177" i="25" s="1"/>
  <c r="B178" i="25" s="1"/>
  <c r="B179" i="25" s="1"/>
  <c r="B180" i="25" s="1"/>
  <c r="B181" i="25" s="1"/>
  <c r="B182" i="25" s="1"/>
  <c r="B183" i="25" s="1"/>
  <c r="B184" i="25" s="1"/>
  <c r="B185" i="25" s="1"/>
  <c r="B186" i="25" s="1"/>
  <c r="B187" i="25" s="1"/>
  <c r="B188" i="25" s="1"/>
  <c r="B189" i="25" s="1"/>
  <c r="B190" i="25" s="1"/>
  <c r="B191" i="25" s="1"/>
  <c r="B192" i="25" s="1"/>
  <c r="B193" i="25" s="1"/>
  <c r="B194" i="25" s="1"/>
  <c r="B195" i="25" s="1"/>
  <c r="B196" i="25" s="1"/>
  <c r="B197" i="25" s="1"/>
  <c r="B198" i="25" s="1"/>
  <c r="B199" i="25" s="1"/>
  <c r="B200" i="25" s="1"/>
  <c r="B201" i="25" s="1"/>
  <c r="B202" i="25" s="1"/>
  <c r="B203" i="25" s="1"/>
  <c r="B204" i="25" s="1"/>
  <c r="B205" i="25" s="1"/>
  <c r="B206" i="25" s="1"/>
  <c r="B207" i="25" s="1"/>
  <c r="B208" i="25" s="1"/>
  <c r="B209" i="25" s="1"/>
  <c r="B210" i="25" s="1"/>
  <c r="B211" i="25" s="1"/>
  <c r="B212" i="25" s="1"/>
  <c r="B213" i="25" s="1"/>
  <c r="B214" i="25" s="1"/>
  <c r="B215" i="25" s="1"/>
  <c r="B216" i="25" s="1"/>
  <c r="B217" i="25" s="1"/>
  <c r="B218" i="25" s="1"/>
  <c r="B219" i="25" s="1"/>
  <c r="B220" i="25" s="1"/>
  <c r="B221" i="25" s="1"/>
  <c r="B222" i="25" s="1"/>
  <c r="B223" i="25" s="1"/>
  <c r="B224" i="25" s="1"/>
</calcChain>
</file>

<file path=xl/sharedStrings.xml><?xml version="1.0" encoding="utf-8"?>
<sst xmlns="http://schemas.openxmlformats.org/spreadsheetml/2006/main" count="5051" uniqueCount="259">
  <si>
    <t>Год</t>
  </si>
  <si>
    <t>Предельный уровень цены на тепловую энергию (мощность), рассчитанный в соответствии с частью 1 статьи 23.6 Федерального закона от 27.07.2010 N 190-ФЗ "О теплоснабжении" и Постановлением № 1562, а также сведения о параметрах, использованных при расчете</t>
  </si>
  <si>
    <t>Дата:</t>
  </si>
  <si>
    <t>Информация о системе теплоснабжения, в отношении которой выполняется расчет:</t>
  </si>
  <si>
    <t>Предельный уровень цены на тепловую энергию (мощность) и его составляющие, обеспечивающие компенсацию расходов:</t>
  </si>
  <si>
    <t>№пп</t>
  </si>
  <si>
    <t>Наименование</t>
  </si>
  <si>
    <t>Значения</t>
  </si>
  <si>
    <t>Уровень цены на тепловую энергию (мощность) без НДС, руб./Гкал</t>
  </si>
  <si>
    <t>1.1</t>
  </si>
  <si>
    <r>
      <t>Составляющая предельного уровня цены на тепловую энергию (мощность), обеспечивающая компенсацию расходов на топливо при производстве тепловой энергии котельной в i-м расчетном периоде регулирования, руб./Гкал (</t>
    </r>
    <r>
      <rPr>
        <b/>
        <sz val="11"/>
        <color theme="1"/>
        <rFont val="Tahoma"/>
        <family val="2"/>
        <charset val="204"/>
      </rPr>
      <t>РТ</t>
    </r>
    <r>
      <rPr>
        <b/>
        <vertAlign val="subscript"/>
        <sz val="11"/>
        <color theme="1"/>
        <rFont val="Tahoma"/>
        <family val="2"/>
        <charset val="204"/>
      </rPr>
      <t>i</t>
    </r>
    <r>
      <rPr>
        <sz val="10"/>
        <color theme="1"/>
        <rFont val="Tahoma"/>
        <family val="2"/>
        <charset val="204"/>
      </rPr>
      <t>)</t>
    </r>
  </si>
  <si>
    <t>1.2</t>
  </si>
  <si>
    <r>
      <t>Составляющая предельного уровня цены на тепловую энергию (мощность), обеспечивающая возврат капитальных затрат на строительство котельной и тепловых сетей в i-м расчетном периоде регулирования, руб./Гкал (</t>
    </r>
    <r>
      <rPr>
        <b/>
        <sz val="11"/>
        <color theme="1"/>
        <rFont val="Tahoma"/>
        <family val="2"/>
        <charset val="204"/>
      </rPr>
      <t>КР</t>
    </r>
    <r>
      <rPr>
        <b/>
        <vertAlign val="subscript"/>
        <sz val="11"/>
        <color theme="1"/>
        <rFont val="Tahoma"/>
        <family val="2"/>
        <charset val="204"/>
      </rPr>
      <t>i</t>
    </r>
    <r>
      <rPr>
        <sz val="10"/>
        <color theme="1"/>
        <rFont val="Tahoma"/>
        <family val="2"/>
        <charset val="204"/>
      </rPr>
      <t>)</t>
    </r>
  </si>
  <si>
    <t>1.3</t>
  </si>
  <si>
    <r>
      <t>Составляющая предельного уровня цены на тепловую энергию (мощность), обеспечивающая компенсацию расходов на уплату налогов в i-м расчетном периоде регулирования (</t>
    </r>
    <r>
      <rPr>
        <b/>
        <sz val="11"/>
        <color theme="1"/>
        <rFont val="Tahoma"/>
        <family val="2"/>
        <charset val="204"/>
      </rPr>
      <t>Н</t>
    </r>
    <r>
      <rPr>
        <b/>
        <vertAlign val="subscript"/>
        <sz val="11"/>
        <color theme="1"/>
        <rFont val="Tahoma"/>
        <family val="2"/>
        <charset val="204"/>
      </rPr>
      <t>i</t>
    </r>
    <r>
      <rPr>
        <sz val="10"/>
        <color theme="1"/>
        <rFont val="Tahoma"/>
        <family val="2"/>
        <charset val="204"/>
      </rPr>
      <t>)</t>
    </r>
  </si>
  <si>
    <t>1.4</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</si>
  <si>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1"/>
        <color theme="1"/>
        <rFont val="Tahoma"/>
        <family val="2"/>
        <charset val="204"/>
      </rPr>
      <t>)</t>
    </r>
  </si>
  <si>
    <t>1.5</t>
  </si>
  <si>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1"/>
        <color theme="1"/>
        <rFont val="Tahoma"/>
        <family val="2"/>
        <charset val="204"/>
      </rPr>
      <t>)</t>
    </r>
  </si>
  <si>
    <t>1.6</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</si>
  <si>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1"/>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1"/>
        <color theme="1"/>
        <rFont val="Tahoma"/>
        <family val="2"/>
        <charset val="204"/>
      </rPr>
      <t>)</t>
    </r>
  </si>
  <si>
    <t>Параметры, использованные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i-м расчетном периоде регулирования</t>
  </si>
  <si>
    <t>Низшая теплота сгорания натурального топлива (газа), ккал/кг</t>
  </si>
  <si>
    <r>
      <t>Фактическая цена на топливо (газ),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</si>
  <si>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1.2.1</t>
  </si>
  <si>
    <t>Организация с наибольшим объемом поставляемого, транспортируемого газа, осуществляющая свою деятельность на территории системы теплоснабжения</t>
  </si>
  <si>
    <t>1.2.2</t>
  </si>
  <si>
    <t>1.2.3</t>
  </si>
  <si>
    <t>1.2.4</t>
  </si>
  <si>
    <t>1.2.5</t>
  </si>
  <si>
    <r>
      <t>Прогнозный индекс роста цены на топливо в (i-1)-м расчетном периоде регулирования, % (</t>
    </r>
    <r>
      <rPr>
        <b/>
        <sz val="11"/>
        <color theme="1"/>
        <rFont val="Tahoma"/>
        <family val="2"/>
        <charset val="204"/>
      </rPr>
      <t>I</t>
    </r>
    <r>
      <rPr>
        <b/>
        <vertAlign val="subscript"/>
        <sz val="11"/>
        <color theme="1"/>
        <rFont val="Tahoma"/>
        <family val="2"/>
        <charset val="204"/>
      </rPr>
      <t>i-1,k</t>
    </r>
    <r>
      <rPr>
        <b/>
        <vertAlign val="superscript"/>
        <sz val="11"/>
        <color theme="1"/>
        <rFont val="Tahoma"/>
        <family val="2"/>
        <charset val="204"/>
      </rPr>
      <t>П</t>
    </r>
    <r>
      <rPr>
        <sz val="10"/>
        <color theme="1"/>
        <rFont val="Tahoma"/>
        <family val="2"/>
        <charset val="204"/>
      </rPr>
      <t>)</t>
    </r>
  </si>
  <si>
    <r>
      <t>Прогнозный индекс роста цены на топливо в i-м расчетном периоде регулирования, % (</t>
    </r>
    <r>
      <rPr>
        <b/>
        <sz val="11"/>
        <color theme="1"/>
        <rFont val="Tahoma"/>
        <family val="2"/>
        <charset val="204"/>
      </rPr>
      <t>I</t>
    </r>
    <r>
      <rPr>
        <b/>
        <vertAlign val="subscript"/>
        <sz val="11"/>
        <color theme="1"/>
        <rFont val="Tahoma"/>
        <family val="2"/>
        <charset val="204"/>
      </rPr>
      <t>i,k</t>
    </r>
    <r>
      <rPr>
        <b/>
        <vertAlign val="superscript"/>
        <sz val="11"/>
        <color theme="1"/>
        <rFont val="Tahoma"/>
        <family val="2"/>
        <charset val="204"/>
      </rPr>
      <t>П</t>
    </r>
    <r>
      <rPr>
        <sz val="10"/>
        <color theme="1"/>
        <rFont val="Tahoma"/>
        <family val="2"/>
        <charset val="204"/>
      </rPr>
      <t>)</t>
    </r>
  </si>
  <si>
    <r>
      <t>Удельный расход условного топлива при производстве тепловой энергии котельной с использованием газа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</si>
  <si>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t>Низшая теплота сгорания 1 кг условного топлива</t>
  </si>
  <si>
    <t>1.7</t>
  </si>
  <si>
    <r>
      <t>Коэффициент перевода натурального топлива в условное топливо, кг у.т./куб. м (</t>
    </r>
    <r>
      <rPr>
        <b/>
        <sz val="11"/>
        <color theme="1"/>
        <rFont val="Tahoma"/>
        <family val="2"/>
        <charset val="204"/>
      </rPr>
      <t>К</t>
    </r>
    <r>
      <rPr>
        <sz val="10"/>
        <color theme="1"/>
        <rFont val="Tahoma"/>
        <family val="2"/>
        <charset val="204"/>
      </rPr>
      <t>)</t>
    </r>
  </si>
  <si>
    <t>1.8</t>
  </si>
  <si>
    <r>
      <t>Объем отпуска тепловой энергии с коллекторов котельной (</t>
    </r>
    <r>
      <rPr>
        <b/>
        <sz val="11"/>
        <rFont val="Tahoma"/>
        <family val="2"/>
        <charset val="204"/>
      </rPr>
      <t>Q</t>
    </r>
    <r>
      <rPr>
        <b/>
        <vertAlign val="superscript"/>
        <sz val="11"/>
        <rFont val="Tahoma"/>
        <family val="2"/>
        <charset val="204"/>
      </rPr>
      <t>ОТП</t>
    </r>
    <r>
      <rPr>
        <sz val="10"/>
        <rFont val="Tahoma"/>
        <family val="2"/>
        <charset val="204"/>
      </rPr>
      <t>)</t>
    </r>
  </si>
  <si>
    <t>1.8.1</t>
  </si>
  <si>
    <r>
      <t>Объем полезного отпуска тепловой энергии котельной (</t>
    </r>
    <r>
      <rPr>
        <b/>
        <sz val="11"/>
        <color theme="1"/>
        <rFont val="Tahoma"/>
        <family val="2"/>
        <charset val="204"/>
      </rPr>
      <t>Q</t>
    </r>
    <r>
      <rPr>
        <b/>
        <vertAlign val="superscript"/>
        <sz val="11"/>
        <color theme="1"/>
        <rFont val="Tahoma"/>
        <family val="2"/>
        <charset val="204"/>
      </rPr>
      <t>ПО</t>
    </r>
    <r>
      <rPr>
        <sz val="10"/>
        <color theme="1"/>
        <rFont val="Tahoma"/>
        <family val="2"/>
        <charset val="204"/>
      </rPr>
      <t>)</t>
    </r>
  </si>
  <si>
    <t>1.8.2</t>
  </si>
  <si>
    <r>
      <t>Коэффициент учета потерь тепловой энергии в тепловых сетях(</t>
    </r>
    <r>
      <rPr>
        <b/>
        <i/>
        <sz val="10"/>
        <color theme="1"/>
        <rFont val="Tahoma"/>
        <family val="2"/>
        <charset val="204"/>
      </rPr>
      <t>К</t>
    </r>
    <r>
      <rPr>
        <b/>
        <i/>
        <vertAlign val="superscript"/>
        <sz val="10"/>
        <color theme="1"/>
        <rFont val="Tahoma"/>
        <family val="2"/>
        <charset val="204"/>
      </rPr>
      <t>П</t>
    </r>
    <r>
      <rPr>
        <i/>
        <sz val="10"/>
        <color theme="1"/>
        <rFont val="Tahoma"/>
        <family val="2"/>
        <charset val="204"/>
      </rPr>
      <t>)</t>
    </r>
  </si>
  <si>
    <t>1.9</t>
  </si>
  <si>
    <r>
      <t>Коэффициент учета стоимости транспортных услуг, оказываемых на подъездных железнодорожных путях организациями промышленного железнодорожного транспорта и другими хозяйствующими субъектами независимо от организационно-правовой формы, за исключением организаций федерального железнодорожного транспорта (</t>
    </r>
    <r>
      <rPr>
        <b/>
        <i/>
        <sz val="10"/>
        <color theme="1"/>
        <rFont val="Tahoma"/>
        <family val="2"/>
        <charset val="204"/>
      </rPr>
      <t>К</t>
    </r>
    <r>
      <rPr>
        <b/>
        <i/>
        <vertAlign val="superscript"/>
        <sz val="10"/>
        <color theme="1"/>
        <rFont val="Tahoma"/>
        <family val="2"/>
        <charset val="204"/>
      </rPr>
      <t>ппжт</t>
    </r>
    <r>
      <rPr>
        <i/>
        <sz val="10"/>
        <color theme="1"/>
        <rFont val="Tahoma"/>
        <family val="2"/>
        <charset val="204"/>
      </rPr>
      <t xml:space="preserve">) </t>
    </r>
  </si>
  <si>
    <t>2</t>
  </si>
  <si>
    <t>Параметры, использованные при расчете составляющей предельного уровня цены на тепловую энергию (мощность), обеспечивающей возврат капитальных затрат на строительство котельной и тепловых сетей в i-м расчетном периоде регулирования</t>
  </si>
  <si>
    <t>2.1</t>
  </si>
  <si>
    <t>Температурная зона, к которой относится поселение или городской округ, на территории которого находится система теплоснабжения</t>
  </si>
  <si>
    <t>2.2</t>
  </si>
  <si>
    <t>Степень сейсмической опасности сейсмического района, к которому относится поселение или городской округ, на территории которого находится система теплоснабжения</t>
  </si>
  <si>
    <t>2.3</t>
  </si>
  <si>
    <t>Расстояние от границы системы теплоснабжения до границы ближайшего административного центра субъекта РФ с железнодорожным сообщением, км</t>
  </si>
  <si>
    <t>2.4</t>
  </si>
  <si>
    <t xml:space="preserve">Поселение, городской округ, на территории которого находится система теплоснабжения, отнесено к территории распространения вечномерзлых грунтов? </t>
  </si>
  <si>
    <t>2.5</t>
  </si>
  <si>
    <r>
      <t>Величина капитальных затрат на строительство тепловых сетей в i-м расчетном периоде регулирования, тыс. руб. (</t>
    </r>
    <r>
      <rPr>
        <b/>
        <sz val="11"/>
        <color theme="1"/>
        <rFont val="Tahoma"/>
        <family val="2"/>
        <charset val="204"/>
      </rPr>
      <t>КЗ</t>
    </r>
    <r>
      <rPr>
        <b/>
        <vertAlign val="subscript"/>
        <sz val="11"/>
        <color theme="1"/>
        <rFont val="Tahoma"/>
        <family val="2"/>
        <charset val="204"/>
      </rPr>
      <t>i</t>
    </r>
    <r>
      <rPr>
        <b/>
        <vertAlign val="superscript"/>
        <sz val="11"/>
        <color theme="1"/>
        <rFont val="Tahoma"/>
        <family val="2"/>
        <charset val="204"/>
      </rPr>
      <t>сети</t>
    </r>
    <r>
      <rPr>
        <sz val="10"/>
        <color theme="1"/>
        <rFont val="Tahoma"/>
        <family val="2"/>
        <charset val="204"/>
      </rPr>
      <t>)</t>
    </r>
  </si>
  <si>
    <t>2.5.1</t>
  </si>
  <si>
    <r>
      <t xml:space="preserve">Базовая величина капитальных затрат на строительство тепловых сетей в базовом (2019) году, тыс. руб. </t>
    </r>
    <r>
      <rPr>
        <sz val="11"/>
        <color theme="1"/>
        <rFont val="Tahoma"/>
        <family val="2"/>
        <charset val="204"/>
      </rPr>
      <t>(</t>
    </r>
    <r>
      <rPr>
        <b/>
        <sz val="11"/>
        <color theme="1"/>
        <rFont val="Tahoma"/>
        <family val="2"/>
        <charset val="204"/>
      </rPr>
      <t>КЗ</t>
    </r>
    <r>
      <rPr>
        <b/>
        <vertAlign val="subscript"/>
        <sz val="11"/>
        <color theme="1"/>
        <rFont val="Tahoma"/>
        <family val="2"/>
        <charset val="204"/>
      </rPr>
      <t>б</t>
    </r>
    <r>
      <rPr>
        <b/>
        <vertAlign val="superscript"/>
        <sz val="11"/>
        <color theme="1"/>
        <rFont val="Tahoma"/>
        <family val="2"/>
        <charset val="204"/>
      </rPr>
      <t>сети(б)</t>
    </r>
    <r>
      <rPr>
        <sz val="11"/>
        <color theme="1"/>
        <rFont val="Tahoma"/>
        <family val="2"/>
        <charset val="204"/>
      </rPr>
      <t>)</t>
    </r>
  </si>
  <si>
    <t>2.5.1.1</t>
  </si>
  <si>
    <t>Расчетная температура наружного воздуха, которая соответствует температуре воздуха наиболее холодной пятидневки, в поселении, городском округе,°C</t>
  </si>
  <si>
    <t>2.5.1.2</t>
  </si>
  <si>
    <t>Поселение, городской округ, на территории которого находится система теплоснабжения, отнесено к районам Крайнего Севера или местностям, приравненным к районам Крайнего Севера?</t>
  </si>
  <si>
    <t>2.5.1.3</t>
  </si>
  <si>
    <r>
      <t>Сметная стоимость строительно-монтажных и пусконаладочных работ по объекту строительства "Внешние инженерные сети теплоснабжения", учитывающая прямые затраты, накладные расходы и сметную прибыль, в ценах 2001 года,тыс. рублей (</t>
    </r>
    <r>
      <rPr>
        <b/>
        <i/>
        <sz val="10"/>
        <color indexed="8"/>
        <rFont val="Tahoma"/>
        <family val="2"/>
        <charset val="204"/>
      </rPr>
      <t>Р</t>
    </r>
    <r>
      <rPr>
        <i/>
        <sz val="10"/>
        <color indexed="8"/>
        <rFont val="Tahoma"/>
        <family val="2"/>
        <charset val="204"/>
      </rPr>
      <t>)</t>
    </r>
  </si>
  <si>
    <t>2.5.1.4</t>
  </si>
  <si>
    <r>
      <t>Индекс изменения сметной стоимости строительно-монтажных и пусконаладочных работ по объекту строительства "Внешние инженерные сети теплоснабжения" на базовый год (</t>
    </r>
    <r>
      <rPr>
        <b/>
        <i/>
        <sz val="10"/>
        <color theme="1"/>
        <rFont val="Tahoma"/>
        <family val="2"/>
        <charset val="204"/>
      </rPr>
      <t>И</t>
    </r>
    <r>
      <rPr>
        <i/>
        <sz val="10"/>
        <color theme="1"/>
        <rFont val="Tahoma"/>
        <family val="2"/>
        <charset val="204"/>
      </rPr>
      <t>)</t>
    </r>
  </si>
  <si>
    <t>2.5.1.5</t>
  </si>
  <si>
    <r>
      <t>Коэффициент, применяемый для учета повышенной нормы накладных расходов к индексам изменения сметной стоимости строительно-монтажных и пусконаладочных работ в базовом году в случае отнесения поселения, городского округа к районам Крайнего Севера или местностям, приравненным к районам Крайнего Севера (</t>
    </r>
    <r>
      <rPr>
        <b/>
        <sz val="10"/>
        <color theme="1"/>
        <rFont val="Tahoma"/>
        <family val="2"/>
        <charset val="204"/>
      </rPr>
      <t>К</t>
    </r>
    <r>
      <rPr>
        <b/>
        <vertAlign val="superscript"/>
        <sz val="10"/>
        <color theme="1"/>
        <rFont val="Tahoma"/>
        <family val="2"/>
        <charset val="204"/>
      </rPr>
      <t>кс</t>
    </r>
    <r>
      <rPr>
        <sz val="10"/>
        <color theme="1"/>
        <rFont val="Tahoma"/>
        <family val="2"/>
        <charset val="204"/>
      </rPr>
      <t>)</t>
    </r>
  </si>
  <si>
    <t>2.5.1.6</t>
  </si>
  <si>
    <r>
      <t>Базовая величина капитальных затрат на основные средства тепловых сетей в базовом году, тыс.рублей (</t>
    </r>
    <r>
      <rPr>
        <b/>
        <i/>
        <sz val="10"/>
        <color theme="1"/>
        <rFont val="Tahoma"/>
        <family val="2"/>
        <charset val="204"/>
      </rPr>
      <t>КЗО</t>
    </r>
    <r>
      <rPr>
        <b/>
        <i/>
        <vertAlign val="subscript"/>
        <sz val="10"/>
        <color theme="1"/>
        <rFont val="Tahoma"/>
        <family val="2"/>
        <charset val="204"/>
      </rPr>
      <t>б</t>
    </r>
    <r>
      <rPr>
        <b/>
        <i/>
        <vertAlign val="superscript"/>
        <sz val="10"/>
        <color theme="1"/>
        <rFont val="Tahoma"/>
        <family val="2"/>
        <charset val="204"/>
      </rPr>
      <t>сети(б)</t>
    </r>
    <r>
      <rPr>
        <i/>
        <sz val="10"/>
        <color theme="1"/>
        <rFont val="Tahoma"/>
        <family val="2"/>
        <charset val="204"/>
      </rPr>
      <t>)</t>
    </r>
  </si>
  <si>
    <t>2.5.1.7</t>
  </si>
  <si>
    <r>
      <t>Сметная норма дополнительных затрат по виду строительства "Энергетическое строительство. Тепловые сети",% (</t>
    </r>
    <r>
      <rPr>
        <b/>
        <sz val="10"/>
        <color theme="1"/>
        <rFont val="Tahoma"/>
        <family val="2"/>
        <charset val="204"/>
      </rPr>
      <t>z</t>
    </r>
    <r>
      <rPr>
        <sz val="10"/>
        <color theme="1"/>
        <rFont val="Tahoma"/>
        <family val="2"/>
        <charset val="204"/>
      </rPr>
      <t>)</t>
    </r>
  </si>
  <si>
    <t>2.5.1.8</t>
  </si>
  <si>
    <r>
      <t>Коэффициент к сметным нормам по видам строительства (</t>
    </r>
    <r>
      <rPr>
        <b/>
        <sz val="10"/>
        <color theme="1"/>
        <rFont val="Tahoma"/>
        <family val="2"/>
        <charset val="204"/>
      </rPr>
      <t>h</t>
    </r>
    <r>
      <rPr>
        <sz val="10"/>
        <color theme="1"/>
        <rFont val="Tahoma"/>
        <family val="2"/>
        <charset val="204"/>
      </rPr>
      <t>)</t>
    </r>
  </si>
  <si>
    <t>2.5.2</t>
  </si>
  <si>
    <r>
      <t>Коэффициент сейсмического влияния для тепловых сетей (</t>
    </r>
    <r>
      <rPr>
        <b/>
        <i/>
        <sz val="11"/>
        <color theme="1"/>
        <rFont val="Tahoma"/>
        <family val="2"/>
        <charset val="204"/>
      </rPr>
      <t>К</t>
    </r>
    <r>
      <rPr>
        <b/>
        <i/>
        <vertAlign val="superscript"/>
        <sz val="11"/>
        <color theme="1"/>
        <rFont val="Tahoma"/>
        <family val="2"/>
        <charset val="204"/>
      </rPr>
      <t>сети,с</t>
    </r>
    <r>
      <rPr>
        <i/>
        <sz val="10"/>
        <color theme="1"/>
        <rFont val="Tahoma"/>
        <family val="2"/>
        <charset val="204"/>
      </rPr>
      <t>)</t>
    </r>
  </si>
  <si>
    <t>2.6</t>
  </si>
  <si>
    <r>
      <t>Величина капитальных затрат на строительство котельной с использованием газа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</si>
  <si>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t>2.6.1</t>
  </si>
  <si>
    <r>
      <t>Базовая величина капитальных затрат на строительство котельной с использованием газа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</si>
  <si>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2.6.2</t>
  </si>
  <si>
    <r>
      <t>Коэффициент температурной зоны для котельной (</t>
    </r>
    <r>
      <rPr>
        <b/>
        <i/>
        <sz val="11"/>
        <color theme="1"/>
        <rFont val="Tahoma"/>
        <family val="2"/>
        <charset val="204"/>
      </rPr>
      <t>К</t>
    </r>
    <r>
      <rPr>
        <b/>
        <i/>
        <vertAlign val="superscript"/>
        <sz val="11"/>
        <color theme="1"/>
        <rFont val="Tahoma"/>
        <family val="2"/>
        <charset val="204"/>
      </rPr>
      <t>кот,т</t>
    </r>
    <r>
      <rPr>
        <i/>
        <sz val="10"/>
        <color theme="1"/>
        <rFont val="Tahoma"/>
        <family val="2"/>
        <charset val="204"/>
      </rPr>
      <t>)</t>
    </r>
  </si>
  <si>
    <t>2.6.3</t>
  </si>
  <si>
    <r>
      <t>Коэффициент сейсмического влияния для котельной(</t>
    </r>
    <r>
      <rPr>
        <b/>
        <i/>
        <sz val="11"/>
        <color theme="1"/>
        <rFont val="Tahoma"/>
        <family val="2"/>
        <charset val="204"/>
      </rPr>
      <t>К</t>
    </r>
    <r>
      <rPr>
        <b/>
        <i/>
        <vertAlign val="superscript"/>
        <sz val="11"/>
        <color theme="1"/>
        <rFont val="Tahoma"/>
        <family val="2"/>
        <charset val="204"/>
      </rPr>
      <t>кот,с</t>
    </r>
    <r>
      <rPr>
        <i/>
        <sz val="10"/>
        <color theme="1"/>
        <rFont val="Tahoma"/>
        <family val="2"/>
        <charset val="204"/>
      </rPr>
      <t>)</t>
    </r>
  </si>
  <si>
    <t>2.6.4</t>
  </si>
  <si>
    <r>
      <t>Коэффициент влияния расстояния на транспортировку основных средств котельной (</t>
    </r>
    <r>
      <rPr>
        <b/>
        <i/>
        <sz val="11"/>
        <color theme="1"/>
        <rFont val="Tahoma"/>
        <family val="2"/>
        <charset val="204"/>
      </rPr>
      <t>К</t>
    </r>
    <r>
      <rPr>
        <b/>
        <i/>
        <vertAlign val="subscript"/>
        <sz val="11"/>
        <color theme="1"/>
        <rFont val="Tahoma"/>
        <family val="2"/>
        <charset val="204"/>
      </rPr>
      <t>тр</t>
    </r>
    <r>
      <rPr>
        <i/>
        <sz val="10"/>
        <color theme="1"/>
        <rFont val="Tahoma"/>
        <family val="2"/>
        <charset val="204"/>
      </rPr>
      <t>)</t>
    </r>
  </si>
  <si>
    <t>2.6.5</t>
  </si>
  <si>
    <r>
      <t>Срок возврата инвестированного капитала, лет (</t>
    </r>
    <r>
      <rPr>
        <b/>
        <i/>
        <sz val="11"/>
        <color theme="1"/>
        <rFont val="Tahoma"/>
        <family val="2"/>
        <charset val="204"/>
      </rPr>
      <t>СВК</t>
    </r>
    <r>
      <rPr>
        <i/>
        <sz val="10"/>
        <color theme="1"/>
        <rFont val="Tahoma"/>
        <family val="2"/>
        <charset val="204"/>
      </rPr>
      <t>)</t>
    </r>
  </si>
  <si>
    <t>2.7</t>
  </si>
  <si>
    <r>
      <t>Стоимость земельного участка для размещения котельной в i-м расчетном периоде регулирования, тыс.руб. (</t>
    </r>
    <r>
      <rPr>
        <b/>
        <sz val="11"/>
        <color theme="1"/>
        <rFont val="Tahoma"/>
        <family val="2"/>
        <charset val="204"/>
      </rPr>
      <t>З</t>
    </r>
    <r>
      <rPr>
        <b/>
        <vertAlign val="subscript"/>
        <sz val="11"/>
        <color theme="1"/>
        <rFont val="Tahoma"/>
        <family val="2"/>
        <charset val="204"/>
      </rPr>
      <t>i,k</t>
    </r>
    <r>
      <rPr>
        <sz val="10"/>
        <color theme="1"/>
        <rFont val="Tahoma"/>
        <family val="2"/>
        <charset val="204"/>
      </rPr>
      <t>)</t>
    </r>
  </si>
  <si>
    <t>2.7.1</t>
  </si>
  <si>
    <r>
      <t>Удельная базовая стоимость земельного участка, 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</si>
  <si>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t>2.7.2</t>
  </si>
  <si>
    <r>
      <t>Площадь земельного участка для размещения котельной с использованием газа,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</si>
  <si>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t>2.8</t>
  </si>
  <si>
    <r>
      <t>Затраты на подключение (технологическое присоединение) котельной с использованием газа к электрическим сетям, к централизованной системе водоснабжения и водоотведения, к газораспределительным сетям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</si>
  <si>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t>2.8.1</t>
  </si>
  <si>
    <r>
      <t>Базовая величина затрат на подключение (технологическое присоединение) котельной с использованием газа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</si>
  <si>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t>2.8.2</t>
  </si>
  <si>
    <r>
      <t>Затраты на подключение (технологическое присоединение) котельной к централизованной системе водоснабжения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вс</t>
    </r>
    <r>
      <rPr>
        <sz val="10"/>
        <color theme="1"/>
        <rFont val="Tahoma"/>
        <family val="2"/>
        <charset val="204"/>
      </rPr>
      <t>)</t>
    </r>
  </si>
  <si>
    <t>2.8.2.1</t>
  </si>
  <si>
    <t>Гарантирующая организация в сфере холодного водоснабжения, обеспечивающая максимальный объем отпуска воды в поселении, городском округе, на территории которого находится система теплоснабжения</t>
  </si>
  <si>
    <t>2.8.2.2</t>
  </si>
  <si>
    <t>Величина подключаемой (технологически присоединяемой) нагрузки к централизованной системе водоснабжения, куб. м/сут</t>
  </si>
  <si>
    <t>2.8.2.3</t>
  </si>
  <si>
    <t>Протяженность сетей от котельной до места подключения к централизованной системе водоснабжения и водоотведения, м</t>
  </si>
  <si>
    <t>2.8.2.4</t>
  </si>
  <si>
    <t>Ставка тарифа за подключаемую (технологически присоединяемую) нагрузку водопроводной сети, действующая на день окончания базового (2019) года, без НДС, руб./куб. м/сут</t>
  </si>
  <si>
    <t>2.8.2.5</t>
  </si>
  <si>
    <t>Ставка тарифа за расстояние от точки подключения (технологического присоединения) котельной до точки подключения водопроводных сетей к централизованной системе водоснабжения, действующих на день окончания базового (2019) года, без НДС, руб./м</t>
  </si>
  <si>
    <t>2.8.3</t>
  </si>
  <si>
    <r>
      <t>Затраты на подключение (технологическое присоединение) котельной к централизованной системе водоотведения в базовом (2019) году, тыс. руб. (</t>
    </r>
    <r>
      <rPr>
        <b/>
        <sz val="11"/>
        <color theme="1"/>
        <rFont val="Tahoma"/>
        <family val="2"/>
        <charset val="204"/>
      </rPr>
      <t>ТП</t>
    </r>
    <r>
      <rPr>
        <b/>
        <vertAlign val="subscript"/>
        <sz val="11"/>
        <color theme="1"/>
        <rFont val="Tahoma"/>
        <family val="2"/>
        <charset val="204"/>
      </rPr>
      <t>б</t>
    </r>
    <r>
      <rPr>
        <b/>
        <vertAlign val="superscript"/>
        <sz val="11"/>
        <color theme="1"/>
        <rFont val="Tahoma"/>
        <family val="2"/>
        <charset val="204"/>
      </rPr>
      <t>во</t>
    </r>
    <r>
      <rPr>
        <sz val="10"/>
        <color theme="1"/>
        <rFont val="Tahoma"/>
        <family val="2"/>
        <charset val="204"/>
      </rPr>
      <t>)</t>
    </r>
  </si>
  <si>
    <t>2.8.3.1</t>
  </si>
  <si>
    <t>Гарантирующая организация в сфере холодного водоотведения, обеспечивающая максимальный объем принятых сточных вод в поселении, городском округе, на территории которого находится система теплоснабжения</t>
  </si>
  <si>
    <t>2.8.3.2</t>
  </si>
  <si>
    <t>Величина подключаемой (технологически присоединяемой) нагрузки к централизованной системе водоотведения, куб. м/сут</t>
  </si>
  <si>
    <t>2.8.3.3</t>
  </si>
  <si>
    <t>2.8.3.4</t>
  </si>
  <si>
    <t>Ставка тарифа за подключаемую (технологически присоединяемую) нагрузку канализационной сети, действующая на день окончания базового (2019) года, без НДС, руб./куб. м/сут</t>
  </si>
  <si>
    <t>2.8.3.5</t>
  </si>
  <si>
    <t>Ставка тарифа за расстояние от точки подключения (технологического присоединения) котельной до точки подключения канализационных сетей к централизованной системе водоотведения, действующая на день окончания базового (2019) года, без НДС, руб./м</t>
  </si>
  <si>
    <t>2.8.4</t>
  </si>
  <si>
    <r>
      <t>Базовая величина затрат на подключение (технологическое присоединение) к газораспределительным сетям, тыс. руб. (</t>
    </r>
    <r>
      <rPr>
        <b/>
        <i/>
        <sz val="11"/>
        <color theme="1"/>
        <rFont val="Tahoma"/>
        <family val="2"/>
        <charset val="204"/>
      </rPr>
      <t>ТП</t>
    </r>
    <r>
      <rPr>
        <b/>
        <i/>
        <vertAlign val="subscript"/>
        <sz val="11"/>
        <color theme="1"/>
        <rFont val="Tahoma"/>
        <family val="2"/>
        <charset val="204"/>
      </rPr>
      <t>б</t>
    </r>
    <r>
      <rPr>
        <b/>
        <i/>
        <vertAlign val="superscript"/>
        <sz val="11"/>
        <color theme="1"/>
        <rFont val="Tahoma"/>
        <family val="2"/>
        <charset val="204"/>
      </rPr>
      <t>гс</t>
    </r>
    <r>
      <rPr>
        <i/>
        <sz val="10"/>
        <color theme="1"/>
        <rFont val="Tahoma"/>
        <family val="2"/>
        <charset val="204"/>
      </rPr>
      <t>)</t>
    </r>
  </si>
  <si>
    <t>2.9</t>
  </si>
  <si>
    <r>
      <t>Норма доходности инвестированного капитала в i-м расчетном периоде регулирования, % (</t>
    </r>
    <r>
      <rPr>
        <b/>
        <sz val="11"/>
        <color theme="1"/>
        <rFont val="Tahoma"/>
        <family val="2"/>
        <charset val="204"/>
      </rPr>
      <t>НД</t>
    </r>
    <r>
      <rPr>
        <b/>
        <vertAlign val="subscript"/>
        <sz val="11"/>
        <color theme="1"/>
        <rFont val="Tahoma"/>
        <family val="2"/>
        <charset val="204"/>
      </rPr>
      <t>i</t>
    </r>
    <r>
      <rPr>
        <sz val="10"/>
        <color theme="1"/>
        <rFont val="Tahoma"/>
        <family val="2"/>
        <charset val="204"/>
      </rPr>
      <t>)</t>
    </r>
  </si>
  <si>
    <t>2.9.1</t>
  </si>
  <si>
    <r>
      <t>Средневзвешенная по дням 9 месяцев (i-1)-го расчетного периода регулирования ключевая ставка Центрального банка Российской Федерации, % (</t>
    </r>
    <r>
      <rPr>
        <b/>
        <sz val="11"/>
        <color theme="1"/>
        <rFont val="Tahoma"/>
        <family val="2"/>
        <charset val="204"/>
      </rPr>
      <t>КС</t>
    </r>
    <r>
      <rPr>
        <b/>
        <vertAlign val="subscript"/>
        <sz val="11"/>
        <color theme="1"/>
        <rFont val="Tahoma"/>
        <family val="2"/>
        <charset val="204"/>
      </rPr>
      <t>i-1</t>
    </r>
    <r>
      <rPr>
        <sz val="10"/>
        <color theme="1"/>
        <rFont val="Tahoma"/>
        <family val="2"/>
        <charset val="204"/>
      </rPr>
      <t>)</t>
    </r>
  </si>
  <si>
    <t>2.9.2</t>
  </si>
  <si>
    <r>
      <t>Базовый уровень нормы доходности инвестированного капитала,% (</t>
    </r>
    <r>
      <rPr>
        <b/>
        <i/>
        <sz val="11"/>
        <color theme="1"/>
        <rFont val="Tahoma"/>
        <family val="2"/>
        <charset val="204"/>
      </rPr>
      <t>НД</t>
    </r>
    <r>
      <rPr>
        <b/>
        <i/>
        <vertAlign val="subscript"/>
        <sz val="11"/>
        <color theme="1"/>
        <rFont val="Tahoma"/>
        <family val="2"/>
        <charset val="204"/>
      </rPr>
      <t>б</t>
    </r>
    <r>
      <rPr>
        <i/>
        <sz val="10"/>
        <color theme="1"/>
        <rFont val="Tahoma"/>
        <family val="2"/>
        <charset val="204"/>
      </rPr>
      <t>)</t>
    </r>
  </si>
  <si>
    <t>2.9.3</t>
  </si>
  <si>
    <r>
      <t>Базовый уровень ключевой ставки Центрального банка Российской Федерации, % (</t>
    </r>
    <r>
      <rPr>
        <b/>
        <i/>
        <sz val="11"/>
        <color theme="1"/>
        <rFont val="Tahoma"/>
        <family val="2"/>
        <charset val="204"/>
      </rPr>
      <t>КС</t>
    </r>
    <r>
      <rPr>
        <b/>
        <i/>
        <vertAlign val="subscript"/>
        <sz val="11"/>
        <color theme="1"/>
        <rFont val="Tahoma"/>
        <family val="2"/>
        <charset val="204"/>
      </rPr>
      <t>б</t>
    </r>
    <r>
      <rPr>
        <i/>
        <sz val="10"/>
        <color theme="1"/>
        <rFont val="Tahoma"/>
        <family val="2"/>
        <charset val="204"/>
      </rPr>
      <t>)</t>
    </r>
  </si>
  <si>
    <t>3</t>
  </si>
  <si>
    <t>Параметры, использованные при расчете составляющей предельного уровня цены на тепловую энергию (мощность), обеспечивающей компенсацию расходов на уплату налогов в i-м расчетном периоде регулирования</t>
  </si>
  <si>
    <t>3.1</t>
  </si>
  <si>
    <r>
      <t>Расходы на уплату налога на прибыль от деятельности, связанной с производством и поставкой тепловой энергии (мощности),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</si>
  <si>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3.1.1</t>
  </si>
  <si>
    <r>
      <t>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п</t>
    </r>
    <r>
      <rPr>
        <sz val="10"/>
        <color theme="1"/>
        <rFont val="Tahoma"/>
        <family val="2"/>
        <charset val="204"/>
      </rPr>
      <t>)</t>
    </r>
  </si>
  <si>
    <t>3.1.2</t>
  </si>
  <si>
    <r>
      <t>Период амортизации котельной и тепловых сетей, лет (</t>
    </r>
    <r>
      <rPr>
        <b/>
        <i/>
        <sz val="11"/>
        <color theme="1"/>
        <rFont val="Tahoma"/>
        <family val="2"/>
        <charset val="204"/>
      </rPr>
      <t>ПА</t>
    </r>
    <r>
      <rPr>
        <i/>
        <sz val="10"/>
        <color theme="1"/>
        <rFont val="Tahoma"/>
        <family val="2"/>
        <charset val="204"/>
      </rPr>
      <t>)</t>
    </r>
  </si>
  <si>
    <t>3.2</t>
  </si>
  <si>
    <r>
      <t>Расходы на уплату налога на имущество в i-м расчетном периоде регулирования, тыс. руб. (</t>
    </r>
    <r>
      <rPr>
        <b/>
        <sz val="11"/>
        <color theme="1"/>
        <rFont val="Tahoma"/>
        <family val="2"/>
        <charset val="204"/>
      </rPr>
      <t>Н</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</si>
  <si>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3.2.1</t>
  </si>
  <si>
    <r>
      <t>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им</t>
    </r>
    <r>
      <rPr>
        <sz val="10"/>
        <color theme="1"/>
        <rFont val="Tahoma"/>
        <family val="2"/>
        <charset val="204"/>
      </rPr>
      <t>)</t>
    </r>
  </si>
  <si>
    <t>3.2.2</t>
  </si>
  <si>
    <t>3.3</t>
  </si>
  <si>
    <r>
      <t>Расходы на уплату земельного налога в i-м расчетном периоде регулирования, тыс. руб. (</t>
    </r>
    <r>
      <rPr>
        <b/>
        <sz val="11"/>
        <color indexed="8"/>
        <rFont val="Tahoma"/>
        <family val="2"/>
        <charset val="204"/>
      </rPr>
      <t>Н</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</si>
  <si>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3.3.1</t>
  </si>
  <si>
    <r>
      <t>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i-м расчетном периоде регулирования, % (</t>
    </r>
    <r>
      <rPr>
        <b/>
        <sz val="11"/>
        <color theme="1"/>
        <rFont val="Tahoma"/>
        <family val="2"/>
        <charset val="204"/>
      </rPr>
      <t>t</t>
    </r>
    <r>
      <rPr>
        <b/>
        <vertAlign val="subscript"/>
        <sz val="11"/>
        <color theme="1"/>
        <rFont val="Tahoma"/>
        <family val="2"/>
        <charset val="204"/>
      </rPr>
      <t>i</t>
    </r>
    <r>
      <rPr>
        <b/>
        <vertAlign val="superscript"/>
        <sz val="11"/>
        <color theme="1"/>
        <rFont val="Tahoma"/>
        <family val="2"/>
        <charset val="204"/>
      </rPr>
      <t>з</t>
    </r>
    <r>
      <rPr>
        <sz val="10"/>
        <color theme="1"/>
        <rFont val="Tahoma"/>
        <family val="2"/>
        <charset val="204"/>
      </rPr>
      <t>)</t>
    </r>
  </si>
  <si>
    <t>3.3.2</t>
  </si>
  <si>
    <t>4</t>
  </si>
  <si>
    <t>Параметры, использованные при расчете составляющей предельного уровня цены на тепловую энергию (мощность), обеспечивающей компенсацию прочих расходов при производстве тепловой энергии котельной в i-м расчетном периоде регулирования</t>
  </si>
  <si>
    <t>4.1</t>
  </si>
  <si>
    <r>
      <t>Расходы на техническое обслуживание и ремонт основных средств котельной с использованием газа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</si>
  <si>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t>4.1.1</t>
  </si>
  <si>
    <r>
      <t>Базовая величина капитальных затрат на основные средства котельной с использованием газа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</si>
  <si>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t>4.1.2</t>
  </si>
  <si>
    <r>
      <t>Коэффициент расходов на техническое обслуживание и ремонт основных средств котельной (</t>
    </r>
    <r>
      <rPr>
        <b/>
        <i/>
        <sz val="11"/>
        <color theme="1"/>
        <rFont val="Tahoma"/>
        <family val="2"/>
        <charset val="204"/>
      </rPr>
      <t>К</t>
    </r>
    <r>
      <rPr>
        <b/>
        <i/>
        <vertAlign val="subscript"/>
        <sz val="11"/>
        <color theme="1"/>
        <rFont val="Tahoma"/>
        <family val="2"/>
        <charset val="204"/>
      </rPr>
      <t>k</t>
    </r>
    <r>
      <rPr>
        <b/>
        <i/>
        <vertAlign val="superscript"/>
        <sz val="11"/>
        <color theme="1"/>
        <rFont val="Tahoma"/>
        <family val="2"/>
        <charset val="204"/>
      </rPr>
      <t>кот, ТО</t>
    </r>
    <r>
      <rPr>
        <i/>
        <sz val="10"/>
        <color theme="1"/>
        <rFont val="Tahoma"/>
        <family val="2"/>
        <charset val="204"/>
      </rPr>
      <t>)</t>
    </r>
  </si>
  <si>
    <t>4.1.3</t>
  </si>
  <si>
    <r>
      <t>Базовая величина капитальных затрат на основные средства тепловых сетей в базовом году, тыс. руб. (</t>
    </r>
    <r>
      <rPr>
        <b/>
        <i/>
        <sz val="11"/>
        <color theme="1"/>
        <rFont val="Tahoma"/>
        <family val="2"/>
        <charset val="204"/>
      </rPr>
      <t>КЗО</t>
    </r>
    <r>
      <rPr>
        <b/>
        <i/>
        <vertAlign val="subscript"/>
        <sz val="11"/>
        <color theme="1"/>
        <rFont val="Tahoma"/>
        <family val="2"/>
        <charset val="204"/>
      </rPr>
      <t>б</t>
    </r>
    <r>
      <rPr>
        <b/>
        <i/>
        <vertAlign val="superscript"/>
        <sz val="11"/>
        <color theme="1"/>
        <rFont val="Tahoma"/>
        <family val="2"/>
        <charset val="204"/>
      </rPr>
      <t>сети(б)</t>
    </r>
    <r>
      <rPr>
        <i/>
        <sz val="10"/>
        <color theme="1"/>
        <rFont val="Tahoma"/>
        <family val="2"/>
        <charset val="204"/>
      </rPr>
      <t>)</t>
    </r>
  </si>
  <si>
    <t>4.1.4</t>
  </si>
  <si>
    <r>
      <t>Коэффициент расходов на техническое обслуживание и ремонт основных средств тепловых сетей (</t>
    </r>
    <r>
      <rPr>
        <b/>
        <i/>
        <sz val="11"/>
        <color theme="1"/>
        <rFont val="Tahoma"/>
        <family val="2"/>
        <charset val="204"/>
      </rPr>
      <t>К</t>
    </r>
    <r>
      <rPr>
        <b/>
        <i/>
        <vertAlign val="superscript"/>
        <sz val="11"/>
        <color theme="1"/>
        <rFont val="Tahoma"/>
        <family val="2"/>
        <charset val="204"/>
      </rPr>
      <t>сети, ТО</t>
    </r>
    <r>
      <rPr>
        <i/>
        <sz val="10"/>
        <color theme="1"/>
        <rFont val="Tahoma"/>
        <family val="2"/>
        <charset val="204"/>
      </rPr>
      <t>)</t>
    </r>
  </si>
  <si>
    <t>4.2</t>
  </si>
  <si>
    <r>
      <t>Расходы на электрическую энергию на собственные нужды котельной с использованием газа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</si>
  <si>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t>4.2.1</t>
  </si>
  <si>
    <t>Наименование гарантирующего поставщика</t>
  </si>
  <si>
    <t>4.2.2</t>
  </si>
  <si>
    <r>
      <t>Среднеарифметическая величина из значений цен (тарифов) на электрическую энергию (мощность), поставляемую покупателям на розничном рынке, функционирующем в поселении или городском округе, на территории которого находится система теплоснабжения, в базовом (2019) году для категории потребителей, установленной технико-экономическими параметрами работы котельных и тепловых сетей, без НДС, руб./кВтч (</t>
    </r>
    <r>
      <rPr>
        <b/>
        <sz val="11"/>
        <color theme="1"/>
        <rFont val="Tahoma"/>
        <family val="2"/>
        <charset val="204"/>
      </rPr>
      <t>ЦЭ</t>
    </r>
    <r>
      <rPr>
        <b/>
        <vertAlign val="subscript"/>
        <sz val="11"/>
        <color theme="1"/>
        <rFont val="Tahoma"/>
        <family val="2"/>
        <charset val="204"/>
      </rPr>
      <t>б</t>
    </r>
    <r>
      <rPr>
        <sz val="10"/>
        <color theme="1"/>
        <rFont val="Tahoma"/>
        <family val="2"/>
        <charset val="204"/>
      </rPr>
      <t>)</t>
    </r>
  </si>
  <si>
    <t>4.2.3</t>
  </si>
  <si>
    <r>
      <t>Общая максимальная мощность энергопринимающих устройств котельной с использованием газа,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</si>
  <si>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t>4.2.4</t>
  </si>
  <si>
    <r>
      <t>Продолжительность годовой работы оборудования котельной с учетом коэффициента готовности, ч (</t>
    </r>
    <r>
      <rPr>
        <b/>
        <sz val="11"/>
        <color theme="1"/>
        <rFont val="Tahoma"/>
        <family val="2"/>
        <charset val="204"/>
      </rPr>
      <t>ГР</t>
    </r>
    <r>
      <rPr>
        <sz val="10"/>
        <color theme="1"/>
        <rFont val="Tahoma"/>
        <family val="2"/>
        <charset val="204"/>
      </rPr>
      <t>)</t>
    </r>
  </si>
  <si>
    <t>4.2.5</t>
  </si>
  <si>
    <r>
      <t>Коэффициент использования установленной тепловой мощности котельной (</t>
    </r>
    <r>
      <rPr>
        <b/>
        <i/>
        <sz val="11"/>
        <color theme="1"/>
        <rFont val="Tahoma"/>
        <family val="2"/>
        <charset val="204"/>
      </rPr>
      <t>КИУМ</t>
    </r>
    <r>
      <rPr>
        <i/>
        <sz val="10"/>
        <color theme="1"/>
        <rFont val="Tahoma"/>
        <family val="2"/>
        <charset val="204"/>
      </rPr>
      <t>)</t>
    </r>
  </si>
  <si>
    <t>4.3</t>
  </si>
  <si>
    <r>
      <t>Расходы на водоподготовку и водоотведение котельной в базовом (2019) году, тыс. руб. (</t>
    </r>
    <r>
      <rPr>
        <b/>
        <sz val="11"/>
        <color theme="1"/>
        <rFont val="Tahoma"/>
        <family val="2"/>
        <charset val="204"/>
      </rPr>
      <t>РВ</t>
    </r>
    <r>
      <rPr>
        <b/>
        <vertAlign val="subscript"/>
        <sz val="11"/>
        <color theme="1"/>
        <rFont val="Tahoma"/>
        <family val="2"/>
        <charset val="204"/>
      </rPr>
      <t>б</t>
    </r>
    <r>
      <rPr>
        <sz val="10"/>
        <color theme="1"/>
        <rFont val="Tahoma"/>
        <family val="2"/>
        <charset val="204"/>
      </rPr>
      <t>)</t>
    </r>
  </si>
  <si>
    <t>4.3.1</t>
  </si>
  <si>
    <t>4.3.2</t>
  </si>
  <si>
    <t>Тариф на питьевую воду (питьевое водоснабжение), действующий на день окончания базового (2019) года, без НДС, руб./куб. м</t>
  </si>
  <si>
    <t>4.3.3</t>
  </si>
  <si>
    <t>4.3.4</t>
  </si>
  <si>
    <t>Тариф на водоотведение, действующий на день окончания базового (2019) года, без НДС, руб./куб. м</t>
  </si>
  <si>
    <t>4.3.5</t>
  </si>
  <si>
    <t>Расход воды на водоподготовку, куб.м/год</t>
  </si>
  <si>
    <t>4.3.6</t>
  </si>
  <si>
    <t>Расход воды на собственные нужды котельной, куб.м/год</t>
  </si>
  <si>
    <t>4.3.7</t>
  </si>
  <si>
    <t>Объем водоотведения, куб.м/год</t>
  </si>
  <si>
    <t>4.4</t>
  </si>
  <si>
    <r>
      <t>Расходы на оплату труда персонала котельной с использованием газа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</si>
  <si>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4.4.1</t>
  </si>
  <si>
    <t>Заработная плата сотрудников котельной, производящей тепловую энергию с использованием газа, в базовом (2019) году, тыс. руб.</t>
  </si>
  <si>
    <t>4.4.2</t>
  </si>
  <si>
    <r>
      <t>Расходы на уплату в базовом (2019) году страховых взносов по персоналу котельной, определяемые в соответствии с требованиями законодательства Российской Федерации о страховых взносах исходя из расходов на оплату труда персонала котельной, тыс. руб. (</t>
    </r>
    <r>
      <rPr>
        <b/>
        <sz val="11"/>
        <color theme="1"/>
        <rFont val="Tahoma"/>
        <family val="2"/>
        <charset val="204"/>
      </rPr>
      <t>Р</t>
    </r>
    <r>
      <rPr>
        <b/>
        <vertAlign val="subscript"/>
        <sz val="11"/>
        <color theme="1"/>
        <rFont val="Tahoma"/>
        <family val="2"/>
        <charset val="204"/>
      </rPr>
      <t>б,k</t>
    </r>
    <r>
      <rPr>
        <b/>
        <vertAlign val="superscript"/>
        <sz val="11"/>
        <color theme="1"/>
        <rFont val="Tahoma"/>
        <family val="2"/>
        <charset val="204"/>
      </rPr>
      <t>СВ</t>
    </r>
    <r>
      <rPr>
        <sz val="10"/>
        <color theme="1"/>
        <rFont val="Tahoma"/>
        <family val="2"/>
        <charset val="204"/>
      </rPr>
      <t>)</t>
    </r>
  </si>
  <si>
    <t>4.5</t>
  </si>
  <si>
    <r>
      <t>Иные прочие расходы при производстве тепловой энергии котельной в i-м расчетном периоде регулирования, тыс. руб. (</t>
    </r>
    <r>
      <rPr>
        <b/>
        <sz val="11"/>
        <color theme="1"/>
        <rFont val="Tahoma"/>
        <family val="2"/>
        <charset val="204"/>
      </rPr>
      <t>ПР</t>
    </r>
    <r>
      <rPr>
        <b/>
        <vertAlign val="subscript"/>
        <sz val="11"/>
        <color theme="1"/>
        <rFont val="Tahoma"/>
        <family val="2"/>
        <charset val="204"/>
      </rPr>
      <t>i</t>
    </r>
    <r>
      <rPr>
        <b/>
        <vertAlign val="superscript"/>
        <sz val="11"/>
        <color theme="1"/>
        <rFont val="Tahoma"/>
        <family val="2"/>
        <charset val="204"/>
      </rPr>
      <t>иные</t>
    </r>
    <r>
      <rPr>
        <sz val="11"/>
        <color theme="1"/>
        <rFont val="Tahoma"/>
        <family val="2"/>
        <charset val="204"/>
      </rPr>
      <t>)</t>
    </r>
  </si>
  <si>
    <t>5</t>
  </si>
  <si>
    <t>Параметры, использованные при расчете составляющей предельного уровня цены на тепловую энергию (мощность), обеспечивающей создание резерва по сомнительным долгам в i-м расчетном периоде регулирования</t>
  </si>
  <si>
    <t>5.1</t>
  </si>
  <si>
    <r>
      <t>Коэффициент, отражающий размер резерва по сомнительным долгам (</t>
    </r>
    <r>
      <rPr>
        <b/>
        <sz val="11"/>
        <color theme="1"/>
        <rFont val="Tahoma"/>
        <family val="2"/>
        <charset val="204"/>
      </rPr>
      <t>k</t>
    </r>
    <r>
      <rPr>
        <b/>
        <vertAlign val="superscript"/>
        <sz val="11"/>
        <color theme="1"/>
        <rFont val="Tahoma"/>
        <family val="2"/>
        <charset val="204"/>
      </rPr>
      <t>РД</t>
    </r>
    <r>
      <rPr>
        <sz val="10"/>
        <color theme="1"/>
        <rFont val="Tahoma"/>
        <family val="2"/>
        <charset val="204"/>
      </rPr>
      <t>)</t>
    </r>
  </si>
  <si>
    <t>6</t>
  </si>
  <si>
    <t>Параметры, использованные при расчете составляющей предельного уровня цены на тепловую энергию (мощность), обеспечивающей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t>
  </si>
  <si>
    <t>6.1</t>
  </si>
  <si>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топливо при производстве тепловой энергии котельной в (i-2)-м расчетном периоде регулирования, определяемой в  i-м расчетном периоде регулирования, руб./Гкал </t>
    </r>
    <r>
      <rPr>
        <sz val="11"/>
        <color theme="1"/>
        <rFont val="Tahoma"/>
        <family val="2"/>
        <charset val="204"/>
      </rPr>
      <t>(</t>
    </r>
    <r>
      <rPr>
        <b/>
        <sz val="11"/>
        <color theme="1"/>
        <rFont val="Tahoma"/>
        <family val="2"/>
        <charset val="204"/>
      </rPr>
      <t>ΔPT</t>
    </r>
    <r>
      <rPr>
        <b/>
        <vertAlign val="subscript"/>
        <sz val="11"/>
        <color theme="1"/>
        <rFont val="Tahoma"/>
        <family val="2"/>
        <charset val="204"/>
      </rPr>
      <t>i-2</t>
    </r>
    <r>
      <rPr>
        <sz val="11"/>
        <color theme="1"/>
        <rFont val="Tahoma"/>
        <family val="2"/>
        <charset val="204"/>
      </rPr>
      <t>)</t>
    </r>
  </si>
  <si>
    <t>6.1.1</t>
  </si>
  <si>
    <r>
      <t>Фактическая цена на k-й вид топлива, используемый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руб./т н. т. (руб./тыс. куб. м)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</si>
  <si>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t>6.2</t>
  </si>
  <si>
    <r>
      <t>Составляющая предельного уровня цены на тепловую энергию (мощность), обеспечивающая учет отклонений фактических показателей от прогнозных показателей при расчете составляющей предельного уровня цены на тепловую энергию (мощность), обеспечивающей компенсацию расходов на уплату налогов  в (i-2)-м расчетном периоде регулирования, определяемой в  i-м расчетном периоде регулирования, руб./Гкал (</t>
    </r>
    <r>
      <rPr>
        <b/>
        <sz val="11"/>
        <color theme="1"/>
        <rFont val="Tahoma"/>
        <family val="2"/>
        <charset val="204"/>
      </rPr>
      <t>ΔH</t>
    </r>
    <r>
      <rPr>
        <b/>
        <vertAlign val="subscript"/>
        <sz val="11"/>
        <color theme="1"/>
        <rFont val="Tahoma"/>
        <family val="2"/>
        <charset val="204"/>
      </rPr>
      <t>i-2</t>
    </r>
    <r>
      <rPr>
        <sz val="10"/>
        <color theme="1"/>
        <rFont val="Tahoma"/>
        <family val="2"/>
        <charset val="204"/>
      </rPr>
      <t>)</t>
    </r>
  </si>
  <si>
    <t>6.2.1</t>
  </si>
  <si>
    <r>
      <t>Фактическая ставка налога на прибыль от деятельности, связанной с производством и поставкой тепловой энергии (мощности), установленная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п</t>
    </r>
    <r>
      <rPr>
        <sz val="10"/>
        <color theme="1"/>
        <rFont val="Tahoma"/>
        <family val="2"/>
        <charset val="204"/>
      </rPr>
      <t>)</t>
    </r>
  </si>
  <si>
    <t>6.2.2</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</si>
  <si>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</si>
  <si>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t>6.2.3</t>
  </si>
  <si>
    <r>
      <t>Фактическая ставка земельного налога, установленная в соответствии с законодательством Российской Федерации о налогах и сборах и нормативными правовыми актами представительных органов муниципального образования, на территории которого находится система теплоснабжения,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з</t>
    </r>
    <r>
      <rPr>
        <sz val="10"/>
        <color theme="1"/>
        <rFont val="Tahoma"/>
        <family val="2"/>
        <charset val="204"/>
      </rPr>
      <t>)</t>
    </r>
  </si>
  <si>
    <t>7</t>
  </si>
  <si>
    <r>
      <t>Объем полезного отпуска тепловой энергии котельной,  тыс. Гкал (</t>
    </r>
    <r>
      <rPr>
        <b/>
        <sz val="11"/>
        <color theme="1"/>
        <rFont val="Tahoma"/>
        <family val="2"/>
        <charset val="204"/>
      </rPr>
      <t>Q</t>
    </r>
    <r>
      <rPr>
        <b/>
        <vertAlign val="superscript"/>
        <sz val="11"/>
        <color theme="1"/>
        <rFont val="Tahoma"/>
        <family val="2"/>
        <charset val="204"/>
      </rPr>
      <t>ПО</t>
    </r>
    <r>
      <rPr>
        <b/>
        <sz val="10"/>
        <color theme="1"/>
        <rFont val="Tahoma"/>
        <family val="2"/>
        <charset val="204"/>
      </rPr>
      <t>)</t>
    </r>
  </si>
  <si>
    <t>7.1</t>
  </si>
  <si>
    <r>
      <t>Установленная тепловая мощность котельной, Гкал/ч (</t>
    </r>
    <r>
      <rPr>
        <b/>
        <i/>
        <sz val="11"/>
        <color theme="1"/>
        <rFont val="Tahoma"/>
        <family val="2"/>
        <charset val="204"/>
      </rPr>
      <t>p</t>
    </r>
    <r>
      <rPr>
        <i/>
        <sz val="10"/>
        <color theme="1"/>
        <rFont val="Tahoma"/>
        <family val="2"/>
        <charset val="204"/>
      </rPr>
      <t>)</t>
    </r>
  </si>
  <si>
    <t>7.2</t>
  </si>
  <si>
    <r>
      <t>Коэффициент готовности, учитывающий продолжительность годовой работы оборудования (</t>
    </r>
    <r>
      <rPr>
        <b/>
        <i/>
        <sz val="11"/>
        <color theme="1"/>
        <rFont val="Tahoma"/>
        <family val="2"/>
        <charset val="204"/>
      </rPr>
      <t>К</t>
    </r>
    <r>
      <rPr>
        <b/>
        <i/>
        <vertAlign val="subscript"/>
        <sz val="11"/>
        <color theme="1"/>
        <rFont val="Tahoma"/>
        <family val="2"/>
        <charset val="204"/>
      </rPr>
      <t>r</t>
    </r>
    <r>
      <rPr>
        <i/>
        <sz val="10"/>
        <color theme="1"/>
        <rFont val="Tahoma"/>
        <family val="2"/>
        <charset val="204"/>
      </rPr>
      <t>)</t>
    </r>
  </si>
  <si>
    <t>7.3</t>
  </si>
  <si>
    <r>
      <t>Коэффициент использования установленной тепловой мощности котельной (</t>
    </r>
    <r>
      <rPr>
        <b/>
        <i/>
        <sz val="11"/>
        <rFont val="Tahoma"/>
        <family val="2"/>
        <charset val="204"/>
      </rPr>
      <t>КИУМ</t>
    </r>
    <r>
      <rPr>
        <i/>
        <sz val="10"/>
        <rFont val="Tahoma"/>
        <family val="2"/>
        <charset val="204"/>
      </rPr>
      <t>)</t>
    </r>
  </si>
  <si>
    <t>8</t>
  </si>
  <si>
    <r>
      <t>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</si>
  <si>
    <t>8.1</t>
  </si>
  <si>
    <r>
      <t>Индекс цен производителей промышленной продукции (в среднем за год к предыдущему году), % г/г (</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б+1</t>
    </r>
    <r>
      <rPr>
        <b/>
        <sz val="11"/>
        <color indexed="8"/>
        <rFont val="Tahoma"/>
        <family val="2"/>
        <charset val="204"/>
      </rPr>
      <t>, ИЦП</t>
    </r>
    <r>
      <rPr>
        <b/>
        <vertAlign val="superscript"/>
        <sz val="11"/>
        <color indexed="8"/>
        <rFont val="Tahoma"/>
        <family val="2"/>
        <charset val="204"/>
      </rPr>
      <t>п</t>
    </r>
    <r>
      <rPr>
        <b/>
        <vertAlign val="subscript"/>
        <sz val="11"/>
        <color indexed="8"/>
        <rFont val="Tahoma"/>
        <family val="2"/>
        <charset val="204"/>
      </rPr>
      <t>б+2</t>
    </r>
    <r>
      <rPr>
        <b/>
        <sz val="11"/>
        <color indexed="8"/>
        <rFont val="Tahoma"/>
        <family val="2"/>
        <charset val="204"/>
      </rPr>
      <t>,…,ИЦП</t>
    </r>
    <r>
      <rPr>
        <b/>
        <vertAlign val="superscript"/>
        <sz val="11"/>
        <color indexed="8"/>
        <rFont val="Tahoma"/>
        <family val="2"/>
        <charset val="204"/>
      </rPr>
      <t>п</t>
    </r>
    <r>
      <rPr>
        <b/>
        <vertAlign val="subscript"/>
        <sz val="11"/>
        <color indexed="8"/>
        <rFont val="Tahoma"/>
        <family val="2"/>
        <charset val="204"/>
      </rPr>
      <t>i</t>
    </r>
    <r>
      <rPr>
        <sz val="10"/>
        <color indexed="8"/>
        <rFont val="Tahoma"/>
        <family val="2"/>
        <charset val="204"/>
      </rPr>
      <t>)</t>
    </r>
  </si>
  <si>
    <t>Предельный уровень цены на тепловую энергию (мощность), рассчитанный в соответствии с частью 1 статьи 23.6 Федерального закона от 27.07.2010 № 190-ФЗ "О теплоснабжении" и Постановлением № 1562, а также сведения о параметрах, использованных при расчете</t>
  </si>
  <si>
    <r>
      <t>Составляющая предельного уровня цены на тепловую энергию (мощность), обеспечивающая компенсацию прочих расходов при производстве тепловой энергии котельной в i-м расчетном периоде регулирования, руб./Гкал (</t>
    </r>
    <r>
      <rPr>
        <b/>
        <sz val="11"/>
        <color theme="1"/>
        <rFont val="Tahoma"/>
        <family val="2"/>
        <charset val="204"/>
      </rPr>
      <t>ПР</t>
    </r>
    <r>
      <rPr>
        <b/>
        <vertAlign val="subscript"/>
        <sz val="11"/>
        <color theme="1"/>
        <rFont val="Tahoma"/>
        <family val="2"/>
        <charset val="204"/>
      </rPr>
      <t>i</t>
    </r>
    <r>
      <rPr>
        <sz val="10"/>
        <color theme="1"/>
        <rFont val="Tahoma"/>
        <family val="2"/>
        <charset val="204"/>
      </rPr>
      <t>)</t>
    </r>
  </si>
  <si>
    <r>
      <t>Составляющая предельного уровня цены на тепловую энергию (мощность), обеспечивающая создание резерва по сомнительным долгам в i-м расчетном периоде регулирования, руб./Гкал (</t>
    </r>
    <r>
      <rPr>
        <b/>
        <sz val="11"/>
        <color theme="1"/>
        <rFont val="Tahoma"/>
        <family val="2"/>
        <charset val="204"/>
      </rPr>
      <t>РД</t>
    </r>
    <r>
      <rPr>
        <b/>
        <vertAlign val="subscript"/>
        <sz val="11"/>
        <color theme="1"/>
        <rFont val="Tahoma"/>
        <family val="2"/>
        <charset val="204"/>
      </rPr>
      <t>i</t>
    </r>
    <r>
      <rPr>
        <sz val="10"/>
        <color theme="1"/>
        <rFont val="Tahoma"/>
        <family val="2"/>
        <charset val="204"/>
      </rPr>
      <t>)</t>
    </r>
  </si>
  <si>
    <r>
      <t xml:space="preserve">Составляющая предельного уровня цены на тепловую энергию (мощность), обеспечивающая учет отклонений фактических показателей от прогнозных показателей, используемых при расчете предельного уровня цены на тепловую энергию (мощность), в i-м расчетном периоде регулирования, руб./Гкал </t>
    </r>
    <r>
      <rPr>
        <sz val="10"/>
        <color theme="1"/>
        <rFont val="Tahoma"/>
        <family val="2"/>
        <charset val="204"/>
      </rPr>
      <t>(</t>
    </r>
    <r>
      <rPr>
        <b/>
        <sz val="11"/>
        <color theme="1"/>
        <rFont val="Calibri"/>
        <family val="2"/>
        <charset val="204"/>
      </rPr>
      <t>Δ</t>
    </r>
    <r>
      <rPr>
        <b/>
        <sz val="11"/>
        <color theme="1"/>
        <rFont val="Tahoma"/>
        <family val="2"/>
        <charset val="204"/>
      </rPr>
      <t>B</t>
    </r>
    <r>
      <rPr>
        <b/>
        <vertAlign val="subscript"/>
        <sz val="11"/>
        <color theme="1"/>
        <rFont val="Tahoma"/>
        <family val="2"/>
        <charset val="204"/>
      </rPr>
      <t>i</t>
    </r>
    <r>
      <rPr>
        <sz val="10"/>
        <color theme="1"/>
        <rFont val="Tahoma"/>
        <family val="2"/>
        <charset val="204"/>
      </rPr>
      <t>)</t>
    </r>
  </si>
  <si>
    <t>Низшая теплота сгорания натурального топлива (угля), ккал/кг</t>
  </si>
  <si>
    <r>
      <t>Фактическая цена на топливо (уголь), используемое при производстве тепловой энергии котельной, с учетом затрат на его доставку, сложившаяся в системе теплоснабжения в (i-2)-м расчетном периоде регулирования, без НДС, руб. / т н.т. (</t>
    </r>
    <r>
      <rPr>
        <b/>
        <sz val="11"/>
        <color theme="1"/>
        <rFont val="Tahoma"/>
        <family val="2"/>
        <charset val="204"/>
      </rPr>
      <t>ЦТ</t>
    </r>
    <r>
      <rPr>
        <b/>
        <vertAlign val="subscript"/>
        <sz val="11"/>
        <color theme="1"/>
        <rFont val="Tahoma"/>
        <family val="2"/>
        <charset val="204"/>
      </rPr>
      <t>i-2,k</t>
    </r>
    <r>
      <rPr>
        <b/>
        <vertAlign val="superscript"/>
        <sz val="11"/>
        <color theme="1"/>
        <rFont val="Tahoma"/>
        <family val="2"/>
        <charset val="204"/>
      </rPr>
      <t>ф, нат.</t>
    </r>
    <r>
      <rPr>
        <sz val="10"/>
        <color theme="1"/>
        <rFont val="Tahoma"/>
        <family val="2"/>
        <charset val="204"/>
      </rPr>
      <t>)</t>
    </r>
  </si>
  <si>
    <r>
      <t>Удельный расход условного топлива при производстве тепловой энергии котельной с использованием угля в i-м расчетном периоде регулирования, кг у.т./Гкал (</t>
    </r>
    <r>
      <rPr>
        <b/>
        <i/>
        <sz val="11"/>
        <color theme="1"/>
        <rFont val="Tahoma"/>
        <family val="2"/>
        <charset val="204"/>
      </rPr>
      <t>b</t>
    </r>
    <r>
      <rPr>
        <b/>
        <i/>
        <vertAlign val="subscript"/>
        <sz val="11"/>
        <color theme="1"/>
        <rFont val="Tahoma"/>
        <family val="2"/>
        <charset val="204"/>
      </rPr>
      <t>i,k</t>
    </r>
    <r>
      <rPr>
        <i/>
        <sz val="10"/>
        <color theme="1"/>
        <rFont val="Tahoma"/>
        <family val="2"/>
        <charset val="204"/>
      </rPr>
      <t>)</t>
    </r>
  </si>
  <si>
    <r>
      <t>Коэффициент перевода натурального топлива в условное топливо, кг у.т./кг (</t>
    </r>
    <r>
      <rPr>
        <b/>
        <sz val="11"/>
        <color theme="1"/>
        <rFont val="Tahoma"/>
        <family val="2"/>
        <charset val="204"/>
      </rPr>
      <t>К</t>
    </r>
    <r>
      <rPr>
        <sz val="10"/>
        <color theme="1"/>
        <rFont val="Tahoma"/>
        <family val="2"/>
        <charset val="204"/>
      </rPr>
      <t>)</t>
    </r>
  </si>
  <si>
    <t>Расстояние от границы системы теплоснабжения до границы ближайшего административного центра субъекта Российской Федерации с железнодорожным сообщением, км</t>
  </si>
  <si>
    <t>Поселение, городской округ, на территории которого находится система теплоснабжения, отнесено к территории распространения вечномерзлых грунтов?</t>
  </si>
  <si>
    <r>
      <t>Величина капитальных затрат на строительство котельной с использованием угля в i-м расчетном периоде регулирования, тыс. руб. (</t>
    </r>
    <r>
      <rPr>
        <b/>
        <sz val="11"/>
        <color theme="1"/>
        <rFont val="Tahoma"/>
        <family val="2"/>
        <charset val="204"/>
      </rPr>
      <t>КЗ</t>
    </r>
    <r>
      <rPr>
        <b/>
        <vertAlign val="subscript"/>
        <sz val="11"/>
        <color theme="1"/>
        <rFont val="Tahoma"/>
        <family val="2"/>
        <charset val="204"/>
      </rPr>
      <t>i,k</t>
    </r>
    <r>
      <rPr>
        <b/>
        <vertAlign val="superscript"/>
        <sz val="11"/>
        <color theme="1"/>
        <rFont val="Tahoma"/>
        <family val="2"/>
        <charset val="204"/>
      </rPr>
      <t>кот</t>
    </r>
    <r>
      <rPr>
        <sz val="10"/>
        <color theme="1"/>
        <rFont val="Tahoma"/>
        <family val="2"/>
        <charset val="204"/>
      </rPr>
      <t>)</t>
    </r>
  </si>
  <si>
    <r>
      <t>Базовая величина капитальных затрат на строительство котельной с использованием угля в базовом (2019) году (</t>
    </r>
    <r>
      <rPr>
        <b/>
        <i/>
        <sz val="11"/>
        <color theme="1"/>
        <rFont val="Tahoma"/>
        <family val="2"/>
        <charset val="204"/>
      </rPr>
      <t>КЗ</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</si>
  <si>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Удельная базовая стоимость земельного участка,тыс. руб./ кв. м (</t>
    </r>
    <r>
      <rPr>
        <b/>
        <sz val="11"/>
        <color theme="1"/>
        <rFont val="Tahoma"/>
        <family val="2"/>
        <charset val="204"/>
      </rPr>
      <t>Р</t>
    </r>
    <r>
      <rPr>
        <b/>
        <vertAlign val="subscript"/>
        <sz val="11"/>
        <color theme="1"/>
        <rFont val="Tahoma"/>
        <family val="2"/>
        <charset val="204"/>
      </rPr>
      <t>k,б</t>
    </r>
    <r>
      <rPr>
        <sz val="10"/>
        <color theme="1"/>
        <rFont val="Tahoma"/>
        <family val="2"/>
        <charset val="204"/>
      </rPr>
      <t>)</t>
    </r>
  </si>
  <si>
    <r>
      <t>Площадь земельного участка для размещения котельной с использованием угля, кв. м (</t>
    </r>
    <r>
      <rPr>
        <b/>
        <i/>
        <sz val="11"/>
        <color theme="1"/>
        <rFont val="Tahoma"/>
        <family val="2"/>
        <charset val="204"/>
      </rPr>
      <t>S</t>
    </r>
    <r>
      <rPr>
        <b/>
        <i/>
        <vertAlign val="subscript"/>
        <sz val="11"/>
        <color theme="1"/>
        <rFont val="Tahoma"/>
        <family val="2"/>
        <charset val="204"/>
      </rPr>
      <t>k</t>
    </r>
    <r>
      <rPr>
        <i/>
        <sz val="10"/>
        <color theme="1"/>
        <rFont val="Tahoma"/>
        <family val="2"/>
        <charset val="204"/>
      </rPr>
      <t>)</t>
    </r>
  </si>
  <si>
    <r>
      <t>Затраты на подключение (технологическое присоединение) котельной с использованием угля к электрическим сетям, к централизованной системе водоснабжения и водоотведения в i-м расчетном периоде регулирования, тыс. руб. (</t>
    </r>
    <r>
      <rPr>
        <b/>
        <sz val="11"/>
        <color theme="1"/>
        <rFont val="Tahoma"/>
        <family val="2"/>
        <charset val="204"/>
      </rPr>
      <t>ТП</t>
    </r>
    <r>
      <rPr>
        <b/>
        <vertAlign val="subscript"/>
        <sz val="11"/>
        <color theme="1"/>
        <rFont val="Tahoma"/>
        <family val="2"/>
        <charset val="204"/>
      </rPr>
      <t>i,k</t>
    </r>
    <r>
      <rPr>
        <sz val="10"/>
        <color theme="1"/>
        <rFont val="Tahoma"/>
        <family val="2"/>
        <charset val="204"/>
      </rPr>
      <t>)</t>
    </r>
  </si>
  <si>
    <r>
      <t>Базовая величина затрат на подключение (технологическое присоединение) котельной с использованием угля к электрическим сетям (</t>
    </r>
    <r>
      <rPr>
        <b/>
        <i/>
        <sz val="11"/>
        <color theme="1"/>
        <rFont val="Tahoma"/>
        <family val="2"/>
        <charset val="204"/>
      </rPr>
      <t>ТП</t>
    </r>
    <r>
      <rPr>
        <b/>
        <i/>
        <vertAlign val="subscript"/>
        <sz val="11"/>
        <color theme="1"/>
        <rFont val="Tahoma"/>
        <family val="2"/>
        <charset val="204"/>
      </rPr>
      <t>б,k</t>
    </r>
    <r>
      <rPr>
        <b/>
        <i/>
        <vertAlign val="superscript"/>
        <sz val="11"/>
        <color theme="1"/>
        <rFont val="Tahoma"/>
        <family val="2"/>
        <charset val="204"/>
      </rPr>
      <t>эс</t>
    </r>
    <r>
      <rPr>
        <i/>
        <sz val="10"/>
        <color theme="1"/>
        <rFont val="Tahoma"/>
        <family val="2"/>
        <charset val="204"/>
      </rPr>
      <t>)</t>
    </r>
  </si>
  <si>
    <r>
      <t>Стоимость земельного участка для размещения котельной в i-м расчетном периоде регулирования, тыс.руб. (</t>
    </r>
    <r>
      <rPr>
        <b/>
        <sz val="10"/>
        <color theme="1"/>
        <rFont val="Tahoma"/>
        <family val="2"/>
        <charset val="204"/>
      </rPr>
      <t>З</t>
    </r>
    <r>
      <rPr>
        <b/>
        <vertAlign val="subscript"/>
        <sz val="10"/>
        <color theme="1"/>
        <rFont val="Tahoma"/>
        <family val="2"/>
        <charset val="204"/>
      </rPr>
      <t>i,k</t>
    </r>
    <r>
      <rPr>
        <sz val="10"/>
        <color theme="1"/>
        <rFont val="Tahoma"/>
        <family val="2"/>
        <charset val="204"/>
      </rPr>
      <t>)</t>
    </r>
  </si>
  <si>
    <r>
      <t>Расходы на техническое обслуживание и ремонт основных средств котельной с использованием угля и тепловых сетей в базовом (2019) году, тыс. руб. (</t>
    </r>
    <r>
      <rPr>
        <b/>
        <sz val="11"/>
        <color theme="1"/>
        <rFont val="Tahoma"/>
        <family val="2"/>
        <charset val="204"/>
      </rPr>
      <t>ТО</t>
    </r>
    <r>
      <rPr>
        <b/>
        <vertAlign val="subscript"/>
        <sz val="11"/>
        <color theme="1"/>
        <rFont val="Tahoma"/>
        <family val="2"/>
        <charset val="204"/>
      </rPr>
      <t>б,k</t>
    </r>
    <r>
      <rPr>
        <sz val="10"/>
        <color theme="1"/>
        <rFont val="Tahoma"/>
        <family val="2"/>
        <charset val="204"/>
      </rPr>
      <t>)</t>
    </r>
  </si>
  <si>
    <r>
      <t>Базовая величина капитальных затрат на основные средства котельной с использованием угля в базовом году, тыс. руб. (</t>
    </r>
    <r>
      <rPr>
        <b/>
        <i/>
        <sz val="11"/>
        <color theme="1"/>
        <rFont val="Tahoma"/>
        <family val="2"/>
        <charset val="204"/>
      </rPr>
      <t>КЗО</t>
    </r>
    <r>
      <rPr>
        <b/>
        <i/>
        <vertAlign val="subscript"/>
        <sz val="11"/>
        <color theme="1"/>
        <rFont val="Tahoma"/>
        <family val="2"/>
        <charset val="204"/>
      </rPr>
      <t>б,k</t>
    </r>
    <r>
      <rPr>
        <b/>
        <i/>
        <vertAlign val="superscript"/>
        <sz val="11"/>
        <color theme="1"/>
        <rFont val="Tahoma"/>
        <family val="2"/>
        <charset val="204"/>
      </rPr>
      <t>кот(б)</t>
    </r>
    <r>
      <rPr>
        <i/>
        <sz val="10"/>
        <color theme="1"/>
        <rFont val="Tahoma"/>
        <family val="2"/>
        <charset val="204"/>
      </rPr>
      <t>)</t>
    </r>
  </si>
  <si>
    <r>
      <t>Расходы на электрическую энергию на собственные нужды котельной с использованием угля в базовом (2019) году, тыс. руб. (</t>
    </r>
    <r>
      <rPr>
        <b/>
        <sz val="11"/>
        <color theme="1"/>
        <rFont val="Tahoma"/>
        <family val="2"/>
        <charset val="204"/>
      </rPr>
      <t>РЭ</t>
    </r>
    <r>
      <rPr>
        <b/>
        <vertAlign val="subscript"/>
        <sz val="11"/>
        <color theme="1"/>
        <rFont val="Tahoma"/>
        <family val="2"/>
        <charset val="204"/>
      </rPr>
      <t>б,k</t>
    </r>
    <r>
      <rPr>
        <sz val="10"/>
        <color theme="1"/>
        <rFont val="Tahoma"/>
        <family val="2"/>
        <charset val="204"/>
      </rPr>
      <t>)</t>
    </r>
  </si>
  <si>
    <r>
      <t>Общая максимальная мощность энергопринимающих устройств котельной с использованием угля, кВт (</t>
    </r>
    <r>
      <rPr>
        <b/>
        <i/>
        <sz val="11"/>
        <color theme="1"/>
        <rFont val="Tahoma"/>
        <family val="2"/>
        <charset val="204"/>
      </rPr>
      <t>Э</t>
    </r>
    <r>
      <rPr>
        <b/>
        <i/>
        <vertAlign val="subscript"/>
        <sz val="11"/>
        <color theme="1"/>
        <rFont val="Tahoma"/>
        <family val="2"/>
        <charset val="204"/>
      </rPr>
      <t>k</t>
    </r>
    <r>
      <rPr>
        <i/>
        <sz val="10"/>
        <color theme="1"/>
        <rFont val="Tahoma"/>
        <family val="2"/>
        <charset val="204"/>
      </rPr>
      <t>)</t>
    </r>
  </si>
  <si>
    <r>
      <t>Расходы на оплату труда персонала котельной с использованием угля в базовом (2019) году, тыс. руб. (</t>
    </r>
    <r>
      <rPr>
        <b/>
        <sz val="11"/>
        <color theme="1"/>
        <rFont val="Tahoma"/>
        <family val="2"/>
        <charset val="204"/>
      </rPr>
      <t>РП</t>
    </r>
    <r>
      <rPr>
        <b/>
        <vertAlign val="subscript"/>
        <sz val="11"/>
        <color theme="1"/>
        <rFont val="Tahoma"/>
        <family val="2"/>
        <charset val="204"/>
      </rPr>
      <t>б,k</t>
    </r>
    <r>
      <rPr>
        <sz val="10"/>
        <color theme="1"/>
        <rFont val="Tahoma"/>
        <family val="2"/>
        <charset val="204"/>
      </rPr>
      <t>)</t>
    </r>
  </si>
  <si>
    <t>Заработная плата сотрудников котельной, производящей тепловую энергию с использованием угля, в базовом (2019) году, тыс. руб.</t>
  </si>
  <si>
    <t>4.5.1</t>
  </si>
  <si>
    <r>
      <t>Расходы на плату за выбросы загрязняющих веществ в атмосферный воздух в пределах установленных нормативов и (или) лимитов, на утилизацию и размещение золы и шлака для котельной с использованием угля в i-м расчетном периоде регулирования, тыс. руб. (</t>
    </r>
    <r>
      <rPr>
        <b/>
        <sz val="11"/>
        <color theme="1"/>
        <rFont val="Tahoma"/>
        <family val="2"/>
        <charset val="204"/>
      </rPr>
      <t>ЗВ</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</si>
  <si>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t>
  </si>
  <si>
    <r>
      <t>Дополнительные расходы на плату за выбросы загрязняющих веществ в атмосферный воздух в пределах установленных нормативов и (или) лимитов для котельной с использованием угля (</t>
    </r>
    <r>
      <rPr>
        <b/>
        <sz val="11"/>
        <color theme="1"/>
        <rFont val="Tahoma"/>
        <family val="2"/>
        <charset val="204"/>
      </rPr>
      <t>Y</t>
    </r>
    <r>
      <rPr>
        <b/>
        <vertAlign val="subscript"/>
        <sz val="11"/>
        <color theme="1"/>
        <rFont val="Tahoma"/>
        <family val="2"/>
        <charset val="204"/>
      </rPr>
      <t>i</t>
    </r>
    <r>
      <rPr>
        <b/>
        <vertAlign val="superscript"/>
        <sz val="11"/>
        <color theme="1"/>
        <rFont val="Tahoma"/>
        <family val="2"/>
        <charset val="204"/>
      </rPr>
      <t>уголь</t>
    </r>
    <r>
      <rPr>
        <sz val="10"/>
        <color theme="1"/>
        <rFont val="Tahoma"/>
        <family val="2"/>
        <charset val="204"/>
      </rPr>
      <t>)</t>
    </r>
  </si>
  <si>
    <t>4.5.1.1.1</t>
  </si>
  <si>
    <r>
      <t>Базовая величина платы за выбросы загрязняющих веществ в атмосферный воздух, руб. (</t>
    </r>
    <r>
      <rPr>
        <b/>
        <i/>
        <sz val="10"/>
        <color theme="1"/>
        <rFont val="Tahoma"/>
        <family val="2"/>
        <charset val="204"/>
      </rPr>
      <t>ПВ</t>
    </r>
    <r>
      <rPr>
        <b/>
        <i/>
        <vertAlign val="subscript"/>
        <sz val="10"/>
        <color theme="1"/>
        <rFont val="Tahoma"/>
        <family val="2"/>
        <charset val="204"/>
      </rPr>
      <t>б</t>
    </r>
    <r>
      <rPr>
        <i/>
        <sz val="10"/>
        <color theme="1"/>
        <rFont val="Tahoma"/>
        <family val="2"/>
        <charset val="204"/>
      </rPr>
      <t>)</t>
    </r>
  </si>
  <si>
    <t>4.5.1.1.2</t>
  </si>
  <si>
    <r>
      <t>Коэффициент, применяемый к базовой величине платы за выбросы загрязняющих веществ в атмосферный воздух (</t>
    </r>
    <r>
      <rPr>
        <b/>
        <sz val="10"/>
        <color theme="1"/>
        <rFont val="Tahoma"/>
        <family val="2"/>
        <charset val="204"/>
      </rPr>
      <t>К</t>
    </r>
    <r>
      <rPr>
        <b/>
        <vertAlign val="subscript"/>
        <sz val="10"/>
        <color theme="1"/>
        <rFont val="Tahoma"/>
        <family val="2"/>
        <charset val="204"/>
      </rPr>
      <t>i</t>
    </r>
    <r>
      <rPr>
        <b/>
        <vertAlign val="superscript"/>
        <sz val="10"/>
        <color theme="1"/>
        <rFont val="Tahoma"/>
        <family val="2"/>
        <charset val="204"/>
      </rPr>
      <t>ОС</t>
    </r>
    <r>
      <rPr>
        <sz val="10"/>
        <color theme="1"/>
        <rFont val="Tahoma"/>
        <family val="2"/>
        <charset val="204"/>
      </rPr>
      <t>)</t>
    </r>
  </si>
  <si>
    <t>-</t>
  </si>
  <si>
    <r>
      <t>Фактическая ставка налога на имущество, установленная в соответствующем субъекте Российской Федерации (без учета специальных льгот по налогу на имущество организаций) в соответствии с законодательством Российской Федерации о налогах и сборах и действующая в (i-2)-м расчетном периоде регулирования, % 
(</t>
    </r>
    <r>
      <rPr>
        <b/>
        <sz val="11"/>
        <color theme="1"/>
        <rFont val="Tahoma"/>
        <family val="2"/>
        <charset val="204"/>
      </rPr>
      <t>t</t>
    </r>
    <r>
      <rPr>
        <b/>
        <vertAlign val="subscript"/>
        <sz val="11"/>
        <color theme="1"/>
        <rFont val="Tahoma"/>
        <family val="2"/>
        <charset val="204"/>
      </rPr>
      <t>i-2</t>
    </r>
    <r>
      <rPr>
        <b/>
        <vertAlign val="superscript"/>
        <sz val="11"/>
        <color theme="1"/>
        <rFont val="Tahoma"/>
        <family val="2"/>
        <charset val="204"/>
      </rPr>
      <t>им</t>
    </r>
    <r>
      <rPr>
        <sz val="10"/>
        <color theme="1"/>
        <rFont val="Tahoma"/>
        <family val="2"/>
        <charset val="204"/>
      </rPr>
      <t>)</t>
    </r>
  </si>
  <si>
    <r>
      <t>Прогнозный индекс цен производителей промышленной продукции (накопленным итогом), % (</t>
    </r>
    <r>
      <rPr>
        <b/>
        <sz val="11"/>
        <rFont val="Tahoma"/>
        <family val="2"/>
        <charset val="204"/>
      </rPr>
      <t>ИЦП</t>
    </r>
    <r>
      <rPr>
        <b/>
        <vertAlign val="subscript"/>
        <sz val="11"/>
        <rFont val="Tahoma"/>
        <family val="2"/>
        <charset val="204"/>
      </rPr>
      <t>i</t>
    </r>
    <r>
      <rPr>
        <b/>
        <sz val="10"/>
        <rFont val="Tahoma"/>
        <family val="2"/>
        <charset val="204"/>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</si>
</sst>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00"/>
    <numFmt numFmtId="167" formatCode="0.0%"/>
  </numFmts>
  <fonts count="3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sz val="10"/>
      <name val="Times New Roman"/>
      <family val="1"/>
      <charset val="204"/>
    </font>
    <font>
      <sz val="11"/>
      <color theme="1"/>
      <name val="Calibri"/>
      <family val="2"/>
      <scheme val="minor"/>
    </font>
    <font>
      <sz val="10"/>
      <color indexed="8"/>
      <name val="Tahoma"/>
      <family val="2"/>
      <charset val="204"/>
    </font>
    <font>
      <b/>
      <sz val="11"/>
      <name val="Tahoma"/>
      <family val="2"/>
      <charset val="204"/>
    </font>
    <font>
      <b/>
      <sz val="10"/>
      <color indexed="8"/>
      <name val="Tahoma"/>
      <family val="2"/>
      <charset val="204"/>
    </font>
    <font>
      <b/>
      <sz val="11"/>
      <color theme="1"/>
      <name val="Tahoma"/>
      <family val="2"/>
      <charset val="204"/>
    </font>
    <font>
      <b/>
      <vertAlign val="subscript"/>
      <sz val="11"/>
      <color theme="1"/>
      <name val="Tahoma"/>
      <family val="2"/>
      <charset val="204"/>
    </font>
    <font>
      <sz val="10"/>
      <color theme="1"/>
      <name val="Tahoma"/>
      <family val="2"/>
      <charset val="204"/>
    </font>
    <font>
      <sz val="11"/>
      <color theme="1"/>
      <name val="Tahoma"/>
      <family val="2"/>
      <charset val="204"/>
    </font>
    <font>
      <b/>
      <sz val="11"/>
      <color theme="1"/>
      <name val="Calibri"/>
      <family val="2"/>
      <charset val="204"/>
    </font>
    <font>
      <b/>
      <vertAlign val="superscript"/>
      <sz val="11"/>
      <color theme="1"/>
      <name val="Tahoma"/>
      <family val="2"/>
      <charset val="204"/>
    </font>
    <font>
      <i/>
      <sz val="10"/>
      <color indexed="8"/>
      <name val="Tahoma"/>
      <family val="2"/>
      <charset val="204"/>
    </font>
    <font>
      <b/>
      <i/>
      <sz val="11"/>
      <color theme="1"/>
      <name val="Tahoma"/>
      <family val="2"/>
      <charset val="204"/>
    </font>
    <font>
      <b/>
      <i/>
      <vertAlign val="subscript"/>
      <sz val="11"/>
      <color theme="1"/>
      <name val="Tahoma"/>
      <family val="2"/>
      <charset val="204"/>
    </font>
    <font>
      <i/>
      <sz val="10"/>
      <color theme="1"/>
      <name val="Tahoma"/>
      <family val="2"/>
      <charset val="204"/>
    </font>
    <font>
      <sz val="10"/>
      <name val="Tahoma"/>
      <family val="2"/>
      <charset val="204"/>
    </font>
    <font>
      <b/>
      <vertAlign val="superscript"/>
      <sz val="11"/>
      <name val="Tahoma"/>
      <family val="2"/>
      <charset val="204"/>
    </font>
    <font>
      <b/>
      <i/>
      <sz val="10"/>
      <color theme="1"/>
      <name val="Tahoma"/>
      <family val="2"/>
      <charset val="204"/>
    </font>
    <font>
      <b/>
      <i/>
      <vertAlign val="superscript"/>
      <sz val="10"/>
      <color theme="1"/>
      <name val="Tahoma"/>
      <family val="2"/>
      <charset val="204"/>
    </font>
    <font>
      <b/>
      <i/>
      <sz val="10"/>
      <color indexed="8"/>
      <name val="Tahoma"/>
      <family val="2"/>
      <charset val="204"/>
    </font>
    <font>
      <b/>
      <sz val="10"/>
      <color theme="1"/>
      <name val="Tahoma"/>
      <family val="2"/>
      <charset val="204"/>
    </font>
    <font>
      <b/>
      <vertAlign val="superscript"/>
      <sz val="10"/>
      <color theme="1"/>
      <name val="Tahoma"/>
      <family val="2"/>
      <charset val="204"/>
    </font>
    <font>
      <b/>
      <i/>
      <vertAlign val="subscript"/>
      <sz val="10"/>
      <color theme="1"/>
      <name val="Tahoma"/>
      <family val="2"/>
      <charset val="204"/>
    </font>
    <font>
      <b/>
      <i/>
      <vertAlign val="superscript"/>
      <sz val="11"/>
      <color theme="1"/>
      <name val="Tahoma"/>
      <family val="2"/>
      <charset val="204"/>
    </font>
    <font>
      <b/>
      <sz val="11"/>
      <color indexed="8"/>
      <name val="Tahoma"/>
      <family val="2"/>
      <charset val="204"/>
    </font>
    <font>
      <b/>
      <i/>
      <sz val="11"/>
      <name val="Tahoma"/>
      <family val="2"/>
      <charset val="204"/>
    </font>
    <font>
      <i/>
      <sz val="10"/>
      <name val="Tahoma"/>
      <family val="2"/>
      <charset val="204"/>
    </font>
    <font>
      <sz val="10"/>
      <name val="Arial Cyr"/>
      <charset val="204"/>
    </font>
    <font>
      <b/>
      <sz val="10"/>
      <name val="Tahoma"/>
      <family val="2"/>
      <charset val="204"/>
    </font>
    <font>
      <b/>
      <vertAlign val="subscript"/>
      <sz val="11"/>
      <name val="Tahoma"/>
      <family val="2"/>
      <charset val="204"/>
    </font>
    <font>
      <b/>
      <vertAlign val="superscript"/>
      <sz val="11"/>
      <color indexed="8"/>
      <name val="Tahoma"/>
      <family val="2"/>
      <charset val="204"/>
    </font>
    <font>
      <b/>
      <vertAlign val="subscript"/>
      <sz val="11"/>
      <color indexed="8"/>
      <name val="Tahoma"/>
      <family val="2"/>
      <charset val="204"/>
    </font>
    <font>
      <b/>
      <vertAlign val="subscript"/>
      <sz val="10"/>
      <color theme="1"/>
      <name val="Tahoma"/>
      <family val="2"/>
      <charset val="204"/>
    </font>
  </fonts>
  <fills count="3">
    <fill>
      <patternFill patternType="none"/>
    </fill>
    <fill>
      <patternFill patternType="gray125"/>
    </fill>
    <fill>
      <patternFill patternType="solid">
        <fgColor theme="0"/>
        <bgColor indexed="64"/>
      </patternFill>
    </fill>
  </fills>
  <borders count="23">
    <border>
      <left/>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auto="1"/>
      </right>
      <top style="medium">
        <color indexed="64"/>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medium">
        <color auto="1"/>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indexed="64"/>
      </left>
      <right style="medium">
        <color indexed="64"/>
      </right>
      <top/>
      <bottom/>
      <diagonal/>
    </border>
  </borders>
  <cellStyleXfs count="9">
    <xf numFmtId="0" fontId="0" fillId="0" borderId="0"/>
    <xf numFmtId="0" fontId="3" fillId="0" borderId="0"/>
    <xf numFmtId="0" fontId="4" fillId="0" borderId="0" applyNumberFormat="0" applyFill="0" applyBorder="0" applyAlignment="0" applyProtection="0"/>
    <xf numFmtId="0" fontId="5" fillId="0" borderId="0"/>
    <xf numFmtId="0" fontId="3" fillId="0" borderId="0"/>
    <xf numFmtId="0" fontId="2" fillId="0" borderId="0"/>
    <xf numFmtId="9" fontId="6" fillId="0" borderId="0" applyFont="0" applyFill="0" applyBorder="0" applyAlignment="0" applyProtection="0"/>
    <xf numFmtId="0" fontId="1" fillId="0" borderId="0"/>
    <xf numFmtId="0" fontId="32" fillId="0" borderId="0"/>
  </cellStyleXfs>
  <cellXfs count="148">
    <xf numFmtId="0" fontId="0" fillId="0" borderId="0" xfId="0"/>
    <xf numFmtId="0" fontId="7" fillId="2" borderId="0" xfId="7" applyFont="1" applyFill="1" applyAlignment="1">
      <alignment wrapText="1"/>
    </xf>
    <xf numFmtId="0" fontId="7" fillId="2" borderId="0" xfId="7" applyFont="1" applyFill="1"/>
    <xf numFmtId="0" fontId="7" fillId="2" borderId="0" xfId="7" applyFont="1" applyFill="1" applyAlignment="1">
      <alignment horizontal="right"/>
    </xf>
    <xf numFmtId="14" fontId="7" fillId="2" borderId="0" xfId="7" applyNumberFormat="1" applyFont="1" applyFill="1" applyAlignment="1">
      <alignment horizontal="center" vertical="center" wrapText="1"/>
    </xf>
    <xf numFmtId="0" fontId="9" fillId="2" borderId="0" xfId="7" applyFont="1" applyFill="1" applyAlignment="1">
      <alignment horizontal="left" vertical="center"/>
    </xf>
    <xf numFmtId="0" fontId="7" fillId="2" borderId="0" xfId="7" applyFont="1" applyFill="1" applyAlignment="1">
      <alignment horizontal="center" vertical="center"/>
    </xf>
    <xf numFmtId="0" fontId="7" fillId="2" borderId="0" xfId="7" applyFont="1" applyFill="1" applyBorder="1" applyAlignment="1">
      <alignment wrapText="1"/>
    </xf>
    <xf numFmtId="0" fontId="7" fillId="2" borderId="0" xfId="7" applyFont="1" applyFill="1" applyBorder="1" applyAlignment="1">
      <alignment horizontal="left" vertical="center" wrapText="1"/>
    </xf>
    <xf numFmtId="0" fontId="7" fillId="2" borderId="0" xfId="7" applyNumberFormat="1" applyFont="1" applyFill="1" applyBorder="1" applyAlignment="1">
      <alignment horizontal="center" vertical="center" wrapText="1"/>
    </xf>
    <xf numFmtId="49" fontId="7" fillId="2" borderId="0" xfId="7" applyNumberFormat="1" applyFont="1" applyFill="1" applyBorder="1" applyAlignment="1">
      <alignment horizontal="center" vertical="center" wrapText="1"/>
    </xf>
    <xf numFmtId="0" fontId="7" fillId="2" borderId="0" xfId="7" applyFont="1" applyFill="1" applyBorder="1" applyAlignment="1">
      <alignment vertical="center" wrapText="1"/>
    </xf>
    <xf numFmtId="0" fontId="7" fillId="2" borderId="0" xfId="7" applyFont="1" applyFill="1" applyBorder="1" applyAlignment="1">
      <alignment horizontal="center" vertical="center" wrapText="1"/>
    </xf>
    <xf numFmtId="1" fontId="7" fillId="2" borderId="0" xfId="7" applyNumberFormat="1" applyFont="1" applyFill="1" applyBorder="1" applyAlignment="1">
      <alignment horizontal="center" vertical="center" wrapText="1"/>
    </xf>
    <xf numFmtId="4" fontId="7" fillId="2" borderId="0" xfId="7" applyNumberFormat="1" applyFont="1" applyFill="1" applyBorder="1" applyAlignment="1">
      <alignment horizontal="center" vertical="center" wrapText="1"/>
    </xf>
    <xf numFmtId="4" fontId="9" fillId="2" borderId="5" xfId="7" applyNumberFormat="1" applyFont="1" applyFill="1" applyBorder="1" applyAlignment="1">
      <alignment horizontal="center" vertical="center" wrapText="1"/>
    </xf>
    <xf numFmtId="4" fontId="9" fillId="2" borderId="6" xfId="7" applyNumberFormat="1" applyFont="1" applyFill="1" applyBorder="1" applyAlignment="1">
      <alignment horizontal="center" vertical="center" wrapText="1"/>
    </xf>
    <xf numFmtId="4" fontId="9" fillId="2" borderId="7" xfId="7" applyNumberFormat="1" applyFont="1" applyFill="1" applyBorder="1" applyAlignment="1">
      <alignment horizontal="center" vertical="center" wrapText="1"/>
    </xf>
    <xf numFmtId="0" fontId="9" fillId="2" borderId="2" xfId="7" applyFont="1" applyFill="1" applyBorder="1" applyAlignment="1">
      <alignment horizontal="center" vertical="center" wrapText="1"/>
    </xf>
    <xf numFmtId="0" fontId="9" fillId="2" borderId="8" xfId="7" applyFont="1" applyFill="1" applyBorder="1" applyAlignment="1">
      <alignment horizontal="center" vertical="center" wrapText="1"/>
    </xf>
    <xf numFmtId="0" fontId="9" fillId="2" borderId="3" xfId="7" applyFont="1" applyFill="1" applyBorder="1" applyAlignment="1">
      <alignment horizontal="center" vertical="center" wrapText="1"/>
    </xf>
    <xf numFmtId="49" fontId="7" fillId="2" borderId="2" xfId="7" applyNumberFormat="1" applyFont="1" applyFill="1" applyBorder="1" applyAlignment="1">
      <alignment horizontal="right" vertical="center" wrapText="1"/>
    </xf>
    <xf numFmtId="0" fontId="9" fillId="2" borderId="8" xfId="7" applyFont="1" applyFill="1" applyBorder="1" applyAlignment="1">
      <alignment vertical="center" wrapText="1"/>
    </xf>
    <xf numFmtId="4" fontId="9" fillId="2" borderId="3" xfId="7" applyNumberFormat="1" applyFont="1" applyFill="1" applyBorder="1" applyAlignment="1">
      <alignment horizontal="center" vertical="center" wrapText="1"/>
    </xf>
    <xf numFmtId="0" fontId="7" fillId="2" borderId="8" xfId="7" applyFont="1" applyFill="1" applyBorder="1" applyAlignment="1">
      <alignment horizontal="left" vertical="center" wrapText="1"/>
    </xf>
    <xf numFmtId="4" fontId="7" fillId="2" borderId="3" xfId="7" applyNumberFormat="1" applyFont="1" applyFill="1" applyBorder="1" applyAlignment="1">
      <alignment horizontal="center" vertical="center" wrapText="1"/>
    </xf>
    <xf numFmtId="49" fontId="7" fillId="2" borderId="9" xfId="7" applyNumberFormat="1" applyFont="1" applyFill="1" applyBorder="1" applyAlignment="1">
      <alignment horizontal="right" vertical="center" wrapText="1"/>
    </xf>
    <xf numFmtId="4" fontId="7" fillId="2" borderId="11" xfId="7" applyNumberFormat="1" applyFont="1" applyFill="1" applyBorder="1" applyAlignment="1">
      <alignment horizontal="center" vertical="center" wrapText="1"/>
    </xf>
    <xf numFmtId="4" fontId="9" fillId="2" borderId="12" xfId="7" applyNumberFormat="1" applyFont="1" applyFill="1" applyBorder="1" applyAlignment="1">
      <alignment horizontal="center" vertical="center" wrapText="1"/>
    </xf>
    <xf numFmtId="3" fontId="9" fillId="2" borderId="13" xfId="7" applyNumberFormat="1" applyFont="1" applyFill="1" applyBorder="1" applyAlignment="1">
      <alignment horizontal="center" vertical="center" wrapText="1"/>
    </xf>
    <xf numFmtId="3" fontId="9" fillId="2" borderId="8" xfId="7" applyNumberFormat="1" applyFont="1" applyFill="1" applyBorder="1" applyAlignment="1">
      <alignment horizontal="center" vertical="center" wrapText="1"/>
    </xf>
    <xf numFmtId="0" fontId="7" fillId="2" borderId="13" xfId="7" applyFont="1" applyFill="1" applyBorder="1" applyAlignment="1">
      <alignment horizontal="left" vertical="center" wrapText="1" indent="2"/>
    </xf>
    <xf numFmtId="4" fontId="7" fillId="2" borderId="8" xfId="7" applyNumberFormat="1" applyFont="1" applyFill="1" applyBorder="1" applyAlignment="1">
      <alignment horizontal="center" vertical="center" wrapText="1"/>
    </xf>
    <xf numFmtId="0" fontId="7" fillId="2" borderId="8" xfId="7" applyNumberFormat="1" applyFont="1" applyFill="1" applyBorder="1" applyAlignment="1">
      <alignment horizontal="center" vertical="center" wrapText="1"/>
    </xf>
    <xf numFmtId="10" fontId="7" fillId="2" borderId="8" xfId="6" applyNumberFormat="1" applyFont="1" applyFill="1" applyBorder="1" applyAlignment="1">
      <alignment horizontal="center" vertical="center" wrapText="1"/>
    </xf>
    <xf numFmtId="0" fontId="16" fillId="2" borderId="13" xfId="7" applyFont="1" applyFill="1" applyBorder="1" applyAlignment="1">
      <alignment horizontal="left" vertical="center" wrapText="1" indent="2"/>
    </xf>
    <xf numFmtId="165" fontId="7" fillId="2" borderId="8" xfId="7" applyNumberFormat="1" applyFont="1" applyFill="1" applyBorder="1" applyAlignment="1">
      <alignment horizontal="center" vertical="center"/>
    </xf>
    <xf numFmtId="3" fontId="7" fillId="2" borderId="8" xfId="7" applyNumberFormat="1" applyFont="1" applyFill="1" applyBorder="1" applyAlignment="1">
      <alignment horizontal="center" vertical="center"/>
    </xf>
    <xf numFmtId="49" fontId="7" fillId="2" borderId="8" xfId="7" applyNumberFormat="1" applyFont="1" applyFill="1" applyBorder="1" applyAlignment="1">
      <alignment horizontal="right" vertical="center" wrapText="1"/>
    </xf>
    <xf numFmtId="0" fontId="7" fillId="2" borderId="8" xfId="7" applyFont="1" applyFill="1" applyBorder="1" applyAlignment="1">
      <alignment horizontal="left" vertical="center" wrapText="1" indent="2"/>
    </xf>
    <xf numFmtId="164" fontId="7" fillId="2" borderId="8" xfId="7" applyNumberFormat="1" applyFont="1" applyFill="1" applyBorder="1" applyAlignment="1">
      <alignment horizontal="center" vertical="center" wrapText="1"/>
    </xf>
    <xf numFmtId="49" fontId="12" fillId="2" borderId="8" xfId="0" applyNumberFormat="1" applyFont="1" applyFill="1" applyBorder="1" applyAlignment="1">
      <alignment horizontal="right" vertical="center"/>
    </xf>
    <xf numFmtId="0" fontId="20" fillId="0" borderId="8" xfId="0" applyFont="1" applyFill="1" applyBorder="1" applyAlignment="1">
      <alignment horizontal="left" vertical="center" wrapText="1" indent="3"/>
    </xf>
    <xf numFmtId="0" fontId="12" fillId="2" borderId="8" xfId="0" applyFont="1" applyFill="1" applyBorder="1" applyAlignment="1">
      <alignment horizontal="left" vertical="center" wrapText="1" indent="5"/>
    </xf>
    <xf numFmtId="0" fontId="19" fillId="2" borderId="8" xfId="0" applyFont="1" applyFill="1" applyBorder="1" applyAlignment="1">
      <alignment horizontal="left" vertical="center" wrapText="1" indent="5"/>
    </xf>
    <xf numFmtId="0" fontId="16" fillId="2" borderId="15" xfId="7" applyFont="1" applyFill="1" applyBorder="1" applyAlignment="1">
      <alignment horizontal="left" vertical="center" wrapText="1" indent="2"/>
    </xf>
    <xf numFmtId="164" fontId="7" fillId="2" borderId="10" xfId="7" applyNumberFormat="1" applyFont="1" applyFill="1" applyBorder="1" applyAlignment="1">
      <alignment horizontal="center" vertical="center" wrapText="1"/>
    </xf>
    <xf numFmtId="49" fontId="7" fillId="2" borderId="1" xfId="7" applyNumberFormat="1" applyFont="1" applyFill="1" applyBorder="1" applyAlignment="1">
      <alignment horizontal="right" vertical="center" wrapText="1"/>
    </xf>
    <xf numFmtId="0" fontId="7" fillId="2" borderId="0" xfId="7" applyFont="1" applyFill="1" applyBorder="1" applyAlignment="1">
      <alignment horizontal="left" vertical="center" wrapText="1" indent="2"/>
    </xf>
    <xf numFmtId="49" fontId="7" fillId="2" borderId="5" xfId="7" applyNumberFormat="1" applyFont="1" applyFill="1" applyBorder="1" applyAlignment="1">
      <alignment horizontal="right" vertical="center" wrapText="1"/>
    </xf>
    <xf numFmtId="49" fontId="7" fillId="2" borderId="8" xfId="7" applyNumberFormat="1" applyFont="1" applyFill="1" applyBorder="1" applyAlignment="1">
      <alignment horizontal="center" vertical="center" wrapText="1"/>
    </xf>
    <xf numFmtId="0" fontId="7" fillId="2" borderId="8" xfId="7" applyFont="1" applyFill="1" applyBorder="1" applyAlignment="1">
      <alignment horizontal="center" vertical="center" wrapText="1"/>
    </xf>
    <xf numFmtId="0" fontId="7" fillId="2" borderId="13" xfId="7" applyFont="1" applyFill="1" applyBorder="1" applyAlignment="1">
      <alignment horizontal="left" vertical="center" wrapText="1" indent="4"/>
    </xf>
    <xf numFmtId="0" fontId="7" fillId="2" borderId="13" xfId="7" applyFont="1" applyFill="1" applyBorder="1" applyAlignment="1">
      <alignment horizontal="left" vertical="center" wrapText="1" indent="7"/>
    </xf>
    <xf numFmtId="0" fontId="16" fillId="2" borderId="13" xfId="7" applyFont="1" applyFill="1" applyBorder="1" applyAlignment="1">
      <alignment horizontal="left" vertical="center" wrapText="1" indent="7"/>
    </xf>
    <xf numFmtId="0" fontId="19" fillId="2" borderId="8" xfId="0" applyFont="1" applyFill="1" applyBorder="1" applyAlignment="1">
      <alignment horizontal="left" vertical="center" wrapText="1" indent="7"/>
    </xf>
    <xf numFmtId="0" fontId="12" fillId="2" borderId="8" xfId="0" applyFont="1" applyFill="1" applyBorder="1" applyAlignment="1">
      <alignment horizontal="left" vertical="center" wrapText="1" indent="7"/>
    </xf>
    <xf numFmtId="166" fontId="7" fillId="2" borderId="8" xfId="6" applyNumberFormat="1" applyFont="1" applyFill="1" applyBorder="1" applyAlignment="1">
      <alignment horizontal="center" vertical="center" wrapText="1"/>
    </xf>
    <xf numFmtId="0" fontId="16" fillId="2" borderId="13" xfId="7" applyFont="1" applyFill="1" applyBorder="1" applyAlignment="1">
      <alignment horizontal="left" vertical="center" wrapText="1" indent="4"/>
    </xf>
    <xf numFmtId="49" fontId="7" fillId="2" borderId="2" xfId="7" applyNumberFormat="1" applyFont="1" applyFill="1" applyBorder="1" applyAlignment="1">
      <alignment horizontal="right" vertical="center"/>
    </xf>
    <xf numFmtId="0" fontId="19" fillId="2" borderId="8" xfId="0" applyFont="1" applyFill="1" applyBorder="1" applyAlignment="1">
      <alignment horizontal="left" vertical="center" wrapText="1" indent="4"/>
    </xf>
    <xf numFmtId="166" fontId="7" fillId="2" borderId="8" xfId="7" applyNumberFormat="1" applyFont="1" applyFill="1" applyBorder="1" applyAlignment="1">
      <alignment horizontal="center" vertical="center" wrapText="1"/>
    </xf>
    <xf numFmtId="2" fontId="7" fillId="2" borderId="8" xfId="7" applyNumberFormat="1" applyFont="1" applyFill="1" applyBorder="1" applyAlignment="1">
      <alignment horizontal="center" vertical="center" wrapText="1"/>
    </xf>
    <xf numFmtId="0" fontId="19" fillId="2" borderId="8" xfId="0" applyFont="1" applyFill="1" applyBorder="1" applyAlignment="1">
      <alignment horizontal="left" vertical="center" wrapText="1" indent="3"/>
    </xf>
    <xf numFmtId="3" fontId="7" fillId="2" borderId="8" xfId="7" applyNumberFormat="1" applyFont="1" applyFill="1" applyBorder="1" applyAlignment="1">
      <alignment horizontal="center" vertical="center" wrapText="1"/>
    </xf>
    <xf numFmtId="0" fontId="20" fillId="2" borderId="0" xfId="7" applyFont="1" applyFill="1"/>
    <xf numFmtId="0" fontId="12" fillId="2" borderId="8" xfId="0" applyFont="1" applyFill="1" applyBorder="1" applyAlignment="1">
      <alignment horizontal="left" vertical="center" wrapText="1" indent="2"/>
    </xf>
    <xf numFmtId="0" fontId="7" fillId="2" borderId="13" xfId="7" applyFont="1" applyFill="1" applyBorder="1" applyAlignment="1">
      <alignment horizontal="left" vertical="center" wrapText="1" indent="5"/>
    </xf>
    <xf numFmtId="0" fontId="16" fillId="2" borderId="13" xfId="7" applyFont="1" applyFill="1" applyBorder="1" applyAlignment="1">
      <alignment horizontal="left" vertical="center" wrapText="1" indent="5"/>
    </xf>
    <xf numFmtId="165" fontId="7" fillId="2" borderId="8" xfId="7" applyNumberFormat="1" applyFont="1" applyFill="1" applyBorder="1" applyAlignment="1">
      <alignment horizontal="center" vertical="center" wrapText="1"/>
    </xf>
    <xf numFmtId="4" fontId="20" fillId="2" borderId="8" xfId="7" applyNumberFormat="1" applyFont="1" applyFill="1" applyBorder="1" applyAlignment="1">
      <alignment horizontal="center" vertical="center"/>
    </xf>
    <xf numFmtId="0" fontId="7" fillId="2" borderId="13" xfId="7" applyFont="1" applyFill="1" applyBorder="1" applyAlignment="1">
      <alignment horizontal="left" wrapText="1" indent="5"/>
    </xf>
    <xf numFmtId="10" fontId="20" fillId="2" borderId="8" xfId="6" applyNumberFormat="1" applyFont="1" applyFill="1" applyBorder="1" applyAlignment="1">
      <alignment horizontal="center" vertical="center"/>
    </xf>
    <xf numFmtId="0" fontId="19" fillId="2" borderId="13" xfId="7" applyFont="1" applyFill="1" applyBorder="1" applyAlignment="1">
      <alignment horizontal="left" vertical="center" wrapText="1" indent="4"/>
    </xf>
    <xf numFmtId="49" fontId="7" fillId="2" borderId="9" xfId="7" applyNumberFormat="1" applyFont="1" applyFill="1" applyBorder="1" applyAlignment="1">
      <alignment horizontal="right" vertical="center"/>
    </xf>
    <xf numFmtId="0" fontId="16" fillId="2" borderId="15" xfId="7" applyFont="1" applyFill="1" applyBorder="1" applyAlignment="1">
      <alignment horizontal="left" vertical="center" wrapText="1" indent="4"/>
    </xf>
    <xf numFmtId="10" fontId="7" fillId="2" borderId="10" xfId="6" applyNumberFormat="1" applyFont="1" applyFill="1" applyBorder="1" applyAlignment="1">
      <alignment horizontal="center" vertical="center" wrapText="1"/>
    </xf>
    <xf numFmtId="49" fontId="20" fillId="2" borderId="5" xfId="7" applyNumberFormat="1" applyFont="1" applyFill="1" applyBorder="1" applyAlignment="1">
      <alignment horizontal="right" vertical="center"/>
    </xf>
    <xf numFmtId="49" fontId="20" fillId="2" borderId="2" xfId="7" applyNumberFormat="1" applyFont="1" applyFill="1" applyBorder="1" applyAlignment="1">
      <alignment horizontal="right" vertical="center"/>
    </xf>
    <xf numFmtId="9" fontId="7" fillId="2" borderId="8" xfId="6" applyFont="1" applyFill="1" applyBorder="1" applyAlignment="1">
      <alignment horizontal="center" vertical="center" wrapText="1"/>
    </xf>
    <xf numFmtId="0" fontId="16" fillId="0" borderId="13" xfId="7" applyFont="1" applyFill="1" applyBorder="1" applyAlignment="1">
      <alignment horizontal="left" vertical="center" wrapText="1" indent="4"/>
    </xf>
    <xf numFmtId="167" fontId="7" fillId="2" borderId="8" xfId="6" applyNumberFormat="1" applyFont="1" applyFill="1" applyBorder="1" applyAlignment="1">
      <alignment horizontal="center" vertical="center" wrapText="1"/>
    </xf>
    <xf numFmtId="49" fontId="20" fillId="2" borderId="9" xfId="7" applyNumberFormat="1" applyFont="1" applyFill="1" applyBorder="1" applyAlignment="1">
      <alignment horizontal="right" vertical="center"/>
    </xf>
    <xf numFmtId="0" fontId="12" fillId="2" borderId="10" xfId="0" applyFont="1" applyFill="1" applyBorder="1" applyAlignment="1">
      <alignment horizontal="left" vertical="center" wrapText="1" indent="4"/>
    </xf>
    <xf numFmtId="4" fontId="7" fillId="2" borderId="10" xfId="7" applyNumberFormat="1" applyFont="1" applyFill="1" applyBorder="1" applyAlignment="1">
      <alignment horizontal="center" vertical="center" wrapText="1"/>
    </xf>
    <xf numFmtId="49" fontId="7" fillId="2" borderId="5" xfId="7" applyNumberFormat="1" applyFont="1" applyFill="1" applyBorder="1" applyAlignment="1">
      <alignment horizontal="right" vertical="center"/>
    </xf>
    <xf numFmtId="0" fontId="7" fillId="2" borderId="15" xfId="7" applyFont="1" applyFill="1" applyBorder="1" applyAlignment="1">
      <alignment horizontal="left" vertical="center" wrapText="1" indent="2"/>
    </xf>
    <xf numFmtId="0" fontId="7" fillId="2" borderId="0" xfId="7" applyFont="1" applyFill="1" applyBorder="1"/>
    <xf numFmtId="0" fontId="20" fillId="2" borderId="8" xfId="7" applyFont="1" applyFill="1" applyBorder="1" applyAlignment="1">
      <alignment horizontal="left" vertical="center" wrapText="1" indent="2"/>
    </xf>
    <xf numFmtId="0" fontId="7" fillId="2" borderId="8" xfId="7" applyFont="1" applyFill="1" applyBorder="1" applyAlignment="1">
      <alignment horizontal="left" vertical="center" wrapText="1" indent="4"/>
    </xf>
    <xf numFmtId="4" fontId="7" fillId="2" borderId="8" xfId="6" applyNumberFormat="1" applyFont="1" applyFill="1" applyBorder="1" applyAlignment="1">
      <alignment horizontal="center" vertical="center" wrapText="1"/>
    </xf>
    <xf numFmtId="4" fontId="20" fillId="2" borderId="8" xfId="7" applyNumberFormat="1" applyFont="1" applyFill="1" applyBorder="1" applyAlignment="1">
      <alignment horizontal="center" vertical="center" wrapText="1"/>
    </xf>
    <xf numFmtId="0" fontId="7" fillId="2" borderId="10" xfId="7" applyFont="1" applyFill="1" applyBorder="1" applyAlignment="1">
      <alignment horizontal="left" vertical="center" wrapText="1" indent="4"/>
    </xf>
    <xf numFmtId="0" fontId="25" fillId="2" borderId="6" xfId="0" applyFont="1" applyFill="1" applyBorder="1" applyAlignment="1">
      <alignment horizontal="left" vertical="center" wrapText="1"/>
    </xf>
    <xf numFmtId="4" fontId="7" fillId="2" borderId="6" xfId="7" applyNumberFormat="1" applyFont="1" applyFill="1" applyBorder="1" applyAlignment="1">
      <alignment horizontal="center" vertical="center" wrapText="1"/>
    </xf>
    <xf numFmtId="0" fontId="33" fillId="2" borderId="6" xfId="8" applyFont="1" applyFill="1" applyBorder="1" applyAlignment="1">
      <alignment horizontal="left" vertical="center" wrapText="1"/>
    </xf>
    <xf numFmtId="10" fontId="7" fillId="2" borderId="6" xfId="7" applyNumberFormat="1" applyFont="1" applyFill="1" applyBorder="1" applyAlignment="1">
      <alignment horizontal="center" vertical="center" wrapText="1"/>
    </xf>
    <xf numFmtId="0" fontId="7" fillId="2" borderId="0" xfId="7" applyFont="1" applyFill="1" applyBorder="1" applyAlignment="1">
      <alignment horizontal="right" vertical="center"/>
    </xf>
    <xf numFmtId="0" fontId="7" fillId="2" borderId="5" xfId="7" applyFont="1" applyFill="1" applyBorder="1" applyAlignment="1">
      <alignment horizontal="right" wrapText="1" indent="1"/>
    </xf>
    <xf numFmtId="0" fontId="7" fillId="2" borderId="7" xfId="7" applyFont="1" applyFill="1" applyBorder="1" applyAlignment="1">
      <alignment horizontal="center" vertical="center" wrapText="1"/>
    </xf>
    <xf numFmtId="0" fontId="7" fillId="2" borderId="2" xfId="7" applyFont="1" applyFill="1" applyBorder="1" applyProtection="1"/>
    <xf numFmtId="10" fontId="20" fillId="2" borderId="3" xfId="7" applyNumberFormat="1" applyFont="1" applyFill="1" applyBorder="1" applyAlignment="1" applyProtection="1">
      <alignment horizontal="right" vertical="center"/>
    </xf>
    <xf numFmtId="10" fontId="7" fillId="2" borderId="3" xfId="7" applyNumberFormat="1" applyFont="1" applyFill="1" applyBorder="1" applyAlignment="1" applyProtection="1">
      <alignment horizontal="right" vertical="center"/>
    </xf>
    <xf numFmtId="10" fontId="7" fillId="2" borderId="3" xfId="7" applyNumberFormat="1" applyFont="1" applyFill="1" applyBorder="1" applyAlignment="1" applyProtection="1">
      <alignment vertical="center"/>
    </xf>
    <xf numFmtId="0" fontId="7" fillId="2" borderId="2" xfId="7" applyFont="1" applyFill="1" applyBorder="1"/>
    <xf numFmtId="10" fontId="7" fillId="2" borderId="3" xfId="7" applyNumberFormat="1" applyFont="1" applyFill="1" applyBorder="1" applyAlignment="1" applyProtection="1">
      <alignment vertical="center"/>
      <protection locked="0"/>
    </xf>
    <xf numFmtId="0" fontId="7" fillId="2" borderId="9" xfId="7" applyFont="1" applyFill="1" applyBorder="1"/>
    <xf numFmtId="10" fontId="7" fillId="2" borderId="11" xfId="7" applyNumberFormat="1" applyFont="1" applyFill="1" applyBorder="1" applyAlignment="1" applyProtection="1">
      <alignment vertical="center"/>
      <protection locked="0"/>
    </xf>
    <xf numFmtId="0" fontId="7" fillId="2" borderId="17" xfId="7" applyFont="1" applyFill="1" applyBorder="1"/>
    <xf numFmtId="0" fontId="7" fillId="2" borderId="17" xfId="7" applyFont="1" applyFill="1" applyBorder="1" applyAlignment="1">
      <alignment vertical="center"/>
    </xf>
    <xf numFmtId="0" fontId="7" fillId="2" borderId="0" xfId="7" applyFont="1" applyFill="1" applyAlignment="1">
      <alignment vertical="center"/>
    </xf>
    <xf numFmtId="10" fontId="7" fillId="2" borderId="0" xfId="7" applyNumberFormat="1" applyFont="1" applyFill="1" applyAlignment="1">
      <alignment wrapText="1"/>
    </xf>
    <xf numFmtId="0" fontId="9" fillId="2" borderId="0" xfId="7" applyFont="1" applyFill="1" applyAlignment="1">
      <alignment horizontal="left"/>
    </xf>
    <xf numFmtId="4" fontId="9" fillId="0" borderId="6" xfId="7" applyNumberFormat="1" applyFont="1" applyFill="1" applyBorder="1" applyAlignment="1">
      <alignment horizontal="center" vertical="center" wrapText="1"/>
    </xf>
    <xf numFmtId="4" fontId="9" fillId="0" borderId="7" xfId="7" applyNumberFormat="1" applyFont="1" applyFill="1" applyBorder="1" applyAlignment="1">
      <alignment horizontal="center" vertical="center" wrapText="1"/>
    </xf>
    <xf numFmtId="0" fontId="9" fillId="0" borderId="8" xfId="7" applyFont="1" applyBorder="1" applyAlignment="1">
      <alignment horizontal="center" vertical="center" wrapText="1"/>
    </xf>
    <xf numFmtId="0" fontId="9" fillId="0" borderId="3" xfId="7" applyFont="1" applyBorder="1" applyAlignment="1">
      <alignment horizontal="center" vertical="center" wrapText="1"/>
    </xf>
    <xf numFmtId="4" fontId="7" fillId="2" borderId="8" xfId="7" applyNumberFormat="1" applyFont="1" applyFill="1" applyBorder="1" applyAlignment="1">
      <alignment horizontal="center" vertical="center"/>
    </xf>
    <xf numFmtId="49" fontId="12" fillId="2" borderId="2" xfId="0" applyNumberFormat="1" applyFont="1" applyFill="1" applyBorder="1" applyAlignment="1">
      <alignment horizontal="right" vertical="center"/>
    </xf>
    <xf numFmtId="0" fontId="7" fillId="0" borderId="0" xfId="7" applyFont="1" applyFill="1" applyBorder="1" applyAlignment="1">
      <alignment horizontal="left" vertical="center" wrapText="1" indent="2"/>
    </xf>
    <xf numFmtId="4" fontId="7" fillId="0" borderId="0" xfId="7" applyNumberFormat="1" applyFont="1" applyFill="1" applyBorder="1" applyAlignment="1">
      <alignment horizontal="center" vertical="center" wrapText="1"/>
    </xf>
    <xf numFmtId="0" fontId="12" fillId="2" borderId="8" xfId="0" applyFont="1" applyFill="1" applyBorder="1" applyAlignment="1">
      <alignment horizontal="left" vertical="center" wrapText="1" indent="6"/>
    </xf>
    <xf numFmtId="0" fontId="12" fillId="2" borderId="10" xfId="0" applyFont="1" applyFill="1" applyBorder="1" applyAlignment="1">
      <alignment horizontal="left" vertical="center" wrapText="1" indent="7"/>
    </xf>
    <xf numFmtId="0" fontId="20" fillId="2" borderId="10" xfId="7" applyFont="1" applyFill="1" applyBorder="1" applyAlignment="1">
      <alignment horizontal="left" vertical="center" wrapText="1" indent="2"/>
    </xf>
    <xf numFmtId="4" fontId="20" fillId="2" borderId="10" xfId="7" applyNumberFormat="1" applyFont="1" applyFill="1" applyBorder="1" applyAlignment="1">
      <alignment horizontal="center" vertical="center" wrapText="1"/>
    </xf>
    <xf numFmtId="49" fontId="7" fillId="2" borderId="18" xfId="7" applyNumberFormat="1" applyFont="1" applyFill="1" applyBorder="1" applyAlignment="1">
      <alignment horizontal="right" vertical="center"/>
    </xf>
    <xf numFmtId="0" fontId="7" fillId="2" borderId="19" xfId="7" applyFont="1" applyFill="1" applyBorder="1" applyAlignment="1">
      <alignment horizontal="left" vertical="center" wrapText="1" indent="4"/>
    </xf>
    <xf numFmtId="10" fontId="7" fillId="2" borderId="19" xfId="6" applyNumberFormat="1" applyFont="1" applyFill="1" applyBorder="1" applyAlignment="1">
      <alignment horizontal="center" vertical="center" wrapText="1"/>
    </xf>
    <xf numFmtId="0" fontId="16" fillId="2" borderId="8" xfId="7" applyFont="1" applyFill="1" applyBorder="1" applyAlignment="1">
      <alignment horizontal="left" vertical="center" wrapText="1" indent="4"/>
    </xf>
    <xf numFmtId="0" fontId="16" fillId="2" borderId="10" xfId="7" applyFont="1" applyFill="1" applyBorder="1" applyAlignment="1">
      <alignment horizontal="left" vertical="center" wrapText="1" indent="4"/>
    </xf>
    <xf numFmtId="10" fontId="7" fillId="2" borderId="6" xfId="6" applyNumberFormat="1" applyFont="1" applyFill="1" applyBorder="1" applyAlignment="1">
      <alignment horizontal="center" vertical="center" wrapText="1"/>
    </xf>
    <xf numFmtId="0" fontId="7" fillId="2" borderId="21" xfId="7" applyFont="1" applyFill="1" applyBorder="1" applyAlignment="1">
      <alignment horizontal="right" wrapText="1" indent="1"/>
    </xf>
    <xf numFmtId="0" fontId="7" fillId="2" borderId="22" xfId="7" applyFont="1" applyFill="1" applyBorder="1" applyAlignment="1">
      <alignment horizontal="center" vertical="center" wrapText="1"/>
    </xf>
    <xf numFmtId="0" fontId="7" fillId="2" borderId="5" xfId="7" applyFont="1" applyFill="1" applyBorder="1"/>
    <xf numFmtId="10" fontId="20" fillId="2" borderId="7" xfId="7" applyNumberFormat="1" applyFont="1" applyFill="1" applyBorder="1" applyAlignment="1" applyProtection="1">
      <alignment vertical="center"/>
    </xf>
    <xf numFmtId="10" fontId="20" fillId="2" borderId="3" xfId="7" applyNumberFormat="1" applyFont="1" applyFill="1" applyBorder="1" applyAlignment="1" applyProtection="1">
      <alignment vertical="center"/>
    </xf>
    <xf numFmtId="10" fontId="20" fillId="2" borderId="11" xfId="7" applyNumberFormat="1" applyFont="1" applyFill="1" applyBorder="1" applyAlignment="1" applyProtection="1">
      <alignment vertical="center"/>
    </xf>
    <xf numFmtId="0" fontId="7" fillId="2" borderId="18" xfId="7" applyFont="1" applyFill="1" applyBorder="1"/>
    <xf numFmtId="10" fontId="20" fillId="2" borderId="20" xfId="7" applyNumberFormat="1" applyFont="1" applyFill="1" applyBorder="1" applyAlignment="1" applyProtection="1">
      <alignment vertical="center"/>
    </xf>
    <xf numFmtId="0" fontId="7" fillId="2" borderId="0" xfId="7" applyFont="1" applyFill="1" applyAlignment="1" applyProtection="1">
      <alignment horizontal="center" vertical="center"/>
    </xf>
    <xf numFmtId="0" fontId="7" fillId="2" borderId="10" xfId="7" applyFont="1" applyFill="1" applyBorder="1" applyAlignment="1">
      <alignment horizontal="left" vertical="center" wrapText="1"/>
    </xf>
    <xf numFmtId="0" fontId="7" fillId="2" borderId="10" xfId="7" applyFont="1" applyFill="1" applyBorder="1" applyAlignment="1">
      <alignment horizontal="left" vertical="center" wrapText="1"/>
    </xf>
    <xf numFmtId="0" fontId="9" fillId="2" borderId="4" xfId="7" applyFont="1" applyFill="1" applyBorder="1" applyAlignment="1">
      <alignment horizontal="center" wrapText="1"/>
    </xf>
    <xf numFmtId="0" fontId="8" fillId="2" borderId="0" xfId="7" applyFont="1" applyFill="1" applyBorder="1" applyAlignment="1">
      <alignment horizontal="center" vertical="center" wrapText="1"/>
    </xf>
    <xf numFmtId="0" fontId="9" fillId="2" borderId="14" xfId="7" applyFont="1" applyFill="1" applyBorder="1" applyAlignment="1">
      <alignment horizontal="left" vertical="center" wrapText="1"/>
    </xf>
    <xf numFmtId="0" fontId="9" fillId="2" borderId="16" xfId="7" applyFont="1" applyFill="1" applyBorder="1" applyAlignment="1">
      <alignment horizontal="left" vertical="center" wrapText="1"/>
    </xf>
    <xf numFmtId="0" fontId="9" fillId="2" borderId="4" xfId="7" applyFont="1" applyFill="1" applyBorder="1" applyAlignment="1">
      <alignment horizontal="left" wrapText="1"/>
    </xf>
    <xf numFmtId="0" fontId="9" fillId="2" borderId="6" xfId="7" applyFont="1" applyFill="1" applyBorder="1" applyAlignment="1">
      <alignment horizontal="left" vertical="center" wrapText="1"/>
    </xf>
  </cellXfs>
  <cellStyles count="9">
    <cellStyle name="Гиперссылка 2" xfId="2"/>
    <cellStyle name="Обычный" xfId="0" builtinId="0"/>
    <cellStyle name="Обычный 2" xfId="1"/>
    <cellStyle name="Обычный 2 2" xfId="3"/>
    <cellStyle name="Обычный 3" xfId="4"/>
    <cellStyle name="Обычный 4" xfId="5"/>
    <cellStyle name="Обычный 80" xfId="7"/>
    <cellStyle name="Обычный_Копия Condition-все вар13.12.08-утнах17-50" xfId="8"/>
    <cellStyle name="Процентный" xfId="6"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9"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3.xml"/><Relationship Id="rId42" Type="http://schemas.openxmlformats.org/officeDocument/2006/relationships/externalLink" Target="externalLinks/externalLink21.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38" Type="http://schemas.openxmlformats.org/officeDocument/2006/relationships/externalLink" Target="externalLinks/externalLink17.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41"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externalLink" Target="externalLinks/externalLink16.xml"/><Relationship Id="rId40" Type="http://schemas.openxmlformats.org/officeDocument/2006/relationships/externalLink" Target="externalLinks/externalLink19.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externalLink" Target="externalLinks/externalLink14.xml"/><Relationship Id="rId43" Type="http://schemas.openxmlformats.org/officeDocument/2006/relationships/externalLink" Target="externalLinks/externalLink2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ckoffice\Projects\Energy%20Group\&#1056;&#1072;&#1073;&#1086;&#1095;&#1080;&#1077;%20&#1084;&#1072;&#1090;&#1077;&#1088;&#1080;&#1072;&#1083;&#1099;%20&#1087;&#1086;%20&#1087;&#1088;&#1086;&#1077;&#1082;&#1090;&#1072;&#1084;\&#1050;&#1072;&#1083;&#1100;&#1082;&#1091;&#1083;&#1103;&#1090;&#1086;&#1088;\&#1056;&#1072;&#1089;&#1095;&#1077;&#1090;%20&#1087;&#1086;%20&#1075;&#1086;&#1088;&#1086;&#1076;&#1072;&#1084;\&#1052;&#1091;&#1088;&#1084;&#1072;&#1085;&#1089;&#1082;&#1072;&#1103;%20&#1086;&#1073;&#1083;&#1072;&#1089;&#1090;&#1100;\2.%20Ugol._&#1052;&#1091;&#1088;&#1084;&#1072;&#1085;&#1089;&#108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75;&#1072;&#1079;_&#1050;&#1088;&#1072;&#1089;&#1085;&#1086;&#1103;&#1088;&#1089;&#1082;&#1080;&#108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91;&#1075;&#1086;&#1083;&#1100;_&#1053;&#1080;&#1078;&#1085;&#1077;&#1082;&#1072;&#1084;&#1077;&#1085;&#1089;&#1082;&#1080;&#108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91;&#1075;&#1086;&#1083;&#1100;_&#1053;&#1086;&#1074;&#1086;&#1087;&#1080;&#1095;&#1091;&#1075;&#1086;&#1074;&#1089;&#1082;&#1080;&#1081;.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91;&#1075;&#1086;&#1083;&#1100;_&#1063;&#1080;&#1085;&#1075;&#1080;&#1089;&#1089;&#1082;&#1080;&#1081;.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91;&#1075;&#1086;&#1083;&#1100;_&#1064;&#1072;&#1081;&#1076;&#1091;&#1088;&#1086;&#1074;&#1089;&#1082;&#1080;&#1081;.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91;&#1075;&#1086;&#1083;&#1100;_&#1055;&#1077;&#1090;&#1088;&#1086;&#1074;&#1089;&#1082;&#1080;&#1081;.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91;&#1075;&#1086;&#1083;&#1100;_&#1055;&#1088;&#1086;&#1083;&#1077;&#1090;&#1072;&#1088;&#1089;&#1082;&#1080;&#1081;.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91;&#1075;&#1086;&#1083;&#1100;_&#1056;&#1086;&#1075;&#1072;&#1083;&#1077;&#1074;&#1089;&#1082;&#1080;&#1081;.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91;&#1075;&#1086;&#1083;&#1100;_&#1057;&#1087;&#1080;&#1088;&#1080;&#1085;&#1089;&#1082;&#1080;&#1081;.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91;&#1075;&#1086;&#1083;&#1100;_&#1059;&#1089;&#1090;&#1100;-&#1051;&#1091;&#1082;&#1086;&#1074;&#1089;&#1082;&#1080;&#108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75;&#1072;&#1079;_&#1053;&#1086;&#1074;&#1086;&#1096;&#1072;&#1088;&#1072;&#1087;&#1089;&#1082;&#1080;&#1081;.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91;&#1075;&#1086;&#1083;&#1100;_&#1059;&#1089;&#1090;&#1102;&#1078;&#1072;&#1085;&#1080;&#1085;&#1089;&#1082;&#1080;&#1081;.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91;&#1075;&#1086;&#1083;&#1100;_&#1060;&#1080;&#1083;&#1080;&#1087;&#1087;&#1086;&#1074;&#1089;&#1082;&#1080;&#1081;.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75;&#1072;&#1079;_&#1088;.&#1087;.&#1054;&#1088;&#1076;&#1099;&#1085;&#1089;&#1082;&#1086;&#107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91;&#1075;&#1086;&#1083;&#1100;_&#1041;&#1077;&#1088;&#1077;&#1079;&#1086;&#1074;&#1089;&#1082;&#1080;&#108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75;&#1072;&#1079;_&#1042;&#1072;&#1075;&#1072;&#1081;&#1094;&#1077;&#1074;&#1089;&#1082;&#1080;&#108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91;&#1075;&#1086;&#1083;&#1100;_&#1042;&#1077;&#1088;&#1093;-&#1040;&#1083;&#1077;&#1091;&#1089;&#1089;&#1082;&#1080;&#108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75;&#1072;&#1079;_&#1042;&#1077;&#1088;&#1093;-&#1048;&#1088;&#1084;&#1077;&#1085;&#1089;&#1082;&#1080;&#1081;.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91;&#1075;&#1086;&#1083;&#1100;_&#1042;&#1077;&#1088;&#1093;-&#1063;&#1080;&#1082;&#1089;&#1082;&#1080;&#108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91;&#1075;&#1086;&#1083;&#1100;_&#1050;&#1080;&#1088;&#1079;&#1080;&#1085;&#1089;&#1082;&#1080;&#108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EDEL.PRICE.NCZ.WARM/2024/&#1088;&#1072;&#1089;&#1095;&#1077;&#1090;&#1099;/&#1054;&#1088;&#1076;&#1099;&#1085;&#1089;&#1082;&#1080;&#1081;/&#1091;&#1075;&#1086;&#1083;&#1100;_&#1050;&#1086;&#1079;&#1080;&#1093;&#1080;&#1085;&#1089;&#1082;&#1080;&#108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одержание"/>
      <sheetName val="Предположения"/>
      <sheetName val="Уголь"/>
      <sheetName val="Модель"/>
      <sheetName val="Результаты на 10 лет уголь"/>
      <sheetName val="ФОТ"/>
      <sheetName val="темп изм Т до АК"/>
      <sheetName val="Коэффициенты"/>
      <sheetName val="КИУМ"/>
      <sheetName val="Топливо"/>
      <sheetName val="Стоимость строительства"/>
      <sheetName val="WACC"/>
      <sheetName val="Техприс. водоснаб и водоот"/>
      <sheetName val="Стоимость земля кадастр"/>
      <sheetName val="Тариф ВиК"/>
      <sheetName val="Тариф ЭЭ"/>
      <sheetName val="Стандартизированные ставки ЭЭ"/>
    </sheetNames>
    <sheetDataSet>
      <sheetData sheetId="0" refreshError="1"/>
      <sheetData sheetId="1">
        <row r="161">
          <cell r="E161">
            <v>10</v>
          </cell>
        </row>
        <row r="165">
          <cell r="E165">
            <v>2891.7928000000002</v>
          </cell>
        </row>
      </sheetData>
      <sheetData sheetId="2" refreshError="1"/>
      <sheetData sheetId="3" refreshError="1"/>
      <sheetData sheetId="4" refreshError="1"/>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Красный Яр, Ордынский муниципальный район</v>
          </cell>
        </row>
        <row r="15">
          <cell r="D15" t="str">
            <v/>
          </cell>
        </row>
        <row r="16">
          <cell r="D16" t="str">
            <v>Код ОКТМО</v>
          </cell>
          <cell r="E16" t="str">
            <v>50642413101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994.35037159416254</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8.5000000000000006E-2</v>
          </cell>
        </row>
        <row r="21">
          <cell r="E21">
            <v>0.112</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4699.5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795.43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136.54</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119.9</v>
          </cell>
        </row>
        <row r="32">
          <cell r="E32">
            <v>5751.37</v>
          </cell>
        </row>
      </sheetData>
      <sheetData sheetId="9" refreshError="1"/>
      <sheetData sheetId="10" refreshError="1"/>
      <sheetData sheetId="11"/>
      <sheetData sheetId="12" refreshError="1"/>
      <sheetData sheetId="13">
        <row r="12">
          <cell r="F12">
            <v>1337.2323504196445</v>
          </cell>
        </row>
        <row r="13">
          <cell r="F13">
            <v>105136.23090983224</v>
          </cell>
        </row>
        <row r="14">
          <cell r="F14">
            <v>64899</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39638.324046481182</v>
          </cell>
        </row>
        <row r="23">
          <cell r="F23">
            <v>21</v>
          </cell>
        </row>
        <row r="26">
          <cell r="F26">
            <v>2892</v>
          </cell>
        </row>
        <row r="28">
          <cell r="F28">
            <v>150.75887532279913</v>
          </cell>
        </row>
        <row r="29">
          <cell r="F29">
            <v>0.201330388</v>
          </cell>
        </row>
        <row r="30">
          <cell r="F30">
            <v>500</v>
          </cell>
        </row>
        <row r="31">
          <cell r="F31">
            <v>9.5962865259740182E-2</v>
          </cell>
        </row>
        <row r="32">
          <cell r="F32">
            <v>8.4029304029304031E-2</v>
          </cell>
        </row>
        <row r="33">
          <cell r="F33">
            <v>0.13880000000000001</v>
          </cell>
        </row>
        <row r="34">
          <cell r="F34">
            <v>0.12640000000000001</v>
          </cell>
        </row>
        <row r="35">
          <cell r="F35">
            <v>10</v>
          </cell>
        </row>
        <row r="37">
          <cell r="F37">
            <v>1.4976266307379205</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2.4E-2</v>
          </cell>
          <cell r="I11">
            <v>8.5999999999999993E-2</v>
          </cell>
        </row>
      </sheetData>
      <sheetData sheetId="20"/>
      <sheetData sheetId="21" refreshError="1"/>
      <sheetData sheetId="22">
        <row r="12">
          <cell r="F12">
            <v>317.62075127153844</v>
          </cell>
        </row>
        <row r="14">
          <cell r="F14">
            <v>4200.2698001645867</v>
          </cell>
        </row>
        <row r="15">
          <cell r="F15">
            <v>0.2</v>
          </cell>
        </row>
        <row r="18">
          <cell r="F18">
            <v>15</v>
          </cell>
        </row>
        <row r="19">
          <cell r="F19">
            <v>2638.2577020926874</v>
          </cell>
        </row>
        <row r="20">
          <cell r="F20">
            <v>2.1999999999999999E-2</v>
          </cell>
        </row>
        <row r="21">
          <cell r="F21">
            <v>10</v>
          </cell>
        </row>
        <row r="22">
          <cell r="F22">
            <v>0.45227662596839741</v>
          </cell>
        </row>
        <row r="23">
          <cell r="F23">
            <v>3.0000000000000001E-3</v>
          </cell>
        </row>
        <row r="24">
          <cell r="F24">
            <v>150.75887532279913</v>
          </cell>
        </row>
      </sheetData>
      <sheetData sheetId="23"/>
      <sheetData sheetId="24">
        <row r="12">
          <cell r="F12">
            <v>233.14266001484705</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32.259143333333334</v>
          </cell>
        </row>
        <row r="27">
          <cell r="F27">
            <v>946.59139764731083</v>
          </cell>
        </row>
        <row r="28">
          <cell r="F28">
            <v>727.02872323142151</v>
          </cell>
        </row>
        <row r="29">
          <cell r="F29">
            <v>219.56267441588932</v>
          </cell>
        </row>
        <row r="30">
          <cell r="F30">
            <v>477.57297391316615</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15.98</v>
          </cell>
        </row>
        <row r="19">
          <cell r="E19">
            <v>18.983333333333334</v>
          </cell>
        </row>
      </sheetData>
      <sheetData sheetId="28" refreshError="1"/>
      <sheetData sheetId="29">
        <row r="12">
          <cell r="F12">
            <v>57.646922666003846</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Нижнекаменка, Ордынский муниципальный район</v>
          </cell>
        </row>
        <row r="15">
          <cell r="D15" t="str">
            <v/>
          </cell>
        </row>
        <row r="16">
          <cell r="D16" t="str">
            <v>Код ОКТМО</v>
          </cell>
          <cell r="E16" t="str">
            <v>50642416101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681.72722270675411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3063.03</v>
          </cell>
        </row>
      </sheetData>
      <sheetData sheetId="9" refreshError="1"/>
      <sheetData sheetId="10" refreshError="1"/>
      <sheetData sheetId="11"/>
      <sheetData sheetId="12" refreshError="1"/>
      <sheetData sheetId="13">
        <row r="12">
          <cell r="F12">
            <v>1988.7336845318171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1266.3745527115127</v>
          </cell>
        </row>
        <row r="27">
          <cell r="F27">
            <v>0.201330388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472.61808029676507</v>
          </cell>
        </row>
        <row r="14">
          <cell r="F14">
            <v>6057.0688307111368</v>
          </cell>
        </row>
        <row r="15">
          <cell r="F15">
            <v>0.2</v>
          </cell>
        </row>
        <row r="18">
          <cell r="F18">
            <v>15</v>
          </cell>
        </row>
        <row r="19">
          <cell r="F19">
            <v>3778.1614077800232</v>
          </cell>
        </row>
        <row r="20">
          <cell r="F20">
            <v>2.1999999999999999E-2</v>
          </cell>
        </row>
        <row r="21">
          <cell r="F21">
            <v>10</v>
          </cell>
        </row>
        <row r="22">
          <cell r="F22">
            <v>3.7991236581345382</v>
          </cell>
        </row>
        <row r="23">
          <cell r="F23">
            <v>3.0000000000000001E-3</v>
          </cell>
        </row>
        <row r="24">
          <cell r="F24">
            <v>1266.3745527115127</v>
          </cell>
        </row>
      </sheetData>
      <sheetData sheetId="24"/>
      <sheetData sheetId="25">
        <row r="12">
          <cell r="F12">
            <v>444.29222275749299</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81.622790000000009</v>
          </cell>
        </row>
        <row r="27">
          <cell r="F27">
            <v>1351.1912129385403</v>
          </cell>
        </row>
        <row r="28">
          <cell r="F28">
            <v>1037.7812695380494</v>
          </cell>
        </row>
        <row r="29">
          <cell r="F29">
            <v>313.40994340049093</v>
          </cell>
        </row>
        <row r="30">
          <cell r="F30">
            <v>1733.4850633453602</v>
          </cell>
        </row>
        <row r="33">
          <cell r="F33">
            <v>1010.5011744884268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22.17</v>
          </cell>
        </row>
        <row r="19">
          <cell r="E19">
            <v>18.983333333333334</v>
          </cell>
        </row>
      </sheetData>
      <sheetData sheetId="29" refreshError="1"/>
      <sheetData sheetId="30">
        <row r="12">
          <cell r="F12">
            <v>71.747424205856589</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Новопичугово, Ордынский муниципальный район</v>
          </cell>
        </row>
        <row r="15">
          <cell r="D15" t="str">
            <v/>
          </cell>
        </row>
        <row r="16">
          <cell r="D16" t="str">
            <v>Код ОКТМО</v>
          </cell>
          <cell r="E16" t="str">
            <v>50642418101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648.97214183397375</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2915.86</v>
          </cell>
        </row>
      </sheetData>
      <sheetData sheetId="9" refreshError="1"/>
      <sheetData sheetId="10" refreshError="1"/>
      <sheetData sheetId="11"/>
      <sheetData sheetId="12" refreshError="1"/>
      <sheetData sheetId="13">
        <row r="12">
          <cell r="F12">
            <v>1988.7336845318171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1266.3745527115127</v>
          </cell>
        </row>
        <row r="27">
          <cell r="F27">
            <v>0.201330388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472.61808029676507</v>
          </cell>
        </row>
        <row r="14">
          <cell r="F14">
            <v>6057.0688307111368</v>
          </cell>
        </row>
        <row r="15">
          <cell r="F15">
            <v>0.2</v>
          </cell>
        </row>
        <row r="18">
          <cell r="F18">
            <v>15</v>
          </cell>
        </row>
        <row r="19">
          <cell r="F19">
            <v>3778.1614077800232</v>
          </cell>
        </row>
        <row r="20">
          <cell r="F20">
            <v>2.1999999999999999E-2</v>
          </cell>
        </row>
        <row r="21">
          <cell r="F21">
            <v>10</v>
          </cell>
        </row>
        <row r="22">
          <cell r="F22">
            <v>3.7991236581345382</v>
          </cell>
        </row>
        <row r="23">
          <cell r="F23">
            <v>3.0000000000000001E-3</v>
          </cell>
        </row>
        <row r="24">
          <cell r="F24">
            <v>1266.3745527115127</v>
          </cell>
        </row>
      </sheetData>
      <sheetData sheetId="24"/>
      <sheetData sheetId="25">
        <row r="12">
          <cell r="F12">
            <v>443.18863981540756</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97.367349999999988</v>
          </cell>
        </row>
        <row r="27">
          <cell r="F27">
            <v>1351.1912129385403</v>
          </cell>
        </row>
        <row r="28">
          <cell r="F28">
            <v>1037.7812695380494</v>
          </cell>
        </row>
        <row r="29">
          <cell r="F29">
            <v>313.40994340049093</v>
          </cell>
        </row>
        <row r="30">
          <cell r="F30">
            <v>1686.9310468101623</v>
          </cell>
        </row>
        <row r="33">
          <cell r="F33">
            <v>962.76818433596634</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25.016666666666666</v>
          </cell>
        </row>
        <row r="19">
          <cell r="E19">
            <v>47.225000000000001</v>
          </cell>
        </row>
      </sheetData>
      <sheetData sheetId="29" refreshError="1"/>
      <sheetData sheetId="30">
        <row r="12">
          <cell r="F12">
            <v>71.070250929559265</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Чингис, Ордынский муниципальный район</v>
          </cell>
        </row>
        <row r="15">
          <cell r="D15" t="str">
            <v/>
          </cell>
        </row>
        <row r="16">
          <cell r="D16" t="str">
            <v>Код ОКТМО</v>
          </cell>
          <cell r="E16" t="str">
            <v>50642437101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681.72722270675411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3063.03</v>
          </cell>
        </row>
      </sheetData>
      <sheetData sheetId="9" refreshError="1"/>
      <sheetData sheetId="10" refreshError="1"/>
      <sheetData sheetId="11"/>
      <sheetData sheetId="12" refreshError="1"/>
      <sheetData sheetId="13">
        <row r="12">
          <cell r="F12">
            <v>1988.7336845318171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1266.3745527115127</v>
          </cell>
        </row>
        <row r="27">
          <cell r="F27">
            <v>0.201330388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472.61808029676507</v>
          </cell>
        </row>
        <row r="14">
          <cell r="F14">
            <v>6057.0688307111368</v>
          </cell>
        </row>
        <row r="15">
          <cell r="F15">
            <v>0.2</v>
          </cell>
        </row>
        <row r="18">
          <cell r="F18">
            <v>15</v>
          </cell>
        </row>
        <row r="19">
          <cell r="F19">
            <v>3778.1614077800232</v>
          </cell>
        </row>
        <row r="20">
          <cell r="F20">
            <v>2.1999999999999999E-2</v>
          </cell>
        </row>
        <row r="21">
          <cell r="F21">
            <v>10</v>
          </cell>
        </row>
        <row r="22">
          <cell r="F22">
            <v>3.7991236581345382</v>
          </cell>
        </row>
        <row r="23">
          <cell r="F23">
            <v>3.0000000000000001E-3</v>
          </cell>
        </row>
        <row r="24">
          <cell r="F24">
            <v>1266.3745527115127</v>
          </cell>
        </row>
      </sheetData>
      <sheetData sheetId="24"/>
      <sheetData sheetId="25">
        <row r="12">
          <cell r="F12">
            <v>444.0164435166393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77.971800000000002</v>
          </cell>
        </row>
        <row r="27">
          <cell r="F27">
            <v>1351.1912129385403</v>
          </cell>
        </row>
        <row r="28">
          <cell r="F28">
            <v>1037.7812695380494</v>
          </cell>
        </row>
        <row r="29">
          <cell r="F29">
            <v>313.40994340049093</v>
          </cell>
        </row>
        <row r="30">
          <cell r="F30">
            <v>1733.2116723527324</v>
          </cell>
        </row>
        <row r="33">
          <cell r="F33">
            <v>1010.5011744884268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19.3</v>
          </cell>
        </row>
        <row r="19">
          <cell r="E19">
            <v>50.424999999999997</v>
          </cell>
        </row>
      </sheetData>
      <sheetData sheetId="29" refreshError="1"/>
      <sheetData sheetId="30">
        <row r="12">
          <cell r="F12">
            <v>71.741908621039514</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поселок Шайдуровский, Ордынский муниципальный район</v>
          </cell>
        </row>
        <row r="15">
          <cell r="D15" t="str">
            <v/>
          </cell>
        </row>
        <row r="16">
          <cell r="D16" t="str">
            <v>Код ОКТМО</v>
          </cell>
          <cell r="E16" t="str">
            <v>50642440101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681.72722270675411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3063.03</v>
          </cell>
        </row>
      </sheetData>
      <sheetData sheetId="9" refreshError="1"/>
      <sheetData sheetId="10" refreshError="1"/>
      <sheetData sheetId="11"/>
      <sheetData sheetId="12" refreshError="1"/>
      <sheetData sheetId="13">
        <row r="12">
          <cell r="F12">
            <v>1988.7336845318171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1266.3745527115127</v>
          </cell>
        </row>
        <row r="27">
          <cell r="F27">
            <v>0.201330388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472.61808029676507</v>
          </cell>
        </row>
        <row r="14">
          <cell r="F14">
            <v>6057.0688307111368</v>
          </cell>
        </row>
        <row r="15">
          <cell r="F15">
            <v>0.2</v>
          </cell>
        </row>
        <row r="18">
          <cell r="F18">
            <v>15</v>
          </cell>
        </row>
        <row r="19">
          <cell r="F19">
            <v>3778.1614077800232</v>
          </cell>
        </row>
        <row r="20">
          <cell r="F20">
            <v>2.1999999999999999E-2</v>
          </cell>
        </row>
        <row r="21">
          <cell r="F21">
            <v>10</v>
          </cell>
        </row>
        <row r="22">
          <cell r="F22">
            <v>3.7991236581345382</v>
          </cell>
        </row>
        <row r="23">
          <cell r="F23">
            <v>3.0000000000000001E-3</v>
          </cell>
        </row>
        <row r="24">
          <cell r="F24">
            <v>1266.3745527115127</v>
          </cell>
        </row>
      </sheetData>
      <sheetData sheetId="24"/>
      <sheetData sheetId="25">
        <row r="12">
          <cell r="F12">
            <v>444.0164435166393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77.971800000000002</v>
          </cell>
        </row>
        <row r="27">
          <cell r="F27">
            <v>1351.1912129385403</v>
          </cell>
        </row>
        <row r="28">
          <cell r="F28">
            <v>1037.7812695380494</v>
          </cell>
        </row>
        <row r="29">
          <cell r="F29">
            <v>313.40994340049093</v>
          </cell>
        </row>
        <row r="30">
          <cell r="F30">
            <v>1733.2116723527324</v>
          </cell>
        </row>
        <row r="33">
          <cell r="F33">
            <v>1010.5011744884268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19.3</v>
          </cell>
        </row>
        <row r="19">
          <cell r="E19">
            <v>50.424999999999997</v>
          </cell>
        </row>
      </sheetData>
      <sheetData sheetId="29" refreshError="1"/>
      <sheetData sheetId="30">
        <row r="12">
          <cell r="F12">
            <v>71.741908621039514</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поселок Петровский, Ордынский муниципальный район</v>
          </cell>
        </row>
        <row r="15">
          <cell r="D15" t="str">
            <v/>
          </cell>
        </row>
        <row r="16">
          <cell r="D16" t="str">
            <v>Код ОКТМО</v>
          </cell>
          <cell r="E16" t="str">
            <v>50642419101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681.72722270675411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3063.03</v>
          </cell>
        </row>
      </sheetData>
      <sheetData sheetId="9" refreshError="1"/>
      <sheetData sheetId="10" refreshError="1"/>
      <sheetData sheetId="11"/>
      <sheetData sheetId="12" refreshError="1"/>
      <sheetData sheetId="13">
        <row r="12">
          <cell r="F12">
            <v>1988.7336845318171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1266.3745527115127</v>
          </cell>
        </row>
        <row r="27">
          <cell r="F27">
            <v>0.201330388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472.61808029676507</v>
          </cell>
        </row>
        <row r="14">
          <cell r="F14">
            <v>6057.0688307111368</v>
          </cell>
        </row>
        <row r="15">
          <cell r="F15">
            <v>0.2</v>
          </cell>
        </row>
        <row r="18">
          <cell r="F18">
            <v>15</v>
          </cell>
        </row>
        <row r="19">
          <cell r="F19">
            <v>3778.1614077800232</v>
          </cell>
        </row>
        <row r="20">
          <cell r="F20">
            <v>2.1999999999999999E-2</v>
          </cell>
        </row>
        <row r="21">
          <cell r="F21">
            <v>10</v>
          </cell>
        </row>
        <row r="22">
          <cell r="F22">
            <v>3.7991236581345382</v>
          </cell>
        </row>
        <row r="23">
          <cell r="F23">
            <v>3.0000000000000001E-3</v>
          </cell>
        </row>
        <row r="24">
          <cell r="F24">
            <v>1266.3745527115127</v>
          </cell>
        </row>
      </sheetData>
      <sheetData sheetId="24"/>
      <sheetData sheetId="25">
        <row r="12">
          <cell r="F12">
            <v>443.50518094141711</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71.20329000000001</v>
          </cell>
        </row>
        <row r="27">
          <cell r="F27">
            <v>1351.1912129385403</v>
          </cell>
        </row>
        <row r="28">
          <cell r="F28">
            <v>1037.7812695380494</v>
          </cell>
        </row>
        <row r="29">
          <cell r="F29">
            <v>313.40994340049093</v>
          </cell>
        </row>
        <row r="30">
          <cell r="F30">
            <v>1732.7048373114117</v>
          </cell>
        </row>
        <row r="33">
          <cell r="F33">
            <v>1010.5011744884268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17.37</v>
          </cell>
        </row>
        <row r="19">
          <cell r="E19">
            <v>50.424999999999997</v>
          </cell>
        </row>
      </sheetData>
      <sheetData sheetId="29" refreshError="1"/>
      <sheetData sheetId="30">
        <row r="12">
          <cell r="F12">
            <v>71.731683369535062</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поселок Пролетарский, Ордынский муниципальный район</v>
          </cell>
        </row>
        <row r="15">
          <cell r="D15" t="str">
            <v/>
          </cell>
        </row>
        <row r="16">
          <cell r="D16" t="str">
            <v>Код ОКТМО</v>
          </cell>
          <cell r="E16" t="str">
            <v>50642422101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681.72722270675411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3063.03</v>
          </cell>
        </row>
      </sheetData>
      <sheetData sheetId="9" refreshError="1"/>
      <sheetData sheetId="10" refreshError="1"/>
      <sheetData sheetId="11"/>
      <sheetData sheetId="12" refreshError="1"/>
      <sheetData sheetId="13">
        <row r="12">
          <cell r="F12">
            <v>1988.7336845318171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1266.3745527115127</v>
          </cell>
        </row>
        <row r="27">
          <cell r="F27">
            <v>0.201330388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472.61808029676507</v>
          </cell>
        </row>
        <row r="14">
          <cell r="F14">
            <v>6057.0688307111368</v>
          </cell>
        </row>
        <row r="15">
          <cell r="F15">
            <v>0.2</v>
          </cell>
        </row>
        <row r="18">
          <cell r="F18">
            <v>15</v>
          </cell>
        </row>
        <row r="19">
          <cell r="F19">
            <v>3778.1614077800232</v>
          </cell>
        </row>
        <row r="20">
          <cell r="F20">
            <v>2.1999999999999999E-2</v>
          </cell>
        </row>
        <row r="21">
          <cell r="F21">
            <v>10</v>
          </cell>
        </row>
        <row r="22">
          <cell r="F22">
            <v>3.7991236581345382</v>
          </cell>
        </row>
        <row r="23">
          <cell r="F23">
            <v>3.0000000000000001E-3</v>
          </cell>
        </row>
        <row r="24">
          <cell r="F24">
            <v>1266.3745527115127</v>
          </cell>
        </row>
      </sheetData>
      <sheetData sheetId="24"/>
      <sheetData sheetId="25">
        <row r="12">
          <cell r="F12">
            <v>442.94888487511309</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63.838589999999996</v>
          </cell>
        </row>
        <row r="27">
          <cell r="F27">
            <v>1351.1912129385403</v>
          </cell>
        </row>
        <row r="28">
          <cell r="F28">
            <v>1037.7812695380494</v>
          </cell>
        </row>
        <row r="29">
          <cell r="F29">
            <v>313.40994340049093</v>
          </cell>
        </row>
        <row r="30">
          <cell r="F30">
            <v>1732.1533587690419</v>
          </cell>
        </row>
        <row r="33">
          <cell r="F33">
            <v>1010.5011744884268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15.27</v>
          </cell>
        </row>
        <row r="19">
          <cell r="E19">
            <v>50.424999999999997</v>
          </cell>
        </row>
      </sheetData>
      <sheetData sheetId="29" refreshError="1"/>
      <sheetData sheetId="30">
        <row r="12">
          <cell r="F12">
            <v>71.720557448208979</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Рогалево, Ордынский муниципальный район</v>
          </cell>
        </row>
        <row r="15">
          <cell r="D15" t="str">
            <v/>
          </cell>
        </row>
        <row r="16">
          <cell r="D16" t="str">
            <v>Код ОКТМО</v>
          </cell>
          <cell r="E16" t="str">
            <v>50642423101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681.72722270675411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3063.03</v>
          </cell>
        </row>
      </sheetData>
      <sheetData sheetId="9" refreshError="1"/>
      <sheetData sheetId="10" refreshError="1"/>
      <sheetData sheetId="11"/>
      <sheetData sheetId="12" refreshError="1"/>
      <sheetData sheetId="13">
        <row r="12">
          <cell r="F12">
            <v>1988.7336845318171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1266.3745527115127</v>
          </cell>
        </row>
        <row r="27">
          <cell r="F27">
            <v>0.201330388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472.61808029676507</v>
          </cell>
        </row>
        <row r="14">
          <cell r="F14">
            <v>6057.0688307111368</v>
          </cell>
        </row>
        <row r="15">
          <cell r="F15">
            <v>0.2</v>
          </cell>
        </row>
        <row r="18">
          <cell r="F18">
            <v>15</v>
          </cell>
        </row>
        <row r="19">
          <cell r="F19">
            <v>3778.1614077800232</v>
          </cell>
        </row>
        <row r="20">
          <cell r="F20">
            <v>2.1999999999999999E-2</v>
          </cell>
        </row>
        <row r="21">
          <cell r="F21">
            <v>10</v>
          </cell>
        </row>
        <row r="22">
          <cell r="F22">
            <v>3.7991236581345382</v>
          </cell>
        </row>
        <row r="23">
          <cell r="F23">
            <v>3.0000000000000001E-3</v>
          </cell>
        </row>
        <row r="24">
          <cell r="F24">
            <v>1266.3745527115127</v>
          </cell>
        </row>
      </sheetData>
      <sheetData sheetId="24"/>
      <sheetData sheetId="25">
        <row r="12">
          <cell r="F12">
            <v>340.81449952819833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62.8917</v>
          </cell>
        </row>
        <row r="27">
          <cell r="F27">
            <v>0</v>
          </cell>
        </row>
        <row r="28">
          <cell r="F28">
            <v>0</v>
          </cell>
        </row>
        <row r="29">
          <cell r="F29">
            <v>0</v>
          </cell>
        </row>
        <row r="30">
          <cell r="F30">
            <v>1630.9034571992313</v>
          </cell>
        </row>
        <row r="33">
          <cell r="F33">
            <v>1010.5011744884268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15</v>
          </cell>
        </row>
        <row r="19">
          <cell r="E19">
            <v>50.424999999999997</v>
          </cell>
        </row>
      </sheetData>
      <sheetData sheetId="29" refreshError="1"/>
      <sheetData sheetId="30">
        <row r="12">
          <cell r="F12">
            <v>69.677869741270683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Спирино, Ордынский муниципальный район</v>
          </cell>
        </row>
        <row r="15">
          <cell r="D15" t="str">
            <v/>
          </cell>
        </row>
        <row r="16">
          <cell r="D16" t="str">
            <v>Код ОКТМО</v>
          </cell>
          <cell r="E16" t="str">
            <v>50642425101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681.72722270675411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3063.03</v>
          </cell>
        </row>
      </sheetData>
      <sheetData sheetId="9" refreshError="1"/>
      <sheetData sheetId="10" refreshError="1"/>
      <sheetData sheetId="11"/>
      <sheetData sheetId="12" refreshError="1"/>
      <sheetData sheetId="13">
        <row r="12">
          <cell r="F12">
            <v>1988.7336845318171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1266.3745527115127</v>
          </cell>
        </row>
        <row r="27">
          <cell r="F27">
            <v>0.201330388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472.61808029676507</v>
          </cell>
        </row>
        <row r="14">
          <cell r="F14">
            <v>6057.0688307111368</v>
          </cell>
        </row>
        <row r="15">
          <cell r="F15">
            <v>0.2</v>
          </cell>
        </row>
        <row r="18">
          <cell r="F18">
            <v>15</v>
          </cell>
        </row>
        <row r="19">
          <cell r="F19">
            <v>3778.1614077800232</v>
          </cell>
        </row>
        <row r="20">
          <cell r="F20">
            <v>2.1999999999999999E-2</v>
          </cell>
        </row>
        <row r="21">
          <cell r="F21">
            <v>10</v>
          </cell>
        </row>
        <row r="22">
          <cell r="F22">
            <v>3.7991236581345382</v>
          </cell>
        </row>
        <row r="23">
          <cell r="F23">
            <v>3.0000000000000001E-3</v>
          </cell>
        </row>
        <row r="24">
          <cell r="F24">
            <v>1266.3745527115127</v>
          </cell>
        </row>
      </sheetData>
      <sheetData sheetId="24"/>
      <sheetData sheetId="25">
        <row r="12">
          <cell r="F12">
            <v>445.82837927545796</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101.95967999999999</v>
          </cell>
        </row>
        <row r="27">
          <cell r="F27">
            <v>1351.1912129385403</v>
          </cell>
        </row>
        <row r="28">
          <cell r="F28">
            <v>1037.7812695380494</v>
          </cell>
        </row>
        <row r="29">
          <cell r="F29">
            <v>313.40994340049093</v>
          </cell>
        </row>
        <row r="30">
          <cell r="F30">
            <v>1735.0079167478798</v>
          </cell>
        </row>
        <row r="33">
          <cell r="F33">
            <v>1010.5011744884268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26.14</v>
          </cell>
        </row>
        <row r="19">
          <cell r="E19">
            <v>50.424999999999997</v>
          </cell>
        </row>
      </sheetData>
      <sheetData sheetId="29" refreshError="1"/>
      <sheetData sheetId="30">
        <row r="12">
          <cell r="F12">
            <v>71.778147336215881</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Усть-Луковка, Ордынский муниципальный район</v>
          </cell>
        </row>
        <row r="15">
          <cell r="D15" t="str">
            <v/>
          </cell>
        </row>
        <row r="16">
          <cell r="D16" t="str">
            <v>Код ОКТМО</v>
          </cell>
          <cell r="E16" t="str">
            <v>50642428101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681.72722270675411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3063.03</v>
          </cell>
        </row>
      </sheetData>
      <sheetData sheetId="9" refreshError="1"/>
      <sheetData sheetId="10" refreshError="1"/>
      <sheetData sheetId="11"/>
      <sheetData sheetId="12" refreshError="1"/>
      <sheetData sheetId="13">
        <row r="12">
          <cell r="F12">
            <v>1988.7336845318171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1266.3745527115127</v>
          </cell>
        </row>
        <row r="27">
          <cell r="F27">
            <v>0.201330388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472.61808029676507</v>
          </cell>
        </row>
        <row r="14">
          <cell r="F14">
            <v>6057.0688307111368</v>
          </cell>
        </row>
        <row r="15">
          <cell r="F15">
            <v>0.2</v>
          </cell>
        </row>
        <row r="18">
          <cell r="F18">
            <v>15</v>
          </cell>
        </row>
        <row r="19">
          <cell r="F19">
            <v>3778.1614077800232</v>
          </cell>
        </row>
        <row r="20">
          <cell r="F20">
            <v>2.1999999999999999E-2</v>
          </cell>
        </row>
        <row r="21">
          <cell r="F21">
            <v>10</v>
          </cell>
        </row>
        <row r="22">
          <cell r="F22">
            <v>3.7991236581345382</v>
          </cell>
        </row>
        <row r="23">
          <cell r="F23">
            <v>3.0000000000000001E-3</v>
          </cell>
        </row>
        <row r="24">
          <cell r="F24">
            <v>1266.3745527115127</v>
          </cell>
        </row>
      </sheetData>
      <sheetData sheetId="24"/>
      <sheetData sheetId="25">
        <row r="12">
          <cell r="F12">
            <v>444.0164435166393</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77.971800000000002</v>
          </cell>
        </row>
        <row r="27">
          <cell r="F27">
            <v>1351.1912129385403</v>
          </cell>
        </row>
        <row r="28">
          <cell r="F28">
            <v>1037.7812695380494</v>
          </cell>
        </row>
        <row r="29">
          <cell r="F29">
            <v>313.40994340049093</v>
          </cell>
        </row>
        <row r="30">
          <cell r="F30">
            <v>1733.2116723527324</v>
          </cell>
        </row>
        <row r="33">
          <cell r="F33">
            <v>1010.5011744884268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19.3</v>
          </cell>
        </row>
        <row r="19">
          <cell r="E19">
            <v>50.424999999999997</v>
          </cell>
        </row>
      </sheetData>
      <sheetData sheetId="29" refreshError="1"/>
      <sheetData sheetId="30">
        <row r="12">
          <cell r="F12">
            <v>71.741908621039514</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деревня Новый Шарап, Ордынский муниципальный район</v>
          </cell>
        </row>
        <row r="15">
          <cell r="D15" t="str">
            <v/>
          </cell>
        </row>
        <row r="16">
          <cell r="D16" t="str">
            <v>Код ОКТМО</v>
          </cell>
          <cell r="E16" t="str">
            <v>50642420101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994.35037159416254</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8.5000000000000006E-2</v>
          </cell>
        </row>
        <row r="21">
          <cell r="E21">
            <v>0.112</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4699.5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795.43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136.54</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119.9</v>
          </cell>
        </row>
        <row r="32">
          <cell r="E32">
            <v>5751.37</v>
          </cell>
        </row>
      </sheetData>
      <sheetData sheetId="9" refreshError="1"/>
      <sheetData sheetId="10" refreshError="1"/>
      <sheetData sheetId="11"/>
      <sheetData sheetId="12" refreshError="1"/>
      <sheetData sheetId="13">
        <row r="12">
          <cell r="F12">
            <v>1337.2323504196445</v>
          </cell>
        </row>
        <row r="13">
          <cell r="F13">
            <v>105136.23090983224</v>
          </cell>
        </row>
        <row r="14">
          <cell r="F14">
            <v>64899</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39638.324046481182</v>
          </cell>
        </row>
        <row r="23">
          <cell r="F23">
            <v>21</v>
          </cell>
        </row>
        <row r="26">
          <cell r="F26">
            <v>2892</v>
          </cell>
        </row>
        <row r="28">
          <cell r="F28">
            <v>150.75887532279913</v>
          </cell>
        </row>
        <row r="29">
          <cell r="F29">
            <v>0.201330388</v>
          </cell>
        </row>
        <row r="30">
          <cell r="F30">
            <v>500</v>
          </cell>
        </row>
        <row r="31">
          <cell r="F31">
            <v>9.5962865259740182E-2</v>
          </cell>
        </row>
        <row r="32">
          <cell r="F32">
            <v>8.4029304029304031E-2</v>
          </cell>
        </row>
        <row r="33">
          <cell r="F33">
            <v>0.13880000000000001</v>
          </cell>
        </row>
        <row r="34">
          <cell r="F34">
            <v>0.12640000000000001</v>
          </cell>
        </row>
        <row r="35">
          <cell r="F35">
            <v>10</v>
          </cell>
        </row>
        <row r="37">
          <cell r="F37">
            <v>1.4976266307379205</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2.4E-2</v>
          </cell>
          <cell r="I11">
            <v>8.5999999999999993E-2</v>
          </cell>
        </row>
      </sheetData>
      <sheetData sheetId="20"/>
      <sheetData sheetId="21" refreshError="1"/>
      <sheetData sheetId="22">
        <row r="12">
          <cell r="F12">
            <v>317.62075127153844</v>
          </cell>
        </row>
        <row r="14">
          <cell r="F14">
            <v>4200.2698001645867</v>
          </cell>
        </row>
        <row r="15">
          <cell r="F15">
            <v>0.2</v>
          </cell>
        </row>
        <row r="18">
          <cell r="F18">
            <v>15</v>
          </cell>
        </row>
        <row r="19">
          <cell r="F19">
            <v>2638.2577020926874</v>
          </cell>
        </row>
        <row r="20">
          <cell r="F20">
            <v>2.1999999999999999E-2</v>
          </cell>
        </row>
        <row r="21">
          <cell r="F21">
            <v>10</v>
          </cell>
        </row>
        <row r="22">
          <cell r="F22">
            <v>0.45227662596839741</v>
          </cell>
        </row>
        <row r="23">
          <cell r="F23">
            <v>3.0000000000000001E-3</v>
          </cell>
        </row>
        <row r="24">
          <cell r="F24">
            <v>150.75887532279913</v>
          </cell>
        </row>
      </sheetData>
      <sheetData sheetId="23"/>
      <sheetData sheetId="24">
        <row r="12">
          <cell r="F12">
            <v>234.22747158619012</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47.113160000000001</v>
          </cell>
        </row>
        <row r="27">
          <cell r="F27">
            <v>946.59139764731083</v>
          </cell>
        </row>
        <row r="28">
          <cell r="F28">
            <v>727.02872323142151</v>
          </cell>
        </row>
        <row r="29">
          <cell r="F29">
            <v>219.56267441588932</v>
          </cell>
        </row>
        <row r="30">
          <cell r="F30">
            <v>478.68526245983742</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22.17</v>
          </cell>
        </row>
        <row r="19">
          <cell r="E19">
            <v>58.64</v>
          </cell>
        </row>
      </sheetData>
      <sheetData sheetId="28" refreshError="1"/>
      <sheetData sheetId="29">
        <row r="12">
          <cell r="F12">
            <v>57.668618897430704</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деревня Устюжанино, Ордынский муниципальный район</v>
          </cell>
        </row>
        <row r="15">
          <cell r="D15" t="str">
            <v/>
          </cell>
        </row>
        <row r="16">
          <cell r="D16" t="str">
            <v>Код ОКТМО</v>
          </cell>
          <cell r="E16" t="str">
            <v>50642431101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681.72722270675411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3063.03</v>
          </cell>
        </row>
      </sheetData>
      <sheetData sheetId="9" refreshError="1"/>
      <sheetData sheetId="10" refreshError="1"/>
      <sheetData sheetId="11"/>
      <sheetData sheetId="12" refreshError="1"/>
      <sheetData sheetId="13">
        <row r="12">
          <cell r="F12">
            <v>1988.7336845318171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1266.3745527115127</v>
          </cell>
        </row>
        <row r="27">
          <cell r="F27">
            <v>0.201330388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472.61808029676507</v>
          </cell>
        </row>
        <row r="14">
          <cell r="F14">
            <v>6057.0688307111368</v>
          </cell>
        </row>
        <row r="15">
          <cell r="F15">
            <v>0.2</v>
          </cell>
        </row>
        <row r="18">
          <cell r="F18">
            <v>15</v>
          </cell>
        </row>
        <row r="19">
          <cell r="F19">
            <v>3778.1614077800232</v>
          </cell>
        </row>
        <row r="20">
          <cell r="F20">
            <v>2.1999999999999999E-2</v>
          </cell>
        </row>
        <row r="21">
          <cell r="F21">
            <v>10</v>
          </cell>
        </row>
        <row r="22">
          <cell r="F22">
            <v>3.7991236581345382</v>
          </cell>
        </row>
        <row r="23">
          <cell r="F23">
            <v>3.0000000000000001E-3</v>
          </cell>
        </row>
        <row r="24">
          <cell r="F24">
            <v>1266.3745527115127</v>
          </cell>
        </row>
      </sheetData>
      <sheetData sheetId="24"/>
      <sheetData sheetId="25">
        <row r="12">
          <cell r="F12">
            <v>443.86809789895818</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76.007879999999986</v>
          </cell>
        </row>
        <row r="27">
          <cell r="F27">
            <v>1351.1912129385403</v>
          </cell>
        </row>
        <row r="28">
          <cell r="F28">
            <v>1037.7812695380494</v>
          </cell>
        </row>
        <row r="29">
          <cell r="F29">
            <v>313.40994340049093</v>
          </cell>
        </row>
        <row r="30">
          <cell r="F30">
            <v>1733.0646114081005</v>
          </cell>
        </row>
        <row r="33">
          <cell r="F33">
            <v>1010.5011744884268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18.739999999999998</v>
          </cell>
        </row>
        <row r="19">
          <cell r="E19">
            <v>50.424999999999997</v>
          </cell>
        </row>
      </sheetData>
      <sheetData sheetId="29" refreshError="1"/>
      <sheetData sheetId="30">
        <row r="12">
          <cell r="F12">
            <v>71.738941708685886</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Филиппово, Ордынский муниципальный район</v>
          </cell>
        </row>
        <row r="15">
          <cell r="D15" t="str">
            <v/>
          </cell>
        </row>
        <row r="16">
          <cell r="D16" t="str">
            <v>Код ОКТМО</v>
          </cell>
          <cell r="E16" t="str">
            <v>50642434101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681.72722270675411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3063.03</v>
          </cell>
        </row>
      </sheetData>
      <sheetData sheetId="9" refreshError="1"/>
      <sheetData sheetId="10" refreshError="1"/>
      <sheetData sheetId="11"/>
      <sheetData sheetId="12" refreshError="1"/>
      <sheetData sheetId="13">
        <row r="12">
          <cell r="F12">
            <v>1988.7336845318171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1266.3745527115127</v>
          </cell>
        </row>
        <row r="27">
          <cell r="F27">
            <v>0.201330388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472.61808029676507</v>
          </cell>
        </row>
        <row r="14">
          <cell r="F14">
            <v>6057.0688307111368</v>
          </cell>
        </row>
        <row r="15">
          <cell r="F15">
            <v>0.2</v>
          </cell>
        </row>
        <row r="18">
          <cell r="F18">
            <v>15</v>
          </cell>
        </row>
        <row r="19">
          <cell r="F19">
            <v>3778.1614077800232</v>
          </cell>
        </row>
        <row r="20">
          <cell r="F20">
            <v>2.1999999999999999E-2</v>
          </cell>
        </row>
        <row r="21">
          <cell r="F21">
            <v>10</v>
          </cell>
        </row>
        <row r="22">
          <cell r="F22">
            <v>3.7991236581345382</v>
          </cell>
        </row>
        <row r="23">
          <cell r="F23">
            <v>3.0000000000000001E-3</v>
          </cell>
        </row>
        <row r="24">
          <cell r="F24">
            <v>1266.3745527115127</v>
          </cell>
        </row>
      </sheetData>
      <sheetData sheetId="24"/>
      <sheetData sheetId="25">
        <row r="12">
          <cell r="F12">
            <v>341.85821690974007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76.709279999999993</v>
          </cell>
        </row>
        <row r="27">
          <cell r="F27">
            <v>0</v>
          </cell>
        </row>
        <row r="28">
          <cell r="F28">
            <v>0</v>
          </cell>
        </row>
        <row r="29">
          <cell r="F29">
            <v>0</v>
          </cell>
        </row>
        <row r="30">
          <cell r="F30">
            <v>1631.9381359882489</v>
          </cell>
        </row>
        <row r="33">
          <cell r="F33">
            <v>1010.5011744884268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18.940000000000001</v>
          </cell>
        </row>
        <row r="19">
          <cell r="E19">
            <v>50.424999999999997</v>
          </cell>
        </row>
      </sheetData>
      <sheetData sheetId="29" refreshError="1"/>
      <sheetData sheetId="30">
        <row r="12">
          <cell r="F12">
            <v>69.69874408890152</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sheetDataSet>
      <sheetData sheetId="0"/>
      <sheetData sheetId="1"/>
      <sheetData sheetId="2"/>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рабочий поселок Ордынское, Ордынский муниципальный район</v>
          </cell>
        </row>
        <row r="15">
          <cell r="D15" t="str">
            <v/>
          </cell>
        </row>
        <row r="16">
          <cell r="D16" t="str">
            <v>Код ОКТМО</v>
          </cell>
          <cell r="E16" t="str">
            <v>50642151051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sheetData sheetId="5"/>
      <sheetData sheetId="6"/>
      <sheetData sheetId="7">
        <row r="12">
          <cell r="F12">
            <v>994.35037159416254</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8.5000000000000006E-2</v>
          </cell>
        </row>
        <row r="21">
          <cell r="E21">
            <v>0.112</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4699.5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795.43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136.54</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119.9</v>
          </cell>
        </row>
        <row r="32">
          <cell r="E32">
            <v>5751.37</v>
          </cell>
        </row>
      </sheetData>
      <sheetData sheetId="9"/>
      <sheetData sheetId="10"/>
      <sheetData sheetId="11"/>
      <sheetData sheetId="12"/>
      <sheetData sheetId="13">
        <row r="12">
          <cell r="F12">
            <v>1337.2323504196445</v>
          </cell>
        </row>
        <row r="13">
          <cell r="F13">
            <v>105136.23090983224</v>
          </cell>
        </row>
        <row r="14">
          <cell r="F14">
            <v>64899</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39638.324046481182</v>
          </cell>
        </row>
        <row r="23">
          <cell r="F23">
            <v>21</v>
          </cell>
        </row>
        <row r="26">
          <cell r="F26">
            <v>2892</v>
          </cell>
        </row>
        <row r="28">
          <cell r="F28">
            <v>150.75887532279913</v>
          </cell>
        </row>
        <row r="29">
          <cell r="F29">
            <v>0.201330388</v>
          </cell>
        </row>
        <row r="30">
          <cell r="F30">
            <v>500</v>
          </cell>
        </row>
        <row r="31">
          <cell r="F31">
            <v>9.5962865259740182E-2</v>
          </cell>
        </row>
        <row r="32">
          <cell r="F32">
            <v>8.4029304029304031E-2</v>
          </cell>
        </row>
        <row r="33">
          <cell r="F33">
            <v>0.13880000000000001</v>
          </cell>
        </row>
        <row r="34">
          <cell r="F34">
            <v>0.12640000000000001</v>
          </cell>
        </row>
        <row r="35">
          <cell r="F35">
            <v>10</v>
          </cell>
        </row>
        <row r="37">
          <cell r="F37">
            <v>1.4976266307379205</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2.4E-2</v>
          </cell>
          <cell r="I11">
            <v>8.5999999999999993E-2</v>
          </cell>
        </row>
      </sheetData>
      <sheetData sheetId="20"/>
      <sheetData sheetId="21"/>
      <sheetData sheetId="22">
        <row r="12">
          <cell r="F12">
            <v>317.62075127153844</v>
          </cell>
        </row>
        <row r="14">
          <cell r="F14">
            <v>4200.2698001645867</v>
          </cell>
        </row>
        <row r="15">
          <cell r="F15">
            <v>0.2</v>
          </cell>
        </row>
        <row r="18">
          <cell r="F18">
            <v>15</v>
          </cell>
        </row>
        <row r="19">
          <cell r="F19">
            <v>2638.2577020926874</v>
          </cell>
        </row>
        <row r="20">
          <cell r="F20">
            <v>2.1999999999999999E-2</v>
          </cell>
        </row>
        <row r="21">
          <cell r="F21">
            <v>10</v>
          </cell>
        </row>
        <row r="22">
          <cell r="F22">
            <v>0.45227662596839741</v>
          </cell>
        </row>
        <row r="23">
          <cell r="F23">
            <v>3.0000000000000001E-3</v>
          </cell>
        </row>
        <row r="24">
          <cell r="F24">
            <v>150.75887532279913</v>
          </cell>
        </row>
      </sheetData>
      <sheetData sheetId="23"/>
      <sheetData sheetId="24">
        <row r="12">
          <cell r="F12">
            <v>233.97273505167814</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43.625124999999997</v>
          </cell>
        </row>
        <row r="27">
          <cell r="F27">
            <v>946.59139764731083</v>
          </cell>
        </row>
        <row r="28">
          <cell r="F28">
            <v>727.02872323142151</v>
          </cell>
        </row>
        <row r="29">
          <cell r="F29">
            <v>219.56267441588932</v>
          </cell>
        </row>
        <row r="30">
          <cell r="F30">
            <v>478.4240737545901</v>
          </cell>
        </row>
      </sheetData>
      <sheetData sheetId="25"/>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20.675000000000001</v>
          </cell>
        </row>
        <row r="19">
          <cell r="E19">
            <v>50.424999999999997</v>
          </cell>
        </row>
      </sheetData>
      <sheetData sheetId="28"/>
      <sheetData sheetId="29">
        <row r="12">
          <cell r="F12">
            <v>57.663524166740473</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деревня Березовка, Ордынский муниципальный район</v>
          </cell>
        </row>
        <row r="15">
          <cell r="D15" t="str">
            <v/>
          </cell>
        </row>
        <row r="16">
          <cell r="D16" t="str">
            <v>Код ОКТМО</v>
          </cell>
          <cell r="E16" t="str">
            <v>50642403101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681.72722270675411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3063.03</v>
          </cell>
        </row>
      </sheetData>
      <sheetData sheetId="9" refreshError="1"/>
      <sheetData sheetId="10" refreshError="1"/>
      <sheetData sheetId="11"/>
      <sheetData sheetId="12" refreshError="1"/>
      <sheetData sheetId="13">
        <row r="12">
          <cell r="F12">
            <v>1988.7336845318171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1266.3745527115127</v>
          </cell>
        </row>
        <row r="27">
          <cell r="F27">
            <v>0.201330388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472.61808029676507</v>
          </cell>
        </row>
        <row r="14">
          <cell r="F14">
            <v>6057.0688307111368</v>
          </cell>
        </row>
        <row r="15">
          <cell r="F15">
            <v>0.2</v>
          </cell>
        </row>
        <row r="18">
          <cell r="F18">
            <v>15</v>
          </cell>
        </row>
        <row r="19">
          <cell r="F19">
            <v>3778.1614077800232</v>
          </cell>
        </row>
        <row r="20">
          <cell r="F20">
            <v>2.1999999999999999E-2</v>
          </cell>
        </row>
        <row r="21">
          <cell r="F21">
            <v>10</v>
          </cell>
        </row>
        <row r="22">
          <cell r="F22">
            <v>3.7991236581345382</v>
          </cell>
        </row>
        <row r="23">
          <cell r="F23">
            <v>3.0000000000000001E-3</v>
          </cell>
        </row>
        <row r="24">
          <cell r="F24">
            <v>1266.3745527115127</v>
          </cell>
        </row>
      </sheetData>
      <sheetData sheetId="24"/>
      <sheetData sheetId="25">
        <row r="12">
          <cell r="F12">
            <v>444.61190850023547</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85.855050000000006</v>
          </cell>
        </row>
        <row r="27">
          <cell r="F27">
            <v>1351.1912129385403</v>
          </cell>
        </row>
        <row r="28">
          <cell r="F28">
            <v>1037.7812695380494</v>
          </cell>
        </row>
        <row r="29">
          <cell r="F29">
            <v>313.40994340049093</v>
          </cell>
        </row>
        <row r="30">
          <cell r="F30">
            <v>1733.8019806095706</v>
          </cell>
        </row>
        <row r="33">
          <cell r="F33">
            <v>1010.5011744884268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21.07</v>
          </cell>
        </row>
        <row r="19">
          <cell r="E19">
            <v>58.64</v>
          </cell>
        </row>
      </sheetData>
      <sheetData sheetId="29" refreshError="1"/>
      <sheetData sheetId="30">
        <row r="12">
          <cell r="F12">
            <v>71.753817920711441</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Вагайцево, Ордынский муниципальный район</v>
          </cell>
        </row>
        <row r="15">
          <cell r="D15" t="str">
            <v/>
          </cell>
        </row>
        <row r="16">
          <cell r="D16" t="str">
            <v>Код ОКТМО</v>
          </cell>
          <cell r="E16" t="str">
            <v>50642401101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994.35037159416254</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8.5000000000000006E-2</v>
          </cell>
        </row>
        <row r="21">
          <cell r="E21">
            <v>0.112</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4699.5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795.43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136.54</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119.9</v>
          </cell>
        </row>
        <row r="32">
          <cell r="E32">
            <v>5751.37</v>
          </cell>
        </row>
      </sheetData>
      <sheetData sheetId="9" refreshError="1"/>
      <sheetData sheetId="10" refreshError="1"/>
      <sheetData sheetId="11"/>
      <sheetData sheetId="12" refreshError="1"/>
      <sheetData sheetId="13">
        <row r="12">
          <cell r="F12">
            <v>1337.2323504196445</v>
          </cell>
        </row>
        <row r="13">
          <cell r="F13">
            <v>105136.23090983224</v>
          </cell>
        </row>
        <row r="14">
          <cell r="F14">
            <v>64899</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39638.324046481182</v>
          </cell>
        </row>
        <row r="23">
          <cell r="F23">
            <v>21</v>
          </cell>
        </row>
        <row r="26">
          <cell r="F26">
            <v>2892</v>
          </cell>
        </row>
        <row r="28">
          <cell r="F28">
            <v>150.75887532279913</v>
          </cell>
        </row>
        <row r="29">
          <cell r="F29">
            <v>0.201330388</v>
          </cell>
        </row>
        <row r="30">
          <cell r="F30">
            <v>500</v>
          </cell>
        </row>
        <row r="31">
          <cell r="F31">
            <v>9.5962865259740182E-2</v>
          </cell>
        </row>
        <row r="32">
          <cell r="F32">
            <v>8.4029304029304031E-2</v>
          </cell>
        </row>
        <row r="33">
          <cell r="F33">
            <v>0.13880000000000001</v>
          </cell>
        </row>
        <row r="34">
          <cell r="F34">
            <v>0.12640000000000001</v>
          </cell>
        </row>
        <row r="35">
          <cell r="F35">
            <v>10</v>
          </cell>
        </row>
        <row r="37">
          <cell r="F37">
            <v>1.4976266307379205</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2.4E-2</v>
          </cell>
          <cell r="I11">
            <v>8.5999999999999993E-2</v>
          </cell>
        </row>
      </sheetData>
      <sheetData sheetId="20"/>
      <sheetData sheetId="21" refreshError="1"/>
      <sheetData sheetId="22">
        <row r="12">
          <cell r="F12">
            <v>317.62075127153844</v>
          </cell>
        </row>
        <row r="14">
          <cell r="F14">
            <v>4200.2698001645867</v>
          </cell>
        </row>
        <row r="15">
          <cell r="F15">
            <v>0.2</v>
          </cell>
        </row>
        <row r="18">
          <cell r="F18">
            <v>15</v>
          </cell>
        </row>
        <row r="19">
          <cell r="F19">
            <v>2638.2577020926874</v>
          </cell>
        </row>
        <row r="20">
          <cell r="F20">
            <v>2.1999999999999999E-2</v>
          </cell>
        </row>
        <row r="21">
          <cell r="F21">
            <v>10</v>
          </cell>
        </row>
        <row r="22">
          <cell r="F22">
            <v>0.45227662596839741</v>
          </cell>
        </row>
        <row r="23">
          <cell r="F23">
            <v>3.0000000000000001E-3</v>
          </cell>
        </row>
        <row r="24">
          <cell r="F24">
            <v>150.75887532279913</v>
          </cell>
        </row>
      </sheetData>
      <sheetData sheetId="23"/>
      <sheetData sheetId="24">
        <row r="12">
          <cell r="F12">
            <v>234.0165316953655</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44.224820000000001</v>
          </cell>
        </row>
        <row r="27">
          <cell r="F27">
            <v>946.59139764731083</v>
          </cell>
        </row>
        <row r="28">
          <cell r="F28">
            <v>727.02872323142151</v>
          </cell>
        </row>
        <row r="29">
          <cell r="F29">
            <v>219.56267441588932</v>
          </cell>
        </row>
        <row r="30">
          <cell r="F30">
            <v>478.46897971470611</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20.675000000000001</v>
          </cell>
        </row>
        <row r="19">
          <cell r="E19">
            <v>58.64</v>
          </cell>
        </row>
      </sheetData>
      <sheetData sheetId="28" refreshError="1"/>
      <sheetData sheetId="29">
        <row r="12">
          <cell r="F12">
            <v>57.664400099614213</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Верх-Алеус, Ордынский муниципальный район</v>
          </cell>
        </row>
        <row r="15">
          <cell r="D15" t="str">
            <v/>
          </cell>
        </row>
        <row r="16">
          <cell r="D16" t="str">
            <v>Код ОКТМО</v>
          </cell>
          <cell r="E16" t="str">
            <v>50642402101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681.72722270675411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3063.03</v>
          </cell>
        </row>
      </sheetData>
      <sheetData sheetId="9" refreshError="1"/>
      <sheetData sheetId="10" refreshError="1"/>
      <sheetData sheetId="11"/>
      <sheetData sheetId="12" refreshError="1"/>
      <sheetData sheetId="13">
        <row r="12">
          <cell r="F12">
            <v>1988.7336845318171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1266.3745527115127</v>
          </cell>
        </row>
        <row r="27">
          <cell r="F27">
            <v>0.201330388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472.61808029676507</v>
          </cell>
        </row>
        <row r="14">
          <cell r="F14">
            <v>6057.0688307111368</v>
          </cell>
        </row>
        <row r="15">
          <cell r="F15">
            <v>0.2</v>
          </cell>
        </row>
        <row r="18">
          <cell r="F18">
            <v>15</v>
          </cell>
        </row>
        <row r="19">
          <cell r="F19">
            <v>3778.1614077800232</v>
          </cell>
        </row>
        <row r="20">
          <cell r="F20">
            <v>2.1999999999999999E-2</v>
          </cell>
        </row>
        <row r="21">
          <cell r="F21">
            <v>10</v>
          </cell>
        </row>
        <row r="22">
          <cell r="F22">
            <v>3.7991236581345382</v>
          </cell>
        </row>
        <row r="23">
          <cell r="F23">
            <v>3.0000000000000001E-3</v>
          </cell>
        </row>
        <row r="24">
          <cell r="F24">
            <v>1266.3745527115127</v>
          </cell>
        </row>
      </sheetData>
      <sheetData sheetId="24"/>
      <sheetData sheetId="25">
        <row r="12">
          <cell r="F12">
            <v>444.35053765003551</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82.394810000000007</v>
          </cell>
        </row>
        <row r="27">
          <cell r="F27">
            <v>1351.1912129385403</v>
          </cell>
        </row>
        <row r="28">
          <cell r="F28">
            <v>1037.7812695380494</v>
          </cell>
        </row>
        <row r="29">
          <cell r="F29">
            <v>313.40994340049093</v>
          </cell>
        </row>
        <row r="30">
          <cell r="F30">
            <v>1733.5428732309333</v>
          </cell>
        </row>
        <row r="33">
          <cell r="F33">
            <v>1010.5011744884268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20.083333333333336</v>
          </cell>
        </row>
        <row r="19">
          <cell r="E19">
            <v>58.64</v>
          </cell>
        </row>
      </sheetData>
      <sheetData sheetId="29" refreshError="1"/>
      <sheetData sheetId="30">
        <row r="12">
          <cell r="F12">
            <v>71.748590503707433</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С2.5"/>
      <sheetName val="С2.6"/>
      <sheetName val="Data2.6"/>
      <sheetName val="С3"/>
      <sheetName val="С3.1"/>
      <sheetName val="С4"/>
      <sheetName val="С4.1"/>
      <sheetName val="С4.2"/>
      <sheetName val="С4.3"/>
      <sheetName val="С4.4"/>
      <sheetName val="С5"/>
      <sheetName val="С6"/>
      <sheetName val="С6.1"/>
      <sheetName val="И3"/>
      <sheetName val="Проверка"/>
      <sheetName val="Системный"/>
      <sheetName val="АК_прогноз"/>
      <sheetName val="Гр&amp;ПУЦ_v1"/>
      <sheetName val="Заморозка"/>
      <sheetName val="ИПГ_мо"/>
      <sheetName val="ИПГ_рег"/>
      <sheetName val="Темп VS ИПГ"/>
      <sheetName val="МУ770_Т1"/>
      <sheetName val="ИПЦ_ИПГ"/>
      <sheetName val="ПУЦ (п.67)"/>
      <sheetName val="Гр&amp;ПУЦ_v2"/>
      <sheetName val="Лист1"/>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Верх-Ирмень, Ордынский муниципальный район</v>
          </cell>
        </row>
        <row r="15">
          <cell r="D15" t="str">
            <v/>
          </cell>
        </row>
        <row r="16">
          <cell r="D16" t="str">
            <v>Код ОКТМО</v>
          </cell>
          <cell r="E16" t="str">
            <v>50642404101</v>
          </cell>
        </row>
        <row r="17">
          <cell r="D17" t="str">
            <v>Система теплоснабжения</v>
          </cell>
        </row>
        <row r="18">
          <cell r="D18" t="str">
            <v>Вид топлива, использование которого преобладает в системе теплоснабжения</v>
          </cell>
          <cell r="E18" t="str">
            <v>Газ</v>
          </cell>
        </row>
      </sheetData>
      <sheetData sheetId="4" refreshError="1"/>
      <sheetData sheetId="5" refreshError="1"/>
      <sheetData sheetId="6" refreshError="1"/>
      <sheetData sheetId="7">
        <row r="12">
          <cell r="F12">
            <v>994.35037159416254</v>
          </cell>
        </row>
        <row r="13">
          <cell r="F13">
            <v>156.1</v>
          </cell>
        </row>
        <row r="16">
          <cell r="F16">
            <v>7000</v>
          </cell>
        </row>
        <row r="17">
          <cell r="F17">
            <v>1.1285714285714286</v>
          </cell>
        </row>
        <row r="20">
          <cell r="F20">
            <v>22.307053372799995</v>
          </cell>
        </row>
        <row r="21">
          <cell r="F21">
            <v>21.531904799999996</v>
          </cell>
        </row>
        <row r="22">
          <cell r="F22">
            <v>1.036</v>
          </cell>
        </row>
        <row r="23">
          <cell r="F23" t="str">
            <v>-</v>
          </cell>
        </row>
      </sheetData>
      <sheetData sheetId="8">
        <row r="16">
          <cell r="E16">
            <v>7900</v>
          </cell>
        </row>
        <row r="20">
          <cell r="E20">
            <v>8.5000000000000006E-2</v>
          </cell>
        </row>
        <row r="21">
          <cell r="E21">
            <v>0.112</v>
          </cell>
        </row>
        <row r="25">
          <cell r="E25" t="str">
            <v>ООО "Газпром газораспределение Томск"</v>
          </cell>
        </row>
        <row r="26">
          <cell r="D26" t="str">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ell>
          <cell r="E26">
            <v>4699.5</v>
          </cell>
        </row>
        <row r="27">
          <cell r="D27" t="str">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ell>
          <cell r="E27">
            <v>795.43</v>
          </cell>
        </row>
        <row r="28">
          <cell r="D28" t="str">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ell>
          <cell r="E28">
            <v>136.54</v>
          </cell>
        </row>
        <row r="29">
          <cell r="D29" t="str">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ell>
          <cell r="E29">
            <v>119.9</v>
          </cell>
        </row>
        <row r="32">
          <cell r="E32">
            <v>5751.37</v>
          </cell>
        </row>
      </sheetData>
      <sheetData sheetId="9" refreshError="1"/>
      <sheetData sheetId="10" refreshError="1"/>
      <sheetData sheetId="11"/>
      <sheetData sheetId="12" refreshError="1"/>
      <sheetData sheetId="13">
        <row r="12">
          <cell r="F12">
            <v>1337.2323504196445</v>
          </cell>
        </row>
        <row r="13">
          <cell r="F13">
            <v>105136.23090983224</v>
          </cell>
        </row>
        <row r="14">
          <cell r="F14">
            <v>64899</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39638.324046481182</v>
          </cell>
        </row>
        <row r="23">
          <cell r="F23">
            <v>21</v>
          </cell>
        </row>
        <row r="26">
          <cell r="F26">
            <v>2892</v>
          </cell>
        </row>
        <row r="28">
          <cell r="F28">
            <v>150.75887532279913</v>
          </cell>
        </row>
        <row r="29">
          <cell r="F29">
            <v>0.201330388</v>
          </cell>
        </row>
        <row r="30">
          <cell r="F30">
            <v>500</v>
          </cell>
        </row>
        <row r="31">
          <cell r="F31">
            <v>9.5962865259740182E-2</v>
          </cell>
        </row>
        <row r="32">
          <cell r="F32">
            <v>8.4029304029304031E-2</v>
          </cell>
        </row>
        <row r="33">
          <cell r="F33">
            <v>0.13880000000000001</v>
          </cell>
        </row>
        <row r="34">
          <cell r="F34">
            <v>0.12640000000000001</v>
          </cell>
        </row>
        <row r="35">
          <cell r="F35">
            <v>10</v>
          </cell>
        </row>
        <row r="37">
          <cell r="F37">
            <v>1.4976266307379205</v>
          </cell>
        </row>
        <row r="39">
          <cell r="F39">
            <v>21.531904799999996</v>
          </cell>
        </row>
        <row r="40">
          <cell r="F40">
            <v>7</v>
          </cell>
        </row>
        <row r="42">
          <cell r="F42">
            <v>0.97</v>
          </cell>
        </row>
        <row r="44">
          <cell r="F44">
            <v>0.36199999999999999</v>
          </cell>
        </row>
      </sheetData>
      <sheetData sheetId="14">
        <row r="12">
          <cell r="E12" t="str">
            <v>V</v>
          </cell>
        </row>
        <row r="13">
          <cell r="E13" t="str">
            <v>6 и менее баллов</v>
          </cell>
        </row>
        <row r="14">
          <cell r="E14" t="str">
            <v>от 200 до 500</v>
          </cell>
        </row>
        <row r="15">
          <cell r="E15" t="str">
            <v>нет</v>
          </cell>
        </row>
        <row r="20">
          <cell r="E20">
            <v>-37</v>
          </cell>
        </row>
        <row r="23">
          <cell r="E23" t="str">
            <v>нет</v>
          </cell>
        </row>
        <row r="28">
          <cell r="E28">
            <v>14036.09995</v>
          </cell>
        </row>
        <row r="29">
          <cell r="E29">
            <v>9518.3274000000001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5.45</v>
          </cell>
        </row>
        <row r="12">
          <cell r="E12">
            <v>0.2</v>
          </cell>
        </row>
        <row r="13">
          <cell r="E13">
            <v>300</v>
          </cell>
        </row>
        <row r="14">
          <cell r="E14">
            <v>61211</v>
          </cell>
        </row>
        <row r="15">
          <cell r="E15">
            <v>45675</v>
          </cell>
        </row>
        <row r="16">
          <cell r="E16">
            <v>65637</v>
          </cell>
        </row>
        <row r="17">
          <cell r="E17">
            <v>31684</v>
          </cell>
        </row>
      </sheetData>
      <sheetData sheetId="18"/>
      <sheetData sheetId="19">
        <row r="11">
          <cell r="E11">
            <v>-2.9000000000000026E-2</v>
          </cell>
          <cell r="F11">
            <v>0.245</v>
          </cell>
          <cell r="G11">
            <v>0.114</v>
          </cell>
          <cell r="H11">
            <v>2.4E-2</v>
          </cell>
          <cell r="I11">
            <v>8.5999999999999993E-2</v>
          </cell>
        </row>
      </sheetData>
      <sheetData sheetId="20"/>
      <sheetData sheetId="21" refreshError="1"/>
      <sheetData sheetId="22">
        <row r="12">
          <cell r="F12">
            <v>317.62075127153844</v>
          </cell>
        </row>
        <row r="14">
          <cell r="F14">
            <v>4200.2698001645867</v>
          </cell>
        </row>
        <row r="15">
          <cell r="F15">
            <v>0.2</v>
          </cell>
        </row>
        <row r="18">
          <cell r="F18">
            <v>15</v>
          </cell>
        </row>
        <row r="19">
          <cell r="F19">
            <v>2638.2577020926874</v>
          </cell>
        </row>
        <row r="20">
          <cell r="F20">
            <v>2.1999999999999999E-2</v>
          </cell>
        </row>
        <row r="21">
          <cell r="F21">
            <v>10</v>
          </cell>
        </row>
        <row r="22">
          <cell r="F22">
            <v>0.45227662596839741</v>
          </cell>
        </row>
        <row r="23">
          <cell r="F23">
            <v>3.0000000000000001E-3</v>
          </cell>
        </row>
        <row r="24">
          <cell r="F24">
            <v>150.75887532279913</v>
          </cell>
        </row>
      </sheetData>
      <sheetData sheetId="23"/>
      <sheetData sheetId="24">
        <row r="12">
          <cell r="F12">
            <v>233.36888540500675</v>
          </cell>
        </row>
        <row r="16">
          <cell r="F16">
            <v>832.33500000000004</v>
          </cell>
        </row>
        <row r="17">
          <cell r="F17">
            <v>43385</v>
          </cell>
        </row>
        <row r="18">
          <cell r="F18">
            <v>1.4999999999999999E-2</v>
          </cell>
        </row>
        <row r="19">
          <cell r="F19">
            <v>12104</v>
          </cell>
        </row>
        <row r="20">
          <cell r="F20">
            <v>1.4999999999999999E-2</v>
          </cell>
        </row>
        <row r="21">
          <cell r="F21">
            <v>1221.9019409821399</v>
          </cell>
        </row>
        <row r="22">
          <cell r="F22">
            <v>3.6112641666666665</v>
          </cell>
        </row>
        <row r="23">
          <cell r="F23">
            <v>110</v>
          </cell>
        </row>
        <row r="24">
          <cell r="F24">
            <v>8497.1999999999989</v>
          </cell>
        </row>
        <row r="25">
          <cell r="F25">
            <v>0.36199999999999999</v>
          </cell>
        </row>
        <row r="26">
          <cell r="F26">
            <v>35.35678333333334</v>
          </cell>
        </row>
        <row r="27">
          <cell r="F27">
            <v>946.59139764731083</v>
          </cell>
        </row>
        <row r="28">
          <cell r="F28">
            <v>727.02872323142151</v>
          </cell>
        </row>
        <row r="29">
          <cell r="F29">
            <v>219.56267441588932</v>
          </cell>
        </row>
        <row r="30">
          <cell r="F30">
            <v>477.80492932098815</v>
          </cell>
        </row>
      </sheetData>
      <sheetData sheetId="25" refreshError="1"/>
      <sheetData sheetId="26">
        <row r="8">
          <cell r="F8" t="str">
            <v>нет</v>
          </cell>
        </row>
        <row r="15">
          <cell r="D15" t="str">
            <v>АО "Новосибирскэнергосбыт"</v>
          </cell>
        </row>
      </sheetData>
      <sheetData sheetId="27">
        <row r="11">
          <cell r="E11">
            <v>1871</v>
          </cell>
        </row>
        <row r="12">
          <cell r="E12">
            <v>61</v>
          </cell>
        </row>
        <row r="13">
          <cell r="E13">
            <v>73</v>
          </cell>
        </row>
        <row r="17">
          <cell r="E17">
            <v>17.583333333333336</v>
          </cell>
        </row>
        <row r="19">
          <cell r="E19">
            <v>18.983333333333334</v>
          </cell>
        </row>
      </sheetData>
      <sheetData sheetId="28" refreshError="1"/>
      <sheetData sheetId="29">
        <row r="12">
          <cell r="F12">
            <v>57.65144717380705</v>
          </cell>
        </row>
        <row r="17">
          <cell r="F17">
            <v>0.02</v>
          </cell>
        </row>
      </sheetData>
      <sheetData sheetId="30">
        <row r="12">
          <cell r="F12">
            <v>0</v>
          </cell>
        </row>
        <row r="13">
          <cell r="F13">
            <v>0</v>
          </cell>
        </row>
        <row r="19">
          <cell r="F19">
            <v>0</v>
          </cell>
        </row>
      </sheetData>
      <sheetData sheetId="31">
        <row r="11">
          <cell r="E11" t="str">
            <v>да</v>
          </cell>
        </row>
        <row r="18">
          <cell r="E18" t="str">
            <v>да</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row>
        <row r="15">
          <cell r="D15" t="str">
            <v/>
          </cell>
        </row>
        <row r="16">
          <cell r="D16" t="str">
            <v>Код ОКТМО</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681.72722270675411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3063.03</v>
          </cell>
        </row>
      </sheetData>
      <sheetData sheetId="9" refreshError="1"/>
      <sheetData sheetId="10" refreshError="1"/>
      <sheetData sheetId="11"/>
      <sheetData sheetId="12" refreshError="1"/>
      <sheetData sheetId="13">
        <row r="12">
          <cell r="F12">
            <v>1979.0048693777144</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0</v>
          </cell>
        </row>
        <row r="27">
          <cell r="F27">
            <v>0</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-38</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470.00338548559591</v>
          </cell>
        </row>
        <row r="14">
          <cell r="F14">
            <v>6006.4348717330786</v>
          </cell>
        </row>
        <row r="15">
          <cell r="F15">
            <v>0.2</v>
          </cell>
        </row>
        <row r="18">
          <cell r="F18">
            <v>15</v>
          </cell>
        </row>
        <row r="19">
          <cell r="F19">
            <v>3778.1614077800232</v>
          </cell>
        </row>
        <row r="20">
          <cell r="F20">
            <v>2.1999999999999999E-2</v>
          </cell>
        </row>
        <row r="21">
          <cell r="F21">
            <v>10</v>
          </cell>
        </row>
        <row r="22">
          <cell r="F22">
            <v>0</v>
          </cell>
        </row>
        <row r="23">
          <cell r="F23">
            <v>3.0000000000000001E-3</v>
          </cell>
        </row>
        <row r="24">
          <cell r="F24">
            <v>0</v>
          </cell>
        </row>
      </sheetData>
      <sheetData sheetId="24"/>
      <sheetData sheetId="25">
        <row r="12">
          <cell r="F12">
            <v>335.93321075106411</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0</v>
          </cell>
        </row>
        <row r="27">
          <cell r="F27">
            <v>0</v>
          </cell>
        </row>
        <row r="28">
          <cell r="F28">
            <v>0</v>
          </cell>
        </row>
        <row r="29">
          <cell r="F29">
            <v>0</v>
          </cell>
        </row>
        <row r="30">
          <cell r="F30">
            <v>1623.4723888288027</v>
          </cell>
        </row>
        <row r="33">
          <cell r="F33">
            <v>1010.5011744884268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sheetData>
      <sheetData sheetId="29" refreshError="1"/>
      <sheetData sheetId="30">
        <row r="12">
          <cell r="F12">
            <v>69.333373766422582</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Кирза, Ордынский муниципальный район</v>
          </cell>
        </row>
        <row r="15">
          <cell r="D15" t="str">
            <v/>
          </cell>
        </row>
        <row r="16">
          <cell r="D16" t="str">
            <v>Код ОКТМО</v>
          </cell>
          <cell r="E16" t="str">
            <v>50642407101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681.72722270675411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3063.03</v>
          </cell>
        </row>
      </sheetData>
      <sheetData sheetId="9" refreshError="1"/>
      <sheetData sheetId="10" refreshError="1"/>
      <sheetData sheetId="11"/>
      <sheetData sheetId="12" refreshError="1"/>
      <sheetData sheetId="13">
        <row r="12">
          <cell r="F12">
            <v>1988.7336845318171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1266.3745527115127</v>
          </cell>
        </row>
        <row r="27">
          <cell r="F27">
            <v>0.201330388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472.61808029676507</v>
          </cell>
        </row>
        <row r="14">
          <cell r="F14">
            <v>6057.0688307111368</v>
          </cell>
        </row>
        <row r="15">
          <cell r="F15">
            <v>0.2</v>
          </cell>
        </row>
        <row r="18">
          <cell r="F18">
            <v>15</v>
          </cell>
        </row>
        <row r="19">
          <cell r="F19">
            <v>3778.1614077800232</v>
          </cell>
        </row>
        <row r="20">
          <cell r="F20">
            <v>2.1999999999999999E-2</v>
          </cell>
        </row>
        <row r="21">
          <cell r="F21">
            <v>10</v>
          </cell>
        </row>
        <row r="22">
          <cell r="F22">
            <v>3.7991236581345382</v>
          </cell>
        </row>
        <row r="23">
          <cell r="F23">
            <v>3.0000000000000001E-3</v>
          </cell>
        </row>
        <row r="24">
          <cell r="F24">
            <v>1266.3745527115127</v>
          </cell>
        </row>
      </sheetData>
      <sheetData sheetId="24"/>
      <sheetData sheetId="25">
        <row r="12">
          <cell r="F12">
            <v>444.90944648820164</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89.7941</v>
          </cell>
        </row>
        <row r="27">
          <cell r="F27">
            <v>1351.1912129385403</v>
          </cell>
        </row>
        <row r="28">
          <cell r="F28">
            <v>1037.7812695380494</v>
          </cell>
        </row>
        <row r="29">
          <cell r="F29">
            <v>313.40994340049093</v>
          </cell>
        </row>
        <row r="30">
          <cell r="F30">
            <v>1734.0969419185608</v>
          </cell>
        </row>
        <row r="33">
          <cell r="F33">
            <v>1010.5011744884268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24.5</v>
          </cell>
        </row>
        <row r="19">
          <cell r="E19">
            <v>18.983333333333334</v>
          </cell>
        </row>
      </sheetData>
      <sheetData sheetId="29" refreshError="1"/>
      <sheetData sheetId="30">
        <row r="12">
          <cell r="F12">
            <v>71.759768680470756</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труктура"/>
      <sheetName val="Содержание"/>
      <sheetName val="И1"/>
      <sheetName val="Инвест.об."/>
      <sheetName val="И2"/>
      <sheetName val="И2.1"/>
      <sheetName val="С1"/>
      <sheetName val="С1.1"/>
      <sheetName val="С1.2"/>
      <sheetName val="Data1.2"/>
      <sheetName val="С1.3"/>
      <sheetName val="Data1.3"/>
      <sheetName val="С2"/>
      <sheetName val="С2.1"/>
      <sheetName val="Data2.1"/>
      <sheetName val="С2.2"/>
      <sheetName val="С2.3"/>
      <sheetName val="С2.4"/>
      <sheetName val="Data2.4"/>
      <sheetName val="С2.5"/>
      <sheetName val="С2.6"/>
      <sheetName val="Data2.6"/>
      <sheetName val="С3"/>
      <sheetName val="С3.1"/>
      <sheetName val="С4"/>
      <sheetName val="С4.1"/>
      <sheetName val="С4.2"/>
      <sheetName val="С4.3"/>
      <sheetName val="С4.4"/>
      <sheetName val="С5"/>
      <sheetName val="С6"/>
      <sheetName val="И3"/>
      <sheetName val="Проверка"/>
      <sheetName val="ИПЦ_ИПГ"/>
      <sheetName val="АК_прогноз"/>
      <sheetName val="ПУЦ (п.67)"/>
      <sheetName val="АК_прогноз_j"/>
      <sheetName val="Гр&amp;ПУЦ_v1"/>
      <sheetName val="Заморозка"/>
      <sheetName val="ИПГ_мо"/>
      <sheetName val="ИПГ_рег"/>
      <sheetName val="Темп VS ИПГ"/>
      <sheetName val="МУ770_Т1"/>
      <sheetName val="Гр&amp;ПУЦ_v2"/>
      <sheetName val="Системный"/>
    </sheetNames>
    <sheetDataSet>
      <sheetData sheetId="0" refreshError="1"/>
      <sheetData sheetId="1" refreshError="1"/>
      <sheetData sheetId="2" refreshError="1"/>
      <sheetData sheetId="3">
        <row r="8">
          <cell r="D8" t="str">
            <v>Период регулирования (i)-й</v>
          </cell>
          <cell r="E8">
            <v>2024</v>
          </cell>
        </row>
        <row r="9">
          <cell r="D9" t="str">
            <v>Период регулирования (i-1)-й</v>
          </cell>
          <cell r="E9">
            <v>2023</v>
          </cell>
        </row>
        <row r="10">
          <cell r="D10" t="str">
            <v>Период регулирования (i-2)-й</v>
          </cell>
          <cell r="E10">
            <v>2022</v>
          </cell>
        </row>
        <row r="11">
          <cell r="D11" t="str">
            <v>Базовый год (б)</v>
          </cell>
          <cell r="E11">
            <v>2019</v>
          </cell>
        </row>
        <row r="13">
          <cell r="D13" t="str">
            <v>Субъект Российской Федерации</v>
          </cell>
          <cell r="E13" t="str">
            <v>Новосибирская область</v>
          </cell>
        </row>
        <row r="14">
          <cell r="D14" t="str">
            <v>Тип муниципального образования (выберите из списка)</v>
          </cell>
          <cell r="E14" t="str">
            <v>село Козиха, Ордынский муниципальный район</v>
          </cell>
        </row>
        <row r="15">
          <cell r="D15" t="str">
            <v/>
          </cell>
        </row>
        <row r="16">
          <cell r="D16" t="str">
            <v>Код ОКТМО</v>
          </cell>
          <cell r="E16" t="str">
            <v>50642410101</v>
          </cell>
        </row>
        <row r="17">
          <cell r="D17" t="str">
            <v>Система теплоснабжения</v>
          </cell>
        </row>
        <row r="18">
          <cell r="D18" t="str">
            <v>Вид топлива, использование которого преобладает в системе теплоснабжения</v>
          </cell>
        </row>
      </sheetData>
      <sheetData sheetId="4" refreshError="1"/>
      <sheetData sheetId="5" refreshError="1"/>
      <sheetData sheetId="6" refreshError="1"/>
      <sheetData sheetId="7">
        <row r="12">
          <cell r="F12">
            <v>681.72722270675411</v>
          </cell>
        </row>
        <row r="13">
          <cell r="F13">
            <v>176.4</v>
          </cell>
        </row>
        <row r="16">
          <cell r="F16">
            <v>7000</v>
          </cell>
        </row>
        <row r="17">
          <cell r="F17">
            <v>0.72857142857142854</v>
          </cell>
        </row>
        <row r="20">
          <cell r="F20">
            <v>21.588411179999994</v>
          </cell>
        </row>
        <row r="21">
          <cell r="F21">
            <v>20.818139999999996</v>
          </cell>
        </row>
        <row r="22">
          <cell r="F22">
            <v>1.0369999999999999</v>
          </cell>
        </row>
        <row r="23">
          <cell r="F23">
            <v>1.0469999999999999</v>
          </cell>
        </row>
      </sheetData>
      <sheetData sheetId="8">
        <row r="13">
          <cell r="E13" t="str">
            <v>уголь (вид угля не указан в топливном балансе)</v>
          </cell>
        </row>
        <row r="16">
          <cell r="E16">
            <v>5100</v>
          </cell>
        </row>
        <row r="19">
          <cell r="E19">
            <v>-0.19900000000000001</v>
          </cell>
        </row>
        <row r="20">
          <cell r="E20">
            <v>5.7000000000000002E-2</v>
          </cell>
        </row>
        <row r="27">
          <cell r="E27">
            <v>3063.03</v>
          </cell>
        </row>
      </sheetData>
      <sheetData sheetId="9" refreshError="1"/>
      <sheetData sheetId="10" refreshError="1"/>
      <sheetData sheetId="11"/>
      <sheetData sheetId="12" refreshError="1"/>
      <sheetData sheetId="13">
        <row r="12">
          <cell r="F12">
            <v>1988.7336845318171</v>
          </cell>
        </row>
        <row r="13">
          <cell r="F13">
            <v>183796.83936385796</v>
          </cell>
        </row>
        <row r="14">
          <cell r="F14">
            <v>113455</v>
          </cell>
        </row>
        <row r="15">
          <cell r="F15">
            <v>1.071</v>
          </cell>
        </row>
        <row r="16">
          <cell r="F16">
            <v>1</v>
          </cell>
        </row>
        <row r="17">
          <cell r="F17">
            <v>1.01</v>
          </cell>
        </row>
        <row r="18">
          <cell r="F18">
            <v>35106.652004551666</v>
          </cell>
        </row>
        <row r="19">
          <cell r="F19">
            <v>0</v>
          </cell>
        </row>
        <row r="20">
          <cell r="F20">
            <v>23441.524932855718</v>
          </cell>
        </row>
        <row r="21">
          <cell r="F21">
            <v>1</v>
          </cell>
        </row>
        <row r="22">
          <cell r="F22">
            <v>38698.422798410109</v>
          </cell>
        </row>
        <row r="23">
          <cell r="F23">
            <v>1990</v>
          </cell>
        </row>
        <row r="26">
          <cell r="F26">
            <v>1266.3745527115127</v>
          </cell>
        </row>
        <row r="27">
          <cell r="F27">
            <v>0.201330388</v>
          </cell>
        </row>
        <row r="28">
          <cell r="F28">
            <v>4200</v>
          </cell>
        </row>
        <row r="29">
          <cell r="F29">
            <v>9.5962865259740182E-2</v>
          </cell>
        </row>
        <row r="30">
          <cell r="F30">
            <v>8.4029304029304031E-2</v>
          </cell>
        </row>
        <row r="31">
          <cell r="F31">
            <v>0.13880000000000001</v>
          </cell>
        </row>
        <row r="32">
          <cell r="F32">
            <v>0.12640000000000001</v>
          </cell>
        </row>
        <row r="33">
          <cell r="F33">
            <v>10</v>
          </cell>
        </row>
        <row r="35">
          <cell r="F35">
            <v>1.4976266307379205</v>
          </cell>
        </row>
        <row r="37">
          <cell r="F37">
            <v>20.818139999999996</v>
          </cell>
        </row>
        <row r="38">
          <cell r="F38">
            <v>7</v>
          </cell>
        </row>
        <row r="40">
          <cell r="F40">
            <v>0.97</v>
          </cell>
        </row>
        <row r="42">
          <cell r="F42">
            <v>0.35</v>
          </cell>
        </row>
      </sheetData>
      <sheetData sheetId="14">
        <row r="12">
          <cell r="E12" t="str">
            <v>V</v>
          </cell>
        </row>
        <row r="13">
          <cell r="E13" t="str">
            <v>6 и менее баллов</v>
          </cell>
        </row>
        <row r="14">
          <cell r="E14" t="str">
            <v>от 200 до 500</v>
          </cell>
        </row>
        <row r="15">
          <cell r="E15" t="str">
            <v>нет</v>
          </cell>
        </row>
        <row r="19">
          <cell r="E19">
            <v>-37</v>
          </cell>
        </row>
        <row r="22">
          <cell r="E22" t="str">
            <v>нет</v>
          </cell>
        </row>
        <row r="27">
          <cell r="E27">
            <v>14307.876789999998</v>
          </cell>
        </row>
        <row r="28">
          <cell r="E28">
            <v>9541.9567200000001</v>
          </cell>
        </row>
      </sheetData>
      <sheetData sheetId="15" refreshError="1"/>
      <sheetData sheetId="16">
        <row r="10">
          <cell r="E10">
            <v>1287</v>
          </cell>
        </row>
        <row r="12">
          <cell r="E12">
            <v>5.97</v>
          </cell>
        </row>
        <row r="13">
          <cell r="E13">
            <v>1</v>
          </cell>
        </row>
        <row r="14">
          <cell r="E14">
            <v>12104</v>
          </cell>
        </row>
        <row r="15">
          <cell r="E15">
            <v>4.8000000000000001E-2</v>
          </cell>
        </row>
        <row r="16">
          <cell r="E16">
            <v>1</v>
          </cell>
        </row>
      </sheetData>
      <sheetData sheetId="17">
        <row r="11">
          <cell r="E11">
            <v>9.89</v>
          </cell>
        </row>
        <row r="12">
          <cell r="E12">
            <v>0.56000000000000005</v>
          </cell>
        </row>
        <row r="13">
          <cell r="E13">
            <v>300</v>
          </cell>
        </row>
        <row r="14">
          <cell r="E14">
            <v>61211</v>
          </cell>
        </row>
        <row r="15">
          <cell r="E15">
            <v>45675</v>
          </cell>
        </row>
        <row r="16">
          <cell r="E16">
            <v>65637</v>
          </cell>
        </row>
        <row r="17">
          <cell r="E17">
            <v>31684</v>
          </cell>
        </row>
      </sheetData>
      <sheetData sheetId="18"/>
      <sheetData sheetId="19" refreshError="1"/>
      <sheetData sheetId="20">
        <row r="11">
          <cell r="E11">
            <v>-2.9000000000000026E-2</v>
          </cell>
          <cell r="F11">
            <v>0.245</v>
          </cell>
          <cell r="G11">
            <v>0.114</v>
          </cell>
          <cell r="H11">
            <v>2.4E-2</v>
          </cell>
          <cell r="I11">
            <v>8.5999999999999993E-2</v>
          </cell>
          <cell r="J11">
            <v>0.21215960863291</v>
          </cell>
          <cell r="K11">
            <v>3.5813361771260002E-2</v>
          </cell>
          <cell r="L11">
            <v>3.2682303599220003E-2</v>
          </cell>
        </row>
      </sheetData>
      <sheetData sheetId="21"/>
      <sheetData sheetId="22" refreshError="1"/>
      <sheetData sheetId="23">
        <row r="12">
          <cell r="F12">
            <v>472.61808029676507</v>
          </cell>
        </row>
        <row r="14">
          <cell r="F14">
            <v>6057.0688307111368</v>
          </cell>
        </row>
        <row r="15">
          <cell r="F15">
            <v>0.2</v>
          </cell>
        </row>
        <row r="18">
          <cell r="F18">
            <v>15</v>
          </cell>
        </row>
        <row r="19">
          <cell r="F19">
            <v>3778.1614077800232</v>
          </cell>
        </row>
        <row r="20">
          <cell r="F20">
            <v>2.1999999999999999E-2</v>
          </cell>
        </row>
        <row r="21">
          <cell r="F21">
            <v>10</v>
          </cell>
        </row>
        <row r="22">
          <cell r="F22">
            <v>3.7991236581345382</v>
          </cell>
        </row>
        <row r="23">
          <cell r="F23">
            <v>3.0000000000000001E-3</v>
          </cell>
        </row>
        <row r="24">
          <cell r="F24">
            <v>1266.3745527115127</v>
          </cell>
        </row>
      </sheetData>
      <sheetData sheetId="24"/>
      <sheetData sheetId="25">
        <row r="12">
          <cell r="F12">
            <v>443.02068889165531</v>
          </cell>
        </row>
        <row r="16">
          <cell r="F16">
            <v>1652.5</v>
          </cell>
        </row>
        <row r="17">
          <cell r="F17">
            <v>73547</v>
          </cell>
        </row>
        <row r="18">
          <cell r="F18">
            <v>0.02</v>
          </cell>
        </row>
        <row r="19">
          <cell r="F19">
            <v>12104</v>
          </cell>
        </row>
        <row r="20">
          <cell r="F20">
            <v>1.4999999999999999E-2</v>
          </cell>
        </row>
        <row r="21">
          <cell r="F21">
            <v>1933.1949342509995</v>
          </cell>
        </row>
        <row r="22">
          <cell r="F22">
            <v>3.6112641666666665</v>
          </cell>
        </row>
        <row r="23">
          <cell r="F23">
            <v>180</v>
          </cell>
        </row>
        <row r="24">
          <cell r="F24">
            <v>8497.1999999999989</v>
          </cell>
        </row>
        <row r="25">
          <cell r="F25">
            <v>0.35</v>
          </cell>
        </row>
        <row r="26">
          <cell r="F26">
            <v>64.789190000000005</v>
          </cell>
        </row>
        <row r="27">
          <cell r="F27">
            <v>1351.1912129385403</v>
          </cell>
        </row>
        <row r="28">
          <cell r="F28">
            <v>1037.7812695380494</v>
          </cell>
        </row>
        <row r="29">
          <cell r="F29">
            <v>313.40994340049093</v>
          </cell>
        </row>
        <row r="30">
          <cell r="F30">
            <v>1732.2245409628008</v>
          </cell>
        </row>
        <row r="33">
          <cell r="F33">
            <v>1010.5011744884268</v>
          </cell>
        </row>
        <row r="35">
          <cell r="F35">
            <v>17.040680999999999</v>
          </cell>
        </row>
        <row r="36">
          <cell r="F36">
            <v>14319.9</v>
          </cell>
        </row>
        <row r="37">
          <cell r="F37">
            <v>1.19</v>
          </cell>
        </row>
      </sheetData>
      <sheetData sheetId="26"/>
      <sheetData sheetId="27">
        <row r="8">
          <cell r="F8" t="str">
            <v>нет</v>
          </cell>
        </row>
      </sheetData>
      <sheetData sheetId="28">
        <row r="11">
          <cell r="E11">
            <v>1871</v>
          </cell>
        </row>
        <row r="12">
          <cell r="E12">
            <v>1636</v>
          </cell>
        </row>
        <row r="13">
          <cell r="E13">
            <v>204</v>
          </cell>
        </row>
        <row r="17">
          <cell r="E17">
            <v>17.37</v>
          </cell>
        </row>
        <row r="19">
          <cell r="E19">
            <v>18.983333333333334</v>
          </cell>
        </row>
      </sheetData>
      <sheetData sheetId="29" refreshError="1"/>
      <sheetData sheetId="30">
        <row r="12">
          <cell r="F12">
            <v>71.721993528539841</v>
          </cell>
        </row>
        <row r="17">
          <cell r="F17">
            <v>0.02</v>
          </cell>
        </row>
      </sheetData>
      <sheetData sheetId="31">
        <row r="12">
          <cell r="F12" t="str">
            <v>-</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7.28515625" style="2" customWidth="1"/>
    <col min="2" max="2" width="100.7109375" style="2" customWidth="1"/>
    <col min="3" max="3" width="20.85546875" style="110" customWidth="1"/>
    <col min="4" max="154" width="9.140625" style="2"/>
    <col min="155" max="236" width="0" style="2" hidden="1" customWidth="1"/>
    <col min="237" max="245" width="9.140625" style="2"/>
    <col min="246" max="246" width="3.7109375" style="2" customWidth="1"/>
    <col min="247" max="247" width="96.85546875" style="2" customWidth="1"/>
    <col min="248" max="248" width="30.85546875" style="2" customWidth="1"/>
    <col min="249" max="249" width="12.5703125" style="2" customWidth="1"/>
    <col min="250" max="250" width="5.140625" style="2" customWidth="1"/>
    <col min="251" max="251" width="9.140625" style="2"/>
    <col min="252" max="252" width="4.85546875" style="2" customWidth="1"/>
    <col min="253" max="253" width="30.5703125" style="2" customWidth="1"/>
    <col min="254" max="254" width="33.85546875" style="2" customWidth="1"/>
    <col min="255" max="255" width="5.140625" style="2" customWidth="1"/>
    <col min="256" max="257" width="17.5703125" style="2" customWidth="1"/>
    <col min="258" max="501" width="9.140625" style="2"/>
    <col min="502" max="502" width="3.7109375" style="2" customWidth="1"/>
    <col min="503" max="503" width="96.85546875" style="2" customWidth="1"/>
    <col min="504" max="504" width="30.85546875" style="2" customWidth="1"/>
    <col min="505" max="505" width="12.5703125" style="2" customWidth="1"/>
    <col min="506" max="506" width="5.140625" style="2" customWidth="1"/>
    <col min="507" max="507" width="9.140625" style="2"/>
    <col min="508" max="508" width="4.85546875" style="2" customWidth="1"/>
    <col min="509" max="509" width="30.5703125" style="2" customWidth="1"/>
    <col min="510" max="510" width="33.85546875" style="2" customWidth="1"/>
    <col min="511" max="511" width="5.140625" style="2" customWidth="1"/>
    <col min="512" max="513" width="17.5703125" style="2" customWidth="1"/>
    <col min="514" max="757" width="9.140625" style="2"/>
    <col min="758" max="758" width="3.7109375" style="2" customWidth="1"/>
    <col min="759" max="759" width="96.85546875" style="2" customWidth="1"/>
    <col min="760" max="760" width="30.85546875" style="2" customWidth="1"/>
    <col min="761" max="761" width="12.5703125" style="2" customWidth="1"/>
    <col min="762" max="762" width="5.140625" style="2" customWidth="1"/>
    <col min="763" max="763" width="9.140625" style="2"/>
    <col min="764" max="764" width="4.85546875" style="2" customWidth="1"/>
    <col min="765" max="765" width="30.5703125" style="2" customWidth="1"/>
    <col min="766" max="766" width="33.85546875" style="2" customWidth="1"/>
    <col min="767" max="767" width="5.140625" style="2" customWidth="1"/>
    <col min="768" max="769" width="17.5703125" style="2" customWidth="1"/>
    <col min="770" max="1013" width="9.140625" style="2"/>
    <col min="1014" max="1014" width="3.7109375" style="2" customWidth="1"/>
    <col min="1015" max="1015" width="96.85546875" style="2" customWidth="1"/>
    <col min="1016" max="1016" width="30.85546875" style="2" customWidth="1"/>
    <col min="1017" max="1017" width="12.5703125" style="2" customWidth="1"/>
    <col min="1018" max="1018" width="5.140625" style="2" customWidth="1"/>
    <col min="1019" max="1019" width="9.140625" style="2"/>
    <col min="1020" max="1020" width="4.85546875" style="2" customWidth="1"/>
    <col min="1021" max="1021" width="30.5703125" style="2" customWidth="1"/>
    <col min="1022" max="1022" width="33.85546875" style="2" customWidth="1"/>
    <col min="1023" max="1023" width="5.140625" style="2" customWidth="1"/>
    <col min="1024" max="1025" width="17.5703125" style="2" customWidth="1"/>
    <col min="1026" max="1269" width="9.140625" style="2"/>
    <col min="1270" max="1270" width="3.7109375" style="2" customWidth="1"/>
    <col min="1271" max="1271" width="96.85546875" style="2" customWidth="1"/>
    <col min="1272" max="1272" width="30.85546875" style="2" customWidth="1"/>
    <col min="1273" max="1273" width="12.5703125" style="2" customWidth="1"/>
    <col min="1274" max="1274" width="5.140625" style="2" customWidth="1"/>
    <col min="1275" max="1275" width="9.140625" style="2"/>
    <col min="1276" max="1276" width="4.85546875" style="2" customWidth="1"/>
    <col min="1277" max="1277" width="30.5703125" style="2" customWidth="1"/>
    <col min="1278" max="1278" width="33.85546875" style="2" customWidth="1"/>
    <col min="1279" max="1279" width="5.140625" style="2" customWidth="1"/>
    <col min="1280" max="1281" width="17.5703125" style="2" customWidth="1"/>
    <col min="1282" max="1525" width="9.140625" style="2"/>
    <col min="1526" max="1526" width="3.7109375" style="2" customWidth="1"/>
    <col min="1527" max="1527" width="96.85546875" style="2" customWidth="1"/>
    <col min="1528" max="1528" width="30.85546875" style="2" customWidth="1"/>
    <col min="1529" max="1529" width="12.5703125" style="2" customWidth="1"/>
    <col min="1530" max="1530" width="5.140625" style="2" customWidth="1"/>
    <col min="1531" max="1531" width="9.140625" style="2"/>
    <col min="1532" max="1532" width="4.85546875" style="2" customWidth="1"/>
    <col min="1533" max="1533" width="30.5703125" style="2" customWidth="1"/>
    <col min="1534" max="1534" width="33.85546875" style="2" customWidth="1"/>
    <col min="1535" max="1535" width="5.140625" style="2" customWidth="1"/>
    <col min="1536" max="1537" width="17.5703125" style="2" customWidth="1"/>
    <col min="1538" max="1781" width="9.140625" style="2"/>
    <col min="1782" max="1782" width="3.7109375" style="2" customWidth="1"/>
    <col min="1783" max="1783" width="96.85546875" style="2" customWidth="1"/>
    <col min="1784" max="1784" width="30.85546875" style="2" customWidth="1"/>
    <col min="1785" max="1785" width="12.5703125" style="2" customWidth="1"/>
    <col min="1786" max="1786" width="5.140625" style="2" customWidth="1"/>
    <col min="1787" max="1787" width="9.140625" style="2"/>
    <col min="1788" max="1788" width="4.85546875" style="2" customWidth="1"/>
    <col min="1789" max="1789" width="30.5703125" style="2" customWidth="1"/>
    <col min="1790" max="1790" width="33.85546875" style="2" customWidth="1"/>
    <col min="1791" max="1791" width="5.140625" style="2" customWidth="1"/>
    <col min="1792" max="1793" width="17.5703125" style="2" customWidth="1"/>
    <col min="1794" max="2037" width="9.140625" style="2"/>
    <col min="2038" max="2038" width="3.7109375" style="2" customWidth="1"/>
    <col min="2039" max="2039" width="96.85546875" style="2" customWidth="1"/>
    <col min="2040" max="2040" width="30.85546875" style="2" customWidth="1"/>
    <col min="2041" max="2041" width="12.5703125" style="2" customWidth="1"/>
    <col min="2042" max="2042" width="5.140625" style="2" customWidth="1"/>
    <col min="2043" max="2043" width="9.140625" style="2"/>
    <col min="2044" max="2044" width="4.85546875" style="2" customWidth="1"/>
    <col min="2045" max="2045" width="30.5703125" style="2" customWidth="1"/>
    <col min="2046" max="2046" width="33.85546875" style="2" customWidth="1"/>
    <col min="2047" max="2047" width="5.140625" style="2" customWidth="1"/>
    <col min="2048" max="2049" width="17.5703125" style="2" customWidth="1"/>
    <col min="2050" max="2293" width="9.140625" style="2"/>
    <col min="2294" max="2294" width="3.7109375" style="2" customWidth="1"/>
    <col min="2295" max="2295" width="96.85546875" style="2" customWidth="1"/>
    <col min="2296" max="2296" width="30.85546875" style="2" customWidth="1"/>
    <col min="2297" max="2297" width="12.5703125" style="2" customWidth="1"/>
    <col min="2298" max="2298" width="5.140625" style="2" customWidth="1"/>
    <col min="2299" max="2299" width="9.140625" style="2"/>
    <col min="2300" max="2300" width="4.85546875" style="2" customWidth="1"/>
    <col min="2301" max="2301" width="30.5703125" style="2" customWidth="1"/>
    <col min="2302" max="2302" width="33.85546875" style="2" customWidth="1"/>
    <col min="2303" max="2303" width="5.140625" style="2" customWidth="1"/>
    <col min="2304" max="2305" width="17.5703125" style="2" customWidth="1"/>
    <col min="2306" max="2549" width="9.140625" style="2"/>
    <col min="2550" max="2550" width="3.7109375" style="2" customWidth="1"/>
    <col min="2551" max="2551" width="96.85546875" style="2" customWidth="1"/>
    <col min="2552" max="2552" width="30.85546875" style="2" customWidth="1"/>
    <col min="2553" max="2553" width="12.5703125" style="2" customWidth="1"/>
    <col min="2554" max="2554" width="5.140625" style="2" customWidth="1"/>
    <col min="2555" max="2555" width="9.140625" style="2"/>
    <col min="2556" max="2556" width="4.85546875" style="2" customWidth="1"/>
    <col min="2557" max="2557" width="30.5703125" style="2" customWidth="1"/>
    <col min="2558" max="2558" width="33.85546875" style="2" customWidth="1"/>
    <col min="2559" max="2559" width="5.140625" style="2" customWidth="1"/>
    <col min="2560" max="2561" width="17.5703125" style="2" customWidth="1"/>
    <col min="2562" max="2805" width="9.140625" style="2"/>
    <col min="2806" max="2806" width="3.7109375" style="2" customWidth="1"/>
    <col min="2807" max="2807" width="96.85546875" style="2" customWidth="1"/>
    <col min="2808" max="2808" width="30.85546875" style="2" customWidth="1"/>
    <col min="2809" max="2809" width="12.5703125" style="2" customWidth="1"/>
    <col min="2810" max="2810" width="5.140625" style="2" customWidth="1"/>
    <col min="2811" max="2811" width="9.140625" style="2"/>
    <col min="2812" max="2812" width="4.85546875" style="2" customWidth="1"/>
    <col min="2813" max="2813" width="30.5703125" style="2" customWidth="1"/>
    <col min="2814" max="2814" width="33.85546875" style="2" customWidth="1"/>
    <col min="2815" max="2815" width="5.140625" style="2" customWidth="1"/>
    <col min="2816" max="2817" width="17.5703125" style="2" customWidth="1"/>
    <col min="2818" max="3061" width="9.140625" style="2"/>
    <col min="3062" max="3062" width="3.7109375" style="2" customWidth="1"/>
    <col min="3063" max="3063" width="96.85546875" style="2" customWidth="1"/>
    <col min="3064" max="3064" width="30.85546875" style="2" customWidth="1"/>
    <col min="3065" max="3065" width="12.5703125" style="2" customWidth="1"/>
    <col min="3066" max="3066" width="5.140625" style="2" customWidth="1"/>
    <col min="3067" max="3067" width="9.140625" style="2"/>
    <col min="3068" max="3068" width="4.85546875" style="2" customWidth="1"/>
    <col min="3069" max="3069" width="30.5703125" style="2" customWidth="1"/>
    <col min="3070" max="3070" width="33.85546875" style="2" customWidth="1"/>
    <col min="3071" max="3071" width="5.140625" style="2" customWidth="1"/>
    <col min="3072" max="3073" width="17.5703125" style="2" customWidth="1"/>
    <col min="3074" max="3317" width="9.140625" style="2"/>
    <col min="3318" max="3318" width="3.7109375" style="2" customWidth="1"/>
    <col min="3319" max="3319" width="96.85546875" style="2" customWidth="1"/>
    <col min="3320" max="3320" width="30.85546875" style="2" customWidth="1"/>
    <col min="3321" max="3321" width="12.5703125" style="2" customWidth="1"/>
    <col min="3322" max="3322" width="5.140625" style="2" customWidth="1"/>
    <col min="3323" max="3323" width="9.140625" style="2"/>
    <col min="3324" max="3324" width="4.85546875" style="2" customWidth="1"/>
    <col min="3325" max="3325" width="30.5703125" style="2" customWidth="1"/>
    <col min="3326" max="3326" width="33.85546875" style="2" customWidth="1"/>
    <col min="3327" max="3327" width="5.140625" style="2" customWidth="1"/>
    <col min="3328" max="3329" width="17.5703125" style="2" customWidth="1"/>
    <col min="3330" max="3573" width="9.140625" style="2"/>
    <col min="3574" max="3574" width="3.7109375" style="2" customWidth="1"/>
    <col min="3575" max="3575" width="96.85546875" style="2" customWidth="1"/>
    <col min="3576" max="3576" width="30.85546875" style="2" customWidth="1"/>
    <col min="3577" max="3577" width="12.5703125" style="2" customWidth="1"/>
    <col min="3578" max="3578" width="5.140625" style="2" customWidth="1"/>
    <col min="3579" max="3579" width="9.140625" style="2"/>
    <col min="3580" max="3580" width="4.85546875" style="2" customWidth="1"/>
    <col min="3581" max="3581" width="30.5703125" style="2" customWidth="1"/>
    <col min="3582" max="3582" width="33.85546875" style="2" customWidth="1"/>
    <col min="3583" max="3583" width="5.140625" style="2" customWidth="1"/>
    <col min="3584" max="3585" width="17.5703125" style="2" customWidth="1"/>
    <col min="3586" max="3829" width="9.140625" style="2"/>
    <col min="3830" max="3830" width="3.7109375" style="2" customWidth="1"/>
    <col min="3831" max="3831" width="96.85546875" style="2" customWidth="1"/>
    <col min="3832" max="3832" width="30.85546875" style="2" customWidth="1"/>
    <col min="3833" max="3833" width="12.5703125" style="2" customWidth="1"/>
    <col min="3834" max="3834" width="5.140625" style="2" customWidth="1"/>
    <col min="3835" max="3835" width="9.140625" style="2"/>
    <col min="3836" max="3836" width="4.85546875" style="2" customWidth="1"/>
    <col min="3837" max="3837" width="30.5703125" style="2" customWidth="1"/>
    <col min="3838" max="3838" width="33.85546875" style="2" customWidth="1"/>
    <col min="3839" max="3839" width="5.140625" style="2" customWidth="1"/>
    <col min="3840" max="3841" width="17.5703125" style="2" customWidth="1"/>
    <col min="3842" max="4085" width="9.140625" style="2"/>
    <col min="4086" max="4086" width="3.7109375" style="2" customWidth="1"/>
    <col min="4087" max="4087" width="96.85546875" style="2" customWidth="1"/>
    <col min="4088" max="4088" width="30.85546875" style="2" customWidth="1"/>
    <col min="4089" max="4089" width="12.5703125" style="2" customWidth="1"/>
    <col min="4090" max="4090" width="5.140625" style="2" customWidth="1"/>
    <col min="4091" max="4091" width="9.140625" style="2"/>
    <col min="4092" max="4092" width="4.85546875" style="2" customWidth="1"/>
    <col min="4093" max="4093" width="30.5703125" style="2" customWidth="1"/>
    <col min="4094" max="4094" width="33.85546875" style="2" customWidth="1"/>
    <col min="4095" max="4095" width="5.140625" style="2" customWidth="1"/>
    <col min="4096" max="4097" width="17.5703125" style="2" customWidth="1"/>
    <col min="4098" max="4341" width="9.140625" style="2"/>
    <col min="4342" max="4342" width="3.7109375" style="2" customWidth="1"/>
    <col min="4343" max="4343" width="96.85546875" style="2" customWidth="1"/>
    <col min="4344" max="4344" width="30.85546875" style="2" customWidth="1"/>
    <col min="4345" max="4345" width="12.5703125" style="2" customWidth="1"/>
    <col min="4346" max="4346" width="5.140625" style="2" customWidth="1"/>
    <col min="4347" max="4347" width="9.140625" style="2"/>
    <col min="4348" max="4348" width="4.85546875" style="2" customWidth="1"/>
    <col min="4349" max="4349" width="30.5703125" style="2" customWidth="1"/>
    <col min="4350" max="4350" width="33.85546875" style="2" customWidth="1"/>
    <col min="4351" max="4351" width="5.140625" style="2" customWidth="1"/>
    <col min="4352" max="4353" width="17.5703125" style="2" customWidth="1"/>
    <col min="4354" max="4597" width="9.140625" style="2"/>
    <col min="4598" max="4598" width="3.7109375" style="2" customWidth="1"/>
    <col min="4599" max="4599" width="96.85546875" style="2" customWidth="1"/>
    <col min="4600" max="4600" width="30.85546875" style="2" customWidth="1"/>
    <col min="4601" max="4601" width="12.5703125" style="2" customWidth="1"/>
    <col min="4602" max="4602" width="5.140625" style="2" customWidth="1"/>
    <col min="4603" max="4603" width="9.140625" style="2"/>
    <col min="4604" max="4604" width="4.85546875" style="2" customWidth="1"/>
    <col min="4605" max="4605" width="30.5703125" style="2" customWidth="1"/>
    <col min="4606" max="4606" width="33.85546875" style="2" customWidth="1"/>
    <col min="4607" max="4607" width="5.140625" style="2" customWidth="1"/>
    <col min="4608" max="4609" width="17.5703125" style="2" customWidth="1"/>
    <col min="4610" max="4853" width="9.140625" style="2"/>
    <col min="4854" max="4854" width="3.7109375" style="2" customWidth="1"/>
    <col min="4855" max="4855" width="96.85546875" style="2" customWidth="1"/>
    <col min="4856" max="4856" width="30.85546875" style="2" customWidth="1"/>
    <col min="4857" max="4857" width="12.5703125" style="2" customWidth="1"/>
    <col min="4858" max="4858" width="5.140625" style="2" customWidth="1"/>
    <col min="4859" max="4859" width="9.140625" style="2"/>
    <col min="4860" max="4860" width="4.85546875" style="2" customWidth="1"/>
    <col min="4861" max="4861" width="30.5703125" style="2" customWidth="1"/>
    <col min="4862" max="4862" width="33.85546875" style="2" customWidth="1"/>
    <col min="4863" max="4863" width="5.140625" style="2" customWidth="1"/>
    <col min="4864" max="4865" width="17.5703125" style="2" customWidth="1"/>
    <col min="4866" max="5109" width="9.140625" style="2"/>
    <col min="5110" max="5110" width="3.7109375" style="2" customWidth="1"/>
    <col min="5111" max="5111" width="96.85546875" style="2" customWidth="1"/>
    <col min="5112" max="5112" width="30.85546875" style="2" customWidth="1"/>
    <col min="5113" max="5113" width="12.5703125" style="2" customWidth="1"/>
    <col min="5114" max="5114" width="5.140625" style="2" customWidth="1"/>
    <col min="5115" max="5115" width="9.140625" style="2"/>
    <col min="5116" max="5116" width="4.85546875" style="2" customWidth="1"/>
    <col min="5117" max="5117" width="30.5703125" style="2" customWidth="1"/>
    <col min="5118" max="5118" width="33.85546875" style="2" customWidth="1"/>
    <col min="5119" max="5119" width="5.140625" style="2" customWidth="1"/>
    <col min="5120" max="5121" width="17.5703125" style="2" customWidth="1"/>
    <col min="5122" max="5365" width="9.140625" style="2"/>
    <col min="5366" max="5366" width="3.7109375" style="2" customWidth="1"/>
    <col min="5367" max="5367" width="96.85546875" style="2" customWidth="1"/>
    <col min="5368" max="5368" width="30.85546875" style="2" customWidth="1"/>
    <col min="5369" max="5369" width="12.5703125" style="2" customWidth="1"/>
    <col min="5370" max="5370" width="5.140625" style="2" customWidth="1"/>
    <col min="5371" max="5371" width="9.140625" style="2"/>
    <col min="5372" max="5372" width="4.85546875" style="2" customWidth="1"/>
    <col min="5373" max="5373" width="30.5703125" style="2" customWidth="1"/>
    <col min="5374" max="5374" width="33.85546875" style="2" customWidth="1"/>
    <col min="5375" max="5375" width="5.140625" style="2" customWidth="1"/>
    <col min="5376" max="5377" width="17.5703125" style="2" customWidth="1"/>
    <col min="5378" max="5621" width="9.140625" style="2"/>
    <col min="5622" max="5622" width="3.7109375" style="2" customWidth="1"/>
    <col min="5623" max="5623" width="96.85546875" style="2" customWidth="1"/>
    <col min="5624" max="5624" width="30.85546875" style="2" customWidth="1"/>
    <col min="5625" max="5625" width="12.5703125" style="2" customWidth="1"/>
    <col min="5626" max="5626" width="5.140625" style="2" customWidth="1"/>
    <col min="5627" max="5627" width="9.140625" style="2"/>
    <col min="5628" max="5628" width="4.85546875" style="2" customWidth="1"/>
    <col min="5629" max="5629" width="30.5703125" style="2" customWidth="1"/>
    <col min="5630" max="5630" width="33.85546875" style="2" customWidth="1"/>
    <col min="5631" max="5631" width="5.140625" style="2" customWidth="1"/>
    <col min="5632" max="5633" width="17.5703125" style="2" customWidth="1"/>
    <col min="5634" max="5877" width="9.140625" style="2"/>
    <col min="5878" max="5878" width="3.7109375" style="2" customWidth="1"/>
    <col min="5879" max="5879" width="96.85546875" style="2" customWidth="1"/>
    <col min="5880" max="5880" width="30.85546875" style="2" customWidth="1"/>
    <col min="5881" max="5881" width="12.5703125" style="2" customWidth="1"/>
    <col min="5882" max="5882" width="5.140625" style="2" customWidth="1"/>
    <col min="5883" max="5883" width="9.140625" style="2"/>
    <col min="5884" max="5884" width="4.85546875" style="2" customWidth="1"/>
    <col min="5885" max="5885" width="30.5703125" style="2" customWidth="1"/>
    <col min="5886" max="5886" width="33.85546875" style="2" customWidth="1"/>
    <col min="5887" max="5887" width="5.140625" style="2" customWidth="1"/>
    <col min="5888" max="5889" width="17.5703125" style="2" customWidth="1"/>
    <col min="5890" max="6133" width="9.140625" style="2"/>
    <col min="6134" max="6134" width="3.7109375" style="2" customWidth="1"/>
    <col min="6135" max="6135" width="96.85546875" style="2" customWidth="1"/>
    <col min="6136" max="6136" width="30.85546875" style="2" customWidth="1"/>
    <col min="6137" max="6137" width="12.5703125" style="2" customWidth="1"/>
    <col min="6138" max="6138" width="5.140625" style="2" customWidth="1"/>
    <col min="6139" max="6139" width="9.140625" style="2"/>
    <col min="6140" max="6140" width="4.85546875" style="2" customWidth="1"/>
    <col min="6141" max="6141" width="30.5703125" style="2" customWidth="1"/>
    <col min="6142" max="6142" width="33.85546875" style="2" customWidth="1"/>
    <col min="6143" max="6143" width="5.140625" style="2" customWidth="1"/>
    <col min="6144" max="6145" width="17.5703125" style="2" customWidth="1"/>
    <col min="6146" max="6389" width="9.140625" style="2"/>
    <col min="6390" max="6390" width="3.7109375" style="2" customWidth="1"/>
    <col min="6391" max="6391" width="96.85546875" style="2" customWidth="1"/>
    <col min="6392" max="6392" width="30.85546875" style="2" customWidth="1"/>
    <col min="6393" max="6393" width="12.5703125" style="2" customWidth="1"/>
    <col min="6394" max="6394" width="5.140625" style="2" customWidth="1"/>
    <col min="6395" max="6395" width="9.140625" style="2"/>
    <col min="6396" max="6396" width="4.85546875" style="2" customWidth="1"/>
    <col min="6397" max="6397" width="30.5703125" style="2" customWidth="1"/>
    <col min="6398" max="6398" width="33.85546875" style="2" customWidth="1"/>
    <col min="6399" max="6399" width="5.140625" style="2" customWidth="1"/>
    <col min="6400" max="6401" width="17.5703125" style="2" customWidth="1"/>
    <col min="6402" max="6645" width="9.140625" style="2"/>
    <col min="6646" max="6646" width="3.7109375" style="2" customWidth="1"/>
    <col min="6647" max="6647" width="96.85546875" style="2" customWidth="1"/>
    <col min="6648" max="6648" width="30.85546875" style="2" customWidth="1"/>
    <col min="6649" max="6649" width="12.5703125" style="2" customWidth="1"/>
    <col min="6650" max="6650" width="5.140625" style="2" customWidth="1"/>
    <col min="6651" max="6651" width="9.140625" style="2"/>
    <col min="6652" max="6652" width="4.85546875" style="2" customWidth="1"/>
    <col min="6653" max="6653" width="30.5703125" style="2" customWidth="1"/>
    <col min="6654" max="6654" width="33.85546875" style="2" customWidth="1"/>
    <col min="6655" max="6655" width="5.140625" style="2" customWidth="1"/>
    <col min="6656" max="6657" width="17.5703125" style="2" customWidth="1"/>
    <col min="6658" max="6901" width="9.140625" style="2"/>
    <col min="6902" max="6902" width="3.7109375" style="2" customWidth="1"/>
    <col min="6903" max="6903" width="96.85546875" style="2" customWidth="1"/>
    <col min="6904" max="6904" width="30.85546875" style="2" customWidth="1"/>
    <col min="6905" max="6905" width="12.5703125" style="2" customWidth="1"/>
    <col min="6906" max="6906" width="5.140625" style="2" customWidth="1"/>
    <col min="6907" max="6907" width="9.140625" style="2"/>
    <col min="6908" max="6908" width="4.85546875" style="2" customWidth="1"/>
    <col min="6909" max="6909" width="30.5703125" style="2" customWidth="1"/>
    <col min="6910" max="6910" width="33.85546875" style="2" customWidth="1"/>
    <col min="6911" max="6911" width="5.140625" style="2" customWidth="1"/>
    <col min="6912" max="6913" width="17.5703125" style="2" customWidth="1"/>
    <col min="6914" max="7157" width="9.140625" style="2"/>
    <col min="7158" max="7158" width="3.7109375" style="2" customWidth="1"/>
    <col min="7159" max="7159" width="96.85546875" style="2" customWidth="1"/>
    <col min="7160" max="7160" width="30.85546875" style="2" customWidth="1"/>
    <col min="7161" max="7161" width="12.5703125" style="2" customWidth="1"/>
    <col min="7162" max="7162" width="5.140625" style="2" customWidth="1"/>
    <col min="7163" max="7163" width="9.140625" style="2"/>
    <col min="7164" max="7164" width="4.85546875" style="2" customWidth="1"/>
    <col min="7165" max="7165" width="30.5703125" style="2" customWidth="1"/>
    <col min="7166" max="7166" width="33.85546875" style="2" customWidth="1"/>
    <col min="7167" max="7167" width="5.140625" style="2" customWidth="1"/>
    <col min="7168" max="7169" width="17.5703125" style="2" customWidth="1"/>
    <col min="7170" max="7413" width="9.140625" style="2"/>
    <col min="7414" max="7414" width="3.7109375" style="2" customWidth="1"/>
    <col min="7415" max="7415" width="96.85546875" style="2" customWidth="1"/>
    <col min="7416" max="7416" width="30.85546875" style="2" customWidth="1"/>
    <col min="7417" max="7417" width="12.5703125" style="2" customWidth="1"/>
    <col min="7418" max="7418" width="5.140625" style="2" customWidth="1"/>
    <col min="7419" max="7419" width="9.140625" style="2"/>
    <col min="7420" max="7420" width="4.85546875" style="2" customWidth="1"/>
    <col min="7421" max="7421" width="30.5703125" style="2" customWidth="1"/>
    <col min="7422" max="7422" width="33.85546875" style="2" customWidth="1"/>
    <col min="7423" max="7423" width="5.140625" style="2" customWidth="1"/>
    <col min="7424" max="7425" width="17.5703125" style="2" customWidth="1"/>
    <col min="7426" max="7669" width="9.140625" style="2"/>
    <col min="7670" max="7670" width="3.7109375" style="2" customWidth="1"/>
    <col min="7671" max="7671" width="96.85546875" style="2" customWidth="1"/>
    <col min="7672" max="7672" width="30.85546875" style="2" customWidth="1"/>
    <col min="7673" max="7673" width="12.5703125" style="2" customWidth="1"/>
    <col min="7674" max="7674" width="5.140625" style="2" customWidth="1"/>
    <col min="7675" max="7675" width="9.140625" style="2"/>
    <col min="7676" max="7676" width="4.85546875" style="2" customWidth="1"/>
    <col min="7677" max="7677" width="30.5703125" style="2" customWidth="1"/>
    <col min="7678" max="7678" width="33.85546875" style="2" customWidth="1"/>
    <col min="7679" max="7679" width="5.140625" style="2" customWidth="1"/>
    <col min="7680" max="7681" width="17.5703125" style="2" customWidth="1"/>
    <col min="7682" max="7925" width="9.140625" style="2"/>
    <col min="7926" max="7926" width="3.7109375" style="2" customWidth="1"/>
    <col min="7927" max="7927" width="96.85546875" style="2" customWidth="1"/>
    <col min="7928" max="7928" width="30.85546875" style="2" customWidth="1"/>
    <col min="7929" max="7929" width="12.5703125" style="2" customWidth="1"/>
    <col min="7930" max="7930" width="5.140625" style="2" customWidth="1"/>
    <col min="7931" max="7931" width="9.140625" style="2"/>
    <col min="7932" max="7932" width="4.85546875" style="2" customWidth="1"/>
    <col min="7933" max="7933" width="30.5703125" style="2" customWidth="1"/>
    <col min="7934" max="7934" width="33.85546875" style="2" customWidth="1"/>
    <col min="7935" max="7935" width="5.140625" style="2" customWidth="1"/>
    <col min="7936" max="7937" width="17.5703125" style="2" customWidth="1"/>
    <col min="7938" max="8181" width="9.140625" style="2"/>
    <col min="8182" max="8182" width="3.7109375" style="2" customWidth="1"/>
    <col min="8183" max="8183" width="96.85546875" style="2" customWidth="1"/>
    <col min="8184" max="8184" width="30.85546875" style="2" customWidth="1"/>
    <col min="8185" max="8185" width="12.5703125" style="2" customWidth="1"/>
    <col min="8186" max="8186" width="5.140625" style="2" customWidth="1"/>
    <col min="8187" max="8187" width="9.140625" style="2"/>
    <col min="8188" max="8188" width="4.85546875" style="2" customWidth="1"/>
    <col min="8189" max="8189" width="30.5703125" style="2" customWidth="1"/>
    <col min="8190" max="8190" width="33.85546875" style="2" customWidth="1"/>
    <col min="8191" max="8191" width="5.140625" style="2" customWidth="1"/>
    <col min="8192" max="8193" width="17.5703125" style="2" customWidth="1"/>
    <col min="8194" max="8437" width="9.140625" style="2"/>
    <col min="8438" max="8438" width="3.7109375" style="2" customWidth="1"/>
    <col min="8439" max="8439" width="96.85546875" style="2" customWidth="1"/>
    <col min="8440" max="8440" width="30.85546875" style="2" customWidth="1"/>
    <col min="8441" max="8441" width="12.5703125" style="2" customWidth="1"/>
    <col min="8442" max="8442" width="5.140625" style="2" customWidth="1"/>
    <col min="8443" max="8443" width="9.140625" style="2"/>
    <col min="8444" max="8444" width="4.85546875" style="2" customWidth="1"/>
    <col min="8445" max="8445" width="30.5703125" style="2" customWidth="1"/>
    <col min="8446" max="8446" width="33.85546875" style="2" customWidth="1"/>
    <col min="8447" max="8447" width="5.140625" style="2" customWidth="1"/>
    <col min="8448" max="8449" width="17.5703125" style="2" customWidth="1"/>
    <col min="8450" max="8693" width="9.140625" style="2"/>
    <col min="8694" max="8694" width="3.7109375" style="2" customWidth="1"/>
    <col min="8695" max="8695" width="96.85546875" style="2" customWidth="1"/>
    <col min="8696" max="8696" width="30.85546875" style="2" customWidth="1"/>
    <col min="8697" max="8697" width="12.5703125" style="2" customWidth="1"/>
    <col min="8698" max="8698" width="5.140625" style="2" customWidth="1"/>
    <col min="8699" max="8699" width="9.140625" style="2"/>
    <col min="8700" max="8700" width="4.85546875" style="2" customWidth="1"/>
    <col min="8701" max="8701" width="30.5703125" style="2" customWidth="1"/>
    <col min="8702" max="8702" width="33.85546875" style="2" customWidth="1"/>
    <col min="8703" max="8703" width="5.140625" style="2" customWidth="1"/>
    <col min="8704" max="8705" width="17.5703125" style="2" customWidth="1"/>
    <col min="8706" max="8949" width="9.140625" style="2"/>
    <col min="8950" max="8950" width="3.7109375" style="2" customWidth="1"/>
    <col min="8951" max="8951" width="96.85546875" style="2" customWidth="1"/>
    <col min="8952" max="8952" width="30.85546875" style="2" customWidth="1"/>
    <col min="8953" max="8953" width="12.5703125" style="2" customWidth="1"/>
    <col min="8954" max="8954" width="5.140625" style="2" customWidth="1"/>
    <col min="8955" max="8955" width="9.140625" style="2"/>
    <col min="8956" max="8956" width="4.85546875" style="2" customWidth="1"/>
    <col min="8957" max="8957" width="30.5703125" style="2" customWidth="1"/>
    <col min="8958" max="8958" width="33.85546875" style="2" customWidth="1"/>
    <col min="8959" max="8959" width="5.140625" style="2" customWidth="1"/>
    <col min="8960" max="8961" width="17.5703125" style="2" customWidth="1"/>
    <col min="8962" max="9205" width="9.140625" style="2"/>
    <col min="9206" max="9206" width="3.7109375" style="2" customWidth="1"/>
    <col min="9207" max="9207" width="96.85546875" style="2" customWidth="1"/>
    <col min="9208" max="9208" width="30.85546875" style="2" customWidth="1"/>
    <col min="9209" max="9209" width="12.5703125" style="2" customWidth="1"/>
    <col min="9210" max="9210" width="5.140625" style="2" customWidth="1"/>
    <col min="9211" max="9211" width="9.140625" style="2"/>
    <col min="9212" max="9212" width="4.85546875" style="2" customWidth="1"/>
    <col min="9213" max="9213" width="30.5703125" style="2" customWidth="1"/>
    <col min="9214" max="9214" width="33.85546875" style="2" customWidth="1"/>
    <col min="9215" max="9215" width="5.140625" style="2" customWidth="1"/>
    <col min="9216" max="9217" width="17.5703125" style="2" customWidth="1"/>
    <col min="9218" max="9461" width="9.140625" style="2"/>
    <col min="9462" max="9462" width="3.7109375" style="2" customWidth="1"/>
    <col min="9463" max="9463" width="96.85546875" style="2" customWidth="1"/>
    <col min="9464" max="9464" width="30.85546875" style="2" customWidth="1"/>
    <col min="9465" max="9465" width="12.5703125" style="2" customWidth="1"/>
    <col min="9466" max="9466" width="5.140625" style="2" customWidth="1"/>
    <col min="9467" max="9467" width="9.140625" style="2"/>
    <col min="9468" max="9468" width="4.85546875" style="2" customWidth="1"/>
    <col min="9469" max="9469" width="30.5703125" style="2" customWidth="1"/>
    <col min="9470" max="9470" width="33.85546875" style="2" customWidth="1"/>
    <col min="9471" max="9471" width="5.140625" style="2" customWidth="1"/>
    <col min="9472" max="9473" width="17.5703125" style="2" customWidth="1"/>
    <col min="9474" max="9717" width="9.140625" style="2"/>
    <col min="9718" max="9718" width="3.7109375" style="2" customWidth="1"/>
    <col min="9719" max="9719" width="96.85546875" style="2" customWidth="1"/>
    <col min="9720" max="9720" width="30.85546875" style="2" customWidth="1"/>
    <col min="9721" max="9721" width="12.5703125" style="2" customWidth="1"/>
    <col min="9722" max="9722" width="5.140625" style="2" customWidth="1"/>
    <col min="9723" max="9723" width="9.140625" style="2"/>
    <col min="9724" max="9724" width="4.85546875" style="2" customWidth="1"/>
    <col min="9725" max="9725" width="30.5703125" style="2" customWidth="1"/>
    <col min="9726" max="9726" width="33.85546875" style="2" customWidth="1"/>
    <col min="9727" max="9727" width="5.140625" style="2" customWidth="1"/>
    <col min="9728" max="9729" width="17.5703125" style="2" customWidth="1"/>
    <col min="9730" max="9973" width="9.140625" style="2"/>
    <col min="9974" max="9974" width="3.7109375" style="2" customWidth="1"/>
    <col min="9975" max="9975" width="96.85546875" style="2" customWidth="1"/>
    <col min="9976" max="9976" width="30.85546875" style="2" customWidth="1"/>
    <col min="9977" max="9977" width="12.5703125" style="2" customWidth="1"/>
    <col min="9978" max="9978" width="5.140625" style="2" customWidth="1"/>
    <col min="9979" max="9979" width="9.140625" style="2"/>
    <col min="9980" max="9980" width="4.85546875" style="2" customWidth="1"/>
    <col min="9981" max="9981" width="30.5703125" style="2" customWidth="1"/>
    <col min="9982" max="9982" width="33.85546875" style="2" customWidth="1"/>
    <col min="9983" max="9983" width="5.140625" style="2" customWidth="1"/>
    <col min="9984" max="9985" width="17.5703125" style="2" customWidth="1"/>
    <col min="9986" max="10229" width="9.140625" style="2"/>
    <col min="10230" max="10230" width="3.7109375" style="2" customWidth="1"/>
    <col min="10231" max="10231" width="96.85546875" style="2" customWidth="1"/>
    <col min="10232" max="10232" width="30.85546875" style="2" customWidth="1"/>
    <col min="10233" max="10233" width="12.5703125" style="2" customWidth="1"/>
    <col min="10234" max="10234" width="5.140625" style="2" customWidth="1"/>
    <col min="10235" max="10235" width="9.140625" style="2"/>
    <col min="10236" max="10236" width="4.85546875" style="2" customWidth="1"/>
    <col min="10237" max="10237" width="30.5703125" style="2" customWidth="1"/>
    <col min="10238" max="10238" width="33.85546875" style="2" customWidth="1"/>
    <col min="10239" max="10239" width="5.140625" style="2" customWidth="1"/>
    <col min="10240" max="10241" width="17.5703125" style="2" customWidth="1"/>
    <col min="10242" max="10485" width="9.140625" style="2"/>
    <col min="10486" max="10486" width="3.7109375" style="2" customWidth="1"/>
    <col min="10487" max="10487" width="96.85546875" style="2" customWidth="1"/>
    <col min="10488" max="10488" width="30.85546875" style="2" customWidth="1"/>
    <col min="10489" max="10489" width="12.5703125" style="2" customWidth="1"/>
    <col min="10490" max="10490" width="5.140625" style="2" customWidth="1"/>
    <col min="10491" max="10491" width="9.140625" style="2"/>
    <col min="10492" max="10492" width="4.85546875" style="2" customWidth="1"/>
    <col min="10493" max="10493" width="30.5703125" style="2" customWidth="1"/>
    <col min="10494" max="10494" width="33.85546875" style="2" customWidth="1"/>
    <col min="10495" max="10495" width="5.140625" style="2" customWidth="1"/>
    <col min="10496" max="10497" width="17.5703125" style="2" customWidth="1"/>
    <col min="10498" max="10741" width="9.140625" style="2"/>
    <col min="10742" max="10742" width="3.7109375" style="2" customWidth="1"/>
    <col min="10743" max="10743" width="96.85546875" style="2" customWidth="1"/>
    <col min="10744" max="10744" width="30.85546875" style="2" customWidth="1"/>
    <col min="10745" max="10745" width="12.5703125" style="2" customWidth="1"/>
    <col min="10746" max="10746" width="5.140625" style="2" customWidth="1"/>
    <col min="10747" max="10747" width="9.140625" style="2"/>
    <col min="10748" max="10748" width="4.85546875" style="2" customWidth="1"/>
    <col min="10749" max="10749" width="30.5703125" style="2" customWidth="1"/>
    <col min="10750" max="10750" width="33.85546875" style="2" customWidth="1"/>
    <col min="10751" max="10751" width="5.140625" style="2" customWidth="1"/>
    <col min="10752" max="10753" width="17.5703125" style="2" customWidth="1"/>
    <col min="10754" max="10997" width="9.140625" style="2"/>
    <col min="10998" max="10998" width="3.7109375" style="2" customWidth="1"/>
    <col min="10999" max="10999" width="96.85546875" style="2" customWidth="1"/>
    <col min="11000" max="11000" width="30.85546875" style="2" customWidth="1"/>
    <col min="11001" max="11001" width="12.5703125" style="2" customWidth="1"/>
    <col min="11002" max="11002" width="5.140625" style="2" customWidth="1"/>
    <col min="11003" max="11003" width="9.140625" style="2"/>
    <col min="11004" max="11004" width="4.85546875" style="2" customWidth="1"/>
    <col min="11005" max="11005" width="30.5703125" style="2" customWidth="1"/>
    <col min="11006" max="11006" width="33.85546875" style="2" customWidth="1"/>
    <col min="11007" max="11007" width="5.140625" style="2" customWidth="1"/>
    <col min="11008" max="11009" width="17.5703125" style="2" customWidth="1"/>
    <col min="11010" max="11253" width="9.140625" style="2"/>
    <col min="11254" max="11254" width="3.7109375" style="2" customWidth="1"/>
    <col min="11255" max="11255" width="96.85546875" style="2" customWidth="1"/>
    <col min="11256" max="11256" width="30.85546875" style="2" customWidth="1"/>
    <col min="11257" max="11257" width="12.5703125" style="2" customWidth="1"/>
    <col min="11258" max="11258" width="5.140625" style="2" customWidth="1"/>
    <col min="11259" max="11259" width="9.140625" style="2"/>
    <col min="11260" max="11260" width="4.85546875" style="2" customWidth="1"/>
    <col min="11261" max="11261" width="30.5703125" style="2" customWidth="1"/>
    <col min="11262" max="11262" width="33.85546875" style="2" customWidth="1"/>
    <col min="11263" max="11263" width="5.140625" style="2" customWidth="1"/>
    <col min="11264" max="11265" width="17.5703125" style="2" customWidth="1"/>
    <col min="11266" max="11509" width="9.140625" style="2"/>
    <col min="11510" max="11510" width="3.7109375" style="2" customWidth="1"/>
    <col min="11511" max="11511" width="96.85546875" style="2" customWidth="1"/>
    <col min="11512" max="11512" width="30.85546875" style="2" customWidth="1"/>
    <col min="11513" max="11513" width="12.5703125" style="2" customWidth="1"/>
    <col min="11514" max="11514" width="5.140625" style="2" customWidth="1"/>
    <col min="11515" max="11515" width="9.140625" style="2"/>
    <col min="11516" max="11516" width="4.85546875" style="2" customWidth="1"/>
    <col min="11517" max="11517" width="30.5703125" style="2" customWidth="1"/>
    <col min="11518" max="11518" width="33.85546875" style="2" customWidth="1"/>
    <col min="11519" max="11519" width="5.140625" style="2" customWidth="1"/>
    <col min="11520" max="11521" width="17.5703125" style="2" customWidth="1"/>
    <col min="11522" max="11765" width="9.140625" style="2"/>
    <col min="11766" max="11766" width="3.7109375" style="2" customWidth="1"/>
    <col min="11767" max="11767" width="96.85546875" style="2" customWidth="1"/>
    <col min="11768" max="11768" width="30.85546875" style="2" customWidth="1"/>
    <col min="11769" max="11769" width="12.5703125" style="2" customWidth="1"/>
    <col min="11770" max="11770" width="5.140625" style="2" customWidth="1"/>
    <col min="11771" max="11771" width="9.140625" style="2"/>
    <col min="11772" max="11772" width="4.85546875" style="2" customWidth="1"/>
    <col min="11773" max="11773" width="30.5703125" style="2" customWidth="1"/>
    <col min="11774" max="11774" width="33.85546875" style="2" customWidth="1"/>
    <col min="11775" max="11775" width="5.140625" style="2" customWidth="1"/>
    <col min="11776" max="11777" width="17.5703125" style="2" customWidth="1"/>
    <col min="11778" max="12021" width="9.140625" style="2"/>
    <col min="12022" max="12022" width="3.7109375" style="2" customWidth="1"/>
    <col min="12023" max="12023" width="96.85546875" style="2" customWidth="1"/>
    <col min="12024" max="12024" width="30.85546875" style="2" customWidth="1"/>
    <col min="12025" max="12025" width="12.5703125" style="2" customWidth="1"/>
    <col min="12026" max="12026" width="5.140625" style="2" customWidth="1"/>
    <col min="12027" max="12027" width="9.140625" style="2"/>
    <col min="12028" max="12028" width="4.85546875" style="2" customWidth="1"/>
    <col min="12029" max="12029" width="30.5703125" style="2" customWidth="1"/>
    <col min="12030" max="12030" width="33.85546875" style="2" customWidth="1"/>
    <col min="12031" max="12031" width="5.140625" style="2" customWidth="1"/>
    <col min="12032" max="12033" width="17.5703125" style="2" customWidth="1"/>
    <col min="12034" max="12277" width="9.140625" style="2"/>
    <col min="12278" max="12278" width="3.7109375" style="2" customWidth="1"/>
    <col min="12279" max="12279" width="96.85546875" style="2" customWidth="1"/>
    <col min="12280" max="12280" width="30.85546875" style="2" customWidth="1"/>
    <col min="12281" max="12281" width="12.5703125" style="2" customWidth="1"/>
    <col min="12282" max="12282" width="5.140625" style="2" customWidth="1"/>
    <col min="12283" max="12283" width="9.140625" style="2"/>
    <col min="12284" max="12284" width="4.85546875" style="2" customWidth="1"/>
    <col min="12285" max="12285" width="30.5703125" style="2" customWidth="1"/>
    <col min="12286" max="12286" width="33.85546875" style="2" customWidth="1"/>
    <col min="12287" max="12287" width="5.140625" style="2" customWidth="1"/>
    <col min="12288" max="12289" width="17.5703125" style="2" customWidth="1"/>
    <col min="12290" max="12533" width="9.140625" style="2"/>
    <col min="12534" max="12534" width="3.7109375" style="2" customWidth="1"/>
    <col min="12535" max="12535" width="96.85546875" style="2" customWidth="1"/>
    <col min="12536" max="12536" width="30.85546875" style="2" customWidth="1"/>
    <col min="12537" max="12537" width="12.5703125" style="2" customWidth="1"/>
    <col min="12538" max="12538" width="5.140625" style="2" customWidth="1"/>
    <col min="12539" max="12539" width="9.140625" style="2"/>
    <col min="12540" max="12540" width="4.85546875" style="2" customWidth="1"/>
    <col min="12541" max="12541" width="30.5703125" style="2" customWidth="1"/>
    <col min="12542" max="12542" width="33.85546875" style="2" customWidth="1"/>
    <col min="12543" max="12543" width="5.140625" style="2" customWidth="1"/>
    <col min="12544" max="12545" width="17.5703125" style="2" customWidth="1"/>
    <col min="12546" max="12789" width="9.140625" style="2"/>
    <col min="12790" max="12790" width="3.7109375" style="2" customWidth="1"/>
    <col min="12791" max="12791" width="96.85546875" style="2" customWidth="1"/>
    <col min="12792" max="12792" width="30.85546875" style="2" customWidth="1"/>
    <col min="12793" max="12793" width="12.5703125" style="2" customWidth="1"/>
    <col min="12794" max="12794" width="5.140625" style="2" customWidth="1"/>
    <col min="12795" max="12795" width="9.140625" style="2"/>
    <col min="12796" max="12796" width="4.85546875" style="2" customWidth="1"/>
    <col min="12797" max="12797" width="30.5703125" style="2" customWidth="1"/>
    <col min="12798" max="12798" width="33.85546875" style="2" customWidth="1"/>
    <col min="12799" max="12799" width="5.140625" style="2" customWidth="1"/>
    <col min="12800" max="12801" width="17.5703125" style="2" customWidth="1"/>
    <col min="12802" max="13045" width="9.140625" style="2"/>
    <col min="13046" max="13046" width="3.7109375" style="2" customWidth="1"/>
    <col min="13047" max="13047" width="96.85546875" style="2" customWidth="1"/>
    <col min="13048" max="13048" width="30.85546875" style="2" customWidth="1"/>
    <col min="13049" max="13049" width="12.5703125" style="2" customWidth="1"/>
    <col min="13050" max="13050" width="5.140625" style="2" customWidth="1"/>
    <col min="13051" max="13051" width="9.140625" style="2"/>
    <col min="13052" max="13052" width="4.85546875" style="2" customWidth="1"/>
    <col min="13053" max="13053" width="30.5703125" style="2" customWidth="1"/>
    <col min="13054" max="13054" width="33.85546875" style="2" customWidth="1"/>
    <col min="13055" max="13055" width="5.140625" style="2" customWidth="1"/>
    <col min="13056" max="13057" width="17.5703125" style="2" customWidth="1"/>
    <col min="13058" max="13301" width="9.140625" style="2"/>
    <col min="13302" max="13302" width="3.7109375" style="2" customWidth="1"/>
    <col min="13303" max="13303" width="96.85546875" style="2" customWidth="1"/>
    <col min="13304" max="13304" width="30.85546875" style="2" customWidth="1"/>
    <col min="13305" max="13305" width="12.5703125" style="2" customWidth="1"/>
    <col min="13306" max="13306" width="5.140625" style="2" customWidth="1"/>
    <col min="13307" max="13307" width="9.140625" style="2"/>
    <col min="13308" max="13308" width="4.85546875" style="2" customWidth="1"/>
    <col min="13309" max="13309" width="30.5703125" style="2" customWidth="1"/>
    <col min="13310" max="13310" width="33.85546875" style="2" customWidth="1"/>
    <col min="13311" max="13311" width="5.140625" style="2" customWidth="1"/>
    <col min="13312" max="13313" width="17.5703125" style="2" customWidth="1"/>
    <col min="13314" max="13557" width="9.140625" style="2"/>
    <col min="13558" max="13558" width="3.7109375" style="2" customWidth="1"/>
    <col min="13559" max="13559" width="96.85546875" style="2" customWidth="1"/>
    <col min="13560" max="13560" width="30.85546875" style="2" customWidth="1"/>
    <col min="13561" max="13561" width="12.5703125" style="2" customWidth="1"/>
    <col min="13562" max="13562" width="5.140625" style="2" customWidth="1"/>
    <col min="13563" max="13563" width="9.140625" style="2"/>
    <col min="13564" max="13564" width="4.85546875" style="2" customWidth="1"/>
    <col min="13565" max="13565" width="30.5703125" style="2" customWidth="1"/>
    <col min="13566" max="13566" width="33.85546875" style="2" customWidth="1"/>
    <col min="13567" max="13567" width="5.140625" style="2" customWidth="1"/>
    <col min="13568" max="13569" width="17.5703125" style="2" customWidth="1"/>
    <col min="13570" max="13813" width="9.140625" style="2"/>
    <col min="13814" max="13814" width="3.7109375" style="2" customWidth="1"/>
    <col min="13815" max="13815" width="96.85546875" style="2" customWidth="1"/>
    <col min="13816" max="13816" width="30.85546875" style="2" customWidth="1"/>
    <col min="13817" max="13817" width="12.5703125" style="2" customWidth="1"/>
    <col min="13818" max="13818" width="5.140625" style="2" customWidth="1"/>
    <col min="13819" max="13819" width="9.140625" style="2"/>
    <col min="13820" max="13820" width="4.85546875" style="2" customWidth="1"/>
    <col min="13821" max="13821" width="30.5703125" style="2" customWidth="1"/>
    <col min="13822" max="13822" width="33.85546875" style="2" customWidth="1"/>
    <col min="13823" max="13823" width="5.140625" style="2" customWidth="1"/>
    <col min="13824" max="13825" width="17.5703125" style="2" customWidth="1"/>
    <col min="13826" max="14069" width="9.140625" style="2"/>
    <col min="14070" max="14070" width="3.7109375" style="2" customWidth="1"/>
    <col min="14071" max="14071" width="96.85546875" style="2" customWidth="1"/>
    <col min="14072" max="14072" width="30.85546875" style="2" customWidth="1"/>
    <col min="14073" max="14073" width="12.5703125" style="2" customWidth="1"/>
    <col min="14074" max="14074" width="5.140625" style="2" customWidth="1"/>
    <col min="14075" max="14075" width="9.140625" style="2"/>
    <col min="14076" max="14076" width="4.85546875" style="2" customWidth="1"/>
    <col min="14077" max="14077" width="30.5703125" style="2" customWidth="1"/>
    <col min="14078" max="14078" width="33.85546875" style="2" customWidth="1"/>
    <col min="14079" max="14079" width="5.140625" style="2" customWidth="1"/>
    <col min="14080" max="14081" width="17.5703125" style="2" customWidth="1"/>
    <col min="14082" max="14325" width="9.140625" style="2"/>
    <col min="14326" max="14326" width="3.7109375" style="2" customWidth="1"/>
    <col min="14327" max="14327" width="96.85546875" style="2" customWidth="1"/>
    <col min="14328" max="14328" width="30.85546875" style="2" customWidth="1"/>
    <col min="14329" max="14329" width="12.5703125" style="2" customWidth="1"/>
    <col min="14330" max="14330" width="5.140625" style="2" customWidth="1"/>
    <col min="14331" max="14331" width="9.140625" style="2"/>
    <col min="14332" max="14332" width="4.85546875" style="2" customWidth="1"/>
    <col min="14333" max="14333" width="30.5703125" style="2" customWidth="1"/>
    <col min="14334" max="14334" width="33.85546875" style="2" customWidth="1"/>
    <col min="14335" max="14335" width="5.140625" style="2" customWidth="1"/>
    <col min="14336" max="14337" width="17.5703125" style="2" customWidth="1"/>
    <col min="14338" max="14581" width="9.140625" style="2"/>
    <col min="14582" max="14582" width="3.7109375" style="2" customWidth="1"/>
    <col min="14583" max="14583" width="96.85546875" style="2" customWidth="1"/>
    <col min="14584" max="14584" width="30.85546875" style="2" customWidth="1"/>
    <col min="14585" max="14585" width="12.5703125" style="2" customWidth="1"/>
    <col min="14586" max="14586" width="5.140625" style="2" customWidth="1"/>
    <col min="14587" max="14587" width="9.140625" style="2"/>
    <col min="14588" max="14588" width="4.85546875" style="2" customWidth="1"/>
    <col min="14589" max="14589" width="30.5703125" style="2" customWidth="1"/>
    <col min="14590" max="14590" width="33.85546875" style="2" customWidth="1"/>
    <col min="14591" max="14591" width="5.140625" style="2" customWidth="1"/>
    <col min="14592" max="14593" width="17.5703125" style="2" customWidth="1"/>
    <col min="14594" max="14837" width="9.140625" style="2"/>
    <col min="14838" max="14838" width="3.7109375" style="2" customWidth="1"/>
    <col min="14839" max="14839" width="96.85546875" style="2" customWidth="1"/>
    <col min="14840" max="14840" width="30.85546875" style="2" customWidth="1"/>
    <col min="14841" max="14841" width="12.5703125" style="2" customWidth="1"/>
    <col min="14842" max="14842" width="5.140625" style="2" customWidth="1"/>
    <col min="14843" max="14843" width="9.140625" style="2"/>
    <col min="14844" max="14844" width="4.85546875" style="2" customWidth="1"/>
    <col min="14845" max="14845" width="30.5703125" style="2" customWidth="1"/>
    <col min="14846" max="14846" width="33.85546875" style="2" customWidth="1"/>
    <col min="14847" max="14847" width="5.140625" style="2" customWidth="1"/>
    <col min="14848" max="14849" width="17.5703125" style="2" customWidth="1"/>
    <col min="14850" max="15093" width="9.140625" style="2"/>
    <col min="15094" max="15094" width="3.7109375" style="2" customWidth="1"/>
    <col min="15095" max="15095" width="96.85546875" style="2" customWidth="1"/>
    <col min="15096" max="15096" width="30.85546875" style="2" customWidth="1"/>
    <col min="15097" max="15097" width="12.5703125" style="2" customWidth="1"/>
    <col min="15098" max="15098" width="5.140625" style="2" customWidth="1"/>
    <col min="15099" max="15099" width="9.140625" style="2"/>
    <col min="15100" max="15100" width="4.85546875" style="2" customWidth="1"/>
    <col min="15101" max="15101" width="30.5703125" style="2" customWidth="1"/>
    <col min="15102" max="15102" width="33.85546875" style="2" customWidth="1"/>
    <col min="15103" max="15103" width="5.140625" style="2" customWidth="1"/>
    <col min="15104" max="15105" width="17.5703125" style="2" customWidth="1"/>
    <col min="15106" max="15349" width="9.140625" style="2"/>
    <col min="15350" max="15350" width="3.7109375" style="2" customWidth="1"/>
    <col min="15351" max="15351" width="96.85546875" style="2" customWidth="1"/>
    <col min="15352" max="15352" width="30.85546875" style="2" customWidth="1"/>
    <col min="15353" max="15353" width="12.5703125" style="2" customWidth="1"/>
    <col min="15354" max="15354" width="5.140625" style="2" customWidth="1"/>
    <col min="15355" max="15355" width="9.140625" style="2"/>
    <col min="15356" max="15356" width="4.85546875" style="2" customWidth="1"/>
    <col min="15357" max="15357" width="30.5703125" style="2" customWidth="1"/>
    <col min="15358" max="15358" width="33.85546875" style="2" customWidth="1"/>
    <col min="15359" max="15359" width="5.140625" style="2" customWidth="1"/>
    <col min="15360" max="15361" width="17.5703125" style="2" customWidth="1"/>
    <col min="15362" max="15605" width="9.140625" style="2"/>
    <col min="15606" max="15606" width="3.7109375" style="2" customWidth="1"/>
    <col min="15607" max="15607" width="96.85546875" style="2" customWidth="1"/>
    <col min="15608" max="15608" width="30.85546875" style="2" customWidth="1"/>
    <col min="15609" max="15609" width="12.5703125" style="2" customWidth="1"/>
    <col min="15610" max="15610" width="5.140625" style="2" customWidth="1"/>
    <col min="15611" max="15611" width="9.140625" style="2"/>
    <col min="15612" max="15612" width="4.85546875" style="2" customWidth="1"/>
    <col min="15613" max="15613" width="30.5703125" style="2" customWidth="1"/>
    <col min="15614" max="15614" width="33.85546875" style="2" customWidth="1"/>
    <col min="15615" max="15615" width="5.140625" style="2" customWidth="1"/>
    <col min="15616" max="15617" width="17.5703125" style="2" customWidth="1"/>
    <col min="15618" max="15861" width="9.140625" style="2"/>
    <col min="15862" max="15862" width="3.7109375" style="2" customWidth="1"/>
    <col min="15863" max="15863" width="96.85546875" style="2" customWidth="1"/>
    <col min="15864" max="15864" width="30.85546875" style="2" customWidth="1"/>
    <col min="15865" max="15865" width="12.5703125" style="2" customWidth="1"/>
    <col min="15866" max="15866" width="5.140625" style="2" customWidth="1"/>
    <col min="15867" max="15867" width="9.140625" style="2"/>
    <col min="15868" max="15868" width="4.85546875" style="2" customWidth="1"/>
    <col min="15869" max="15869" width="30.5703125" style="2" customWidth="1"/>
    <col min="15870" max="15870" width="33.85546875" style="2" customWidth="1"/>
    <col min="15871" max="15871" width="5.140625" style="2" customWidth="1"/>
    <col min="15872" max="15873" width="17.5703125" style="2" customWidth="1"/>
    <col min="15874" max="16117" width="9.140625" style="2"/>
    <col min="16118" max="16118" width="3.7109375" style="2" customWidth="1"/>
    <col min="16119" max="16119" width="96.85546875" style="2" customWidth="1"/>
    <col min="16120" max="16120" width="30.85546875" style="2" customWidth="1"/>
    <col min="16121" max="16121" width="12.5703125" style="2" customWidth="1"/>
    <col min="16122" max="16122" width="5.140625" style="2" customWidth="1"/>
    <col min="16123" max="16123" width="9.140625" style="2"/>
    <col min="16124" max="16124" width="4.85546875" style="2" customWidth="1"/>
    <col min="16125" max="16125" width="30.5703125" style="2" customWidth="1"/>
    <col min="16126" max="16126" width="33.85546875" style="2" customWidth="1"/>
    <col min="16127" max="16127" width="5.140625" style="2" customWidth="1"/>
    <col min="16128" max="16129" width="17.5703125" style="2" customWidth="1"/>
    <col min="16130" max="16384" width="9.140625" style="2"/>
  </cols>
  <sheetData>
    <row r="1" spans="1:3" ht="48" customHeight="1" x14ac:dyDescent="0.2">
      <c r="A1" s="1"/>
      <c r="B1" s="143" t="s">
        <v>1</v>
      </c>
      <c r="C1" s="143"/>
    </row>
    <row r="2" spans="1:3" x14ac:dyDescent="0.2">
      <c r="A2" s="1"/>
      <c r="B2" s="3" t="s">
        <v>2</v>
      </c>
      <c r="C2" s="4">
        <v>45317</v>
      </c>
    </row>
    <row r="3" spans="1:3" x14ac:dyDescent="0.2">
      <c r="A3" s="1"/>
      <c r="B3" s="5" t="s">
        <v>3</v>
      </c>
      <c r="C3" s="6"/>
    </row>
    <row r="4" spans="1:3" ht="25.5" x14ac:dyDescent="0.2">
      <c r="A4" s="7"/>
      <c r="B4" s="8" t="str">
        <f>[2]И1!D13</f>
        <v>Субъект Российской Федерации</v>
      </c>
      <c r="C4" s="9" t="str">
        <f>[2]И1!E13</f>
        <v>Новосибирская область</v>
      </c>
    </row>
    <row r="5" spans="1:3" ht="15.95" customHeight="1" x14ac:dyDescent="0.2">
      <c r="A5" s="7"/>
      <c r="B5" s="8" t="str">
        <f>[2]И1!D14</f>
        <v>Тип муниципального образования (выберите из списка)</v>
      </c>
      <c r="C5" s="9" t="str">
        <f>[2]И1!E14</f>
        <v>деревня Новый Шарап, Ордынский муниципальный район</v>
      </c>
    </row>
    <row r="6" spans="1:3" x14ac:dyDescent="0.2">
      <c r="A6" s="7"/>
      <c r="B6" s="8" t="str">
        <f>IF([2]И1!E15="","",[2]И1!D15)</f>
        <v/>
      </c>
      <c r="C6" s="6" t="str">
        <f>IF([2]И1!E15="","",[2]И1!E15)</f>
        <v/>
      </c>
    </row>
    <row r="7" spans="1:3" x14ac:dyDescent="0.2">
      <c r="A7" s="7"/>
      <c r="B7" s="8" t="str">
        <f>[2]И1!D16</f>
        <v>Код ОКТМО</v>
      </c>
      <c r="C7" s="10" t="str">
        <f>[2]И1!E16</f>
        <v>50642420101</v>
      </c>
    </row>
    <row r="8" spans="1:3" x14ac:dyDescent="0.2">
      <c r="A8" s="7"/>
      <c r="B8" s="11" t="str">
        <f>[2]И1!D17</f>
        <v>Система теплоснабжения</v>
      </c>
      <c r="C8" s="12">
        <f>[2]И1!E17</f>
        <v>0</v>
      </c>
    </row>
    <row r="9" spans="1:3" x14ac:dyDescent="0.2">
      <c r="A9" s="7"/>
      <c r="B9" s="8" t="str">
        <f>[2]И1!D8</f>
        <v>Период регулирования (i)-й</v>
      </c>
      <c r="C9" s="13">
        <f>[2]И1!E8</f>
        <v>2024</v>
      </c>
    </row>
    <row r="10" spans="1:3" x14ac:dyDescent="0.2">
      <c r="A10" s="7"/>
      <c r="B10" s="8" t="str">
        <f>[2]И1!D9</f>
        <v>Период регулирования (i-1)-й</v>
      </c>
      <c r="C10" s="13">
        <f>[2]И1!E9</f>
        <v>2023</v>
      </c>
    </row>
    <row r="11" spans="1:3" x14ac:dyDescent="0.2">
      <c r="A11" s="7"/>
      <c r="B11" s="8" t="str">
        <f>[2]И1!D10</f>
        <v>Период регулирования (i-2)-й</v>
      </c>
      <c r="C11" s="13">
        <f>[2]И1!E10</f>
        <v>2022</v>
      </c>
    </row>
    <row r="12" spans="1:3" x14ac:dyDescent="0.2">
      <c r="A12" s="7"/>
      <c r="B12" s="8" t="str">
        <f>[2]И1!D11</f>
        <v>Базовый год (б)</v>
      </c>
      <c r="C12" s="13">
        <f>[2]И1!E11</f>
        <v>2019</v>
      </c>
    </row>
    <row r="13" spans="1:3" x14ac:dyDescent="0.2">
      <c r="A13" s="7"/>
      <c r="B13" s="8" t="str">
        <f>[2]И1!D18</f>
        <v>Вид топлива, использование которого преобладает в системе теплоснабжения</v>
      </c>
      <c r="C13" s="14" t="str">
        <f>[2]И1!E18</f>
        <v>Газ</v>
      </c>
    </row>
    <row r="14" spans="1:3" ht="26.25" customHeight="1" thickBot="1" x14ac:dyDescent="0.25">
      <c r="A14" s="142" t="s">
        <v>4</v>
      </c>
      <c r="B14" s="142"/>
      <c r="C14" s="142"/>
    </row>
    <row r="15" spans="1:3" x14ac:dyDescent="0.2">
      <c r="A15" s="15" t="s">
        <v>5</v>
      </c>
      <c r="B15" s="16" t="s">
        <v>6</v>
      </c>
      <c r="C15" s="17" t="s">
        <v>7</v>
      </c>
    </row>
    <row r="16" spans="1:3" x14ac:dyDescent="0.2">
      <c r="A16" s="18">
        <v>1</v>
      </c>
      <c r="B16" s="19">
        <v>2</v>
      </c>
      <c r="C16" s="20">
        <v>3</v>
      </c>
    </row>
    <row r="17" spans="1:3" x14ac:dyDescent="0.2">
      <c r="A17" s="21">
        <v>1</v>
      </c>
      <c r="B17" s="22" t="s">
        <v>8</v>
      </c>
      <c r="C17" s="23">
        <f>SUM(C18:C23)</f>
        <v>2941.0995637689662</v>
      </c>
    </row>
    <row r="18" spans="1:3" ht="42.75" x14ac:dyDescent="0.2">
      <c r="A18" s="21" t="s">
        <v>9</v>
      </c>
      <c r="B18" s="24" t="s">
        <v>10</v>
      </c>
      <c r="C18" s="25">
        <f>[2]С1!F12</f>
        <v>994.35037159416254</v>
      </c>
    </row>
    <row r="19" spans="1:3" ht="42.75" x14ac:dyDescent="0.2">
      <c r="A19" s="21" t="s">
        <v>11</v>
      </c>
      <c r="B19" s="24" t="s">
        <v>12</v>
      </c>
      <c r="C19" s="25">
        <f>[2]С2!F12</f>
        <v>1337.2323504196445</v>
      </c>
    </row>
    <row r="20" spans="1:3" ht="30" x14ac:dyDescent="0.2">
      <c r="A20" s="21" t="s">
        <v>13</v>
      </c>
      <c r="B20" s="24" t="s">
        <v>14</v>
      </c>
      <c r="C20" s="25">
        <f>[2]С3!F12</f>
        <v>317.62075127153844</v>
      </c>
    </row>
    <row r="21" spans="1:3" ht="42.75" x14ac:dyDescent="0.2">
      <c r="A21" s="21" t="s">
        <v>15</v>
      </c>
      <c r="B21" s="24" t="s">
        <v>16</v>
      </c>
      <c r="C21" s="25">
        <f>[2]С4!F12</f>
        <v>234.22747158619012</v>
      </c>
    </row>
    <row r="22" spans="1:3" ht="33" customHeight="1" x14ac:dyDescent="0.2">
      <c r="A22" s="21" t="s">
        <v>17</v>
      </c>
      <c r="B22" s="24" t="s">
        <v>18</v>
      </c>
      <c r="C22" s="25">
        <f>[2]С5!F12</f>
        <v>57.668618897430704</v>
      </c>
    </row>
    <row r="23" spans="1:3" ht="45.75" customHeight="1" thickBot="1" x14ac:dyDescent="0.25">
      <c r="A23" s="26" t="s">
        <v>19</v>
      </c>
      <c r="B23" s="140" t="s">
        <v>20</v>
      </c>
      <c r="C23" s="27">
        <f>[2]С6!F12</f>
        <v>0</v>
      </c>
    </row>
    <row r="24" spans="1:3" ht="13.5" thickBot="1" x14ac:dyDescent="0.25">
      <c r="A24" s="1"/>
      <c r="C24" s="6"/>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v>
      </c>
      <c r="C28" s="32">
        <f>[2]С1.1!E16</f>
        <v>7900</v>
      </c>
    </row>
    <row r="29" spans="1:3" ht="42.75" x14ac:dyDescent="0.2">
      <c r="A29" s="21" t="s">
        <v>11</v>
      </c>
      <c r="B29" s="31" t="s">
        <v>23</v>
      </c>
      <c r="C29" s="32">
        <f>[2]С1.1!E32</f>
        <v>5751.37</v>
      </c>
    </row>
    <row r="30" spans="1:3" ht="38.25" x14ac:dyDescent="0.2">
      <c r="A30" s="21" t="s">
        <v>24</v>
      </c>
      <c r="B30" s="31" t="s">
        <v>25</v>
      </c>
      <c r="C30" s="33" t="str">
        <f>[2]С1.1!E25</f>
        <v>ООО "Газпром газораспределение Томск"</v>
      </c>
    </row>
    <row r="31" spans="1:3" ht="38.25" x14ac:dyDescent="0.2">
      <c r="A31" s="21" t="s">
        <v>26</v>
      </c>
      <c r="B31" s="31" t="str">
        <f>[2]С1.1!D26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2">
        <f>[2]С1.1!E26</f>
        <v>4699.5</v>
      </c>
    </row>
    <row r="32" spans="1:3" ht="25.5" x14ac:dyDescent="0.2">
      <c r="A32" s="21" t="s">
        <v>27</v>
      </c>
      <c r="B32" s="31" t="str">
        <f>[2]С1.1!D27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2">
        <f>[2]С1.1!E27</f>
        <v>795.43</v>
      </c>
    </row>
    <row r="33" spans="1:3" ht="25.5" x14ac:dyDescent="0.2">
      <c r="A33" s="21" t="s">
        <v>28</v>
      </c>
      <c r="B33" s="31" t="str">
        <f>[2]С1.1!D28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2">
        <f>[2]С1.1!E28</f>
        <v>136.54</v>
      </c>
    </row>
    <row r="34" spans="1:3" ht="38.25" x14ac:dyDescent="0.2">
      <c r="A34" s="21" t="s">
        <v>29</v>
      </c>
      <c r="B34" s="31" t="str">
        <f>[2]С1.1!D29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2">
        <f>[2]С1.1!E29</f>
        <v>119.9</v>
      </c>
    </row>
    <row r="35" spans="1:3" ht="17.25" x14ac:dyDescent="0.2">
      <c r="A35" s="21" t="s">
        <v>13</v>
      </c>
      <c r="B35" s="31" t="s">
        <v>30</v>
      </c>
      <c r="C35" s="34">
        <f>[2]С1.1!E20</f>
        <v>8.5000000000000006E-2</v>
      </c>
    </row>
    <row r="36" spans="1:3" ht="17.25" x14ac:dyDescent="0.2">
      <c r="A36" s="21" t="s">
        <v>15</v>
      </c>
      <c r="B36" s="31" t="s">
        <v>31</v>
      </c>
      <c r="C36" s="34">
        <f>[2]С1.1!E21</f>
        <v>0.112</v>
      </c>
    </row>
    <row r="37" spans="1:3" ht="30" x14ac:dyDescent="0.2">
      <c r="A37" s="21" t="s">
        <v>17</v>
      </c>
      <c r="B37" s="35" t="s">
        <v>32</v>
      </c>
      <c r="C37" s="36">
        <f>[2]С1!F13</f>
        <v>156.1</v>
      </c>
    </row>
    <row r="38" spans="1:3" x14ac:dyDescent="0.2">
      <c r="A38" s="21" t="s">
        <v>19</v>
      </c>
      <c r="B38" s="35" t="s">
        <v>33</v>
      </c>
      <c r="C38" s="37">
        <f>[2]С1!F16</f>
        <v>7000</v>
      </c>
    </row>
    <row r="39" spans="1:3" ht="14.25" x14ac:dyDescent="0.2">
      <c r="A39" s="38" t="s">
        <v>34</v>
      </c>
      <c r="B39" s="39" t="s">
        <v>35</v>
      </c>
      <c r="C39" s="40">
        <f>[2]С1!F17</f>
        <v>1.1285714285714286</v>
      </c>
    </row>
    <row r="40" spans="1:3" ht="15.75" x14ac:dyDescent="0.2">
      <c r="A40" s="41" t="s">
        <v>36</v>
      </c>
      <c r="B40" s="42" t="s">
        <v>37</v>
      </c>
      <c r="C40" s="40">
        <f>[2]С1!F20</f>
        <v>22.307053372799995</v>
      </c>
    </row>
    <row r="41" spans="1:3" ht="15.75" x14ac:dyDescent="0.2">
      <c r="A41" s="41" t="s">
        <v>38</v>
      </c>
      <c r="B41" s="43" t="s">
        <v>39</v>
      </c>
      <c r="C41" s="40">
        <f>[2]С1!F21</f>
        <v>21.531904799999996</v>
      </c>
    </row>
    <row r="42" spans="1:3" ht="14.25" x14ac:dyDescent="0.2">
      <c r="A42" s="41" t="s">
        <v>40</v>
      </c>
      <c r="B42" s="44" t="s">
        <v>41</v>
      </c>
      <c r="C42" s="40">
        <f>[2]С1!F22</f>
        <v>1.036</v>
      </c>
    </row>
    <row r="43" spans="1:3" ht="53.25" thickBot="1" x14ac:dyDescent="0.25">
      <c r="A43" s="26" t="s">
        <v>42</v>
      </c>
      <c r="B43" s="45" t="s">
        <v>43</v>
      </c>
      <c r="C43" s="46" t="str">
        <f>[2]С1!F23</f>
        <v>-</v>
      </c>
    </row>
    <row r="44" spans="1:3" ht="13.5" thickBot="1" x14ac:dyDescent="0.25">
      <c r="A44" s="47"/>
      <c r="B44" s="48"/>
      <c r="C44" s="14"/>
    </row>
    <row r="45" spans="1:3" ht="30" customHeight="1" x14ac:dyDescent="0.2">
      <c r="A45" s="49" t="s">
        <v>44</v>
      </c>
      <c r="B45" s="145" t="s">
        <v>45</v>
      </c>
      <c r="C45" s="145"/>
    </row>
    <row r="46" spans="1:3" ht="25.5" x14ac:dyDescent="0.2">
      <c r="A46" s="21" t="s">
        <v>46</v>
      </c>
      <c r="B46" s="35" t="s">
        <v>47</v>
      </c>
      <c r="C46" s="50" t="str">
        <f>[2]С2.1!E12</f>
        <v>V</v>
      </c>
    </row>
    <row r="47" spans="1:3" ht="25.5" x14ac:dyDescent="0.2">
      <c r="A47" s="21" t="s">
        <v>48</v>
      </c>
      <c r="B47" s="31" t="s">
        <v>49</v>
      </c>
      <c r="C47" s="50" t="str">
        <f>[2]С2.1!E13</f>
        <v>6 и менее баллов</v>
      </c>
    </row>
    <row r="48" spans="1:3" ht="25.5" x14ac:dyDescent="0.2">
      <c r="A48" s="21" t="s">
        <v>50</v>
      </c>
      <c r="B48" s="31" t="s">
        <v>51</v>
      </c>
      <c r="C48" s="50" t="str">
        <f>[2]С2.1!E14</f>
        <v>от 200 до 500</v>
      </c>
    </row>
    <row r="49" spans="1:3" ht="25.5" x14ac:dyDescent="0.2">
      <c r="A49" s="21" t="s">
        <v>52</v>
      </c>
      <c r="B49" s="31" t="s">
        <v>53</v>
      </c>
      <c r="C49" s="51" t="str">
        <f>[2]С2.1!E15</f>
        <v>нет</v>
      </c>
    </row>
    <row r="50" spans="1:3" ht="30" x14ac:dyDescent="0.2">
      <c r="A50" s="21" t="s">
        <v>54</v>
      </c>
      <c r="B50" s="31" t="s">
        <v>55</v>
      </c>
      <c r="C50" s="32">
        <f>[2]С2!F18</f>
        <v>35106.652004551666</v>
      </c>
    </row>
    <row r="51" spans="1:3" ht="30" x14ac:dyDescent="0.2">
      <c r="A51" s="21" t="s">
        <v>56</v>
      </c>
      <c r="B51" s="52" t="s">
        <v>57</v>
      </c>
      <c r="C51" s="32">
        <f>IF([2]С2!F19&gt;0,[2]С2!F19,[2]С2!F20)</f>
        <v>23441.524932855718</v>
      </c>
    </row>
    <row r="52" spans="1:3" ht="25.5" x14ac:dyDescent="0.2">
      <c r="A52" s="21" t="s">
        <v>58</v>
      </c>
      <c r="B52" s="53" t="s">
        <v>59</v>
      </c>
      <c r="C52" s="32">
        <f>[2]С2.1!E20</f>
        <v>-37</v>
      </c>
    </row>
    <row r="53" spans="1:3" ht="25.5" x14ac:dyDescent="0.2">
      <c r="A53" s="21" t="s">
        <v>60</v>
      </c>
      <c r="B53" s="53" t="s">
        <v>61</v>
      </c>
      <c r="C53" s="32" t="str">
        <f>[2]С2.1!E23</f>
        <v>нет</v>
      </c>
    </row>
    <row r="54" spans="1:3" ht="38.25" x14ac:dyDescent="0.2">
      <c r="A54" s="21" t="s">
        <v>62</v>
      </c>
      <c r="B54" s="54" t="s">
        <v>63</v>
      </c>
      <c r="C54" s="32">
        <f>[2]С2.2!E10</f>
        <v>1287</v>
      </c>
    </row>
    <row r="55" spans="1:3" ht="25.5" x14ac:dyDescent="0.2">
      <c r="A55" s="21" t="s">
        <v>64</v>
      </c>
      <c r="B55" s="55" t="s">
        <v>65</v>
      </c>
      <c r="C55" s="32">
        <f>[2]С2.2!E12</f>
        <v>5.97</v>
      </c>
    </row>
    <row r="56" spans="1:3" ht="52.5" x14ac:dyDescent="0.2">
      <c r="A56" s="21" t="s">
        <v>66</v>
      </c>
      <c r="B56" s="56" t="s">
        <v>67</v>
      </c>
      <c r="C56" s="32">
        <f>[2]С2.2!E13</f>
        <v>1</v>
      </c>
    </row>
    <row r="57" spans="1:3" ht="27.75" x14ac:dyDescent="0.2">
      <c r="A57" s="21" t="s">
        <v>68</v>
      </c>
      <c r="B57" s="55" t="s">
        <v>69</v>
      </c>
      <c r="C57" s="32">
        <f>[2]С2.2!E14</f>
        <v>12104</v>
      </c>
    </row>
    <row r="58" spans="1:3" ht="25.5" x14ac:dyDescent="0.2">
      <c r="A58" s="21" t="s">
        <v>70</v>
      </c>
      <c r="B58" s="56" t="s">
        <v>71</v>
      </c>
      <c r="C58" s="34">
        <f>[2]С2.2!E15</f>
        <v>4.8000000000000001E-2</v>
      </c>
    </row>
    <row r="59" spans="1:3" x14ac:dyDescent="0.2">
      <c r="A59" s="21" t="s">
        <v>72</v>
      </c>
      <c r="B59" s="56" t="s">
        <v>73</v>
      </c>
      <c r="C59" s="57">
        <f>[2]С2.2!E16</f>
        <v>1</v>
      </c>
    </row>
    <row r="60" spans="1:3" ht="15.75" x14ac:dyDescent="0.2">
      <c r="A60" s="21" t="s">
        <v>74</v>
      </c>
      <c r="B60" s="58" t="s">
        <v>75</v>
      </c>
      <c r="C60" s="32">
        <f>[2]С2!F21</f>
        <v>1</v>
      </c>
    </row>
    <row r="61" spans="1:3" ht="30" x14ac:dyDescent="0.2">
      <c r="A61" s="59" t="s">
        <v>76</v>
      </c>
      <c r="B61" s="31" t="s">
        <v>77</v>
      </c>
      <c r="C61" s="32">
        <f>[2]С2!F13</f>
        <v>105136.23090983224</v>
      </c>
    </row>
    <row r="62" spans="1:3" ht="30" x14ac:dyDescent="0.2">
      <c r="A62" s="59" t="s">
        <v>78</v>
      </c>
      <c r="B62" s="60" t="s">
        <v>79</v>
      </c>
      <c r="C62" s="32">
        <f>[2]С2!F14</f>
        <v>64899</v>
      </c>
    </row>
    <row r="63" spans="1:3" ht="15.75" x14ac:dyDescent="0.2">
      <c r="A63" s="59" t="s">
        <v>80</v>
      </c>
      <c r="B63" s="60" t="s">
        <v>81</v>
      </c>
      <c r="C63" s="40">
        <f>[2]С2!F15</f>
        <v>1.071</v>
      </c>
    </row>
    <row r="64" spans="1:3" ht="15.75" x14ac:dyDescent="0.2">
      <c r="A64" s="59" t="s">
        <v>82</v>
      </c>
      <c r="B64" s="60" t="s">
        <v>83</v>
      </c>
      <c r="C64" s="61">
        <f>[2]С2!F16</f>
        <v>1</v>
      </c>
    </row>
    <row r="65" spans="1:3" ht="17.25" x14ac:dyDescent="0.2">
      <c r="A65" s="59" t="s">
        <v>84</v>
      </c>
      <c r="B65" s="60" t="s">
        <v>85</v>
      </c>
      <c r="C65" s="62">
        <f>[2]С2!F17</f>
        <v>1.01</v>
      </c>
    </row>
    <row r="66" spans="1:3" s="65" customFormat="1" ht="14.25" x14ac:dyDescent="0.2">
      <c r="A66" s="59" t="s">
        <v>86</v>
      </c>
      <c r="B66" s="63" t="s">
        <v>87</v>
      </c>
      <c r="C66" s="64">
        <f>[2]С2!F35</f>
        <v>10</v>
      </c>
    </row>
    <row r="67" spans="1:3" ht="30" x14ac:dyDescent="0.2">
      <c r="A67" s="59" t="s">
        <v>88</v>
      </c>
      <c r="B67" s="66" t="s">
        <v>89</v>
      </c>
      <c r="C67" s="32">
        <f>[2]С2!F28</f>
        <v>150.75887532279913</v>
      </c>
    </row>
    <row r="68" spans="1:3" ht="17.25" x14ac:dyDescent="0.2">
      <c r="A68" s="59" t="s">
        <v>90</v>
      </c>
      <c r="B68" s="52" t="s">
        <v>91</v>
      </c>
      <c r="C68" s="40">
        <f>[2]С2!F29</f>
        <v>0.201330388</v>
      </c>
    </row>
    <row r="69" spans="1:3" ht="17.25" x14ac:dyDescent="0.2">
      <c r="A69" s="59" t="s">
        <v>92</v>
      </c>
      <c r="B69" s="58" t="s">
        <v>93</v>
      </c>
      <c r="C69" s="64">
        <f>[2]С2!F30</f>
        <v>500</v>
      </c>
    </row>
    <row r="70" spans="1:3" ht="42.75" x14ac:dyDescent="0.2">
      <c r="A70" s="59" t="s">
        <v>94</v>
      </c>
      <c r="B70" s="31" t="s">
        <v>95</v>
      </c>
      <c r="C70" s="32">
        <f>[2]С2!F22</f>
        <v>39638.324046481182</v>
      </c>
    </row>
    <row r="71" spans="1:3" ht="30" x14ac:dyDescent="0.2">
      <c r="A71" s="59" t="s">
        <v>96</v>
      </c>
      <c r="B71" s="60" t="s">
        <v>97</v>
      </c>
      <c r="C71" s="32">
        <f>[2]С2!F23</f>
        <v>21</v>
      </c>
    </row>
    <row r="72" spans="1:3" ht="30" x14ac:dyDescent="0.2">
      <c r="A72" s="59" t="s">
        <v>98</v>
      </c>
      <c r="B72" s="52" t="s">
        <v>99</v>
      </c>
      <c r="C72" s="32">
        <f>[2]С2.1!E28</f>
        <v>14036.09995</v>
      </c>
    </row>
    <row r="73" spans="1:3" ht="38.25" x14ac:dyDescent="0.2">
      <c r="A73" s="59" t="s">
        <v>100</v>
      </c>
      <c r="B73" s="67" t="s">
        <v>101</v>
      </c>
      <c r="C73" s="51">
        <f>[2]С2.3!E21</f>
        <v>0</v>
      </c>
    </row>
    <row r="74" spans="1:3" ht="25.5" x14ac:dyDescent="0.2">
      <c r="A74" s="59" t="s">
        <v>102</v>
      </c>
      <c r="B74" s="68" t="s">
        <v>103</v>
      </c>
      <c r="C74" s="69">
        <f>[2]С2.3!E11</f>
        <v>5.45</v>
      </c>
    </row>
    <row r="75" spans="1:3" ht="25.5" x14ac:dyDescent="0.2">
      <c r="A75" s="59" t="s">
        <v>104</v>
      </c>
      <c r="B75" s="68" t="s">
        <v>105</v>
      </c>
      <c r="C75" s="64">
        <f>[2]С2.3!E13</f>
        <v>300</v>
      </c>
    </row>
    <row r="76" spans="1:3" ht="25.5" x14ac:dyDescent="0.2">
      <c r="A76" s="59" t="s">
        <v>106</v>
      </c>
      <c r="B76" s="67" t="s">
        <v>107</v>
      </c>
      <c r="C76" s="70">
        <f>IF([2]С2.3!E22&gt;0,[2]С2.3!E22,[2]С2.3!E14)</f>
        <v>61211</v>
      </c>
    </row>
    <row r="77" spans="1:3" ht="38.25" x14ac:dyDescent="0.2">
      <c r="A77" s="59" t="s">
        <v>108</v>
      </c>
      <c r="B77" s="67" t="s">
        <v>109</v>
      </c>
      <c r="C77" s="70">
        <f>IF([2]С2.3!E23&gt;0,[2]С2.3!E23,[2]С2.3!E15)</f>
        <v>45675</v>
      </c>
    </row>
    <row r="78" spans="1:3" ht="30" x14ac:dyDescent="0.2">
      <c r="A78" s="59" t="s">
        <v>110</v>
      </c>
      <c r="B78" s="52" t="s">
        <v>111</v>
      </c>
      <c r="C78" s="32">
        <f>[2]С2.1!E29</f>
        <v>9518.3274000000001</v>
      </c>
    </row>
    <row r="79" spans="1:3" ht="38.25" x14ac:dyDescent="0.2">
      <c r="A79" s="59" t="s">
        <v>112</v>
      </c>
      <c r="B79" s="67" t="s">
        <v>113</v>
      </c>
      <c r="C79" s="51">
        <f>[2]С2.3!E25</f>
        <v>0</v>
      </c>
    </row>
    <row r="80" spans="1:3" ht="25.5" x14ac:dyDescent="0.2">
      <c r="A80" s="59" t="s">
        <v>114</v>
      </c>
      <c r="B80" s="68" t="s">
        <v>115</v>
      </c>
      <c r="C80" s="69">
        <f>[2]С2.3!E12</f>
        <v>0.2</v>
      </c>
    </row>
    <row r="81" spans="1:3" ht="25.5" x14ac:dyDescent="0.2">
      <c r="A81" s="59" t="s">
        <v>116</v>
      </c>
      <c r="B81" s="68" t="s">
        <v>105</v>
      </c>
      <c r="C81" s="64">
        <f>[2]С2.3!E13</f>
        <v>300</v>
      </c>
    </row>
    <row r="82" spans="1:3" ht="25.5" x14ac:dyDescent="0.2">
      <c r="A82" s="59" t="s">
        <v>117</v>
      </c>
      <c r="B82" s="71" t="s">
        <v>118</v>
      </c>
      <c r="C82" s="70">
        <f>IF([2]С2.3!E26&gt;0,[2]С2.3!E26,[2]С2.3!E16)</f>
        <v>65637</v>
      </c>
    </row>
    <row r="83" spans="1:3" ht="38.25" x14ac:dyDescent="0.2">
      <c r="A83" s="59" t="s">
        <v>119</v>
      </c>
      <c r="B83" s="71" t="s">
        <v>120</v>
      </c>
      <c r="C83" s="70">
        <f>IF([2]С2.3!E27&gt;0,[2]С2.3!E27,[2]С2.3!E17)</f>
        <v>31684</v>
      </c>
    </row>
    <row r="84" spans="1:3" ht="30" x14ac:dyDescent="0.2">
      <c r="A84" s="59" t="s">
        <v>121</v>
      </c>
      <c r="B84" s="60" t="s">
        <v>122</v>
      </c>
      <c r="C84" s="70">
        <f>IF([2]С2.1!E19&gt;0,[2]С2.1!E19,[2]С2!F26)</f>
        <v>2892</v>
      </c>
    </row>
    <row r="85" spans="1:3" ht="17.25" x14ac:dyDescent="0.2">
      <c r="A85" s="59" t="s">
        <v>123</v>
      </c>
      <c r="B85" s="31" t="s">
        <v>124</v>
      </c>
      <c r="C85" s="34">
        <f>[2]С2!F31</f>
        <v>9.5962865259740182E-2</v>
      </c>
    </row>
    <row r="86" spans="1:3" ht="30" x14ac:dyDescent="0.2">
      <c r="A86" s="59" t="s">
        <v>125</v>
      </c>
      <c r="B86" s="52" t="s">
        <v>126</v>
      </c>
      <c r="C86" s="72">
        <f>[2]С2!F32</f>
        <v>8.4029304029304031E-2</v>
      </c>
    </row>
    <row r="87" spans="1:3" ht="17.25" x14ac:dyDescent="0.2">
      <c r="A87" s="59" t="s">
        <v>127</v>
      </c>
      <c r="B87" s="73" t="s">
        <v>128</v>
      </c>
      <c r="C87" s="34">
        <f>[2]С2!F33</f>
        <v>0.13880000000000001</v>
      </c>
    </row>
    <row r="88" spans="1:3" s="65" customFormat="1" ht="18" thickBot="1" x14ac:dyDescent="0.25">
      <c r="A88" s="74" t="s">
        <v>129</v>
      </c>
      <c r="B88" s="75" t="s">
        <v>130</v>
      </c>
      <c r="C88" s="76">
        <f>[2]С2!F34</f>
        <v>0.12640000000000001</v>
      </c>
    </row>
    <row r="89" spans="1:3" ht="13.5" thickBot="1" x14ac:dyDescent="0.25">
      <c r="A89" s="47"/>
      <c r="B89" s="48"/>
      <c r="C89" s="14"/>
    </row>
    <row r="90" spans="1:3" s="65" customFormat="1" ht="30" customHeight="1" x14ac:dyDescent="0.2">
      <c r="A90" s="77" t="s">
        <v>131</v>
      </c>
      <c r="B90" s="145" t="s">
        <v>132</v>
      </c>
      <c r="C90" s="145"/>
    </row>
    <row r="91" spans="1:3" s="65" customFormat="1" ht="30" x14ac:dyDescent="0.2">
      <c r="A91" s="78" t="s">
        <v>133</v>
      </c>
      <c r="B91" s="31" t="s">
        <v>134</v>
      </c>
      <c r="C91" s="32">
        <f>[2]С3!F14</f>
        <v>4200.2698001645867</v>
      </c>
    </row>
    <row r="92" spans="1:3" s="65" customFormat="1" ht="42.75" x14ac:dyDescent="0.2">
      <c r="A92" s="78" t="s">
        <v>135</v>
      </c>
      <c r="B92" s="52" t="s">
        <v>136</v>
      </c>
      <c r="C92" s="79">
        <f>[2]С3!F15</f>
        <v>0.2</v>
      </c>
    </row>
    <row r="93" spans="1:3" s="65" customFormat="1" ht="14.25" x14ac:dyDescent="0.2">
      <c r="A93" s="78" t="s">
        <v>137</v>
      </c>
      <c r="B93" s="80" t="s">
        <v>138</v>
      </c>
      <c r="C93" s="64">
        <f>[2]С3!F18</f>
        <v>15</v>
      </c>
    </row>
    <row r="94" spans="1:3" s="65" customFormat="1" ht="17.25" x14ac:dyDescent="0.2">
      <c r="A94" s="78" t="s">
        <v>139</v>
      </c>
      <c r="B94" s="31" t="s">
        <v>140</v>
      </c>
      <c r="C94" s="32">
        <f>[2]С3!F19</f>
        <v>2638.2577020926874</v>
      </c>
    </row>
    <row r="95" spans="1:3" s="65" customFormat="1" ht="55.5" x14ac:dyDescent="0.2">
      <c r="A95" s="78" t="s">
        <v>141</v>
      </c>
      <c r="B95" s="52" t="s">
        <v>142</v>
      </c>
      <c r="C95" s="81">
        <f>[2]С3!F20</f>
        <v>2.1999999999999999E-2</v>
      </c>
    </row>
    <row r="96" spans="1:3" s="65" customFormat="1" ht="14.25" x14ac:dyDescent="0.2">
      <c r="A96" s="78" t="s">
        <v>143</v>
      </c>
      <c r="B96" s="58" t="s">
        <v>87</v>
      </c>
      <c r="C96" s="64">
        <f>[2]С3!F21</f>
        <v>10</v>
      </c>
    </row>
    <row r="97" spans="1:3" s="65" customFormat="1" ht="17.25" x14ac:dyDescent="0.2">
      <c r="A97" s="78" t="s">
        <v>144</v>
      </c>
      <c r="B97" s="31" t="s">
        <v>145</v>
      </c>
      <c r="C97" s="32">
        <f>[2]С3!F22</f>
        <v>0.45227662596839741</v>
      </c>
    </row>
    <row r="98" spans="1:3" s="65" customFormat="1" ht="55.5" x14ac:dyDescent="0.2">
      <c r="A98" s="78" t="s">
        <v>146</v>
      </c>
      <c r="B98" s="52" t="s">
        <v>147</v>
      </c>
      <c r="C98" s="81">
        <f>[2]С3!F23</f>
        <v>3.0000000000000001E-3</v>
      </c>
    </row>
    <row r="99" spans="1:3" s="65" customFormat="1" ht="30.75" thickBot="1" x14ac:dyDescent="0.25">
      <c r="A99" s="82" t="s">
        <v>148</v>
      </c>
      <c r="B99" s="83" t="s">
        <v>89</v>
      </c>
      <c r="C99" s="84">
        <f>[2]С3!F24</f>
        <v>150.75887532279913</v>
      </c>
    </row>
    <row r="100" spans="1:3" ht="13.5" thickBot="1" x14ac:dyDescent="0.25">
      <c r="A100" s="47"/>
      <c r="B100" s="48"/>
      <c r="C100" s="14"/>
    </row>
    <row r="101" spans="1:3" ht="30" customHeight="1" x14ac:dyDescent="0.2">
      <c r="A101" s="85" t="s">
        <v>149</v>
      </c>
      <c r="B101" s="145" t="s">
        <v>150</v>
      </c>
      <c r="C101" s="145"/>
    </row>
    <row r="102" spans="1:3" ht="30" x14ac:dyDescent="0.2">
      <c r="A102" s="59" t="s">
        <v>151</v>
      </c>
      <c r="B102" s="31" t="s">
        <v>152</v>
      </c>
      <c r="C102" s="32">
        <f>[2]С4!F16</f>
        <v>832.33500000000004</v>
      </c>
    </row>
    <row r="103" spans="1:3" ht="30" x14ac:dyDescent="0.2">
      <c r="A103" s="59" t="s">
        <v>153</v>
      </c>
      <c r="B103" s="58" t="s">
        <v>154</v>
      </c>
      <c r="C103" s="32">
        <f>[2]С4!F17</f>
        <v>43385</v>
      </c>
    </row>
    <row r="104" spans="1:3" ht="17.25" x14ac:dyDescent="0.2">
      <c r="A104" s="59" t="s">
        <v>155</v>
      </c>
      <c r="B104" s="58" t="s">
        <v>156</v>
      </c>
      <c r="C104" s="40">
        <f>[2]С4!F18</f>
        <v>1.4999999999999999E-2</v>
      </c>
    </row>
    <row r="105" spans="1:3" ht="30" x14ac:dyDescent="0.2">
      <c r="A105" s="59" t="s">
        <v>157</v>
      </c>
      <c r="B105" s="58" t="s">
        <v>158</v>
      </c>
      <c r="C105" s="32">
        <f>[2]С4!F19</f>
        <v>12104</v>
      </c>
    </row>
    <row r="106" spans="1:3" ht="28.5" x14ac:dyDescent="0.2">
      <c r="A106" s="59" t="s">
        <v>159</v>
      </c>
      <c r="B106" s="58" t="s">
        <v>160</v>
      </c>
      <c r="C106" s="40">
        <f>[2]С4!F20</f>
        <v>1.4999999999999999E-2</v>
      </c>
    </row>
    <row r="107" spans="1:3" ht="30" x14ac:dyDescent="0.2">
      <c r="A107" s="59" t="s">
        <v>161</v>
      </c>
      <c r="B107" s="31" t="s">
        <v>162</v>
      </c>
      <c r="C107" s="32">
        <f>[2]С4!F21</f>
        <v>1221.9019409821399</v>
      </c>
    </row>
    <row r="108" spans="1:3" ht="45.6" customHeight="1" x14ac:dyDescent="0.2">
      <c r="A108" s="59" t="s">
        <v>163</v>
      </c>
      <c r="B108" s="52" t="s">
        <v>164</v>
      </c>
      <c r="C108" s="33" t="str">
        <f>IF([2]С4.2!F8="да",[2]С4.2!D21,[2]С4.2!D15)</f>
        <v>АО "Новосибирскэнергосбыт"</v>
      </c>
    </row>
    <row r="109" spans="1:3" ht="68.25" customHeight="1" x14ac:dyDescent="0.2">
      <c r="A109" s="59" t="s">
        <v>165</v>
      </c>
      <c r="B109" s="52" t="s">
        <v>166</v>
      </c>
      <c r="C109" s="32">
        <f>[2]С4!F22</f>
        <v>3.6112641666666665</v>
      </c>
    </row>
    <row r="110" spans="1:3" ht="30" x14ac:dyDescent="0.2">
      <c r="A110" s="59" t="s">
        <v>167</v>
      </c>
      <c r="B110" s="58" t="s">
        <v>168</v>
      </c>
      <c r="C110" s="64">
        <f>[2]С4!F23</f>
        <v>110</v>
      </c>
    </row>
    <row r="111" spans="1:3" ht="14.25" x14ac:dyDescent="0.2">
      <c r="A111" s="59" t="s">
        <v>169</v>
      </c>
      <c r="B111" s="52" t="s">
        <v>170</v>
      </c>
      <c r="C111" s="32">
        <f>[2]С4!F24</f>
        <v>8497.1999999999989</v>
      </c>
    </row>
    <row r="112" spans="1:3" ht="14.25" x14ac:dyDescent="0.2">
      <c r="A112" s="59" t="s">
        <v>171</v>
      </c>
      <c r="B112" s="58" t="s">
        <v>172</v>
      </c>
      <c r="C112" s="40">
        <f>[2]С4!F25</f>
        <v>0.36199999999999999</v>
      </c>
    </row>
    <row r="113" spans="1:3" ht="17.25" x14ac:dyDescent="0.2">
      <c r="A113" s="59" t="s">
        <v>173</v>
      </c>
      <c r="B113" s="31" t="s">
        <v>174</v>
      </c>
      <c r="C113" s="32">
        <f>[2]С4!F26</f>
        <v>47.113160000000001</v>
      </c>
    </row>
    <row r="114" spans="1:3" ht="25.5" x14ac:dyDescent="0.2">
      <c r="A114" s="59" t="s">
        <v>175</v>
      </c>
      <c r="B114" s="52" t="s">
        <v>101</v>
      </c>
      <c r="C114" s="33">
        <f>[2]С4.3!E16</f>
        <v>0</v>
      </c>
    </row>
    <row r="115" spans="1:3" ht="25.5" x14ac:dyDescent="0.2">
      <c r="A115" s="59" t="s">
        <v>176</v>
      </c>
      <c r="B115" s="52" t="s">
        <v>177</v>
      </c>
      <c r="C115" s="32">
        <f>[2]С4.3!E17</f>
        <v>22.17</v>
      </c>
    </row>
    <row r="116" spans="1:3" ht="38.25" x14ac:dyDescent="0.2">
      <c r="A116" s="59" t="s">
        <v>178</v>
      </c>
      <c r="B116" s="52" t="s">
        <v>113</v>
      </c>
      <c r="C116" s="33">
        <f>[2]С4.3!E18</f>
        <v>0</v>
      </c>
    </row>
    <row r="117" spans="1:3" x14ac:dyDescent="0.2">
      <c r="A117" s="59" t="s">
        <v>179</v>
      </c>
      <c r="B117" s="52" t="s">
        <v>180</v>
      </c>
      <c r="C117" s="32">
        <f>[2]С4.3!E19</f>
        <v>58.64</v>
      </c>
    </row>
    <row r="118" spans="1:3" x14ac:dyDescent="0.2">
      <c r="A118" s="59" t="s">
        <v>181</v>
      </c>
      <c r="B118" s="58" t="s">
        <v>182</v>
      </c>
      <c r="C118" s="64">
        <f>[2]С4.3!E11</f>
        <v>1871</v>
      </c>
    </row>
    <row r="119" spans="1:3" x14ac:dyDescent="0.2">
      <c r="A119" s="59" t="s">
        <v>183</v>
      </c>
      <c r="B119" s="58" t="s">
        <v>184</v>
      </c>
      <c r="C119" s="51">
        <f>[2]С4.3!E12</f>
        <v>61</v>
      </c>
    </row>
    <row r="120" spans="1:3" x14ac:dyDescent="0.2">
      <c r="A120" s="59" t="s">
        <v>185</v>
      </c>
      <c r="B120" s="58" t="s">
        <v>186</v>
      </c>
      <c r="C120" s="51">
        <f>[2]С4.3!E13</f>
        <v>73</v>
      </c>
    </row>
    <row r="121" spans="1:3" ht="30" x14ac:dyDescent="0.2">
      <c r="A121" s="59" t="s">
        <v>187</v>
      </c>
      <c r="B121" s="31" t="s">
        <v>188</v>
      </c>
      <c r="C121" s="32">
        <f>[2]С4!F27</f>
        <v>946.59139764731083</v>
      </c>
    </row>
    <row r="122" spans="1:3" ht="25.5" x14ac:dyDescent="0.2">
      <c r="A122" s="59" t="s">
        <v>189</v>
      </c>
      <c r="B122" s="52" t="s">
        <v>190</v>
      </c>
      <c r="C122" s="32">
        <f>[2]С4!F28</f>
        <v>727.02872323142151</v>
      </c>
    </row>
    <row r="123" spans="1:3" ht="42.75" x14ac:dyDescent="0.2">
      <c r="A123" s="59" t="s">
        <v>191</v>
      </c>
      <c r="B123" s="52" t="s">
        <v>192</v>
      </c>
      <c r="C123" s="32">
        <f>[2]С4!F29</f>
        <v>219.56267441588932</v>
      </c>
    </row>
    <row r="124" spans="1:3" ht="30.75" thickBot="1" x14ac:dyDescent="0.25">
      <c r="A124" s="74" t="s">
        <v>193</v>
      </c>
      <c r="B124" s="86" t="s">
        <v>194</v>
      </c>
      <c r="C124" s="84">
        <f>[2]С4!F30</f>
        <v>478.68526245983742</v>
      </c>
    </row>
    <row r="125" spans="1:3" s="87" customFormat="1" ht="13.5" thickBot="1" x14ac:dyDescent="0.25">
      <c r="A125" s="47"/>
      <c r="B125" s="48"/>
      <c r="C125" s="14"/>
    </row>
    <row r="126" spans="1:3" s="65" customFormat="1" ht="30" customHeight="1" x14ac:dyDescent="0.2">
      <c r="A126" s="77" t="s">
        <v>195</v>
      </c>
      <c r="B126" s="145" t="s">
        <v>196</v>
      </c>
      <c r="C126" s="145"/>
    </row>
    <row r="127" spans="1:3" ht="30.6" customHeight="1" thickBot="1" x14ac:dyDescent="0.25">
      <c r="A127" s="26" t="s">
        <v>197</v>
      </c>
      <c r="B127" s="86" t="s">
        <v>198</v>
      </c>
      <c r="C127" s="84">
        <f>[2]С5!F17</f>
        <v>0.02</v>
      </c>
    </row>
    <row r="128" spans="1:3" s="87" customFormat="1" ht="13.5" thickBot="1" x14ac:dyDescent="0.25">
      <c r="A128" s="47"/>
      <c r="B128" s="48"/>
      <c r="C128" s="14"/>
    </row>
    <row r="129" spans="1:3" ht="42.75" customHeight="1" x14ac:dyDescent="0.2">
      <c r="A129" s="85" t="s">
        <v>199</v>
      </c>
      <c r="B129" s="145" t="s">
        <v>200</v>
      </c>
      <c r="C129" s="145"/>
    </row>
    <row r="130" spans="1:3" ht="68.25" x14ac:dyDescent="0.2">
      <c r="A130" s="59" t="s">
        <v>201</v>
      </c>
      <c r="B130" s="88" t="s">
        <v>202</v>
      </c>
      <c r="C130" s="32" t="str">
        <f>IF([2]С6.1!E11="нет",[2]С6!F13,"")</f>
        <v/>
      </c>
    </row>
    <row r="131" spans="1:3" ht="42.75" x14ac:dyDescent="0.2">
      <c r="A131" s="59" t="s">
        <v>203</v>
      </c>
      <c r="B131" s="89" t="s">
        <v>204</v>
      </c>
      <c r="C131" s="90" t="str">
        <f>IF([2]С6.1!E12="нет",[2]С6.1!E17,"")</f>
        <v/>
      </c>
    </row>
    <row r="132" spans="1:3" ht="68.25" x14ac:dyDescent="0.2">
      <c r="A132" s="59" t="s">
        <v>205</v>
      </c>
      <c r="B132" s="88" t="s">
        <v>206</v>
      </c>
      <c r="C132" s="91" t="str">
        <f>IF([2]С6.1!E18="нет",[2]С6!F19,"")</f>
        <v/>
      </c>
    </row>
    <row r="133" spans="1:3" ht="55.5" x14ac:dyDescent="0.2">
      <c r="A133" s="59" t="s">
        <v>207</v>
      </c>
      <c r="B133" s="89" t="s">
        <v>208</v>
      </c>
      <c r="C133" s="34" t="str">
        <f>IF([2]С6.1!E18="нет",[2]С6.1!E19,"")</f>
        <v/>
      </c>
    </row>
    <row r="134" spans="1:3" ht="61.5" customHeight="1" x14ac:dyDescent="0.2">
      <c r="A134" s="59" t="s">
        <v>209</v>
      </c>
      <c r="B134" s="89" t="s">
        <v>210</v>
      </c>
      <c r="C134" s="34" t="str">
        <f>IF([2]С6.1!E18="нет",[2]С6.1!E22,"")</f>
        <v/>
      </c>
    </row>
    <row r="135" spans="1:3" ht="69" thickBot="1" x14ac:dyDescent="0.25">
      <c r="A135" s="74" t="s">
        <v>211</v>
      </c>
      <c r="B135" s="92" t="s">
        <v>212</v>
      </c>
      <c r="C135" s="76" t="str">
        <f>IF([2]С6.1!E18="нет",[2]С6.1!E23,"")</f>
        <v/>
      </c>
    </row>
    <row r="136" spans="1:3" s="87" customFormat="1" ht="13.5" thickBot="1" x14ac:dyDescent="0.25">
      <c r="A136" s="47"/>
      <c r="B136" s="48"/>
      <c r="C136" s="14"/>
    </row>
    <row r="137" spans="1:3" ht="15.75" x14ac:dyDescent="0.2">
      <c r="A137" s="85" t="s">
        <v>213</v>
      </c>
      <c r="B137" s="93" t="s">
        <v>214</v>
      </c>
      <c r="C137" s="94">
        <f>[2]С2!F39</f>
        <v>21.531904799999996</v>
      </c>
    </row>
    <row r="138" spans="1:3" ht="14.25" x14ac:dyDescent="0.2">
      <c r="A138" s="59" t="s">
        <v>215</v>
      </c>
      <c r="B138" s="58" t="s">
        <v>216</v>
      </c>
      <c r="C138" s="32">
        <f>[2]С2!F40</f>
        <v>7</v>
      </c>
    </row>
    <row r="139" spans="1:3" ht="17.25" x14ac:dyDescent="0.2">
      <c r="A139" s="59" t="s">
        <v>217</v>
      </c>
      <c r="B139" s="58" t="s">
        <v>218</v>
      </c>
      <c r="C139" s="32">
        <f>[2]С2!F42</f>
        <v>0.97</v>
      </c>
    </row>
    <row r="140" spans="1:3" ht="15" thickBot="1" x14ac:dyDescent="0.25">
      <c r="A140" s="74" t="s">
        <v>219</v>
      </c>
      <c r="B140" s="75" t="s">
        <v>220</v>
      </c>
      <c r="C140" s="46">
        <f>[2]С2!F44</f>
        <v>0.36199999999999999</v>
      </c>
    </row>
    <row r="141" spans="1:3" s="87" customFormat="1" ht="13.5" thickBot="1" x14ac:dyDescent="0.25">
      <c r="A141" s="47"/>
      <c r="B141" s="48"/>
      <c r="C141" s="14"/>
    </row>
    <row r="142" spans="1:3" ht="17.25" x14ac:dyDescent="0.2">
      <c r="A142" s="85" t="s">
        <v>221</v>
      </c>
      <c r="B142" s="95" t="s">
        <v>222</v>
      </c>
      <c r="C142" s="96">
        <f>[2]С2!F37</f>
        <v>1.4976266307379205</v>
      </c>
    </row>
    <row r="143" spans="1:3" ht="17.25" customHeight="1" thickBot="1" x14ac:dyDescent="0.25">
      <c r="A143" s="74" t="s">
        <v>223</v>
      </c>
      <c r="B143" s="141" t="s">
        <v>224</v>
      </c>
      <c r="C143" s="141"/>
    </row>
    <row r="144" spans="1:3" x14ac:dyDescent="0.2">
      <c r="A144" s="97"/>
      <c r="B144" s="98" t="s">
        <v>0</v>
      </c>
      <c r="C144" s="99"/>
    </row>
    <row r="145" spans="1:3" x14ac:dyDescent="0.2">
      <c r="A145" s="97"/>
      <c r="B145" s="100">
        <v>2020</v>
      </c>
      <c r="C145" s="101">
        <f>[2]С2.5!$E$11</f>
        <v>-2.9000000000000026E-2</v>
      </c>
    </row>
    <row r="146" spans="1:3" x14ac:dyDescent="0.2">
      <c r="B146" s="100">
        <f>B145+1</f>
        <v>2021</v>
      </c>
      <c r="C146" s="102">
        <f>[2]С2.5!$F$11</f>
        <v>0.245</v>
      </c>
    </row>
    <row r="147" spans="1:3" x14ac:dyDescent="0.2">
      <c r="B147" s="100">
        <f t="shared" ref="B147:B210" si="0">B146+1</f>
        <v>2022</v>
      </c>
      <c r="C147" s="103">
        <f>[2]С2.5!$G$11</f>
        <v>0.114</v>
      </c>
    </row>
    <row r="148" spans="1:3" x14ac:dyDescent="0.2">
      <c r="B148" s="104">
        <f t="shared" si="0"/>
        <v>2023</v>
      </c>
      <c r="C148" s="105">
        <f>[2]С2.5!$H$11</f>
        <v>2.4E-2</v>
      </c>
    </row>
    <row r="149" spans="1:3" ht="13.5" thickBot="1" x14ac:dyDescent="0.25">
      <c r="B149" s="104">
        <f t="shared" si="0"/>
        <v>2024</v>
      </c>
      <c r="C149" s="105">
        <f>[2]С2.5!$I$11</f>
        <v>8.5999999999999993E-2</v>
      </c>
    </row>
    <row r="150" spans="1:3" ht="13.5" hidden="1" thickBot="1" x14ac:dyDescent="0.25">
      <c r="B150" s="104">
        <f t="shared" si="0"/>
        <v>2025</v>
      </c>
      <c r="C150" s="105">
        <f>[2]С2.5!$J$11</f>
        <v>0</v>
      </c>
    </row>
    <row r="151" spans="1:3" ht="13.5" hidden="1" thickBot="1" x14ac:dyDescent="0.25">
      <c r="B151" s="104">
        <f t="shared" si="0"/>
        <v>2026</v>
      </c>
      <c r="C151" s="105">
        <f>[2]С2.5!$K$11</f>
        <v>0</v>
      </c>
    </row>
    <row r="152" spans="1:3" ht="13.5" hidden="1" thickBot="1" x14ac:dyDescent="0.25">
      <c r="B152" s="104">
        <f t="shared" si="0"/>
        <v>2027</v>
      </c>
      <c r="C152" s="105">
        <f>[2]С2.5!$L$11</f>
        <v>0</v>
      </c>
    </row>
    <row r="153" spans="1:3" ht="13.5" hidden="1" thickBot="1" x14ac:dyDescent="0.25">
      <c r="B153" s="104">
        <f t="shared" si="0"/>
        <v>2028</v>
      </c>
      <c r="C153" s="105">
        <f>[2]С2.5!$M$11</f>
        <v>0</v>
      </c>
    </row>
    <row r="154" spans="1:3" ht="13.5" hidden="1" thickBot="1" x14ac:dyDescent="0.25">
      <c r="B154" s="104">
        <f t="shared" si="0"/>
        <v>2029</v>
      </c>
      <c r="C154" s="105">
        <f>[2]С2.5!$N$11</f>
        <v>0</v>
      </c>
    </row>
    <row r="155" spans="1:3" ht="13.5" hidden="1" thickBot="1" x14ac:dyDescent="0.25">
      <c r="B155" s="104">
        <f t="shared" si="0"/>
        <v>2030</v>
      </c>
      <c r="C155" s="105">
        <f>[2]С2.5!$O$11</f>
        <v>0</v>
      </c>
    </row>
    <row r="156" spans="1:3" ht="13.5" hidden="1" thickBot="1" x14ac:dyDescent="0.25">
      <c r="B156" s="104">
        <f t="shared" si="0"/>
        <v>2031</v>
      </c>
      <c r="C156" s="105">
        <f>[2]С2.5!$P$11</f>
        <v>0</v>
      </c>
    </row>
    <row r="157" spans="1:3" ht="13.5" hidden="1" thickBot="1" x14ac:dyDescent="0.25">
      <c r="B157" s="104">
        <f t="shared" si="0"/>
        <v>2032</v>
      </c>
      <c r="C157" s="105">
        <f>[2]С2.5!$Q$11</f>
        <v>0</v>
      </c>
    </row>
    <row r="158" spans="1:3" ht="13.5" hidden="1" thickBot="1" x14ac:dyDescent="0.25">
      <c r="B158" s="104">
        <f t="shared" si="0"/>
        <v>2033</v>
      </c>
      <c r="C158" s="105">
        <f>[2]С2.5!$R$11</f>
        <v>0</v>
      </c>
    </row>
    <row r="159" spans="1:3" ht="13.5" hidden="1" thickBot="1" x14ac:dyDescent="0.25">
      <c r="B159" s="104">
        <f t="shared" si="0"/>
        <v>2034</v>
      </c>
      <c r="C159" s="105">
        <f>[2]С2.5!$S$11</f>
        <v>0</v>
      </c>
    </row>
    <row r="160" spans="1:3" ht="13.5" hidden="1" thickBot="1" x14ac:dyDescent="0.25">
      <c r="B160" s="104">
        <f t="shared" si="0"/>
        <v>2035</v>
      </c>
      <c r="C160" s="105">
        <f>[2]С2.5!$T$11</f>
        <v>0</v>
      </c>
    </row>
    <row r="161" spans="2:3" ht="13.5" hidden="1" thickBot="1" x14ac:dyDescent="0.25">
      <c r="B161" s="104">
        <f t="shared" si="0"/>
        <v>2036</v>
      </c>
      <c r="C161" s="105">
        <f>[2]С2.5!$U$11</f>
        <v>0</v>
      </c>
    </row>
    <row r="162" spans="2:3" ht="13.5" hidden="1" thickBot="1" x14ac:dyDescent="0.25">
      <c r="B162" s="104">
        <f t="shared" si="0"/>
        <v>2037</v>
      </c>
      <c r="C162" s="105">
        <f>[2]С2.5!$V$11</f>
        <v>0</v>
      </c>
    </row>
    <row r="163" spans="2:3" ht="13.5" hidden="1" thickBot="1" x14ac:dyDescent="0.25">
      <c r="B163" s="104">
        <f t="shared" si="0"/>
        <v>2038</v>
      </c>
      <c r="C163" s="105">
        <f>[2]С2.5!$W$11</f>
        <v>0</v>
      </c>
    </row>
    <row r="164" spans="2:3" ht="13.5" hidden="1" thickBot="1" x14ac:dyDescent="0.25">
      <c r="B164" s="104">
        <f t="shared" si="0"/>
        <v>2039</v>
      </c>
      <c r="C164" s="105">
        <f>[2]С2.5!$X$11</f>
        <v>0</v>
      </c>
    </row>
    <row r="165" spans="2:3" ht="13.5" hidden="1" thickBot="1" x14ac:dyDescent="0.25">
      <c r="B165" s="104">
        <f t="shared" si="0"/>
        <v>2040</v>
      </c>
      <c r="C165" s="105">
        <f>[2]С2.5!$Y$11</f>
        <v>0</v>
      </c>
    </row>
    <row r="166" spans="2:3" ht="13.5" hidden="1" thickBot="1" x14ac:dyDescent="0.25">
      <c r="B166" s="104">
        <f t="shared" si="0"/>
        <v>2041</v>
      </c>
      <c r="C166" s="105">
        <f>[2]С2.5!$Z$11</f>
        <v>0</v>
      </c>
    </row>
    <row r="167" spans="2:3" ht="13.5" hidden="1" thickBot="1" x14ac:dyDescent="0.25">
      <c r="B167" s="104">
        <f t="shared" si="0"/>
        <v>2042</v>
      </c>
      <c r="C167" s="105">
        <f>[2]С2.5!$AA$11</f>
        <v>0</v>
      </c>
    </row>
    <row r="168" spans="2:3" ht="13.5" hidden="1" thickBot="1" x14ac:dyDescent="0.25">
      <c r="B168" s="104">
        <f t="shared" si="0"/>
        <v>2043</v>
      </c>
      <c r="C168" s="105">
        <f>[2]С2.5!$AB$11</f>
        <v>0</v>
      </c>
    </row>
    <row r="169" spans="2:3" ht="13.5" hidden="1" thickBot="1" x14ac:dyDescent="0.25">
      <c r="B169" s="104">
        <f t="shared" si="0"/>
        <v>2044</v>
      </c>
      <c r="C169" s="105">
        <f>[2]С2.5!$AC$11</f>
        <v>0</v>
      </c>
    </row>
    <row r="170" spans="2:3" ht="13.5" hidden="1" thickBot="1" x14ac:dyDescent="0.25">
      <c r="B170" s="104">
        <f t="shared" si="0"/>
        <v>2045</v>
      </c>
      <c r="C170" s="105">
        <f>[2]С2.5!$AD$11</f>
        <v>0</v>
      </c>
    </row>
    <row r="171" spans="2:3" ht="13.5" hidden="1" thickBot="1" x14ac:dyDescent="0.25">
      <c r="B171" s="104">
        <f t="shared" si="0"/>
        <v>2046</v>
      </c>
      <c r="C171" s="105">
        <f>[2]С2.5!$AE$11</f>
        <v>0</v>
      </c>
    </row>
    <row r="172" spans="2:3" ht="13.5" hidden="1" thickBot="1" x14ac:dyDescent="0.25">
      <c r="B172" s="104">
        <f t="shared" si="0"/>
        <v>2047</v>
      </c>
      <c r="C172" s="105">
        <f>[2]С2.5!$AF$11</f>
        <v>0</v>
      </c>
    </row>
    <row r="173" spans="2:3" ht="13.5" hidden="1" thickBot="1" x14ac:dyDescent="0.25">
      <c r="B173" s="104">
        <f t="shared" si="0"/>
        <v>2048</v>
      </c>
      <c r="C173" s="105">
        <f>[2]С2.5!$AG$11</f>
        <v>0</v>
      </c>
    </row>
    <row r="174" spans="2:3" ht="13.5" hidden="1" thickBot="1" x14ac:dyDescent="0.25">
      <c r="B174" s="104">
        <f t="shared" si="0"/>
        <v>2049</v>
      </c>
      <c r="C174" s="105">
        <f>[2]С2.5!$AH$11</f>
        <v>0</v>
      </c>
    </row>
    <row r="175" spans="2:3" ht="13.5" hidden="1" thickBot="1" x14ac:dyDescent="0.25">
      <c r="B175" s="104">
        <f t="shared" si="0"/>
        <v>2050</v>
      </c>
      <c r="C175" s="105">
        <f>[2]С2.5!$AI$11</f>
        <v>0</v>
      </c>
    </row>
    <row r="176" spans="2:3" ht="13.5" hidden="1" thickBot="1" x14ac:dyDescent="0.25">
      <c r="B176" s="104">
        <f t="shared" si="0"/>
        <v>2051</v>
      </c>
      <c r="C176" s="105">
        <f>[2]С2.5!$AJ$11</f>
        <v>0</v>
      </c>
    </row>
    <row r="177" spans="2:3" ht="13.5" hidden="1" thickBot="1" x14ac:dyDescent="0.25">
      <c r="B177" s="104">
        <f t="shared" si="0"/>
        <v>2052</v>
      </c>
      <c r="C177" s="105">
        <f>[2]С2.5!$AK$11</f>
        <v>0</v>
      </c>
    </row>
    <row r="178" spans="2:3" ht="13.5" hidden="1" thickBot="1" x14ac:dyDescent="0.25">
      <c r="B178" s="104">
        <f t="shared" si="0"/>
        <v>2053</v>
      </c>
      <c r="C178" s="105">
        <f>[2]С2.5!$AL$11</f>
        <v>0</v>
      </c>
    </row>
    <row r="179" spans="2:3" ht="13.5" hidden="1" thickBot="1" x14ac:dyDescent="0.25">
      <c r="B179" s="104">
        <f t="shared" si="0"/>
        <v>2054</v>
      </c>
      <c r="C179" s="105">
        <f>[2]С2.5!$AM$11</f>
        <v>0</v>
      </c>
    </row>
    <row r="180" spans="2:3" ht="13.5" hidden="1" thickBot="1" x14ac:dyDescent="0.25">
      <c r="B180" s="104">
        <f t="shared" si="0"/>
        <v>2055</v>
      </c>
      <c r="C180" s="105">
        <f>[2]С2.5!$AN$11</f>
        <v>0</v>
      </c>
    </row>
    <row r="181" spans="2:3" ht="13.5" hidden="1" thickBot="1" x14ac:dyDescent="0.25">
      <c r="B181" s="104">
        <f t="shared" si="0"/>
        <v>2056</v>
      </c>
      <c r="C181" s="105">
        <f>[2]С2.5!$AO$11</f>
        <v>0</v>
      </c>
    </row>
    <row r="182" spans="2:3" ht="13.5" hidden="1" thickBot="1" x14ac:dyDescent="0.25">
      <c r="B182" s="104">
        <f t="shared" si="0"/>
        <v>2057</v>
      </c>
      <c r="C182" s="105">
        <f>[2]С2.5!$AP$11</f>
        <v>0</v>
      </c>
    </row>
    <row r="183" spans="2:3" ht="13.5" hidden="1" thickBot="1" x14ac:dyDescent="0.25">
      <c r="B183" s="104">
        <f t="shared" si="0"/>
        <v>2058</v>
      </c>
      <c r="C183" s="105">
        <f>[2]С2.5!$AQ$11</f>
        <v>0</v>
      </c>
    </row>
    <row r="184" spans="2:3" ht="13.5" hidden="1" thickBot="1" x14ac:dyDescent="0.25">
      <c r="B184" s="104">
        <f t="shared" si="0"/>
        <v>2059</v>
      </c>
      <c r="C184" s="105">
        <f>[2]С2.5!$AR$11</f>
        <v>0</v>
      </c>
    </row>
    <row r="185" spans="2:3" ht="13.5" hidden="1" thickBot="1" x14ac:dyDescent="0.25">
      <c r="B185" s="104">
        <f t="shared" si="0"/>
        <v>2060</v>
      </c>
      <c r="C185" s="105">
        <f>[2]С2.5!$AS$11</f>
        <v>0</v>
      </c>
    </row>
    <row r="186" spans="2:3" ht="13.5" hidden="1" thickBot="1" x14ac:dyDescent="0.25">
      <c r="B186" s="104">
        <f t="shared" si="0"/>
        <v>2061</v>
      </c>
      <c r="C186" s="105">
        <f>[2]С2.5!$AT$11</f>
        <v>0</v>
      </c>
    </row>
    <row r="187" spans="2:3" ht="13.5" hidden="1" thickBot="1" x14ac:dyDescent="0.25">
      <c r="B187" s="104">
        <f t="shared" si="0"/>
        <v>2062</v>
      </c>
      <c r="C187" s="105">
        <f>[2]С2.5!$AU$11</f>
        <v>0</v>
      </c>
    </row>
    <row r="188" spans="2:3" ht="13.5" hidden="1" thickBot="1" x14ac:dyDescent="0.25">
      <c r="B188" s="104">
        <f t="shared" si="0"/>
        <v>2063</v>
      </c>
      <c r="C188" s="105">
        <f>[2]С2.5!$AV$11</f>
        <v>0</v>
      </c>
    </row>
    <row r="189" spans="2:3" ht="13.5" hidden="1" thickBot="1" x14ac:dyDescent="0.25">
      <c r="B189" s="104">
        <f t="shared" si="0"/>
        <v>2064</v>
      </c>
      <c r="C189" s="105">
        <f>[2]С2.5!$AW$11</f>
        <v>0</v>
      </c>
    </row>
    <row r="190" spans="2:3" ht="13.5" hidden="1" thickBot="1" x14ac:dyDescent="0.25">
      <c r="B190" s="104">
        <f t="shared" si="0"/>
        <v>2065</v>
      </c>
      <c r="C190" s="105">
        <f>[2]С2.5!$AX$11</f>
        <v>0</v>
      </c>
    </row>
    <row r="191" spans="2:3" ht="13.5" hidden="1" thickBot="1" x14ac:dyDescent="0.25">
      <c r="B191" s="104">
        <f t="shared" si="0"/>
        <v>2066</v>
      </c>
      <c r="C191" s="105">
        <f>[2]С2.5!$AY$11</f>
        <v>0</v>
      </c>
    </row>
    <row r="192" spans="2:3" ht="13.5" hidden="1" thickBot="1" x14ac:dyDescent="0.25">
      <c r="B192" s="104">
        <f t="shared" si="0"/>
        <v>2067</v>
      </c>
      <c r="C192" s="105">
        <f>[2]С2.5!$AZ$11</f>
        <v>0</v>
      </c>
    </row>
    <row r="193" spans="2:3" ht="13.5" hidden="1" thickBot="1" x14ac:dyDescent="0.25">
      <c r="B193" s="104">
        <f t="shared" si="0"/>
        <v>2068</v>
      </c>
      <c r="C193" s="105">
        <f>[2]С2.5!$BA$11</f>
        <v>0</v>
      </c>
    </row>
    <row r="194" spans="2:3" ht="13.5" hidden="1" thickBot="1" x14ac:dyDescent="0.25">
      <c r="B194" s="104">
        <f t="shared" si="0"/>
        <v>2069</v>
      </c>
      <c r="C194" s="105">
        <f>[2]С2.5!$BB$11</f>
        <v>0</v>
      </c>
    </row>
    <row r="195" spans="2:3" ht="13.5" hidden="1" thickBot="1" x14ac:dyDescent="0.25">
      <c r="B195" s="104">
        <f t="shared" si="0"/>
        <v>2070</v>
      </c>
      <c r="C195" s="105">
        <f>[2]С2.5!$BC$11</f>
        <v>0</v>
      </c>
    </row>
    <row r="196" spans="2:3" ht="13.5" hidden="1" thickBot="1" x14ac:dyDescent="0.25">
      <c r="B196" s="104">
        <f t="shared" si="0"/>
        <v>2071</v>
      </c>
      <c r="C196" s="105">
        <f>[2]С2.5!$BD$11</f>
        <v>0</v>
      </c>
    </row>
    <row r="197" spans="2:3" ht="13.5" hidden="1" thickBot="1" x14ac:dyDescent="0.25">
      <c r="B197" s="104">
        <f t="shared" si="0"/>
        <v>2072</v>
      </c>
      <c r="C197" s="105">
        <f>[2]С2.5!$BE$11</f>
        <v>0</v>
      </c>
    </row>
    <row r="198" spans="2:3" ht="13.5" hidden="1" thickBot="1" x14ac:dyDescent="0.25">
      <c r="B198" s="104">
        <f t="shared" si="0"/>
        <v>2073</v>
      </c>
      <c r="C198" s="105">
        <f>[2]С2.5!$BF$11</f>
        <v>0</v>
      </c>
    </row>
    <row r="199" spans="2:3" ht="13.5" hidden="1" thickBot="1" x14ac:dyDescent="0.25">
      <c r="B199" s="104">
        <f t="shared" si="0"/>
        <v>2074</v>
      </c>
      <c r="C199" s="105">
        <f>[2]С2.5!$BG$11</f>
        <v>0</v>
      </c>
    </row>
    <row r="200" spans="2:3" ht="13.5" hidden="1" thickBot="1" x14ac:dyDescent="0.25">
      <c r="B200" s="104">
        <f t="shared" si="0"/>
        <v>2075</v>
      </c>
      <c r="C200" s="105">
        <f>[2]С2.5!$BH$11</f>
        <v>0</v>
      </c>
    </row>
    <row r="201" spans="2:3" ht="13.5" hidden="1" thickBot="1" x14ac:dyDescent="0.25">
      <c r="B201" s="104">
        <f t="shared" si="0"/>
        <v>2076</v>
      </c>
      <c r="C201" s="105">
        <f>[2]С2.5!$BI$11</f>
        <v>0</v>
      </c>
    </row>
    <row r="202" spans="2:3" ht="13.5" hidden="1" thickBot="1" x14ac:dyDescent="0.25">
      <c r="B202" s="104">
        <f t="shared" si="0"/>
        <v>2077</v>
      </c>
      <c r="C202" s="105">
        <f>[2]С2.5!$BJ$11</f>
        <v>0</v>
      </c>
    </row>
    <row r="203" spans="2:3" ht="13.5" hidden="1" thickBot="1" x14ac:dyDescent="0.25">
      <c r="B203" s="104">
        <f t="shared" si="0"/>
        <v>2078</v>
      </c>
      <c r="C203" s="105">
        <f>[2]С2.5!$BK$11</f>
        <v>0</v>
      </c>
    </row>
    <row r="204" spans="2:3" ht="13.5" hidden="1" thickBot="1" x14ac:dyDescent="0.25">
      <c r="B204" s="104">
        <f t="shared" si="0"/>
        <v>2079</v>
      </c>
      <c r="C204" s="105">
        <f>[2]С2.5!$BL$11</f>
        <v>0</v>
      </c>
    </row>
    <row r="205" spans="2:3" ht="13.5" hidden="1" thickBot="1" x14ac:dyDescent="0.25">
      <c r="B205" s="104">
        <f t="shared" si="0"/>
        <v>2080</v>
      </c>
      <c r="C205" s="105">
        <f>[2]С2.5!$BM$11</f>
        <v>0</v>
      </c>
    </row>
    <row r="206" spans="2:3" ht="13.5" hidden="1" thickBot="1" x14ac:dyDescent="0.25">
      <c r="B206" s="104">
        <f t="shared" si="0"/>
        <v>2081</v>
      </c>
      <c r="C206" s="105">
        <f>[2]С2.5!$BN$11</f>
        <v>0</v>
      </c>
    </row>
    <row r="207" spans="2:3" ht="13.5" hidden="1" thickBot="1" x14ac:dyDescent="0.25">
      <c r="B207" s="104">
        <f t="shared" si="0"/>
        <v>2082</v>
      </c>
      <c r="C207" s="105">
        <f>[2]С2.5!$BO$11</f>
        <v>0</v>
      </c>
    </row>
    <row r="208" spans="2:3" ht="13.5" hidden="1" thickBot="1" x14ac:dyDescent="0.25">
      <c r="B208" s="104">
        <f t="shared" si="0"/>
        <v>2083</v>
      </c>
      <c r="C208" s="105">
        <f>[2]С2.5!$BP$11</f>
        <v>0</v>
      </c>
    </row>
    <row r="209" spans="2:3" ht="13.5" hidden="1" thickBot="1" x14ac:dyDescent="0.25">
      <c r="B209" s="104">
        <f t="shared" si="0"/>
        <v>2084</v>
      </c>
      <c r="C209" s="105">
        <f>[2]С2.5!$BQ$11</f>
        <v>0</v>
      </c>
    </row>
    <row r="210" spans="2:3" ht="13.5" hidden="1" thickBot="1" x14ac:dyDescent="0.25">
      <c r="B210" s="104">
        <f t="shared" si="0"/>
        <v>2085</v>
      </c>
      <c r="C210" s="105">
        <f>[2]С2.5!$BR$11</f>
        <v>0</v>
      </c>
    </row>
    <row r="211" spans="2:3" ht="13.5" hidden="1" thickBot="1" x14ac:dyDescent="0.25">
      <c r="B211" s="104">
        <f t="shared" ref="B211:B224" si="1">B210+1</f>
        <v>2086</v>
      </c>
      <c r="C211" s="105">
        <f>[2]С2.5!$BS$11</f>
        <v>0</v>
      </c>
    </row>
    <row r="212" spans="2:3" ht="13.5" hidden="1" thickBot="1" x14ac:dyDescent="0.25">
      <c r="B212" s="104">
        <f t="shared" si="1"/>
        <v>2087</v>
      </c>
      <c r="C212" s="105">
        <f>[2]С2.5!$BT$11</f>
        <v>0</v>
      </c>
    </row>
    <row r="213" spans="2:3" ht="13.5" hidden="1" thickBot="1" x14ac:dyDescent="0.25">
      <c r="B213" s="104">
        <f t="shared" si="1"/>
        <v>2088</v>
      </c>
      <c r="C213" s="105">
        <f>[2]С2.5!$BU$11</f>
        <v>0</v>
      </c>
    </row>
    <row r="214" spans="2:3" ht="13.5" hidden="1" thickBot="1" x14ac:dyDescent="0.25">
      <c r="B214" s="104">
        <f t="shared" si="1"/>
        <v>2089</v>
      </c>
      <c r="C214" s="105">
        <f>[2]С2.5!$BV$11</f>
        <v>0</v>
      </c>
    </row>
    <row r="215" spans="2:3" ht="13.5" hidden="1" thickBot="1" x14ac:dyDescent="0.25">
      <c r="B215" s="104">
        <f t="shared" si="1"/>
        <v>2090</v>
      </c>
      <c r="C215" s="105">
        <f>[2]С2.5!$BW$11</f>
        <v>0</v>
      </c>
    </row>
    <row r="216" spans="2:3" ht="13.5" hidden="1" thickBot="1" x14ac:dyDescent="0.25">
      <c r="B216" s="104">
        <f t="shared" si="1"/>
        <v>2091</v>
      </c>
      <c r="C216" s="105">
        <f>[2]С2.5!$BX$11</f>
        <v>0</v>
      </c>
    </row>
    <row r="217" spans="2:3" ht="13.5" hidden="1" thickBot="1" x14ac:dyDescent="0.25">
      <c r="B217" s="104">
        <f t="shared" si="1"/>
        <v>2092</v>
      </c>
      <c r="C217" s="105">
        <f>[2]С2.5!$BY$11</f>
        <v>0</v>
      </c>
    </row>
    <row r="218" spans="2:3" ht="13.5" hidden="1" thickBot="1" x14ac:dyDescent="0.25">
      <c r="B218" s="104">
        <f t="shared" si="1"/>
        <v>2093</v>
      </c>
      <c r="C218" s="105">
        <f>[2]С2.5!$BZ$11</f>
        <v>0</v>
      </c>
    </row>
    <row r="219" spans="2:3" ht="13.5" hidden="1" thickBot="1" x14ac:dyDescent="0.25">
      <c r="B219" s="104">
        <f t="shared" si="1"/>
        <v>2094</v>
      </c>
      <c r="C219" s="105">
        <f>[2]С2.5!$CA$11</f>
        <v>0</v>
      </c>
    </row>
    <row r="220" spans="2:3" ht="13.5" hidden="1" thickBot="1" x14ac:dyDescent="0.25">
      <c r="B220" s="104">
        <f t="shared" si="1"/>
        <v>2095</v>
      </c>
      <c r="C220" s="105">
        <f>[2]С2.5!$CB$11</f>
        <v>0</v>
      </c>
    </row>
    <row r="221" spans="2:3" ht="13.5" hidden="1" thickBot="1" x14ac:dyDescent="0.25">
      <c r="B221" s="104">
        <f t="shared" si="1"/>
        <v>2096</v>
      </c>
      <c r="C221" s="105">
        <f>[2]С2.5!$CC$11</f>
        <v>0</v>
      </c>
    </row>
    <row r="222" spans="2:3" ht="13.5" hidden="1" thickBot="1" x14ac:dyDescent="0.25">
      <c r="B222" s="104">
        <f t="shared" si="1"/>
        <v>2097</v>
      </c>
      <c r="C222" s="105">
        <f>[2]С2.5!$CD$11</f>
        <v>0</v>
      </c>
    </row>
    <row r="223" spans="2:3" ht="13.5" hidden="1" thickBot="1" x14ac:dyDescent="0.25">
      <c r="B223" s="104">
        <f t="shared" si="1"/>
        <v>2098</v>
      </c>
      <c r="C223" s="105">
        <f>[2]С2.5!$CE$11</f>
        <v>0</v>
      </c>
    </row>
    <row r="224" spans="2:3" ht="13.5" hidden="1" thickBot="1" x14ac:dyDescent="0.25">
      <c r="B224" s="104">
        <f t="shared" si="1"/>
        <v>2099</v>
      </c>
      <c r="C224" s="105">
        <f>[2]С2.5!$CF$11</f>
        <v>0</v>
      </c>
    </row>
    <row r="225" spans="2:3" ht="13.5" hidden="1" thickBot="1" x14ac:dyDescent="0.25">
      <c r="B225" s="106">
        <f>B162+1</f>
        <v>2038</v>
      </c>
      <c r="C225" s="107" t="e">
        <f>[2]С2.5!#REF!</f>
        <v>#REF!</v>
      </c>
    </row>
    <row r="226" spans="2:3" x14ac:dyDescent="0.2">
      <c r="B226" s="108"/>
      <c r="C226" s="109"/>
    </row>
  </sheetData>
  <mergeCells count="9">
    <mergeCell ref="B143:C143"/>
    <mergeCell ref="A14:C14"/>
    <mergeCell ref="B1:C1"/>
    <mergeCell ref="B27:C27"/>
    <mergeCell ref="B45:C45"/>
    <mergeCell ref="B90:C90"/>
    <mergeCell ref="B101:C101"/>
    <mergeCell ref="B126:C126"/>
    <mergeCell ref="B129:C129"/>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6" customWidth="1"/>
    <col min="4" max="244" width="9.140625" style="2"/>
    <col min="245" max="245" width="3.5703125" style="2" customWidth="1"/>
    <col min="246" max="246" width="96.85546875" style="2" customWidth="1"/>
    <col min="247" max="247" width="30.85546875" style="2" customWidth="1"/>
    <col min="248" max="248" width="12.5703125" style="2" customWidth="1"/>
    <col min="249" max="249" width="5.140625" style="2" customWidth="1"/>
    <col min="250" max="250" width="9.140625" style="2"/>
    <col min="251" max="251" width="4.85546875" style="2" customWidth="1"/>
    <col min="252" max="252" width="30.5703125" style="2" customWidth="1"/>
    <col min="253" max="253" width="33.85546875" style="2" customWidth="1"/>
    <col min="254" max="254" width="5.140625" style="2" customWidth="1"/>
    <col min="255" max="256" width="17.5703125" style="2" customWidth="1"/>
    <col min="257" max="500" width="9.140625" style="2"/>
    <col min="501" max="501" width="3.5703125" style="2" customWidth="1"/>
    <col min="502" max="502" width="96.85546875" style="2" customWidth="1"/>
    <col min="503" max="503" width="30.85546875" style="2" customWidth="1"/>
    <col min="504" max="504" width="12.5703125" style="2" customWidth="1"/>
    <col min="505" max="505" width="5.140625" style="2" customWidth="1"/>
    <col min="506" max="506" width="9.140625" style="2"/>
    <col min="507" max="507" width="4.85546875" style="2" customWidth="1"/>
    <col min="508" max="508" width="30.5703125" style="2" customWidth="1"/>
    <col min="509" max="509" width="33.85546875" style="2" customWidth="1"/>
    <col min="510" max="510" width="5.140625" style="2" customWidth="1"/>
    <col min="511" max="512" width="17.5703125" style="2" customWidth="1"/>
    <col min="513" max="756" width="9.140625" style="2"/>
    <col min="757" max="757" width="3.5703125" style="2" customWidth="1"/>
    <col min="758" max="758" width="96.85546875" style="2" customWidth="1"/>
    <col min="759" max="759" width="30.85546875" style="2" customWidth="1"/>
    <col min="760" max="760" width="12.5703125" style="2" customWidth="1"/>
    <col min="761" max="761" width="5.140625" style="2" customWidth="1"/>
    <col min="762" max="762" width="9.140625" style="2"/>
    <col min="763" max="763" width="4.85546875" style="2" customWidth="1"/>
    <col min="764" max="764" width="30.5703125" style="2" customWidth="1"/>
    <col min="765" max="765" width="33.85546875" style="2" customWidth="1"/>
    <col min="766" max="766" width="5.140625" style="2" customWidth="1"/>
    <col min="767" max="768" width="17.5703125" style="2" customWidth="1"/>
    <col min="769" max="1012" width="9.140625" style="2"/>
    <col min="1013" max="1013" width="3.5703125" style="2" customWidth="1"/>
    <col min="1014" max="1014" width="96.85546875" style="2" customWidth="1"/>
    <col min="1015" max="1015" width="30.85546875" style="2" customWidth="1"/>
    <col min="1016" max="1016" width="12.5703125" style="2" customWidth="1"/>
    <col min="1017" max="1017" width="5.140625" style="2" customWidth="1"/>
    <col min="1018" max="1018" width="9.140625" style="2"/>
    <col min="1019" max="1019" width="4.85546875" style="2" customWidth="1"/>
    <col min="1020" max="1020" width="30.5703125" style="2" customWidth="1"/>
    <col min="1021" max="1021" width="33.85546875" style="2" customWidth="1"/>
    <col min="1022" max="1022" width="5.140625" style="2" customWidth="1"/>
    <col min="1023" max="1024" width="17.5703125" style="2" customWidth="1"/>
    <col min="1025" max="1268" width="9.140625" style="2"/>
    <col min="1269" max="1269" width="3.5703125" style="2" customWidth="1"/>
    <col min="1270" max="1270" width="96.85546875" style="2" customWidth="1"/>
    <col min="1271" max="1271" width="30.85546875" style="2" customWidth="1"/>
    <col min="1272" max="1272" width="12.5703125" style="2" customWidth="1"/>
    <col min="1273" max="1273" width="5.140625" style="2" customWidth="1"/>
    <col min="1274" max="1274" width="9.140625" style="2"/>
    <col min="1275" max="1275" width="4.85546875" style="2" customWidth="1"/>
    <col min="1276" max="1276" width="30.5703125" style="2" customWidth="1"/>
    <col min="1277" max="1277" width="33.85546875" style="2" customWidth="1"/>
    <col min="1278" max="1278" width="5.140625" style="2" customWidth="1"/>
    <col min="1279" max="1280" width="17.5703125" style="2" customWidth="1"/>
    <col min="1281" max="1524" width="9.140625" style="2"/>
    <col min="1525" max="1525" width="3.5703125" style="2" customWidth="1"/>
    <col min="1526" max="1526" width="96.85546875" style="2" customWidth="1"/>
    <col min="1527" max="1527" width="30.85546875" style="2" customWidth="1"/>
    <col min="1528" max="1528" width="12.5703125" style="2" customWidth="1"/>
    <col min="1529" max="1529" width="5.140625" style="2" customWidth="1"/>
    <col min="1530" max="1530" width="9.140625" style="2"/>
    <col min="1531" max="1531" width="4.85546875" style="2" customWidth="1"/>
    <col min="1532" max="1532" width="30.5703125" style="2" customWidth="1"/>
    <col min="1533" max="1533" width="33.85546875" style="2" customWidth="1"/>
    <col min="1534" max="1534" width="5.140625" style="2" customWidth="1"/>
    <col min="1535" max="1536" width="17.5703125" style="2" customWidth="1"/>
    <col min="1537" max="1780" width="9.140625" style="2"/>
    <col min="1781" max="1781" width="3.5703125" style="2" customWidth="1"/>
    <col min="1782" max="1782" width="96.85546875" style="2" customWidth="1"/>
    <col min="1783" max="1783" width="30.85546875" style="2" customWidth="1"/>
    <col min="1784" max="1784" width="12.5703125" style="2" customWidth="1"/>
    <col min="1785" max="1785" width="5.140625" style="2" customWidth="1"/>
    <col min="1786" max="1786" width="9.140625" style="2"/>
    <col min="1787" max="1787" width="4.85546875" style="2" customWidth="1"/>
    <col min="1788" max="1788" width="30.5703125" style="2" customWidth="1"/>
    <col min="1789" max="1789" width="33.85546875" style="2" customWidth="1"/>
    <col min="1790" max="1790" width="5.140625" style="2" customWidth="1"/>
    <col min="1791" max="1792" width="17.5703125" style="2" customWidth="1"/>
    <col min="1793" max="2036" width="9.140625" style="2"/>
    <col min="2037" max="2037" width="3.5703125" style="2" customWidth="1"/>
    <col min="2038" max="2038" width="96.85546875" style="2" customWidth="1"/>
    <col min="2039" max="2039" width="30.85546875" style="2" customWidth="1"/>
    <col min="2040" max="2040" width="12.5703125" style="2" customWidth="1"/>
    <col min="2041" max="2041" width="5.140625" style="2" customWidth="1"/>
    <col min="2042" max="2042" width="9.140625" style="2"/>
    <col min="2043" max="2043" width="4.85546875" style="2" customWidth="1"/>
    <col min="2044" max="2044" width="30.5703125" style="2" customWidth="1"/>
    <col min="2045" max="2045" width="33.85546875" style="2" customWidth="1"/>
    <col min="2046" max="2046" width="5.140625" style="2" customWidth="1"/>
    <col min="2047" max="2048" width="17.5703125" style="2" customWidth="1"/>
    <col min="2049" max="2292" width="9.140625" style="2"/>
    <col min="2293" max="2293" width="3.5703125" style="2" customWidth="1"/>
    <col min="2294" max="2294" width="96.85546875" style="2" customWidth="1"/>
    <col min="2295" max="2295" width="30.85546875" style="2" customWidth="1"/>
    <col min="2296" max="2296" width="12.5703125" style="2" customWidth="1"/>
    <col min="2297" max="2297" width="5.140625" style="2" customWidth="1"/>
    <col min="2298" max="2298" width="9.140625" style="2"/>
    <col min="2299" max="2299" width="4.85546875" style="2" customWidth="1"/>
    <col min="2300" max="2300" width="30.5703125" style="2" customWidth="1"/>
    <col min="2301" max="2301" width="33.85546875" style="2" customWidth="1"/>
    <col min="2302" max="2302" width="5.140625" style="2" customWidth="1"/>
    <col min="2303" max="2304" width="17.5703125" style="2" customWidth="1"/>
    <col min="2305" max="2548" width="9.140625" style="2"/>
    <col min="2549" max="2549" width="3.5703125" style="2" customWidth="1"/>
    <col min="2550" max="2550" width="96.85546875" style="2" customWidth="1"/>
    <col min="2551" max="2551" width="30.85546875" style="2" customWidth="1"/>
    <col min="2552" max="2552" width="12.5703125" style="2" customWidth="1"/>
    <col min="2553" max="2553" width="5.140625" style="2" customWidth="1"/>
    <col min="2554" max="2554" width="9.140625" style="2"/>
    <col min="2555" max="2555" width="4.85546875" style="2" customWidth="1"/>
    <col min="2556" max="2556" width="30.5703125" style="2" customWidth="1"/>
    <col min="2557" max="2557" width="33.85546875" style="2" customWidth="1"/>
    <col min="2558" max="2558" width="5.140625" style="2" customWidth="1"/>
    <col min="2559" max="2560" width="17.5703125" style="2" customWidth="1"/>
    <col min="2561" max="2804" width="9.140625" style="2"/>
    <col min="2805" max="2805" width="3.5703125" style="2" customWidth="1"/>
    <col min="2806" max="2806" width="96.85546875" style="2" customWidth="1"/>
    <col min="2807" max="2807" width="30.85546875" style="2" customWidth="1"/>
    <col min="2808" max="2808" width="12.5703125" style="2" customWidth="1"/>
    <col min="2809" max="2809" width="5.140625" style="2" customWidth="1"/>
    <col min="2810" max="2810" width="9.140625" style="2"/>
    <col min="2811" max="2811" width="4.85546875" style="2" customWidth="1"/>
    <col min="2812" max="2812" width="30.5703125" style="2" customWidth="1"/>
    <col min="2813" max="2813" width="33.85546875" style="2" customWidth="1"/>
    <col min="2814" max="2814" width="5.140625" style="2" customWidth="1"/>
    <col min="2815" max="2816" width="17.5703125" style="2" customWidth="1"/>
    <col min="2817" max="3060" width="9.140625" style="2"/>
    <col min="3061" max="3061" width="3.5703125" style="2" customWidth="1"/>
    <col min="3062" max="3062" width="96.85546875" style="2" customWidth="1"/>
    <col min="3063" max="3063" width="30.85546875" style="2" customWidth="1"/>
    <col min="3064" max="3064" width="12.5703125" style="2" customWidth="1"/>
    <col min="3065" max="3065" width="5.140625" style="2" customWidth="1"/>
    <col min="3066" max="3066" width="9.140625" style="2"/>
    <col min="3067" max="3067" width="4.85546875" style="2" customWidth="1"/>
    <col min="3068" max="3068" width="30.5703125" style="2" customWidth="1"/>
    <col min="3069" max="3069" width="33.85546875" style="2" customWidth="1"/>
    <col min="3070" max="3070" width="5.140625" style="2" customWidth="1"/>
    <col min="3071" max="3072" width="17.5703125" style="2" customWidth="1"/>
    <col min="3073" max="3316" width="9.140625" style="2"/>
    <col min="3317" max="3317" width="3.5703125" style="2" customWidth="1"/>
    <col min="3318" max="3318" width="96.85546875" style="2" customWidth="1"/>
    <col min="3319" max="3319" width="30.85546875" style="2" customWidth="1"/>
    <col min="3320" max="3320" width="12.5703125" style="2" customWidth="1"/>
    <col min="3321" max="3321" width="5.140625" style="2" customWidth="1"/>
    <col min="3322" max="3322" width="9.140625" style="2"/>
    <col min="3323" max="3323" width="4.85546875" style="2" customWidth="1"/>
    <col min="3324" max="3324" width="30.5703125" style="2" customWidth="1"/>
    <col min="3325" max="3325" width="33.85546875" style="2" customWidth="1"/>
    <col min="3326" max="3326" width="5.140625" style="2" customWidth="1"/>
    <col min="3327" max="3328" width="17.5703125" style="2" customWidth="1"/>
    <col min="3329" max="3572" width="9.140625" style="2"/>
    <col min="3573" max="3573" width="3.5703125" style="2" customWidth="1"/>
    <col min="3574" max="3574" width="96.85546875" style="2" customWidth="1"/>
    <col min="3575" max="3575" width="30.85546875" style="2" customWidth="1"/>
    <col min="3576" max="3576" width="12.5703125" style="2" customWidth="1"/>
    <col min="3577" max="3577" width="5.140625" style="2" customWidth="1"/>
    <col min="3578" max="3578" width="9.140625" style="2"/>
    <col min="3579" max="3579" width="4.85546875" style="2" customWidth="1"/>
    <col min="3580" max="3580" width="30.5703125" style="2" customWidth="1"/>
    <col min="3581" max="3581" width="33.85546875" style="2" customWidth="1"/>
    <col min="3582" max="3582" width="5.140625" style="2" customWidth="1"/>
    <col min="3583" max="3584" width="17.5703125" style="2" customWidth="1"/>
    <col min="3585" max="3828" width="9.140625" style="2"/>
    <col min="3829" max="3829" width="3.5703125" style="2" customWidth="1"/>
    <col min="3830" max="3830" width="96.85546875" style="2" customWidth="1"/>
    <col min="3831" max="3831" width="30.85546875" style="2" customWidth="1"/>
    <col min="3832" max="3832" width="12.5703125" style="2" customWidth="1"/>
    <col min="3833" max="3833" width="5.140625" style="2" customWidth="1"/>
    <col min="3834" max="3834" width="9.140625" style="2"/>
    <col min="3835" max="3835" width="4.85546875" style="2" customWidth="1"/>
    <col min="3836" max="3836" width="30.5703125" style="2" customWidth="1"/>
    <col min="3837" max="3837" width="33.85546875" style="2" customWidth="1"/>
    <col min="3838" max="3838" width="5.140625" style="2" customWidth="1"/>
    <col min="3839" max="3840" width="17.5703125" style="2" customWidth="1"/>
    <col min="3841" max="4084" width="9.140625" style="2"/>
    <col min="4085" max="4085" width="3.5703125" style="2" customWidth="1"/>
    <col min="4086" max="4086" width="96.85546875" style="2" customWidth="1"/>
    <col min="4087" max="4087" width="30.85546875" style="2" customWidth="1"/>
    <col min="4088" max="4088" width="12.5703125" style="2" customWidth="1"/>
    <col min="4089" max="4089" width="5.140625" style="2" customWidth="1"/>
    <col min="4090" max="4090" width="9.140625" style="2"/>
    <col min="4091" max="4091" width="4.85546875" style="2" customWidth="1"/>
    <col min="4092" max="4092" width="30.5703125" style="2" customWidth="1"/>
    <col min="4093" max="4093" width="33.85546875" style="2" customWidth="1"/>
    <col min="4094" max="4094" width="5.140625" style="2" customWidth="1"/>
    <col min="4095" max="4096" width="17.5703125" style="2" customWidth="1"/>
    <col min="4097" max="4340" width="9.140625" style="2"/>
    <col min="4341" max="4341" width="3.5703125" style="2" customWidth="1"/>
    <col min="4342" max="4342" width="96.85546875" style="2" customWidth="1"/>
    <col min="4343" max="4343" width="30.85546875" style="2" customWidth="1"/>
    <col min="4344" max="4344" width="12.5703125" style="2" customWidth="1"/>
    <col min="4345" max="4345" width="5.140625" style="2" customWidth="1"/>
    <col min="4346" max="4346" width="9.140625" style="2"/>
    <col min="4347" max="4347" width="4.85546875" style="2" customWidth="1"/>
    <col min="4348" max="4348" width="30.5703125" style="2" customWidth="1"/>
    <col min="4349" max="4349" width="33.85546875" style="2" customWidth="1"/>
    <col min="4350" max="4350" width="5.140625" style="2" customWidth="1"/>
    <col min="4351" max="4352" width="17.5703125" style="2" customWidth="1"/>
    <col min="4353" max="4596" width="9.140625" style="2"/>
    <col min="4597" max="4597" width="3.5703125" style="2" customWidth="1"/>
    <col min="4598" max="4598" width="96.85546875" style="2" customWidth="1"/>
    <col min="4599" max="4599" width="30.85546875" style="2" customWidth="1"/>
    <col min="4600" max="4600" width="12.5703125" style="2" customWidth="1"/>
    <col min="4601" max="4601" width="5.140625" style="2" customWidth="1"/>
    <col min="4602" max="4602" width="9.140625" style="2"/>
    <col min="4603" max="4603" width="4.85546875" style="2" customWidth="1"/>
    <col min="4604" max="4604" width="30.5703125" style="2" customWidth="1"/>
    <col min="4605" max="4605" width="33.85546875" style="2" customWidth="1"/>
    <col min="4606" max="4606" width="5.140625" style="2" customWidth="1"/>
    <col min="4607" max="4608" width="17.5703125" style="2" customWidth="1"/>
    <col min="4609" max="4852" width="9.140625" style="2"/>
    <col min="4853" max="4853" width="3.5703125" style="2" customWidth="1"/>
    <col min="4854" max="4854" width="96.85546875" style="2" customWidth="1"/>
    <col min="4855" max="4855" width="30.85546875" style="2" customWidth="1"/>
    <col min="4856" max="4856" width="12.5703125" style="2" customWidth="1"/>
    <col min="4857" max="4857" width="5.140625" style="2" customWidth="1"/>
    <col min="4858" max="4858" width="9.140625" style="2"/>
    <col min="4859" max="4859" width="4.85546875" style="2" customWidth="1"/>
    <col min="4860" max="4860" width="30.5703125" style="2" customWidth="1"/>
    <col min="4861" max="4861" width="33.85546875" style="2" customWidth="1"/>
    <col min="4862" max="4862" width="5.140625" style="2" customWidth="1"/>
    <col min="4863" max="4864" width="17.5703125" style="2" customWidth="1"/>
    <col min="4865" max="5108" width="9.140625" style="2"/>
    <col min="5109" max="5109" width="3.5703125" style="2" customWidth="1"/>
    <col min="5110" max="5110" width="96.85546875" style="2" customWidth="1"/>
    <col min="5111" max="5111" width="30.85546875" style="2" customWidth="1"/>
    <col min="5112" max="5112" width="12.5703125" style="2" customWidth="1"/>
    <col min="5113" max="5113" width="5.140625" style="2" customWidth="1"/>
    <col min="5114" max="5114" width="9.140625" style="2"/>
    <col min="5115" max="5115" width="4.85546875" style="2" customWidth="1"/>
    <col min="5116" max="5116" width="30.5703125" style="2" customWidth="1"/>
    <col min="5117" max="5117" width="33.85546875" style="2" customWidth="1"/>
    <col min="5118" max="5118" width="5.140625" style="2" customWidth="1"/>
    <col min="5119" max="5120" width="17.5703125" style="2" customWidth="1"/>
    <col min="5121" max="5364" width="9.140625" style="2"/>
    <col min="5365" max="5365" width="3.5703125" style="2" customWidth="1"/>
    <col min="5366" max="5366" width="96.85546875" style="2" customWidth="1"/>
    <col min="5367" max="5367" width="30.85546875" style="2" customWidth="1"/>
    <col min="5368" max="5368" width="12.5703125" style="2" customWidth="1"/>
    <col min="5369" max="5369" width="5.140625" style="2" customWidth="1"/>
    <col min="5370" max="5370" width="9.140625" style="2"/>
    <col min="5371" max="5371" width="4.85546875" style="2" customWidth="1"/>
    <col min="5372" max="5372" width="30.5703125" style="2" customWidth="1"/>
    <col min="5373" max="5373" width="33.85546875" style="2" customWidth="1"/>
    <col min="5374" max="5374" width="5.140625" style="2" customWidth="1"/>
    <col min="5375" max="5376" width="17.5703125" style="2" customWidth="1"/>
    <col min="5377" max="5620" width="9.140625" style="2"/>
    <col min="5621" max="5621" width="3.5703125" style="2" customWidth="1"/>
    <col min="5622" max="5622" width="96.85546875" style="2" customWidth="1"/>
    <col min="5623" max="5623" width="30.85546875" style="2" customWidth="1"/>
    <col min="5624" max="5624" width="12.5703125" style="2" customWidth="1"/>
    <col min="5625" max="5625" width="5.140625" style="2" customWidth="1"/>
    <col min="5626" max="5626" width="9.140625" style="2"/>
    <col min="5627" max="5627" width="4.85546875" style="2" customWidth="1"/>
    <col min="5628" max="5628" width="30.5703125" style="2" customWidth="1"/>
    <col min="5629" max="5629" width="33.85546875" style="2" customWidth="1"/>
    <col min="5630" max="5630" width="5.140625" style="2" customWidth="1"/>
    <col min="5631" max="5632" width="17.5703125" style="2" customWidth="1"/>
    <col min="5633" max="5876" width="9.140625" style="2"/>
    <col min="5877" max="5877" width="3.5703125" style="2" customWidth="1"/>
    <col min="5878" max="5878" width="96.85546875" style="2" customWidth="1"/>
    <col min="5879" max="5879" width="30.85546875" style="2" customWidth="1"/>
    <col min="5880" max="5880" width="12.5703125" style="2" customWidth="1"/>
    <col min="5881" max="5881" width="5.140625" style="2" customWidth="1"/>
    <col min="5882" max="5882" width="9.140625" style="2"/>
    <col min="5883" max="5883" width="4.85546875" style="2" customWidth="1"/>
    <col min="5884" max="5884" width="30.5703125" style="2" customWidth="1"/>
    <col min="5885" max="5885" width="33.85546875" style="2" customWidth="1"/>
    <col min="5886" max="5886" width="5.140625" style="2" customWidth="1"/>
    <col min="5887" max="5888" width="17.5703125" style="2" customWidth="1"/>
    <col min="5889" max="6132" width="9.140625" style="2"/>
    <col min="6133" max="6133" width="3.5703125" style="2" customWidth="1"/>
    <col min="6134" max="6134" width="96.85546875" style="2" customWidth="1"/>
    <col min="6135" max="6135" width="30.85546875" style="2" customWidth="1"/>
    <col min="6136" max="6136" width="12.5703125" style="2" customWidth="1"/>
    <col min="6137" max="6137" width="5.140625" style="2" customWidth="1"/>
    <col min="6138" max="6138" width="9.140625" style="2"/>
    <col min="6139" max="6139" width="4.85546875" style="2" customWidth="1"/>
    <col min="6140" max="6140" width="30.5703125" style="2" customWidth="1"/>
    <col min="6141" max="6141" width="33.85546875" style="2" customWidth="1"/>
    <col min="6142" max="6142" width="5.140625" style="2" customWidth="1"/>
    <col min="6143" max="6144" width="17.5703125" style="2" customWidth="1"/>
    <col min="6145" max="6388" width="9.140625" style="2"/>
    <col min="6389" max="6389" width="3.5703125" style="2" customWidth="1"/>
    <col min="6390" max="6390" width="96.85546875" style="2" customWidth="1"/>
    <col min="6391" max="6391" width="30.85546875" style="2" customWidth="1"/>
    <col min="6392" max="6392" width="12.5703125" style="2" customWidth="1"/>
    <col min="6393" max="6393" width="5.140625" style="2" customWidth="1"/>
    <col min="6394" max="6394" width="9.140625" style="2"/>
    <col min="6395" max="6395" width="4.85546875" style="2" customWidth="1"/>
    <col min="6396" max="6396" width="30.5703125" style="2" customWidth="1"/>
    <col min="6397" max="6397" width="33.85546875" style="2" customWidth="1"/>
    <col min="6398" max="6398" width="5.140625" style="2" customWidth="1"/>
    <col min="6399" max="6400" width="17.5703125" style="2" customWidth="1"/>
    <col min="6401" max="6644" width="9.140625" style="2"/>
    <col min="6645" max="6645" width="3.5703125" style="2" customWidth="1"/>
    <col min="6646" max="6646" width="96.85546875" style="2" customWidth="1"/>
    <col min="6647" max="6647" width="30.85546875" style="2" customWidth="1"/>
    <col min="6648" max="6648" width="12.5703125" style="2" customWidth="1"/>
    <col min="6649" max="6649" width="5.140625" style="2" customWidth="1"/>
    <col min="6650" max="6650" width="9.140625" style="2"/>
    <col min="6651" max="6651" width="4.85546875" style="2" customWidth="1"/>
    <col min="6652" max="6652" width="30.5703125" style="2" customWidth="1"/>
    <col min="6653" max="6653" width="33.85546875" style="2" customWidth="1"/>
    <col min="6654" max="6654" width="5.140625" style="2" customWidth="1"/>
    <col min="6655" max="6656" width="17.5703125" style="2" customWidth="1"/>
    <col min="6657" max="6900" width="9.140625" style="2"/>
    <col min="6901" max="6901" width="3.5703125" style="2" customWidth="1"/>
    <col min="6902" max="6902" width="96.85546875" style="2" customWidth="1"/>
    <col min="6903" max="6903" width="30.85546875" style="2" customWidth="1"/>
    <col min="6904" max="6904" width="12.5703125" style="2" customWidth="1"/>
    <col min="6905" max="6905" width="5.140625" style="2" customWidth="1"/>
    <col min="6906" max="6906" width="9.140625" style="2"/>
    <col min="6907" max="6907" width="4.85546875" style="2" customWidth="1"/>
    <col min="6908" max="6908" width="30.5703125" style="2" customWidth="1"/>
    <col min="6909" max="6909" width="33.85546875" style="2" customWidth="1"/>
    <col min="6910" max="6910" width="5.140625" style="2" customWidth="1"/>
    <col min="6911" max="6912" width="17.5703125" style="2" customWidth="1"/>
    <col min="6913" max="7156" width="9.140625" style="2"/>
    <col min="7157" max="7157" width="3.5703125" style="2" customWidth="1"/>
    <col min="7158" max="7158" width="96.85546875" style="2" customWidth="1"/>
    <col min="7159" max="7159" width="30.85546875" style="2" customWidth="1"/>
    <col min="7160" max="7160" width="12.5703125" style="2" customWidth="1"/>
    <col min="7161" max="7161" width="5.140625" style="2" customWidth="1"/>
    <col min="7162" max="7162" width="9.140625" style="2"/>
    <col min="7163" max="7163" width="4.85546875" style="2" customWidth="1"/>
    <col min="7164" max="7164" width="30.5703125" style="2" customWidth="1"/>
    <col min="7165" max="7165" width="33.85546875" style="2" customWidth="1"/>
    <col min="7166" max="7166" width="5.140625" style="2" customWidth="1"/>
    <col min="7167" max="7168" width="17.5703125" style="2" customWidth="1"/>
    <col min="7169" max="7412" width="9.140625" style="2"/>
    <col min="7413" max="7413" width="3.5703125" style="2" customWidth="1"/>
    <col min="7414" max="7414" width="96.85546875" style="2" customWidth="1"/>
    <col min="7415" max="7415" width="30.85546875" style="2" customWidth="1"/>
    <col min="7416" max="7416" width="12.5703125" style="2" customWidth="1"/>
    <col min="7417" max="7417" width="5.140625" style="2" customWidth="1"/>
    <col min="7418" max="7418" width="9.140625" style="2"/>
    <col min="7419" max="7419" width="4.85546875" style="2" customWidth="1"/>
    <col min="7420" max="7420" width="30.5703125" style="2" customWidth="1"/>
    <col min="7421" max="7421" width="33.85546875" style="2" customWidth="1"/>
    <col min="7422" max="7422" width="5.140625" style="2" customWidth="1"/>
    <col min="7423" max="7424" width="17.5703125" style="2" customWidth="1"/>
    <col min="7425" max="7668" width="9.140625" style="2"/>
    <col min="7669" max="7669" width="3.5703125" style="2" customWidth="1"/>
    <col min="7670" max="7670" width="96.85546875" style="2" customWidth="1"/>
    <col min="7671" max="7671" width="30.85546875" style="2" customWidth="1"/>
    <col min="7672" max="7672" width="12.5703125" style="2" customWidth="1"/>
    <col min="7673" max="7673" width="5.140625" style="2" customWidth="1"/>
    <col min="7674" max="7674" width="9.140625" style="2"/>
    <col min="7675" max="7675" width="4.85546875" style="2" customWidth="1"/>
    <col min="7676" max="7676" width="30.5703125" style="2" customWidth="1"/>
    <col min="7677" max="7677" width="33.85546875" style="2" customWidth="1"/>
    <col min="7678" max="7678" width="5.140625" style="2" customWidth="1"/>
    <col min="7679" max="7680" width="17.5703125" style="2" customWidth="1"/>
    <col min="7681" max="7924" width="9.140625" style="2"/>
    <col min="7925" max="7925" width="3.5703125" style="2" customWidth="1"/>
    <col min="7926" max="7926" width="96.85546875" style="2" customWidth="1"/>
    <col min="7927" max="7927" width="30.85546875" style="2" customWidth="1"/>
    <col min="7928" max="7928" width="12.5703125" style="2" customWidth="1"/>
    <col min="7929" max="7929" width="5.140625" style="2" customWidth="1"/>
    <col min="7930" max="7930" width="9.140625" style="2"/>
    <col min="7931" max="7931" width="4.85546875" style="2" customWidth="1"/>
    <col min="7932" max="7932" width="30.5703125" style="2" customWidth="1"/>
    <col min="7933" max="7933" width="33.85546875" style="2" customWidth="1"/>
    <col min="7934" max="7934" width="5.140625" style="2" customWidth="1"/>
    <col min="7935" max="7936" width="17.5703125" style="2" customWidth="1"/>
    <col min="7937" max="8180" width="9.140625" style="2"/>
    <col min="8181" max="8181" width="3.5703125" style="2" customWidth="1"/>
    <col min="8182" max="8182" width="96.85546875" style="2" customWidth="1"/>
    <col min="8183" max="8183" width="30.85546875" style="2" customWidth="1"/>
    <col min="8184" max="8184" width="12.5703125" style="2" customWidth="1"/>
    <col min="8185" max="8185" width="5.140625" style="2" customWidth="1"/>
    <col min="8186" max="8186" width="9.140625" style="2"/>
    <col min="8187" max="8187" width="4.85546875" style="2" customWidth="1"/>
    <col min="8188" max="8188" width="30.5703125" style="2" customWidth="1"/>
    <col min="8189" max="8189" width="33.85546875" style="2" customWidth="1"/>
    <col min="8190" max="8190" width="5.140625" style="2" customWidth="1"/>
    <col min="8191" max="8192" width="17.5703125" style="2" customWidth="1"/>
    <col min="8193" max="8436" width="9.140625" style="2"/>
    <col min="8437" max="8437" width="3.5703125" style="2" customWidth="1"/>
    <col min="8438" max="8438" width="96.85546875" style="2" customWidth="1"/>
    <col min="8439" max="8439" width="30.85546875" style="2" customWidth="1"/>
    <col min="8440" max="8440" width="12.5703125" style="2" customWidth="1"/>
    <col min="8441" max="8441" width="5.140625" style="2" customWidth="1"/>
    <col min="8442" max="8442" width="9.140625" style="2"/>
    <col min="8443" max="8443" width="4.85546875" style="2" customWidth="1"/>
    <col min="8444" max="8444" width="30.5703125" style="2" customWidth="1"/>
    <col min="8445" max="8445" width="33.85546875" style="2" customWidth="1"/>
    <col min="8446" max="8446" width="5.140625" style="2" customWidth="1"/>
    <col min="8447" max="8448" width="17.5703125" style="2" customWidth="1"/>
    <col min="8449" max="8692" width="9.140625" style="2"/>
    <col min="8693" max="8693" width="3.5703125" style="2" customWidth="1"/>
    <col min="8694" max="8694" width="96.85546875" style="2" customWidth="1"/>
    <col min="8695" max="8695" width="30.85546875" style="2" customWidth="1"/>
    <col min="8696" max="8696" width="12.5703125" style="2" customWidth="1"/>
    <col min="8697" max="8697" width="5.140625" style="2" customWidth="1"/>
    <col min="8698" max="8698" width="9.140625" style="2"/>
    <col min="8699" max="8699" width="4.85546875" style="2" customWidth="1"/>
    <col min="8700" max="8700" width="30.5703125" style="2" customWidth="1"/>
    <col min="8701" max="8701" width="33.85546875" style="2" customWidth="1"/>
    <col min="8702" max="8702" width="5.140625" style="2" customWidth="1"/>
    <col min="8703" max="8704" width="17.5703125" style="2" customWidth="1"/>
    <col min="8705" max="8948" width="9.140625" style="2"/>
    <col min="8949" max="8949" width="3.5703125" style="2" customWidth="1"/>
    <col min="8950" max="8950" width="96.85546875" style="2" customWidth="1"/>
    <col min="8951" max="8951" width="30.85546875" style="2" customWidth="1"/>
    <col min="8952" max="8952" width="12.5703125" style="2" customWidth="1"/>
    <col min="8953" max="8953" width="5.140625" style="2" customWidth="1"/>
    <col min="8954" max="8954" width="9.140625" style="2"/>
    <col min="8955" max="8955" width="4.85546875" style="2" customWidth="1"/>
    <col min="8956" max="8956" width="30.5703125" style="2" customWidth="1"/>
    <col min="8957" max="8957" width="33.85546875" style="2" customWidth="1"/>
    <col min="8958" max="8958" width="5.140625" style="2" customWidth="1"/>
    <col min="8959" max="8960" width="17.5703125" style="2" customWidth="1"/>
    <col min="8961" max="9204" width="9.140625" style="2"/>
    <col min="9205" max="9205" width="3.5703125" style="2" customWidth="1"/>
    <col min="9206" max="9206" width="96.85546875" style="2" customWidth="1"/>
    <col min="9207" max="9207" width="30.85546875" style="2" customWidth="1"/>
    <col min="9208" max="9208" width="12.5703125" style="2" customWidth="1"/>
    <col min="9209" max="9209" width="5.140625" style="2" customWidth="1"/>
    <col min="9210" max="9210" width="9.140625" style="2"/>
    <col min="9211" max="9211" width="4.85546875" style="2" customWidth="1"/>
    <col min="9212" max="9212" width="30.5703125" style="2" customWidth="1"/>
    <col min="9213" max="9213" width="33.85546875" style="2" customWidth="1"/>
    <col min="9214" max="9214" width="5.140625" style="2" customWidth="1"/>
    <col min="9215" max="9216" width="17.5703125" style="2" customWidth="1"/>
    <col min="9217" max="9460" width="9.140625" style="2"/>
    <col min="9461" max="9461" width="3.5703125" style="2" customWidth="1"/>
    <col min="9462" max="9462" width="96.85546875" style="2" customWidth="1"/>
    <col min="9463" max="9463" width="30.85546875" style="2" customWidth="1"/>
    <col min="9464" max="9464" width="12.5703125" style="2" customWidth="1"/>
    <col min="9465" max="9465" width="5.140625" style="2" customWidth="1"/>
    <col min="9466" max="9466" width="9.140625" style="2"/>
    <col min="9467" max="9467" width="4.85546875" style="2" customWidth="1"/>
    <col min="9468" max="9468" width="30.5703125" style="2" customWidth="1"/>
    <col min="9469" max="9469" width="33.85546875" style="2" customWidth="1"/>
    <col min="9470" max="9470" width="5.140625" style="2" customWidth="1"/>
    <col min="9471" max="9472" width="17.5703125" style="2" customWidth="1"/>
    <col min="9473" max="9716" width="9.140625" style="2"/>
    <col min="9717" max="9717" width="3.5703125" style="2" customWidth="1"/>
    <col min="9718" max="9718" width="96.85546875" style="2" customWidth="1"/>
    <col min="9719" max="9719" width="30.85546875" style="2" customWidth="1"/>
    <col min="9720" max="9720" width="12.5703125" style="2" customWidth="1"/>
    <col min="9721" max="9721" width="5.140625" style="2" customWidth="1"/>
    <col min="9722" max="9722" width="9.140625" style="2"/>
    <col min="9723" max="9723" width="4.85546875" style="2" customWidth="1"/>
    <col min="9724" max="9724" width="30.5703125" style="2" customWidth="1"/>
    <col min="9725" max="9725" width="33.85546875" style="2" customWidth="1"/>
    <col min="9726" max="9726" width="5.140625" style="2" customWidth="1"/>
    <col min="9727" max="9728" width="17.5703125" style="2" customWidth="1"/>
    <col min="9729" max="9972" width="9.140625" style="2"/>
    <col min="9973" max="9973" width="3.5703125" style="2" customWidth="1"/>
    <col min="9974" max="9974" width="96.85546875" style="2" customWidth="1"/>
    <col min="9975" max="9975" width="30.85546875" style="2" customWidth="1"/>
    <col min="9976" max="9976" width="12.5703125" style="2" customWidth="1"/>
    <col min="9977" max="9977" width="5.140625" style="2" customWidth="1"/>
    <col min="9978" max="9978" width="9.140625" style="2"/>
    <col min="9979" max="9979" width="4.85546875" style="2" customWidth="1"/>
    <col min="9980" max="9980" width="30.5703125" style="2" customWidth="1"/>
    <col min="9981" max="9981" width="33.85546875" style="2" customWidth="1"/>
    <col min="9982" max="9982" width="5.140625" style="2" customWidth="1"/>
    <col min="9983" max="9984" width="17.5703125" style="2" customWidth="1"/>
    <col min="9985" max="10228" width="9.140625" style="2"/>
    <col min="10229" max="10229" width="3.5703125" style="2" customWidth="1"/>
    <col min="10230" max="10230" width="96.85546875" style="2" customWidth="1"/>
    <col min="10231" max="10231" width="30.85546875" style="2" customWidth="1"/>
    <col min="10232" max="10232" width="12.5703125" style="2" customWidth="1"/>
    <col min="10233" max="10233" width="5.140625" style="2" customWidth="1"/>
    <col min="10234" max="10234" width="9.140625" style="2"/>
    <col min="10235" max="10235" width="4.85546875" style="2" customWidth="1"/>
    <col min="10236" max="10236" width="30.5703125" style="2" customWidth="1"/>
    <col min="10237" max="10237" width="33.85546875" style="2" customWidth="1"/>
    <col min="10238" max="10238" width="5.140625" style="2" customWidth="1"/>
    <col min="10239" max="10240" width="17.5703125" style="2" customWidth="1"/>
    <col min="10241" max="10484" width="9.140625" style="2"/>
    <col min="10485" max="10485" width="3.5703125" style="2" customWidth="1"/>
    <col min="10486" max="10486" width="96.85546875" style="2" customWidth="1"/>
    <col min="10487" max="10487" width="30.85546875" style="2" customWidth="1"/>
    <col min="10488" max="10488" width="12.5703125" style="2" customWidth="1"/>
    <col min="10489" max="10489" width="5.140625" style="2" customWidth="1"/>
    <col min="10490" max="10490" width="9.140625" style="2"/>
    <col min="10491" max="10491" width="4.85546875" style="2" customWidth="1"/>
    <col min="10492" max="10492" width="30.5703125" style="2" customWidth="1"/>
    <col min="10493" max="10493" width="33.85546875" style="2" customWidth="1"/>
    <col min="10494" max="10494" width="5.140625" style="2" customWidth="1"/>
    <col min="10495" max="10496" width="17.5703125" style="2" customWidth="1"/>
    <col min="10497" max="10740" width="9.140625" style="2"/>
    <col min="10741" max="10741" width="3.5703125" style="2" customWidth="1"/>
    <col min="10742" max="10742" width="96.85546875" style="2" customWidth="1"/>
    <col min="10743" max="10743" width="30.85546875" style="2" customWidth="1"/>
    <col min="10744" max="10744" width="12.5703125" style="2" customWidth="1"/>
    <col min="10745" max="10745" width="5.140625" style="2" customWidth="1"/>
    <col min="10746" max="10746" width="9.140625" style="2"/>
    <col min="10747" max="10747" width="4.85546875" style="2" customWidth="1"/>
    <col min="10748" max="10748" width="30.5703125" style="2" customWidth="1"/>
    <col min="10749" max="10749" width="33.85546875" style="2" customWidth="1"/>
    <col min="10750" max="10750" width="5.140625" style="2" customWidth="1"/>
    <col min="10751" max="10752" width="17.5703125" style="2" customWidth="1"/>
    <col min="10753" max="10996" width="9.140625" style="2"/>
    <col min="10997" max="10997" width="3.5703125" style="2" customWidth="1"/>
    <col min="10998" max="10998" width="96.85546875" style="2" customWidth="1"/>
    <col min="10999" max="10999" width="30.85546875" style="2" customWidth="1"/>
    <col min="11000" max="11000" width="12.5703125" style="2" customWidth="1"/>
    <col min="11001" max="11001" width="5.140625" style="2" customWidth="1"/>
    <col min="11002" max="11002" width="9.140625" style="2"/>
    <col min="11003" max="11003" width="4.85546875" style="2" customWidth="1"/>
    <col min="11004" max="11004" width="30.5703125" style="2" customWidth="1"/>
    <col min="11005" max="11005" width="33.85546875" style="2" customWidth="1"/>
    <col min="11006" max="11006" width="5.140625" style="2" customWidth="1"/>
    <col min="11007" max="11008" width="17.5703125" style="2" customWidth="1"/>
    <col min="11009" max="11252" width="9.140625" style="2"/>
    <col min="11253" max="11253" width="3.5703125" style="2" customWidth="1"/>
    <col min="11254" max="11254" width="96.85546875" style="2" customWidth="1"/>
    <col min="11255" max="11255" width="30.85546875" style="2" customWidth="1"/>
    <col min="11256" max="11256" width="12.5703125" style="2" customWidth="1"/>
    <col min="11257" max="11257" width="5.140625" style="2" customWidth="1"/>
    <col min="11258" max="11258" width="9.140625" style="2"/>
    <col min="11259" max="11259" width="4.85546875" style="2" customWidth="1"/>
    <col min="11260" max="11260" width="30.5703125" style="2" customWidth="1"/>
    <col min="11261" max="11261" width="33.85546875" style="2" customWidth="1"/>
    <col min="11262" max="11262" width="5.140625" style="2" customWidth="1"/>
    <col min="11263" max="11264" width="17.5703125" style="2" customWidth="1"/>
    <col min="11265" max="11508" width="9.140625" style="2"/>
    <col min="11509" max="11509" width="3.5703125" style="2" customWidth="1"/>
    <col min="11510" max="11510" width="96.85546875" style="2" customWidth="1"/>
    <col min="11511" max="11511" width="30.85546875" style="2" customWidth="1"/>
    <col min="11512" max="11512" width="12.5703125" style="2" customWidth="1"/>
    <col min="11513" max="11513" width="5.140625" style="2" customWidth="1"/>
    <col min="11514" max="11514" width="9.140625" style="2"/>
    <col min="11515" max="11515" width="4.85546875" style="2" customWidth="1"/>
    <col min="11516" max="11516" width="30.5703125" style="2" customWidth="1"/>
    <col min="11517" max="11517" width="33.85546875" style="2" customWidth="1"/>
    <col min="11518" max="11518" width="5.140625" style="2" customWidth="1"/>
    <col min="11519" max="11520" width="17.5703125" style="2" customWidth="1"/>
    <col min="11521" max="11764" width="9.140625" style="2"/>
    <col min="11765" max="11765" width="3.5703125" style="2" customWidth="1"/>
    <col min="11766" max="11766" width="96.85546875" style="2" customWidth="1"/>
    <col min="11767" max="11767" width="30.85546875" style="2" customWidth="1"/>
    <col min="11768" max="11768" width="12.5703125" style="2" customWidth="1"/>
    <col min="11769" max="11769" width="5.140625" style="2" customWidth="1"/>
    <col min="11770" max="11770" width="9.140625" style="2"/>
    <col min="11771" max="11771" width="4.85546875" style="2" customWidth="1"/>
    <col min="11772" max="11772" width="30.5703125" style="2" customWidth="1"/>
    <col min="11773" max="11773" width="33.85546875" style="2" customWidth="1"/>
    <col min="11774" max="11774" width="5.140625" style="2" customWidth="1"/>
    <col min="11775" max="11776" width="17.5703125" style="2" customWidth="1"/>
    <col min="11777" max="12020" width="9.140625" style="2"/>
    <col min="12021" max="12021" width="3.5703125" style="2" customWidth="1"/>
    <col min="12022" max="12022" width="96.85546875" style="2" customWidth="1"/>
    <col min="12023" max="12023" width="30.85546875" style="2" customWidth="1"/>
    <col min="12024" max="12024" width="12.5703125" style="2" customWidth="1"/>
    <col min="12025" max="12025" width="5.140625" style="2" customWidth="1"/>
    <col min="12026" max="12026" width="9.140625" style="2"/>
    <col min="12027" max="12027" width="4.85546875" style="2" customWidth="1"/>
    <col min="12028" max="12028" width="30.5703125" style="2" customWidth="1"/>
    <col min="12029" max="12029" width="33.85546875" style="2" customWidth="1"/>
    <col min="12030" max="12030" width="5.140625" style="2" customWidth="1"/>
    <col min="12031" max="12032" width="17.5703125" style="2" customWidth="1"/>
    <col min="12033" max="12276" width="9.140625" style="2"/>
    <col min="12277" max="12277" width="3.5703125" style="2" customWidth="1"/>
    <col min="12278" max="12278" width="96.85546875" style="2" customWidth="1"/>
    <col min="12279" max="12279" width="30.85546875" style="2" customWidth="1"/>
    <col min="12280" max="12280" width="12.5703125" style="2" customWidth="1"/>
    <col min="12281" max="12281" width="5.140625" style="2" customWidth="1"/>
    <col min="12282" max="12282" width="9.140625" style="2"/>
    <col min="12283" max="12283" width="4.85546875" style="2" customWidth="1"/>
    <col min="12284" max="12284" width="30.5703125" style="2" customWidth="1"/>
    <col min="12285" max="12285" width="33.85546875" style="2" customWidth="1"/>
    <col min="12286" max="12286" width="5.140625" style="2" customWidth="1"/>
    <col min="12287" max="12288" width="17.5703125" style="2" customWidth="1"/>
    <col min="12289" max="12532" width="9.140625" style="2"/>
    <col min="12533" max="12533" width="3.5703125" style="2" customWidth="1"/>
    <col min="12534" max="12534" width="96.85546875" style="2" customWidth="1"/>
    <col min="12535" max="12535" width="30.85546875" style="2" customWidth="1"/>
    <col min="12536" max="12536" width="12.5703125" style="2" customWidth="1"/>
    <col min="12537" max="12537" width="5.140625" style="2" customWidth="1"/>
    <col min="12538" max="12538" width="9.140625" style="2"/>
    <col min="12539" max="12539" width="4.85546875" style="2" customWidth="1"/>
    <col min="12540" max="12540" width="30.5703125" style="2" customWidth="1"/>
    <col min="12541" max="12541" width="33.85546875" style="2" customWidth="1"/>
    <col min="12542" max="12542" width="5.140625" style="2" customWidth="1"/>
    <col min="12543" max="12544" width="17.5703125" style="2" customWidth="1"/>
    <col min="12545" max="12788" width="9.140625" style="2"/>
    <col min="12789" max="12789" width="3.5703125" style="2" customWidth="1"/>
    <col min="12790" max="12790" width="96.85546875" style="2" customWidth="1"/>
    <col min="12791" max="12791" width="30.85546875" style="2" customWidth="1"/>
    <col min="12792" max="12792" width="12.5703125" style="2" customWidth="1"/>
    <col min="12793" max="12793" width="5.140625" style="2" customWidth="1"/>
    <col min="12794" max="12794" width="9.140625" style="2"/>
    <col min="12795" max="12795" width="4.85546875" style="2" customWidth="1"/>
    <col min="12796" max="12796" width="30.5703125" style="2" customWidth="1"/>
    <col min="12797" max="12797" width="33.85546875" style="2" customWidth="1"/>
    <col min="12798" max="12798" width="5.140625" style="2" customWidth="1"/>
    <col min="12799" max="12800" width="17.5703125" style="2" customWidth="1"/>
    <col min="12801" max="13044" width="9.140625" style="2"/>
    <col min="13045" max="13045" width="3.5703125" style="2" customWidth="1"/>
    <col min="13046" max="13046" width="96.85546875" style="2" customWidth="1"/>
    <col min="13047" max="13047" width="30.85546875" style="2" customWidth="1"/>
    <col min="13048" max="13048" width="12.5703125" style="2" customWidth="1"/>
    <col min="13049" max="13049" width="5.140625" style="2" customWidth="1"/>
    <col min="13050" max="13050" width="9.140625" style="2"/>
    <col min="13051" max="13051" width="4.85546875" style="2" customWidth="1"/>
    <col min="13052" max="13052" width="30.5703125" style="2" customWidth="1"/>
    <col min="13053" max="13053" width="33.85546875" style="2" customWidth="1"/>
    <col min="13054" max="13054" width="5.140625" style="2" customWidth="1"/>
    <col min="13055" max="13056" width="17.5703125" style="2" customWidth="1"/>
    <col min="13057" max="13300" width="9.140625" style="2"/>
    <col min="13301" max="13301" width="3.5703125" style="2" customWidth="1"/>
    <col min="13302" max="13302" width="96.85546875" style="2" customWidth="1"/>
    <col min="13303" max="13303" width="30.85546875" style="2" customWidth="1"/>
    <col min="13304" max="13304" width="12.5703125" style="2" customWidth="1"/>
    <col min="13305" max="13305" width="5.140625" style="2" customWidth="1"/>
    <col min="13306" max="13306" width="9.140625" style="2"/>
    <col min="13307" max="13307" width="4.85546875" style="2" customWidth="1"/>
    <col min="13308" max="13308" width="30.5703125" style="2" customWidth="1"/>
    <col min="13309" max="13309" width="33.85546875" style="2" customWidth="1"/>
    <col min="13310" max="13310" width="5.140625" style="2" customWidth="1"/>
    <col min="13311" max="13312" width="17.5703125" style="2" customWidth="1"/>
    <col min="13313" max="13556" width="9.140625" style="2"/>
    <col min="13557" max="13557" width="3.5703125" style="2" customWidth="1"/>
    <col min="13558" max="13558" width="96.85546875" style="2" customWidth="1"/>
    <col min="13559" max="13559" width="30.85546875" style="2" customWidth="1"/>
    <col min="13560" max="13560" width="12.5703125" style="2" customWidth="1"/>
    <col min="13561" max="13561" width="5.140625" style="2" customWidth="1"/>
    <col min="13562" max="13562" width="9.140625" style="2"/>
    <col min="13563" max="13563" width="4.85546875" style="2" customWidth="1"/>
    <col min="13564" max="13564" width="30.5703125" style="2" customWidth="1"/>
    <col min="13565" max="13565" width="33.85546875" style="2" customWidth="1"/>
    <col min="13566" max="13566" width="5.140625" style="2" customWidth="1"/>
    <col min="13567" max="13568" width="17.5703125" style="2" customWidth="1"/>
    <col min="13569" max="13812" width="9.140625" style="2"/>
    <col min="13813" max="13813" width="3.5703125" style="2" customWidth="1"/>
    <col min="13814" max="13814" width="96.85546875" style="2" customWidth="1"/>
    <col min="13815" max="13815" width="30.85546875" style="2" customWidth="1"/>
    <col min="13816" max="13816" width="12.5703125" style="2" customWidth="1"/>
    <col min="13817" max="13817" width="5.140625" style="2" customWidth="1"/>
    <col min="13818" max="13818" width="9.140625" style="2"/>
    <col min="13819" max="13819" width="4.85546875" style="2" customWidth="1"/>
    <col min="13820" max="13820" width="30.5703125" style="2" customWidth="1"/>
    <col min="13821" max="13821" width="33.85546875" style="2" customWidth="1"/>
    <col min="13822" max="13822" width="5.140625" style="2" customWidth="1"/>
    <col min="13823" max="13824" width="17.5703125" style="2" customWidth="1"/>
    <col min="13825" max="14068" width="9.140625" style="2"/>
    <col min="14069" max="14069" width="3.5703125" style="2" customWidth="1"/>
    <col min="14070" max="14070" width="96.85546875" style="2" customWidth="1"/>
    <col min="14071" max="14071" width="30.85546875" style="2" customWidth="1"/>
    <col min="14072" max="14072" width="12.5703125" style="2" customWidth="1"/>
    <col min="14073" max="14073" width="5.140625" style="2" customWidth="1"/>
    <col min="14074" max="14074" width="9.140625" style="2"/>
    <col min="14075" max="14075" width="4.85546875" style="2" customWidth="1"/>
    <col min="14076" max="14076" width="30.5703125" style="2" customWidth="1"/>
    <col min="14077" max="14077" width="33.85546875" style="2" customWidth="1"/>
    <col min="14078" max="14078" width="5.140625" style="2" customWidth="1"/>
    <col min="14079" max="14080" width="17.5703125" style="2" customWidth="1"/>
    <col min="14081" max="14324" width="9.140625" style="2"/>
    <col min="14325" max="14325" width="3.5703125" style="2" customWidth="1"/>
    <col min="14326" max="14326" width="96.85546875" style="2" customWidth="1"/>
    <col min="14327" max="14327" width="30.85546875" style="2" customWidth="1"/>
    <col min="14328" max="14328" width="12.5703125" style="2" customWidth="1"/>
    <col min="14329" max="14329" width="5.140625" style="2" customWidth="1"/>
    <col min="14330" max="14330" width="9.140625" style="2"/>
    <col min="14331" max="14331" width="4.85546875" style="2" customWidth="1"/>
    <col min="14332" max="14332" width="30.5703125" style="2" customWidth="1"/>
    <col min="14333" max="14333" width="33.85546875" style="2" customWidth="1"/>
    <col min="14334" max="14334" width="5.140625" style="2" customWidth="1"/>
    <col min="14335" max="14336" width="17.5703125" style="2" customWidth="1"/>
    <col min="14337" max="14580" width="9.140625" style="2"/>
    <col min="14581" max="14581" width="3.5703125" style="2" customWidth="1"/>
    <col min="14582" max="14582" width="96.85546875" style="2" customWidth="1"/>
    <col min="14583" max="14583" width="30.85546875" style="2" customWidth="1"/>
    <col min="14584" max="14584" width="12.5703125" style="2" customWidth="1"/>
    <col min="14585" max="14585" width="5.140625" style="2" customWidth="1"/>
    <col min="14586" max="14586" width="9.140625" style="2"/>
    <col min="14587" max="14587" width="4.85546875" style="2" customWidth="1"/>
    <col min="14588" max="14588" width="30.5703125" style="2" customWidth="1"/>
    <col min="14589" max="14589" width="33.85546875" style="2" customWidth="1"/>
    <col min="14590" max="14590" width="5.140625" style="2" customWidth="1"/>
    <col min="14591" max="14592" width="17.5703125" style="2" customWidth="1"/>
    <col min="14593" max="14836" width="9.140625" style="2"/>
    <col min="14837" max="14837" width="3.5703125" style="2" customWidth="1"/>
    <col min="14838" max="14838" width="96.85546875" style="2" customWidth="1"/>
    <col min="14839" max="14839" width="30.85546875" style="2" customWidth="1"/>
    <col min="14840" max="14840" width="12.5703125" style="2" customWidth="1"/>
    <col min="14841" max="14841" width="5.140625" style="2" customWidth="1"/>
    <col min="14842" max="14842" width="9.140625" style="2"/>
    <col min="14843" max="14843" width="4.85546875" style="2" customWidth="1"/>
    <col min="14844" max="14844" width="30.5703125" style="2" customWidth="1"/>
    <col min="14845" max="14845" width="33.85546875" style="2" customWidth="1"/>
    <col min="14846" max="14846" width="5.140625" style="2" customWidth="1"/>
    <col min="14847" max="14848" width="17.5703125" style="2" customWidth="1"/>
    <col min="14849" max="15092" width="9.140625" style="2"/>
    <col min="15093" max="15093" width="3.5703125" style="2" customWidth="1"/>
    <col min="15094" max="15094" width="96.85546875" style="2" customWidth="1"/>
    <col min="15095" max="15095" width="30.85546875" style="2" customWidth="1"/>
    <col min="15096" max="15096" width="12.5703125" style="2" customWidth="1"/>
    <col min="15097" max="15097" width="5.140625" style="2" customWidth="1"/>
    <col min="15098" max="15098" width="9.140625" style="2"/>
    <col min="15099" max="15099" width="4.85546875" style="2" customWidth="1"/>
    <col min="15100" max="15100" width="30.5703125" style="2" customWidth="1"/>
    <col min="15101" max="15101" width="33.85546875" style="2" customWidth="1"/>
    <col min="15102" max="15102" width="5.140625" style="2" customWidth="1"/>
    <col min="15103" max="15104" width="17.5703125" style="2" customWidth="1"/>
    <col min="15105" max="15348" width="9.140625" style="2"/>
    <col min="15349" max="15349" width="3.5703125" style="2" customWidth="1"/>
    <col min="15350" max="15350" width="96.85546875" style="2" customWidth="1"/>
    <col min="15351" max="15351" width="30.85546875" style="2" customWidth="1"/>
    <col min="15352" max="15352" width="12.5703125" style="2" customWidth="1"/>
    <col min="15353" max="15353" width="5.140625" style="2" customWidth="1"/>
    <col min="15354" max="15354" width="9.140625" style="2"/>
    <col min="15355" max="15355" width="4.85546875" style="2" customWidth="1"/>
    <col min="15356" max="15356" width="30.5703125" style="2" customWidth="1"/>
    <col min="15357" max="15357" width="33.85546875" style="2" customWidth="1"/>
    <col min="15358" max="15358" width="5.140625" style="2" customWidth="1"/>
    <col min="15359" max="15360" width="17.5703125" style="2" customWidth="1"/>
    <col min="15361" max="15604" width="9.140625" style="2"/>
    <col min="15605" max="15605" width="3.5703125" style="2" customWidth="1"/>
    <col min="15606" max="15606" width="96.85546875" style="2" customWidth="1"/>
    <col min="15607" max="15607" width="30.85546875" style="2" customWidth="1"/>
    <col min="15608" max="15608" width="12.5703125" style="2" customWidth="1"/>
    <col min="15609" max="15609" width="5.140625" style="2" customWidth="1"/>
    <col min="15610" max="15610" width="9.140625" style="2"/>
    <col min="15611" max="15611" width="4.85546875" style="2" customWidth="1"/>
    <col min="15612" max="15612" width="30.5703125" style="2" customWidth="1"/>
    <col min="15613" max="15613" width="33.85546875" style="2" customWidth="1"/>
    <col min="15614" max="15614" width="5.140625" style="2" customWidth="1"/>
    <col min="15615" max="15616" width="17.5703125" style="2" customWidth="1"/>
    <col min="15617" max="15860" width="9.140625" style="2"/>
    <col min="15861" max="15861" width="3.5703125" style="2" customWidth="1"/>
    <col min="15862" max="15862" width="96.85546875" style="2" customWidth="1"/>
    <col min="15863" max="15863" width="30.85546875" style="2" customWidth="1"/>
    <col min="15864" max="15864" width="12.5703125" style="2" customWidth="1"/>
    <col min="15865" max="15865" width="5.140625" style="2" customWidth="1"/>
    <col min="15866" max="15866" width="9.140625" style="2"/>
    <col min="15867" max="15867" width="4.85546875" style="2" customWidth="1"/>
    <col min="15868" max="15868" width="30.5703125" style="2" customWidth="1"/>
    <col min="15869" max="15869" width="33.85546875" style="2" customWidth="1"/>
    <col min="15870" max="15870" width="5.140625" style="2" customWidth="1"/>
    <col min="15871" max="15872" width="17.5703125" style="2" customWidth="1"/>
    <col min="15873" max="16116" width="9.140625" style="2"/>
    <col min="16117" max="16117" width="3.5703125" style="2" customWidth="1"/>
    <col min="16118" max="16118" width="96.85546875" style="2" customWidth="1"/>
    <col min="16119" max="16119" width="30.85546875" style="2" customWidth="1"/>
    <col min="16120" max="16120" width="12.5703125" style="2" customWidth="1"/>
    <col min="16121" max="16121" width="5.140625" style="2" customWidth="1"/>
    <col min="16122" max="16122" width="9.140625" style="2"/>
    <col min="16123" max="16123" width="4.85546875" style="2" customWidth="1"/>
    <col min="16124" max="16124" width="30.5703125" style="2" customWidth="1"/>
    <col min="16125" max="16125" width="33.85546875" style="2" customWidth="1"/>
    <col min="16126" max="16126" width="5.140625" style="2" customWidth="1"/>
    <col min="16127" max="16128" width="17.5703125" style="2" customWidth="1"/>
    <col min="16129" max="16384" width="9.140625" style="2"/>
  </cols>
  <sheetData>
    <row r="1" spans="1:3" ht="48" customHeight="1" x14ac:dyDescent="0.2">
      <c r="A1" s="111"/>
      <c r="B1" s="143" t="s">
        <v>225</v>
      </c>
      <c r="C1" s="143"/>
    </row>
    <row r="2" spans="1:3" x14ac:dyDescent="0.2">
      <c r="A2" s="1"/>
      <c r="B2" s="3" t="s">
        <v>2</v>
      </c>
      <c r="C2" s="4">
        <v>45317</v>
      </c>
    </row>
    <row r="3" spans="1:3" x14ac:dyDescent="0.2">
      <c r="A3" s="1"/>
      <c r="B3" s="112" t="s">
        <v>3</v>
      </c>
    </row>
    <row r="4" spans="1:3" ht="25.5" x14ac:dyDescent="0.2">
      <c r="A4" s="7"/>
      <c r="B4" s="8" t="str">
        <f>[11]И1!D13</f>
        <v>Субъект Российской Федерации</v>
      </c>
      <c r="C4" s="9" t="str">
        <f>[11]И1!E13</f>
        <v>Новосибирская область</v>
      </c>
    </row>
    <row r="5" spans="1:3" ht="38.25" x14ac:dyDescent="0.2">
      <c r="A5" s="7"/>
      <c r="B5" s="8" t="str">
        <f>[11]И1!D14</f>
        <v>Тип муниципального образования (выберите из списка)</v>
      </c>
      <c r="C5" s="9" t="str">
        <f>[11]И1!E14</f>
        <v>село Нижнекаменка, Ордынский муниципальный район</v>
      </c>
    </row>
    <row r="6" spans="1:3" x14ac:dyDescent="0.2">
      <c r="A6" s="7"/>
      <c r="B6" s="8" t="str">
        <f>IF([11]И1!E15="","",[11]И1!D15)</f>
        <v/>
      </c>
      <c r="C6" s="9" t="str">
        <f>IF([11]И1!E15="","",[11]И1!E15)</f>
        <v/>
      </c>
    </row>
    <row r="7" spans="1:3" x14ac:dyDescent="0.2">
      <c r="A7" s="7"/>
      <c r="B7" s="8" t="str">
        <f>[11]И1!D16</f>
        <v>Код ОКТМО</v>
      </c>
      <c r="C7" s="10" t="str">
        <f>[11]И1!E16</f>
        <v>50642416101</v>
      </c>
    </row>
    <row r="8" spans="1:3" x14ac:dyDescent="0.2">
      <c r="A8" s="7"/>
      <c r="B8" s="11" t="str">
        <f>[11]И1!D17</f>
        <v>Система теплоснабжения</v>
      </c>
      <c r="C8" s="12">
        <f>[11]И1!E17</f>
        <v>0</v>
      </c>
    </row>
    <row r="9" spans="1:3" x14ac:dyDescent="0.2">
      <c r="A9" s="7"/>
      <c r="B9" s="8" t="str">
        <f>[11]И1!D8</f>
        <v>Период регулирования (i)-й</v>
      </c>
      <c r="C9" s="13">
        <f>[11]И1!E8</f>
        <v>2024</v>
      </c>
    </row>
    <row r="10" spans="1:3" x14ac:dyDescent="0.2">
      <c r="A10" s="7"/>
      <c r="B10" s="8" t="str">
        <f>[11]И1!D9</f>
        <v>Период регулирования (i-1)-й</v>
      </c>
      <c r="C10" s="13">
        <f>[11]И1!E9</f>
        <v>2023</v>
      </c>
    </row>
    <row r="11" spans="1:3" x14ac:dyDescent="0.2">
      <c r="A11" s="7"/>
      <c r="B11" s="8" t="str">
        <f>[11]И1!D10</f>
        <v>Период регулирования (i-2)-й</v>
      </c>
      <c r="C11" s="13">
        <f>[11]И1!E10</f>
        <v>2022</v>
      </c>
    </row>
    <row r="12" spans="1:3" x14ac:dyDescent="0.2">
      <c r="A12" s="7"/>
      <c r="B12" s="8" t="str">
        <f>[11]И1!D11</f>
        <v>Базовый год (б)</v>
      </c>
      <c r="C12" s="13">
        <f>[11]И1!E11</f>
        <v>2019</v>
      </c>
    </row>
    <row r="13" spans="1:3" ht="38.25" x14ac:dyDescent="0.2">
      <c r="A13" s="7"/>
      <c r="B13" s="8" t="str">
        <f>[11]И1!D18</f>
        <v>Вид топлива, использование которого преобладает в системе теплоснабжения</v>
      </c>
      <c r="C13" s="14" t="str">
        <f>[11]С1.1!E13</f>
        <v>уголь (вид угля не указан в топливном балансе)</v>
      </c>
    </row>
    <row r="14" spans="1:3" ht="31.7" customHeight="1" thickBot="1" x14ac:dyDescent="0.25">
      <c r="A14" s="146" t="s">
        <v>4</v>
      </c>
      <c r="B14" s="146"/>
      <c r="C14" s="146"/>
    </row>
    <row r="15" spans="1:3" x14ac:dyDescent="0.2">
      <c r="A15" s="15" t="s">
        <v>5</v>
      </c>
      <c r="B15" s="113" t="s">
        <v>6</v>
      </c>
      <c r="C15" s="114" t="s">
        <v>7</v>
      </c>
    </row>
    <row r="16" spans="1:3" x14ac:dyDescent="0.2">
      <c r="A16" s="18">
        <v>1</v>
      </c>
      <c r="B16" s="115">
        <v>2</v>
      </c>
      <c r="C16" s="116">
        <v>3</v>
      </c>
    </row>
    <row r="17" spans="1:3" x14ac:dyDescent="0.2">
      <c r="A17" s="21">
        <v>1</v>
      </c>
      <c r="B17" s="22" t="s">
        <v>8</v>
      </c>
      <c r="C17" s="23">
        <f>SUM(C18:C22)</f>
        <v>3659.1186344986859</v>
      </c>
    </row>
    <row r="18" spans="1:3" ht="42.75" x14ac:dyDescent="0.2">
      <c r="A18" s="21" t="s">
        <v>9</v>
      </c>
      <c r="B18" s="24" t="s">
        <v>10</v>
      </c>
      <c r="C18" s="25">
        <f>[11]С1!F12</f>
        <v>681.72722270675411</v>
      </c>
    </row>
    <row r="19" spans="1:3" ht="42.75" x14ac:dyDescent="0.2">
      <c r="A19" s="21" t="s">
        <v>11</v>
      </c>
      <c r="B19" s="24" t="s">
        <v>12</v>
      </c>
      <c r="C19" s="25">
        <f>[11]С2!F12</f>
        <v>1988.7336845318171</v>
      </c>
    </row>
    <row r="20" spans="1:3" ht="30" x14ac:dyDescent="0.2">
      <c r="A20" s="21" t="s">
        <v>13</v>
      </c>
      <c r="B20" s="24" t="s">
        <v>14</v>
      </c>
      <c r="C20" s="25">
        <f>[11]С3!F12</f>
        <v>472.61808029676507</v>
      </c>
    </row>
    <row r="21" spans="1:3" ht="42.75" x14ac:dyDescent="0.2">
      <c r="A21" s="21" t="s">
        <v>15</v>
      </c>
      <c r="B21" s="24" t="s">
        <v>226</v>
      </c>
      <c r="C21" s="25">
        <f>[11]С4!F12</f>
        <v>444.29222275749299</v>
      </c>
    </row>
    <row r="22" spans="1:3" ht="30" x14ac:dyDescent="0.2">
      <c r="A22" s="21" t="s">
        <v>17</v>
      </c>
      <c r="B22" s="24" t="s">
        <v>227</v>
      </c>
      <c r="C22" s="25">
        <f>[11]С5!F12</f>
        <v>71.747424205856589</v>
      </c>
    </row>
    <row r="23" spans="1:3" ht="43.5" thickBot="1" x14ac:dyDescent="0.25">
      <c r="A23" s="26" t="s">
        <v>19</v>
      </c>
      <c r="B23" s="140" t="s">
        <v>228</v>
      </c>
      <c r="C23" s="27" t="str">
        <f>[11]С6!F12</f>
        <v>-</v>
      </c>
    </row>
    <row r="24" spans="1:3" ht="13.5" thickBot="1" x14ac:dyDescent="0.25">
      <c r="A24" s="1"/>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229</v>
      </c>
      <c r="C28" s="32">
        <f>[11]С1.1!E16</f>
        <v>5100</v>
      </c>
    </row>
    <row r="29" spans="1:3" ht="42.75" x14ac:dyDescent="0.2">
      <c r="A29" s="21" t="s">
        <v>11</v>
      </c>
      <c r="B29" s="31" t="s">
        <v>230</v>
      </c>
      <c r="C29" s="32">
        <f>[11]С1.1!E27</f>
        <v>3063.03</v>
      </c>
    </row>
    <row r="30" spans="1:3" ht="17.25" x14ac:dyDescent="0.2">
      <c r="A30" s="21" t="s">
        <v>13</v>
      </c>
      <c r="B30" s="31" t="s">
        <v>30</v>
      </c>
      <c r="C30" s="34">
        <f>[11]С1.1!E19</f>
        <v>-0.19900000000000001</v>
      </c>
    </row>
    <row r="31" spans="1:3" ht="17.25" x14ac:dyDescent="0.2">
      <c r="A31" s="21" t="s">
        <v>15</v>
      </c>
      <c r="B31" s="31" t="s">
        <v>31</v>
      </c>
      <c r="C31" s="34">
        <f>[11]С1.1!E20</f>
        <v>5.7000000000000002E-2</v>
      </c>
    </row>
    <row r="32" spans="1:3" ht="30" x14ac:dyDescent="0.2">
      <c r="A32" s="21" t="s">
        <v>17</v>
      </c>
      <c r="B32" s="35" t="s">
        <v>231</v>
      </c>
      <c r="C32" s="117">
        <f>[11]С1!F13</f>
        <v>176.4</v>
      </c>
    </row>
    <row r="33" spans="1:3" x14ac:dyDescent="0.2">
      <c r="A33" s="21" t="s">
        <v>19</v>
      </c>
      <c r="B33" s="35" t="s">
        <v>33</v>
      </c>
      <c r="C33" s="37">
        <f>[11]С1!F16</f>
        <v>7000</v>
      </c>
    </row>
    <row r="34" spans="1:3" ht="14.25" x14ac:dyDescent="0.2">
      <c r="A34" s="21" t="s">
        <v>34</v>
      </c>
      <c r="B34" s="39" t="s">
        <v>232</v>
      </c>
      <c r="C34" s="40">
        <f>[11]С1!F17</f>
        <v>0.72857142857142854</v>
      </c>
    </row>
    <row r="35" spans="1:3" ht="15.75" x14ac:dyDescent="0.2">
      <c r="A35" s="118" t="s">
        <v>36</v>
      </c>
      <c r="B35" s="42" t="s">
        <v>37</v>
      </c>
      <c r="C35" s="40">
        <f>[11]С1!F20</f>
        <v>21.588411179999994</v>
      </c>
    </row>
    <row r="36" spans="1:3" ht="15.75" x14ac:dyDescent="0.2">
      <c r="A36" s="118" t="s">
        <v>38</v>
      </c>
      <c r="B36" s="43" t="s">
        <v>39</v>
      </c>
      <c r="C36" s="40">
        <f>[11]С1!F21</f>
        <v>20.818139999999996</v>
      </c>
    </row>
    <row r="37" spans="1:3" ht="14.25" x14ac:dyDescent="0.2">
      <c r="A37" s="118" t="s">
        <v>40</v>
      </c>
      <c r="B37" s="44" t="s">
        <v>41</v>
      </c>
      <c r="C37" s="40">
        <f>[11]С1!F22</f>
        <v>1.0369999999999999</v>
      </c>
    </row>
    <row r="38" spans="1:3" ht="53.25" thickBot="1" x14ac:dyDescent="0.25">
      <c r="A38" s="26" t="s">
        <v>42</v>
      </c>
      <c r="B38" s="45" t="s">
        <v>43</v>
      </c>
      <c r="C38" s="46">
        <f>[11]С1!F23</f>
        <v>1.0469999999999999</v>
      </c>
    </row>
    <row r="39" spans="1:3" ht="13.5" thickBot="1" x14ac:dyDescent="0.25">
      <c r="A39" s="47"/>
      <c r="B39" s="119"/>
      <c r="C39" s="120"/>
    </row>
    <row r="40" spans="1:3" ht="30" customHeight="1" x14ac:dyDescent="0.2">
      <c r="A40" s="49" t="s">
        <v>44</v>
      </c>
      <c r="B40" s="145" t="s">
        <v>45</v>
      </c>
      <c r="C40" s="145"/>
    </row>
    <row r="41" spans="1:3" ht="25.5" x14ac:dyDescent="0.2">
      <c r="A41" s="21" t="s">
        <v>46</v>
      </c>
      <c r="B41" s="35" t="s">
        <v>47</v>
      </c>
      <c r="C41" s="50" t="str">
        <f>[11]С2.1!E12</f>
        <v>V</v>
      </c>
    </row>
    <row r="42" spans="1:3" ht="25.5" x14ac:dyDescent="0.2">
      <c r="A42" s="21" t="s">
        <v>48</v>
      </c>
      <c r="B42" s="31" t="s">
        <v>49</v>
      </c>
      <c r="C42" s="50" t="str">
        <f>[11]С2.1!E13</f>
        <v>6 и менее баллов</v>
      </c>
    </row>
    <row r="43" spans="1:3" ht="25.5" x14ac:dyDescent="0.2">
      <c r="A43" s="21" t="s">
        <v>50</v>
      </c>
      <c r="B43" s="31" t="s">
        <v>233</v>
      </c>
      <c r="C43" s="50" t="str">
        <f>[11]С2.1!E14</f>
        <v>от 200 до 500</v>
      </c>
    </row>
    <row r="44" spans="1:3" ht="25.5" x14ac:dyDescent="0.2">
      <c r="A44" s="21" t="s">
        <v>52</v>
      </c>
      <c r="B44" s="31" t="s">
        <v>234</v>
      </c>
      <c r="C44" s="51" t="str">
        <f>[11]С2.1!E15</f>
        <v>нет</v>
      </c>
    </row>
    <row r="45" spans="1:3" ht="30" x14ac:dyDescent="0.2">
      <c r="A45" s="21" t="s">
        <v>54</v>
      </c>
      <c r="B45" s="31" t="s">
        <v>55</v>
      </c>
      <c r="C45" s="32">
        <f>[11]С2!F18</f>
        <v>35106.652004551666</v>
      </c>
    </row>
    <row r="46" spans="1:3" ht="30" x14ac:dyDescent="0.2">
      <c r="A46" s="21" t="s">
        <v>56</v>
      </c>
      <c r="B46" s="52" t="s">
        <v>57</v>
      </c>
      <c r="C46" s="32">
        <f>IF([11]С2!F19&gt;0,[11]С2!F19,[11]С2!F20)</f>
        <v>23441.524932855718</v>
      </c>
    </row>
    <row r="47" spans="1:3" ht="25.5" x14ac:dyDescent="0.2">
      <c r="A47" s="21" t="s">
        <v>58</v>
      </c>
      <c r="B47" s="53" t="s">
        <v>59</v>
      </c>
      <c r="C47" s="32">
        <f>[11]С2.1!E19</f>
        <v>-37</v>
      </c>
    </row>
    <row r="48" spans="1:3" ht="25.5" x14ac:dyDescent="0.2">
      <c r="A48" s="21" t="s">
        <v>60</v>
      </c>
      <c r="B48" s="53" t="s">
        <v>61</v>
      </c>
      <c r="C48" s="32" t="str">
        <f>[11]С2.1!E22</f>
        <v>нет</v>
      </c>
    </row>
    <row r="49" spans="1:3" ht="38.25" x14ac:dyDescent="0.2">
      <c r="A49" s="21" t="s">
        <v>62</v>
      </c>
      <c r="B49" s="54" t="s">
        <v>63</v>
      </c>
      <c r="C49" s="32">
        <f>[11]С2.2!E10</f>
        <v>1287</v>
      </c>
    </row>
    <row r="50" spans="1:3" ht="25.5" x14ac:dyDescent="0.2">
      <c r="A50" s="21" t="s">
        <v>64</v>
      </c>
      <c r="B50" s="55" t="s">
        <v>65</v>
      </c>
      <c r="C50" s="32">
        <f>[11]С2.2!E12</f>
        <v>5.97</v>
      </c>
    </row>
    <row r="51" spans="1:3" ht="52.5" x14ac:dyDescent="0.2">
      <c r="A51" s="21" t="s">
        <v>66</v>
      </c>
      <c r="B51" s="56" t="s">
        <v>67</v>
      </c>
      <c r="C51" s="32">
        <f>[11]С2.2!E13</f>
        <v>1</v>
      </c>
    </row>
    <row r="52" spans="1:3" ht="27.75" x14ac:dyDescent="0.2">
      <c r="A52" s="21" t="s">
        <v>68</v>
      </c>
      <c r="B52" s="55" t="s">
        <v>69</v>
      </c>
      <c r="C52" s="32">
        <f>[11]С2.2!E14</f>
        <v>12104</v>
      </c>
    </row>
    <row r="53" spans="1:3" ht="25.5" x14ac:dyDescent="0.2">
      <c r="A53" s="21" t="s">
        <v>70</v>
      </c>
      <c r="B53" s="56" t="s">
        <v>71</v>
      </c>
      <c r="C53" s="34">
        <f>[11]С2.2!E15</f>
        <v>4.8000000000000001E-2</v>
      </c>
    </row>
    <row r="54" spans="1:3" x14ac:dyDescent="0.2">
      <c r="A54" s="21" t="s">
        <v>72</v>
      </c>
      <c r="B54" s="56" t="s">
        <v>73</v>
      </c>
      <c r="C54" s="32">
        <f>[11]С2.2!E16</f>
        <v>1</v>
      </c>
    </row>
    <row r="55" spans="1:3" ht="15.75" x14ac:dyDescent="0.2">
      <c r="A55" s="21" t="s">
        <v>74</v>
      </c>
      <c r="B55" s="58" t="s">
        <v>75</v>
      </c>
      <c r="C55" s="32">
        <f>[11]С2!F21</f>
        <v>1</v>
      </c>
    </row>
    <row r="56" spans="1:3" ht="30" x14ac:dyDescent="0.2">
      <c r="A56" s="59" t="s">
        <v>76</v>
      </c>
      <c r="B56" s="31" t="s">
        <v>235</v>
      </c>
      <c r="C56" s="32">
        <f>[11]С2!F13</f>
        <v>183796.83936385796</v>
      </c>
    </row>
    <row r="57" spans="1:3" ht="30" x14ac:dyDescent="0.2">
      <c r="A57" s="59" t="s">
        <v>78</v>
      </c>
      <c r="B57" s="58" t="s">
        <v>236</v>
      </c>
      <c r="C57" s="32">
        <f>[11]С2!F14</f>
        <v>113455</v>
      </c>
    </row>
    <row r="58" spans="1:3" ht="15.75" x14ac:dyDescent="0.2">
      <c r="A58" s="59" t="s">
        <v>80</v>
      </c>
      <c r="B58" s="60" t="s">
        <v>81</v>
      </c>
      <c r="C58" s="40">
        <f>[11]С2!F15</f>
        <v>1.071</v>
      </c>
    </row>
    <row r="59" spans="1:3" ht="15.75" x14ac:dyDescent="0.2">
      <c r="A59" s="59" t="s">
        <v>82</v>
      </c>
      <c r="B59" s="60" t="s">
        <v>83</v>
      </c>
      <c r="C59" s="40">
        <f>[11]С2!F16</f>
        <v>1</v>
      </c>
    </row>
    <row r="60" spans="1:3" ht="17.25" x14ac:dyDescent="0.2">
      <c r="A60" s="59" t="s">
        <v>84</v>
      </c>
      <c r="B60" s="58" t="s">
        <v>85</v>
      </c>
      <c r="C60" s="32">
        <f>[11]С2!F17</f>
        <v>1.01</v>
      </c>
    </row>
    <row r="61" spans="1:3" s="65" customFormat="1" ht="14.25" x14ac:dyDescent="0.2">
      <c r="A61" s="59" t="s">
        <v>86</v>
      </c>
      <c r="B61" s="63" t="s">
        <v>87</v>
      </c>
      <c r="C61" s="64">
        <f>[11]С2!F33</f>
        <v>10</v>
      </c>
    </row>
    <row r="62" spans="1:3" ht="30" x14ac:dyDescent="0.2">
      <c r="A62" s="59" t="s">
        <v>88</v>
      </c>
      <c r="B62" s="66" t="s">
        <v>89</v>
      </c>
      <c r="C62" s="32">
        <f>[11]С2!F26</f>
        <v>1266.3745527115127</v>
      </c>
    </row>
    <row r="63" spans="1:3" ht="17.25" x14ac:dyDescent="0.2">
      <c r="A63" s="59" t="s">
        <v>90</v>
      </c>
      <c r="B63" s="52" t="s">
        <v>237</v>
      </c>
      <c r="C63" s="32">
        <f>[11]С2!F27</f>
        <v>0.201330388</v>
      </c>
    </row>
    <row r="64" spans="1:3" ht="17.25" x14ac:dyDescent="0.2">
      <c r="A64" s="59" t="s">
        <v>92</v>
      </c>
      <c r="B64" s="58" t="s">
        <v>238</v>
      </c>
      <c r="C64" s="64">
        <f>[11]С2!F28</f>
        <v>4200</v>
      </c>
    </row>
    <row r="65" spans="1:3" ht="42.75" x14ac:dyDescent="0.2">
      <c r="A65" s="59" t="s">
        <v>94</v>
      </c>
      <c r="B65" s="31" t="s">
        <v>239</v>
      </c>
      <c r="C65" s="32">
        <f>[11]С2!F22</f>
        <v>38698.422798410109</v>
      </c>
    </row>
    <row r="66" spans="1:3" ht="30" x14ac:dyDescent="0.2">
      <c r="A66" s="59" t="s">
        <v>96</v>
      </c>
      <c r="B66" s="60" t="s">
        <v>240</v>
      </c>
      <c r="C66" s="32">
        <f>[11]С2!F23</f>
        <v>1990</v>
      </c>
    </row>
    <row r="67" spans="1:3" ht="30" x14ac:dyDescent="0.2">
      <c r="A67" s="59" t="s">
        <v>98</v>
      </c>
      <c r="B67" s="52" t="s">
        <v>99</v>
      </c>
      <c r="C67" s="32">
        <f>[11]С2.1!E27</f>
        <v>14307.876789999998</v>
      </c>
    </row>
    <row r="68" spans="1:3" ht="38.25" x14ac:dyDescent="0.2">
      <c r="A68" s="59" t="s">
        <v>100</v>
      </c>
      <c r="B68" s="67" t="s">
        <v>101</v>
      </c>
      <c r="C68" s="51">
        <f>[11]С2.3!E21</f>
        <v>0</v>
      </c>
    </row>
    <row r="69" spans="1:3" ht="25.5" x14ac:dyDescent="0.2">
      <c r="A69" s="59" t="s">
        <v>102</v>
      </c>
      <c r="B69" s="68" t="s">
        <v>103</v>
      </c>
      <c r="C69" s="69">
        <f>[11]С2.3!E11</f>
        <v>9.89</v>
      </c>
    </row>
    <row r="70" spans="1:3" ht="25.5" x14ac:dyDescent="0.2">
      <c r="A70" s="59" t="s">
        <v>104</v>
      </c>
      <c r="B70" s="68" t="s">
        <v>105</v>
      </c>
      <c r="C70" s="64">
        <f>[11]С2.3!E13</f>
        <v>300</v>
      </c>
    </row>
    <row r="71" spans="1:3" ht="25.5" x14ac:dyDescent="0.2">
      <c r="A71" s="59" t="s">
        <v>106</v>
      </c>
      <c r="B71" s="67" t="s">
        <v>107</v>
      </c>
      <c r="C71" s="70">
        <f>IF([11]С2.3!E22&gt;0,[11]С2.3!E22,[11]С2.3!E14)</f>
        <v>61211</v>
      </c>
    </row>
    <row r="72" spans="1:3" ht="38.25" x14ac:dyDescent="0.2">
      <c r="A72" s="59" t="s">
        <v>108</v>
      </c>
      <c r="B72" s="67" t="s">
        <v>109</v>
      </c>
      <c r="C72" s="70">
        <f>IF([11]С2.3!E23&gt;0,[11]С2.3!E23,[11]С2.3!E15)</f>
        <v>45675</v>
      </c>
    </row>
    <row r="73" spans="1:3" ht="30" x14ac:dyDescent="0.2">
      <c r="A73" s="59" t="s">
        <v>110</v>
      </c>
      <c r="B73" s="52" t="s">
        <v>111</v>
      </c>
      <c r="C73" s="32">
        <f>[11]С2.1!E28</f>
        <v>9541.9567200000001</v>
      </c>
    </row>
    <row r="74" spans="1:3" ht="38.25" x14ac:dyDescent="0.2">
      <c r="A74" s="59" t="s">
        <v>112</v>
      </c>
      <c r="B74" s="67" t="s">
        <v>113</v>
      </c>
      <c r="C74" s="51">
        <f>[11]С2.3!E25</f>
        <v>0</v>
      </c>
    </row>
    <row r="75" spans="1:3" ht="25.5" x14ac:dyDescent="0.2">
      <c r="A75" s="59" t="s">
        <v>114</v>
      </c>
      <c r="B75" s="68" t="s">
        <v>115</v>
      </c>
      <c r="C75" s="69">
        <f>[11]С2.3!E12</f>
        <v>0.56000000000000005</v>
      </c>
    </row>
    <row r="76" spans="1:3" ht="25.5" x14ac:dyDescent="0.2">
      <c r="A76" s="59" t="s">
        <v>116</v>
      </c>
      <c r="B76" s="68" t="s">
        <v>105</v>
      </c>
      <c r="C76" s="64">
        <f>[11]С2.3!E13</f>
        <v>300</v>
      </c>
    </row>
    <row r="77" spans="1:3" ht="25.5" x14ac:dyDescent="0.2">
      <c r="A77" s="59" t="s">
        <v>117</v>
      </c>
      <c r="B77" s="71" t="s">
        <v>118</v>
      </c>
      <c r="C77" s="70">
        <f>IF([11]С2.3!E26&gt;0,[11]С2.3!E26,[11]С2.3!E16)</f>
        <v>65637</v>
      </c>
    </row>
    <row r="78" spans="1:3" ht="38.25" x14ac:dyDescent="0.2">
      <c r="A78" s="59" t="s">
        <v>119</v>
      </c>
      <c r="B78" s="71" t="s">
        <v>120</v>
      </c>
      <c r="C78" s="70">
        <f>IF([11]С2.3!E27&gt;0,[11]С2.3!E27,[11]С2.3!E17)</f>
        <v>31684</v>
      </c>
    </row>
    <row r="79" spans="1:3" ht="17.25" x14ac:dyDescent="0.2">
      <c r="A79" s="59" t="s">
        <v>123</v>
      </c>
      <c r="B79" s="31" t="s">
        <v>124</v>
      </c>
      <c r="C79" s="34">
        <f>[11]С2!F29</f>
        <v>9.5962865259740182E-2</v>
      </c>
    </row>
    <row r="80" spans="1:3" ht="30" x14ac:dyDescent="0.2">
      <c r="A80" s="59" t="s">
        <v>125</v>
      </c>
      <c r="B80" s="52" t="s">
        <v>126</v>
      </c>
      <c r="C80" s="72">
        <f>[11]С2!F30</f>
        <v>8.4029304029304031E-2</v>
      </c>
    </row>
    <row r="81" spans="1:3" ht="17.25" x14ac:dyDescent="0.2">
      <c r="A81" s="59" t="s">
        <v>127</v>
      </c>
      <c r="B81" s="73" t="s">
        <v>128</v>
      </c>
      <c r="C81" s="34">
        <f>[11]С2!F31</f>
        <v>0.13880000000000001</v>
      </c>
    </row>
    <row r="82" spans="1:3" s="65" customFormat="1" ht="18" thickBot="1" x14ac:dyDescent="0.25">
      <c r="A82" s="74" t="s">
        <v>129</v>
      </c>
      <c r="B82" s="75" t="s">
        <v>130</v>
      </c>
      <c r="C82" s="76">
        <f>[11]С2!F32</f>
        <v>0.12640000000000001</v>
      </c>
    </row>
    <row r="83" spans="1:3" ht="13.5" thickBot="1" x14ac:dyDescent="0.25">
      <c r="A83" s="47"/>
      <c r="B83" s="48"/>
      <c r="C83" s="14"/>
    </row>
    <row r="84" spans="1:3" s="65" customFormat="1" ht="30" customHeight="1" x14ac:dyDescent="0.2">
      <c r="A84" s="77" t="s">
        <v>131</v>
      </c>
      <c r="B84" s="145" t="s">
        <v>132</v>
      </c>
      <c r="C84" s="145"/>
    </row>
    <row r="85" spans="1:3" s="65" customFormat="1" ht="30" x14ac:dyDescent="0.2">
      <c r="A85" s="78" t="s">
        <v>133</v>
      </c>
      <c r="B85" s="31" t="s">
        <v>134</v>
      </c>
      <c r="C85" s="32">
        <f>[11]С3!F14</f>
        <v>6057.0688307111368</v>
      </c>
    </row>
    <row r="86" spans="1:3" s="65" customFormat="1" ht="42.75" x14ac:dyDescent="0.2">
      <c r="A86" s="78" t="s">
        <v>135</v>
      </c>
      <c r="B86" s="52" t="s">
        <v>136</v>
      </c>
      <c r="C86" s="79">
        <f>[11]С3!F15</f>
        <v>0.2</v>
      </c>
    </row>
    <row r="87" spans="1:3" s="65" customFormat="1" ht="14.25" x14ac:dyDescent="0.2">
      <c r="A87" s="78" t="s">
        <v>137</v>
      </c>
      <c r="B87" s="80" t="s">
        <v>138</v>
      </c>
      <c r="C87" s="64">
        <f>[11]С3!F18</f>
        <v>15</v>
      </c>
    </row>
    <row r="88" spans="1:3" s="65" customFormat="1" ht="17.25" x14ac:dyDescent="0.2">
      <c r="A88" s="78" t="s">
        <v>139</v>
      </c>
      <c r="B88" s="31" t="s">
        <v>140</v>
      </c>
      <c r="C88" s="32">
        <f>[11]С3!F19</f>
        <v>3778.1614077800232</v>
      </c>
    </row>
    <row r="89" spans="1:3" s="65" customFormat="1" ht="55.5" x14ac:dyDescent="0.2">
      <c r="A89" s="78" t="s">
        <v>141</v>
      </c>
      <c r="B89" s="52" t="s">
        <v>142</v>
      </c>
      <c r="C89" s="81">
        <f>[11]С3!F20</f>
        <v>2.1999999999999999E-2</v>
      </c>
    </row>
    <row r="90" spans="1:3" s="65" customFormat="1" ht="14.25" x14ac:dyDescent="0.2">
      <c r="A90" s="78" t="s">
        <v>143</v>
      </c>
      <c r="B90" s="58" t="s">
        <v>87</v>
      </c>
      <c r="C90" s="64">
        <f>[11]С3!F21</f>
        <v>10</v>
      </c>
    </row>
    <row r="91" spans="1:3" s="65" customFormat="1" ht="17.25" x14ac:dyDescent="0.2">
      <c r="A91" s="78" t="s">
        <v>144</v>
      </c>
      <c r="B91" s="31" t="s">
        <v>145</v>
      </c>
      <c r="C91" s="32">
        <f>[11]С3!F22</f>
        <v>3.7991236581345382</v>
      </c>
    </row>
    <row r="92" spans="1:3" s="65" customFormat="1" ht="55.5" x14ac:dyDescent="0.2">
      <c r="A92" s="78" t="s">
        <v>146</v>
      </c>
      <c r="B92" s="52" t="s">
        <v>147</v>
      </c>
      <c r="C92" s="81">
        <f>[11]С3!F23</f>
        <v>3.0000000000000001E-3</v>
      </c>
    </row>
    <row r="93" spans="1:3" s="65" customFormat="1" ht="27.75" thickBot="1" x14ac:dyDescent="0.25">
      <c r="A93" s="82" t="s">
        <v>148</v>
      </c>
      <c r="B93" s="83" t="s">
        <v>241</v>
      </c>
      <c r="C93" s="84">
        <f>[11]С3!F24</f>
        <v>1266.3745527115127</v>
      </c>
    </row>
    <row r="94" spans="1:3" ht="13.5" thickBot="1" x14ac:dyDescent="0.25">
      <c r="A94" s="47"/>
      <c r="B94" s="48"/>
      <c r="C94" s="14"/>
    </row>
    <row r="95" spans="1:3" ht="30" customHeight="1" x14ac:dyDescent="0.2">
      <c r="A95" s="85" t="s">
        <v>149</v>
      </c>
      <c r="B95" s="145" t="s">
        <v>150</v>
      </c>
      <c r="C95" s="145"/>
    </row>
    <row r="96" spans="1:3" ht="30" x14ac:dyDescent="0.2">
      <c r="A96" s="59" t="s">
        <v>151</v>
      </c>
      <c r="B96" s="31" t="s">
        <v>242</v>
      </c>
      <c r="C96" s="32">
        <f>[11]С4!F16</f>
        <v>1652.5</v>
      </c>
    </row>
    <row r="97" spans="1:3" ht="30" x14ac:dyDescent="0.2">
      <c r="A97" s="59" t="s">
        <v>153</v>
      </c>
      <c r="B97" s="58" t="s">
        <v>243</v>
      </c>
      <c r="C97" s="32">
        <f>[11]С4!F17</f>
        <v>73547</v>
      </c>
    </row>
    <row r="98" spans="1:3" ht="17.25" x14ac:dyDescent="0.2">
      <c r="A98" s="59" t="s">
        <v>155</v>
      </c>
      <c r="B98" s="58" t="s">
        <v>156</v>
      </c>
      <c r="C98" s="40">
        <f>[11]С4!F18</f>
        <v>0.02</v>
      </c>
    </row>
    <row r="99" spans="1:3" ht="30" x14ac:dyDescent="0.2">
      <c r="A99" s="59" t="s">
        <v>157</v>
      </c>
      <c r="B99" s="58" t="s">
        <v>158</v>
      </c>
      <c r="C99" s="32">
        <f>[11]С4!F19</f>
        <v>12104</v>
      </c>
    </row>
    <row r="100" spans="1:3" ht="28.5" x14ac:dyDescent="0.2">
      <c r="A100" s="59" t="s">
        <v>159</v>
      </c>
      <c r="B100" s="58" t="s">
        <v>160</v>
      </c>
      <c r="C100" s="40">
        <f>[11]С4!F20</f>
        <v>1.4999999999999999E-2</v>
      </c>
    </row>
    <row r="101" spans="1:3" ht="30" x14ac:dyDescent="0.2">
      <c r="A101" s="59" t="s">
        <v>161</v>
      </c>
      <c r="B101" s="31" t="s">
        <v>244</v>
      </c>
      <c r="C101" s="32">
        <f>[11]С4!F21</f>
        <v>1933.1949342509995</v>
      </c>
    </row>
    <row r="102" spans="1:3" ht="24" customHeight="1" x14ac:dyDescent="0.2">
      <c r="A102" s="59" t="s">
        <v>163</v>
      </c>
      <c r="B102" s="52" t="s">
        <v>164</v>
      </c>
      <c r="C102" s="33">
        <f>IF([11]С4.2!F8="да",[11]С4.2!D21,[11]С4.2!D15)</f>
        <v>0</v>
      </c>
    </row>
    <row r="103" spans="1:3" ht="68.25" x14ac:dyDescent="0.2">
      <c r="A103" s="59" t="s">
        <v>165</v>
      </c>
      <c r="B103" s="52" t="s">
        <v>166</v>
      </c>
      <c r="C103" s="32">
        <f>[11]С4!F22</f>
        <v>3.6112641666666665</v>
      </c>
    </row>
    <row r="104" spans="1:3" ht="30" x14ac:dyDescent="0.2">
      <c r="A104" s="59" t="s">
        <v>167</v>
      </c>
      <c r="B104" s="58" t="s">
        <v>245</v>
      </c>
      <c r="C104" s="32">
        <f>[11]С4!F23</f>
        <v>180</v>
      </c>
    </row>
    <row r="105" spans="1:3" ht="14.25" x14ac:dyDescent="0.2">
      <c r="A105" s="59" t="s">
        <v>169</v>
      </c>
      <c r="B105" s="52" t="s">
        <v>170</v>
      </c>
      <c r="C105" s="32">
        <f>[11]С4!F24</f>
        <v>8497.1999999999989</v>
      </c>
    </row>
    <row r="106" spans="1:3" ht="14.25" x14ac:dyDescent="0.2">
      <c r="A106" s="59" t="s">
        <v>171</v>
      </c>
      <c r="B106" s="58" t="s">
        <v>172</v>
      </c>
      <c r="C106" s="40">
        <f>[11]С4!F25</f>
        <v>0.35</v>
      </c>
    </row>
    <row r="107" spans="1:3" ht="17.25" x14ac:dyDescent="0.2">
      <c r="A107" s="59" t="s">
        <v>173</v>
      </c>
      <c r="B107" s="31" t="s">
        <v>174</v>
      </c>
      <c r="C107" s="32">
        <f>[11]С4!F26</f>
        <v>81.622790000000009</v>
      </c>
    </row>
    <row r="108" spans="1:3" ht="25.5" x14ac:dyDescent="0.2">
      <c r="A108" s="59" t="s">
        <v>175</v>
      </c>
      <c r="B108" s="52" t="s">
        <v>101</v>
      </c>
      <c r="C108" s="33">
        <f>[11]С4.3!E16</f>
        <v>0</v>
      </c>
    </row>
    <row r="109" spans="1:3" ht="25.5" x14ac:dyDescent="0.2">
      <c r="A109" s="59" t="s">
        <v>176</v>
      </c>
      <c r="B109" s="52" t="s">
        <v>177</v>
      </c>
      <c r="C109" s="32">
        <f>[11]С4.3!E17</f>
        <v>22.17</v>
      </c>
    </row>
    <row r="110" spans="1:3" ht="38.25" x14ac:dyDescent="0.2">
      <c r="A110" s="59" t="s">
        <v>178</v>
      </c>
      <c r="B110" s="52" t="s">
        <v>113</v>
      </c>
      <c r="C110" s="33">
        <f>[11]С4.3!E18</f>
        <v>0</v>
      </c>
    </row>
    <row r="111" spans="1:3" x14ac:dyDescent="0.2">
      <c r="A111" s="59" t="s">
        <v>179</v>
      </c>
      <c r="B111" s="52" t="s">
        <v>180</v>
      </c>
      <c r="C111" s="32">
        <f>[11]С4.3!E19</f>
        <v>18.983333333333334</v>
      </c>
    </row>
    <row r="112" spans="1:3" x14ac:dyDescent="0.2">
      <c r="A112" s="59" t="s">
        <v>181</v>
      </c>
      <c r="B112" s="58" t="s">
        <v>182</v>
      </c>
      <c r="C112" s="32">
        <f>[11]С4.3!E11</f>
        <v>1871</v>
      </c>
    </row>
    <row r="113" spans="1:3" x14ac:dyDescent="0.2">
      <c r="A113" s="59" t="s">
        <v>183</v>
      </c>
      <c r="B113" s="58" t="s">
        <v>184</v>
      </c>
      <c r="C113" s="51">
        <f>[11]С4.3!E12</f>
        <v>1636</v>
      </c>
    </row>
    <row r="114" spans="1:3" x14ac:dyDescent="0.2">
      <c r="A114" s="59" t="s">
        <v>185</v>
      </c>
      <c r="B114" s="58" t="s">
        <v>186</v>
      </c>
      <c r="C114" s="51">
        <f>[11]С4.3!E13</f>
        <v>204</v>
      </c>
    </row>
    <row r="115" spans="1:3" ht="30" x14ac:dyDescent="0.2">
      <c r="A115" s="59" t="s">
        <v>187</v>
      </c>
      <c r="B115" s="31" t="s">
        <v>246</v>
      </c>
      <c r="C115" s="32">
        <f>[11]С4!F27</f>
        <v>1351.1912129385403</v>
      </c>
    </row>
    <row r="116" spans="1:3" ht="25.5" x14ac:dyDescent="0.2">
      <c r="A116" s="59" t="s">
        <v>189</v>
      </c>
      <c r="B116" s="52" t="s">
        <v>247</v>
      </c>
      <c r="C116" s="32">
        <f>[11]С4!F28</f>
        <v>1037.7812695380494</v>
      </c>
    </row>
    <row r="117" spans="1:3" ht="42.75" x14ac:dyDescent="0.2">
      <c r="A117" s="59" t="s">
        <v>191</v>
      </c>
      <c r="B117" s="52" t="s">
        <v>192</v>
      </c>
      <c r="C117" s="32">
        <f>[11]С4!F29</f>
        <v>313.40994340049093</v>
      </c>
    </row>
    <row r="118" spans="1:3" ht="30" x14ac:dyDescent="0.2">
      <c r="A118" s="59" t="s">
        <v>193</v>
      </c>
      <c r="B118" s="39" t="s">
        <v>194</v>
      </c>
      <c r="C118" s="32">
        <f>[11]С4!F30</f>
        <v>1733.4850633453602</v>
      </c>
    </row>
    <row r="119" spans="1:3" ht="42.75" x14ac:dyDescent="0.2">
      <c r="A119" s="59" t="s">
        <v>248</v>
      </c>
      <c r="B119" s="89" t="s">
        <v>249</v>
      </c>
      <c r="C119" s="32">
        <f>[11]С4!F33</f>
        <v>1010.5011744884268</v>
      </c>
    </row>
    <row r="120" spans="1:3" ht="30" x14ac:dyDescent="0.2">
      <c r="A120" s="59" t="s">
        <v>250</v>
      </c>
      <c r="B120" s="121" t="s">
        <v>251</v>
      </c>
      <c r="C120" s="32">
        <f>[11]С4!F35</f>
        <v>17.040680999999999</v>
      </c>
    </row>
    <row r="121" spans="1:3" ht="14.25" x14ac:dyDescent="0.2">
      <c r="A121" s="59" t="s">
        <v>252</v>
      </c>
      <c r="B121" s="55" t="s">
        <v>253</v>
      </c>
      <c r="C121" s="32">
        <f>[11]С4!F36</f>
        <v>14319.9</v>
      </c>
    </row>
    <row r="122" spans="1:3" ht="28.5" thickBot="1" x14ac:dyDescent="0.25">
      <c r="A122" s="74" t="s">
        <v>254</v>
      </c>
      <c r="B122" s="122" t="s">
        <v>255</v>
      </c>
      <c r="C122" s="84">
        <f>[11]С4!F37</f>
        <v>1.19</v>
      </c>
    </row>
    <row r="123" spans="1:3" s="87" customFormat="1" ht="13.5" thickBot="1" x14ac:dyDescent="0.25">
      <c r="A123" s="47"/>
      <c r="B123" s="48"/>
      <c r="C123" s="14"/>
    </row>
    <row r="124" spans="1:3" s="65" customFormat="1" ht="30" customHeight="1" x14ac:dyDescent="0.2">
      <c r="A124" s="77" t="s">
        <v>195</v>
      </c>
      <c r="B124" s="145" t="s">
        <v>196</v>
      </c>
      <c r="C124" s="145"/>
    </row>
    <row r="125" spans="1:3" ht="16.5" thickBot="1" x14ac:dyDescent="0.25">
      <c r="A125" s="26" t="s">
        <v>197</v>
      </c>
      <c r="B125" s="86" t="s">
        <v>198</v>
      </c>
      <c r="C125" s="84">
        <f>[11]С5!F17</f>
        <v>0.02</v>
      </c>
    </row>
    <row r="126" spans="1:3" s="87" customFormat="1" ht="13.5" thickBot="1" x14ac:dyDescent="0.25">
      <c r="A126" s="47"/>
      <c r="B126" s="48"/>
      <c r="C126" s="14"/>
    </row>
    <row r="127" spans="1:3" ht="42.75" customHeight="1" x14ac:dyDescent="0.2">
      <c r="A127" s="85" t="s">
        <v>199</v>
      </c>
      <c r="B127" s="147" t="s">
        <v>200</v>
      </c>
      <c r="C127" s="147"/>
    </row>
    <row r="128" spans="1:3" ht="68.25" x14ac:dyDescent="0.2">
      <c r="A128" s="59" t="s">
        <v>201</v>
      </c>
      <c r="B128" s="88" t="s">
        <v>202</v>
      </c>
      <c r="C128" s="32" t="s">
        <v>256</v>
      </c>
    </row>
    <row r="129" spans="1:3" ht="42.75" hidden="1" x14ac:dyDescent="0.2">
      <c r="A129" s="59" t="s">
        <v>203</v>
      </c>
      <c r="B129" s="89" t="s">
        <v>204</v>
      </c>
      <c r="C129" s="90"/>
    </row>
    <row r="130" spans="1:3" ht="69" thickBot="1" x14ac:dyDescent="0.25">
      <c r="A130" s="74" t="s">
        <v>205</v>
      </c>
      <c r="B130" s="123" t="s">
        <v>206</v>
      </c>
      <c r="C130" s="124" t="s">
        <v>256</v>
      </c>
    </row>
    <row r="131" spans="1:3" ht="62.25" hidden="1" customHeight="1" x14ac:dyDescent="0.2">
      <c r="A131" s="125" t="s">
        <v>207</v>
      </c>
      <c r="B131" s="126" t="s">
        <v>208</v>
      </c>
      <c r="C131" s="127"/>
    </row>
    <row r="132" spans="1:3" ht="68.25" hidden="1" x14ac:dyDescent="0.2">
      <c r="A132" s="59" t="s">
        <v>209</v>
      </c>
      <c r="B132" s="89" t="s">
        <v>257</v>
      </c>
      <c r="C132" s="34"/>
    </row>
    <row r="133" spans="1:3" ht="69" hidden="1" thickBot="1" x14ac:dyDescent="0.25">
      <c r="A133" s="74" t="s">
        <v>211</v>
      </c>
      <c r="B133" s="92" t="s">
        <v>212</v>
      </c>
      <c r="C133" s="76"/>
    </row>
    <row r="134" spans="1:3" s="87" customFormat="1" ht="13.5" thickBot="1" x14ac:dyDescent="0.25">
      <c r="A134" s="47"/>
      <c r="B134" s="48"/>
      <c r="C134" s="14"/>
    </row>
    <row r="135" spans="1:3" ht="26.25" customHeight="1" x14ac:dyDescent="0.2">
      <c r="A135" s="85" t="s">
        <v>213</v>
      </c>
      <c r="B135" s="93" t="s">
        <v>214</v>
      </c>
      <c r="C135" s="94">
        <f>[11]С2!F37</f>
        <v>20.818139999999996</v>
      </c>
    </row>
    <row r="136" spans="1:3" ht="14.25" x14ac:dyDescent="0.2">
      <c r="A136" s="59" t="s">
        <v>215</v>
      </c>
      <c r="B136" s="128" t="s">
        <v>216</v>
      </c>
      <c r="C136" s="32">
        <f>[11]С2!F38</f>
        <v>7</v>
      </c>
    </row>
    <row r="137" spans="1:3" ht="17.25" x14ac:dyDescent="0.2">
      <c r="A137" s="59" t="s">
        <v>217</v>
      </c>
      <c r="B137" s="128" t="s">
        <v>218</v>
      </c>
      <c r="C137" s="32">
        <f>[11]С2!F40</f>
        <v>0.97</v>
      </c>
    </row>
    <row r="138" spans="1:3" ht="15" thickBot="1" x14ac:dyDescent="0.25">
      <c r="A138" s="74" t="s">
        <v>219</v>
      </c>
      <c r="B138" s="129" t="s">
        <v>220</v>
      </c>
      <c r="C138" s="46">
        <f>[11]С2!F42</f>
        <v>0.35</v>
      </c>
    </row>
    <row r="139" spans="1:3" s="87" customFormat="1" ht="13.5" thickBot="1" x14ac:dyDescent="0.25">
      <c r="A139" s="47"/>
      <c r="B139" s="48"/>
      <c r="C139" s="14"/>
    </row>
    <row r="140" spans="1:3" ht="30" x14ac:dyDescent="0.2">
      <c r="A140" s="85" t="s">
        <v>221</v>
      </c>
      <c r="B140" s="95" t="s">
        <v>258</v>
      </c>
      <c r="C140" s="130">
        <f>[11]С2!F35</f>
        <v>1.4976266307379205</v>
      </c>
    </row>
    <row r="141" spans="1:3" ht="22.7" customHeight="1" thickBot="1" x14ac:dyDescent="0.25">
      <c r="A141" s="74" t="s">
        <v>223</v>
      </c>
      <c r="B141" s="141" t="s">
        <v>224</v>
      </c>
      <c r="C141" s="141"/>
    </row>
    <row r="142" spans="1:3" ht="13.5" thickBot="1" x14ac:dyDescent="0.25">
      <c r="A142" s="97"/>
      <c r="B142" s="131" t="s">
        <v>0</v>
      </c>
      <c r="C142" s="132"/>
    </row>
    <row r="143" spans="1:3" x14ac:dyDescent="0.2">
      <c r="A143" s="97"/>
      <c r="B143" s="133">
        <v>2020</v>
      </c>
      <c r="C143" s="134">
        <f>[11]С2.5!$E$11</f>
        <v>-2.9000000000000026E-2</v>
      </c>
    </row>
    <row r="144" spans="1:3" x14ac:dyDescent="0.2">
      <c r="A144" s="97"/>
      <c r="B144" s="104">
        <f>B143+1</f>
        <v>2021</v>
      </c>
      <c r="C144" s="135">
        <f>[11]С2.5!$F$11</f>
        <v>0.245</v>
      </c>
    </row>
    <row r="145" spans="1:3" x14ac:dyDescent="0.2">
      <c r="A145" s="97"/>
      <c r="B145" s="104">
        <f t="shared" ref="B145:B208" si="0">B144+1</f>
        <v>2022</v>
      </c>
      <c r="C145" s="135">
        <f>[11]С2.5!$G$11</f>
        <v>0.114</v>
      </c>
    </row>
    <row r="146" spans="1:3" ht="13.5" thickBot="1" x14ac:dyDescent="0.25">
      <c r="A146" s="97"/>
      <c r="B146" s="106">
        <f t="shared" si="0"/>
        <v>2023</v>
      </c>
      <c r="C146" s="136">
        <f>[11]С2.5!$H$11</f>
        <v>2.4E-2</v>
      </c>
    </row>
    <row r="147" spans="1:3" x14ac:dyDescent="0.2">
      <c r="A147" s="97"/>
      <c r="B147" s="137">
        <f t="shared" si="0"/>
        <v>2024</v>
      </c>
      <c r="C147" s="138">
        <f>[11]С2.5!$I$11</f>
        <v>8.5999999999999993E-2</v>
      </c>
    </row>
    <row r="148" spans="1:3" hidden="1" x14ac:dyDescent="0.2">
      <c r="A148" s="97"/>
      <c r="B148" s="104">
        <f t="shared" si="0"/>
        <v>2025</v>
      </c>
      <c r="C148" s="135">
        <f>[11]С2.5!$J$11</f>
        <v>0.21215960863291</v>
      </c>
    </row>
    <row r="149" spans="1:3" hidden="1" x14ac:dyDescent="0.2">
      <c r="A149" s="97"/>
      <c r="B149" s="104">
        <f t="shared" si="0"/>
        <v>2026</v>
      </c>
      <c r="C149" s="135">
        <f>[11]С2.5!$K$11</f>
        <v>3.5813361771260002E-2</v>
      </c>
    </row>
    <row r="150" spans="1:3" hidden="1" x14ac:dyDescent="0.2">
      <c r="A150" s="97"/>
      <c r="B150" s="104">
        <f t="shared" si="0"/>
        <v>2027</v>
      </c>
      <c r="C150" s="135">
        <f>[11]С2.5!$L$11</f>
        <v>3.2682303599220003E-2</v>
      </c>
    </row>
    <row r="151" spans="1:3" hidden="1" x14ac:dyDescent="0.2">
      <c r="A151" s="97"/>
      <c r="B151" s="104">
        <f t="shared" si="0"/>
        <v>2028</v>
      </c>
      <c r="C151" s="135">
        <f>[11]С2.5!$M$11</f>
        <v>0</v>
      </c>
    </row>
    <row r="152" spans="1:3" hidden="1" x14ac:dyDescent="0.2">
      <c r="A152" s="97"/>
      <c r="B152" s="104">
        <f t="shared" si="0"/>
        <v>2029</v>
      </c>
      <c r="C152" s="135">
        <f>[11]С2.5!$N$11</f>
        <v>0</v>
      </c>
    </row>
    <row r="153" spans="1:3" hidden="1" x14ac:dyDescent="0.2">
      <c r="A153" s="97"/>
      <c r="B153" s="104">
        <f t="shared" si="0"/>
        <v>2030</v>
      </c>
      <c r="C153" s="135">
        <f>[11]С2.5!$O$11</f>
        <v>0</v>
      </c>
    </row>
    <row r="154" spans="1:3" hidden="1" x14ac:dyDescent="0.2">
      <c r="A154" s="97"/>
      <c r="B154" s="104">
        <f t="shared" si="0"/>
        <v>2031</v>
      </c>
      <c r="C154" s="135">
        <f>[11]С2.5!$P$11</f>
        <v>0</v>
      </c>
    </row>
    <row r="155" spans="1:3" hidden="1" x14ac:dyDescent="0.2">
      <c r="A155" s="87"/>
      <c r="B155" s="104">
        <f t="shared" si="0"/>
        <v>2032</v>
      </c>
      <c r="C155" s="135">
        <f>[11]С2.5!$Q$11</f>
        <v>0</v>
      </c>
    </row>
    <row r="156" spans="1:3" hidden="1" x14ac:dyDescent="0.2">
      <c r="A156" s="87"/>
      <c r="B156" s="104">
        <f t="shared" si="0"/>
        <v>2033</v>
      </c>
      <c r="C156" s="135">
        <f>[11]С2.5!$R$11</f>
        <v>0</v>
      </c>
    </row>
    <row r="157" spans="1:3" hidden="1" x14ac:dyDescent="0.2">
      <c r="B157" s="104">
        <f t="shared" si="0"/>
        <v>2034</v>
      </c>
      <c r="C157" s="135">
        <f>[11]С2.5!$S$11</f>
        <v>0</v>
      </c>
    </row>
    <row r="158" spans="1:3" hidden="1" x14ac:dyDescent="0.2">
      <c r="B158" s="104">
        <f t="shared" si="0"/>
        <v>2035</v>
      </c>
      <c r="C158" s="135">
        <f>[11]С2.5!$T$11</f>
        <v>0</v>
      </c>
    </row>
    <row r="159" spans="1:3" hidden="1" x14ac:dyDescent="0.2">
      <c r="B159" s="104">
        <f t="shared" si="0"/>
        <v>2036</v>
      </c>
      <c r="C159" s="135">
        <f>[11]С2.5!$U$11</f>
        <v>0</v>
      </c>
    </row>
    <row r="160" spans="1:3" hidden="1" x14ac:dyDescent="0.2">
      <c r="B160" s="104">
        <f t="shared" si="0"/>
        <v>2037</v>
      </c>
      <c r="C160" s="135">
        <f>[11]С2.5!$V$11</f>
        <v>0</v>
      </c>
    </row>
    <row r="161" spans="2:3" hidden="1" x14ac:dyDescent="0.2">
      <c r="B161" s="104">
        <f t="shared" si="0"/>
        <v>2038</v>
      </c>
      <c r="C161" s="135">
        <f>[11]С2.5!$W$11</f>
        <v>0</v>
      </c>
    </row>
    <row r="162" spans="2:3" hidden="1" x14ac:dyDescent="0.2">
      <c r="B162" s="104">
        <f t="shared" si="0"/>
        <v>2039</v>
      </c>
      <c r="C162" s="135">
        <f>[11]С2.5!$X$11</f>
        <v>0</v>
      </c>
    </row>
    <row r="163" spans="2:3" hidden="1" x14ac:dyDescent="0.2">
      <c r="B163" s="104">
        <f t="shared" si="0"/>
        <v>2040</v>
      </c>
      <c r="C163" s="135">
        <f>[11]С2.5!$Y$11</f>
        <v>0</v>
      </c>
    </row>
    <row r="164" spans="2:3" hidden="1" x14ac:dyDescent="0.2">
      <c r="B164" s="104">
        <f t="shared" si="0"/>
        <v>2041</v>
      </c>
      <c r="C164" s="135">
        <f>[11]С2.5!$Z$11</f>
        <v>0</v>
      </c>
    </row>
    <row r="165" spans="2:3" hidden="1" x14ac:dyDescent="0.2">
      <c r="B165" s="104">
        <f t="shared" si="0"/>
        <v>2042</v>
      </c>
      <c r="C165" s="135">
        <f>[11]С2.5!$AA$11</f>
        <v>0</v>
      </c>
    </row>
    <row r="166" spans="2:3" hidden="1" x14ac:dyDescent="0.2">
      <c r="B166" s="104">
        <f t="shared" si="0"/>
        <v>2043</v>
      </c>
      <c r="C166" s="135">
        <f>[11]С2.5!$AB$11</f>
        <v>0</v>
      </c>
    </row>
    <row r="167" spans="2:3" hidden="1" x14ac:dyDescent="0.2">
      <c r="B167" s="104">
        <f t="shared" si="0"/>
        <v>2044</v>
      </c>
      <c r="C167" s="135">
        <f>[11]С2.5!$AC$11</f>
        <v>0</v>
      </c>
    </row>
    <row r="168" spans="2:3" hidden="1" x14ac:dyDescent="0.2">
      <c r="B168" s="104">
        <f t="shared" si="0"/>
        <v>2045</v>
      </c>
      <c r="C168" s="135">
        <f>[11]С2.5!$AD$11</f>
        <v>0</v>
      </c>
    </row>
    <row r="169" spans="2:3" hidden="1" x14ac:dyDescent="0.2">
      <c r="B169" s="104">
        <f t="shared" si="0"/>
        <v>2046</v>
      </c>
      <c r="C169" s="135">
        <f>[11]С2.5!$AE$11</f>
        <v>0</v>
      </c>
    </row>
    <row r="170" spans="2:3" hidden="1" x14ac:dyDescent="0.2">
      <c r="B170" s="104">
        <f t="shared" si="0"/>
        <v>2047</v>
      </c>
      <c r="C170" s="135">
        <f>[11]С2.5!$AF$11</f>
        <v>0</v>
      </c>
    </row>
    <row r="171" spans="2:3" hidden="1" x14ac:dyDescent="0.2">
      <c r="B171" s="104">
        <f t="shared" si="0"/>
        <v>2048</v>
      </c>
      <c r="C171" s="135">
        <f>[11]С2.5!$AG$11</f>
        <v>0</v>
      </c>
    </row>
    <row r="172" spans="2:3" hidden="1" x14ac:dyDescent="0.2">
      <c r="B172" s="104">
        <f t="shared" si="0"/>
        <v>2049</v>
      </c>
      <c r="C172" s="135">
        <f>[11]С2.5!$AH$11</f>
        <v>0</v>
      </c>
    </row>
    <row r="173" spans="2:3" hidden="1" x14ac:dyDescent="0.2">
      <c r="B173" s="104">
        <f t="shared" si="0"/>
        <v>2050</v>
      </c>
      <c r="C173" s="135">
        <f>[11]С2.5!$AI$11</f>
        <v>0</v>
      </c>
    </row>
    <row r="174" spans="2:3" hidden="1" x14ac:dyDescent="0.2">
      <c r="B174" s="104">
        <f t="shared" si="0"/>
        <v>2051</v>
      </c>
      <c r="C174" s="135">
        <f>[11]С2.5!$AJ$11</f>
        <v>0</v>
      </c>
    </row>
    <row r="175" spans="2:3" hidden="1" x14ac:dyDescent="0.2">
      <c r="B175" s="104">
        <f t="shared" si="0"/>
        <v>2052</v>
      </c>
      <c r="C175" s="135">
        <f>[11]С2.5!$AK$11</f>
        <v>0</v>
      </c>
    </row>
    <row r="176" spans="2:3" hidden="1" x14ac:dyDescent="0.2">
      <c r="B176" s="104">
        <f t="shared" si="0"/>
        <v>2053</v>
      </c>
      <c r="C176" s="135">
        <f>[11]С2.5!$AL$11</f>
        <v>0</v>
      </c>
    </row>
    <row r="177" spans="2:3" hidden="1" x14ac:dyDescent="0.2">
      <c r="B177" s="104">
        <f t="shared" si="0"/>
        <v>2054</v>
      </c>
      <c r="C177" s="135">
        <f>[11]С2.5!$AM$11</f>
        <v>0</v>
      </c>
    </row>
    <row r="178" spans="2:3" hidden="1" x14ac:dyDescent="0.2">
      <c r="B178" s="104">
        <f t="shared" si="0"/>
        <v>2055</v>
      </c>
      <c r="C178" s="135">
        <f>[11]С2.5!$AN$11</f>
        <v>0</v>
      </c>
    </row>
    <row r="179" spans="2:3" hidden="1" x14ac:dyDescent="0.2">
      <c r="B179" s="104">
        <f t="shared" si="0"/>
        <v>2056</v>
      </c>
      <c r="C179" s="135">
        <f>[11]С2.5!$AO$11</f>
        <v>0</v>
      </c>
    </row>
    <row r="180" spans="2:3" hidden="1" x14ac:dyDescent="0.2">
      <c r="B180" s="104">
        <f t="shared" si="0"/>
        <v>2057</v>
      </c>
      <c r="C180" s="135">
        <f>[11]С2.5!$AP$11</f>
        <v>0</v>
      </c>
    </row>
    <row r="181" spans="2:3" hidden="1" x14ac:dyDescent="0.2">
      <c r="B181" s="104">
        <f t="shared" si="0"/>
        <v>2058</v>
      </c>
      <c r="C181" s="135">
        <f>[11]С2.5!$AQ$11</f>
        <v>0</v>
      </c>
    </row>
    <row r="182" spans="2:3" hidden="1" x14ac:dyDescent="0.2">
      <c r="B182" s="104">
        <f t="shared" si="0"/>
        <v>2059</v>
      </c>
      <c r="C182" s="135">
        <f>[11]С2.5!$AR$11</f>
        <v>0</v>
      </c>
    </row>
    <row r="183" spans="2:3" hidden="1" x14ac:dyDescent="0.2">
      <c r="B183" s="104">
        <f t="shared" si="0"/>
        <v>2060</v>
      </c>
      <c r="C183" s="135">
        <f>[11]С2.5!$AS$11</f>
        <v>0</v>
      </c>
    </row>
    <row r="184" spans="2:3" hidden="1" x14ac:dyDescent="0.2">
      <c r="B184" s="104">
        <f t="shared" si="0"/>
        <v>2061</v>
      </c>
      <c r="C184" s="135">
        <f>[11]С2.5!$AT$11</f>
        <v>0</v>
      </c>
    </row>
    <row r="185" spans="2:3" hidden="1" x14ac:dyDescent="0.2">
      <c r="B185" s="104">
        <f t="shared" si="0"/>
        <v>2062</v>
      </c>
      <c r="C185" s="135">
        <f>[11]С2.5!$AU$11</f>
        <v>0</v>
      </c>
    </row>
    <row r="186" spans="2:3" hidden="1" x14ac:dyDescent="0.2">
      <c r="B186" s="104">
        <f t="shared" si="0"/>
        <v>2063</v>
      </c>
      <c r="C186" s="135">
        <f>[11]С2.5!$AV$11</f>
        <v>0</v>
      </c>
    </row>
    <row r="187" spans="2:3" hidden="1" x14ac:dyDescent="0.2">
      <c r="B187" s="104">
        <f t="shared" si="0"/>
        <v>2064</v>
      </c>
      <c r="C187" s="135">
        <f>[11]С2.5!$AW$11</f>
        <v>0</v>
      </c>
    </row>
    <row r="188" spans="2:3" hidden="1" x14ac:dyDescent="0.2">
      <c r="B188" s="104">
        <f t="shared" si="0"/>
        <v>2065</v>
      </c>
      <c r="C188" s="135">
        <f>[11]С2.5!$AX$11</f>
        <v>0</v>
      </c>
    </row>
    <row r="189" spans="2:3" hidden="1" x14ac:dyDescent="0.2">
      <c r="B189" s="104">
        <f t="shared" si="0"/>
        <v>2066</v>
      </c>
      <c r="C189" s="135">
        <f>[11]С2.5!$AY$11</f>
        <v>0</v>
      </c>
    </row>
    <row r="190" spans="2:3" hidden="1" x14ac:dyDescent="0.2">
      <c r="B190" s="104">
        <f t="shared" si="0"/>
        <v>2067</v>
      </c>
      <c r="C190" s="135">
        <f>[11]С2.5!$AZ$11</f>
        <v>0</v>
      </c>
    </row>
    <row r="191" spans="2:3" hidden="1" x14ac:dyDescent="0.2">
      <c r="B191" s="104">
        <f t="shared" si="0"/>
        <v>2068</v>
      </c>
      <c r="C191" s="135">
        <f>[11]С2.5!$BA$11</f>
        <v>0</v>
      </c>
    </row>
    <row r="192" spans="2:3" hidden="1" x14ac:dyDescent="0.2">
      <c r="B192" s="104">
        <f t="shared" si="0"/>
        <v>2069</v>
      </c>
      <c r="C192" s="135">
        <f>[11]С2.5!$BB$11</f>
        <v>0</v>
      </c>
    </row>
    <row r="193" spans="2:3" hidden="1" x14ac:dyDescent="0.2">
      <c r="B193" s="104">
        <f t="shared" si="0"/>
        <v>2070</v>
      </c>
      <c r="C193" s="135">
        <f>[11]С2.5!$BC$11</f>
        <v>0</v>
      </c>
    </row>
    <row r="194" spans="2:3" hidden="1" x14ac:dyDescent="0.2">
      <c r="B194" s="104">
        <f t="shared" si="0"/>
        <v>2071</v>
      </c>
      <c r="C194" s="135">
        <f>[11]С2.5!$BD$11</f>
        <v>0</v>
      </c>
    </row>
    <row r="195" spans="2:3" hidden="1" x14ac:dyDescent="0.2">
      <c r="B195" s="104">
        <f t="shared" si="0"/>
        <v>2072</v>
      </c>
      <c r="C195" s="135">
        <f>[11]С2.5!$BE$11</f>
        <v>0</v>
      </c>
    </row>
    <row r="196" spans="2:3" hidden="1" x14ac:dyDescent="0.2">
      <c r="B196" s="104">
        <f t="shared" si="0"/>
        <v>2073</v>
      </c>
      <c r="C196" s="135">
        <f>[11]С2.5!$BF$11</f>
        <v>0</v>
      </c>
    </row>
    <row r="197" spans="2:3" hidden="1" x14ac:dyDescent="0.2">
      <c r="B197" s="104">
        <f t="shared" si="0"/>
        <v>2074</v>
      </c>
      <c r="C197" s="135">
        <f>[11]С2.5!$BG$11</f>
        <v>0</v>
      </c>
    </row>
    <row r="198" spans="2:3" hidden="1" x14ac:dyDescent="0.2">
      <c r="B198" s="104">
        <f t="shared" si="0"/>
        <v>2075</v>
      </c>
      <c r="C198" s="135">
        <f>[11]С2.5!$BH$11</f>
        <v>0</v>
      </c>
    </row>
    <row r="199" spans="2:3" hidden="1" x14ac:dyDescent="0.2">
      <c r="B199" s="104">
        <f t="shared" si="0"/>
        <v>2076</v>
      </c>
      <c r="C199" s="135">
        <f>[11]С2.5!$BI$11</f>
        <v>0</v>
      </c>
    </row>
    <row r="200" spans="2:3" hidden="1" x14ac:dyDescent="0.2">
      <c r="B200" s="104">
        <f t="shared" si="0"/>
        <v>2077</v>
      </c>
      <c r="C200" s="135">
        <f>[11]С2.5!$BJ$11</f>
        <v>0</v>
      </c>
    </row>
    <row r="201" spans="2:3" hidden="1" x14ac:dyDescent="0.2">
      <c r="B201" s="104">
        <f t="shared" si="0"/>
        <v>2078</v>
      </c>
      <c r="C201" s="135">
        <f>[11]С2.5!$BK$11</f>
        <v>0</v>
      </c>
    </row>
    <row r="202" spans="2:3" hidden="1" x14ac:dyDescent="0.2">
      <c r="B202" s="104">
        <f t="shared" si="0"/>
        <v>2079</v>
      </c>
      <c r="C202" s="135">
        <f>[11]С2.5!$BL$11</f>
        <v>0</v>
      </c>
    </row>
    <row r="203" spans="2:3" hidden="1" x14ac:dyDescent="0.2">
      <c r="B203" s="104">
        <f t="shared" si="0"/>
        <v>2080</v>
      </c>
      <c r="C203" s="135">
        <f>[11]С2.5!$BM$11</f>
        <v>0</v>
      </c>
    </row>
    <row r="204" spans="2:3" hidden="1" x14ac:dyDescent="0.2">
      <c r="B204" s="104">
        <f t="shared" si="0"/>
        <v>2081</v>
      </c>
      <c r="C204" s="135">
        <f>[11]С2.5!$BN$11</f>
        <v>0</v>
      </c>
    </row>
    <row r="205" spans="2:3" hidden="1" x14ac:dyDescent="0.2">
      <c r="B205" s="104">
        <f t="shared" si="0"/>
        <v>2082</v>
      </c>
      <c r="C205" s="135">
        <f>[11]С2.5!$BO$11</f>
        <v>0</v>
      </c>
    </row>
    <row r="206" spans="2:3" hidden="1" x14ac:dyDescent="0.2">
      <c r="B206" s="104">
        <f t="shared" si="0"/>
        <v>2083</v>
      </c>
      <c r="C206" s="135">
        <f>[11]С2.5!$BP$11</f>
        <v>0</v>
      </c>
    </row>
    <row r="207" spans="2:3" hidden="1" x14ac:dyDescent="0.2">
      <c r="B207" s="104">
        <f t="shared" si="0"/>
        <v>2084</v>
      </c>
      <c r="C207" s="135">
        <f>[11]С2.5!$BQ$11</f>
        <v>0</v>
      </c>
    </row>
    <row r="208" spans="2:3" hidden="1" x14ac:dyDescent="0.2">
      <c r="B208" s="104">
        <f t="shared" si="0"/>
        <v>2085</v>
      </c>
      <c r="C208" s="135">
        <f>[11]С2.5!$BR$11</f>
        <v>0</v>
      </c>
    </row>
    <row r="209" spans="2:3" hidden="1" x14ac:dyDescent="0.2">
      <c r="B209" s="104">
        <f t="shared" ref="B209:B223" si="1">B208+1</f>
        <v>2086</v>
      </c>
      <c r="C209" s="135">
        <f>[11]С2.5!$BS$11</f>
        <v>0</v>
      </c>
    </row>
    <row r="210" spans="2:3" hidden="1" x14ac:dyDescent="0.2">
      <c r="B210" s="104">
        <f t="shared" si="1"/>
        <v>2087</v>
      </c>
      <c r="C210" s="135">
        <f>[11]С2.5!$BT$11</f>
        <v>0</v>
      </c>
    </row>
    <row r="211" spans="2:3" hidden="1" x14ac:dyDescent="0.2">
      <c r="B211" s="104">
        <f t="shared" si="1"/>
        <v>2088</v>
      </c>
      <c r="C211" s="135">
        <f>[11]С2.5!$BU$11</f>
        <v>0</v>
      </c>
    </row>
    <row r="212" spans="2:3" hidden="1" x14ac:dyDescent="0.2">
      <c r="B212" s="104">
        <f t="shared" si="1"/>
        <v>2089</v>
      </c>
      <c r="C212" s="135">
        <f>[11]С2.5!$BV$11</f>
        <v>0</v>
      </c>
    </row>
    <row r="213" spans="2:3" hidden="1" x14ac:dyDescent="0.2">
      <c r="B213" s="104">
        <f t="shared" si="1"/>
        <v>2090</v>
      </c>
      <c r="C213" s="135">
        <f>[11]С2.5!$BW$11</f>
        <v>0</v>
      </c>
    </row>
    <row r="214" spans="2:3" hidden="1" x14ac:dyDescent="0.2">
      <c r="B214" s="104">
        <f t="shared" si="1"/>
        <v>2091</v>
      </c>
      <c r="C214" s="135">
        <f>[11]С2.5!$BX$11</f>
        <v>0</v>
      </c>
    </row>
    <row r="215" spans="2:3" hidden="1" x14ac:dyDescent="0.2">
      <c r="B215" s="104">
        <f t="shared" si="1"/>
        <v>2092</v>
      </c>
      <c r="C215" s="135">
        <f>[11]С2.5!$BY$11</f>
        <v>0</v>
      </c>
    </row>
    <row r="216" spans="2:3" hidden="1" x14ac:dyDescent="0.2">
      <c r="B216" s="104">
        <f t="shared" si="1"/>
        <v>2093</v>
      </c>
      <c r="C216" s="135">
        <f>[11]С2.5!$BZ$11</f>
        <v>0</v>
      </c>
    </row>
    <row r="217" spans="2:3" hidden="1" x14ac:dyDescent="0.2">
      <c r="B217" s="104">
        <f t="shared" si="1"/>
        <v>2094</v>
      </c>
      <c r="C217" s="135">
        <f>[11]С2.5!$CA$11</f>
        <v>0</v>
      </c>
    </row>
    <row r="218" spans="2:3" hidden="1" x14ac:dyDescent="0.2">
      <c r="B218" s="104">
        <f t="shared" si="1"/>
        <v>2095</v>
      </c>
      <c r="C218" s="135">
        <f>[11]С2.5!$CB$11</f>
        <v>0</v>
      </c>
    </row>
    <row r="219" spans="2:3" hidden="1" x14ac:dyDescent="0.2">
      <c r="B219" s="104">
        <f t="shared" si="1"/>
        <v>2096</v>
      </c>
      <c r="C219" s="135">
        <f>[11]С2.5!$CC$11</f>
        <v>0</v>
      </c>
    </row>
    <row r="220" spans="2:3" hidden="1" x14ac:dyDescent="0.2">
      <c r="B220" s="104">
        <f t="shared" si="1"/>
        <v>2097</v>
      </c>
      <c r="C220" s="135">
        <f>[11]С2.5!$CD$11</f>
        <v>0</v>
      </c>
    </row>
    <row r="221" spans="2:3" hidden="1" x14ac:dyDescent="0.2">
      <c r="B221" s="104">
        <f t="shared" si="1"/>
        <v>2098</v>
      </c>
      <c r="C221" s="135">
        <f>[11]С2.5!$CE$11</f>
        <v>0</v>
      </c>
    </row>
    <row r="222" spans="2:3" hidden="1" x14ac:dyDescent="0.2">
      <c r="B222" s="104">
        <f t="shared" si="1"/>
        <v>2099</v>
      </c>
      <c r="C222" s="135">
        <f>[11]С2.5!$CF$11</f>
        <v>0</v>
      </c>
    </row>
    <row r="223" spans="2:3" ht="13.5" hidden="1" thickBot="1" x14ac:dyDescent="0.25">
      <c r="B223" s="106">
        <f t="shared" si="1"/>
        <v>2100</v>
      </c>
      <c r="C223" s="136">
        <f>[11]С2.5!$CG$11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6" customWidth="1"/>
    <col min="4" max="246" width="9.140625" style="2"/>
    <col min="247" max="247" width="3.5703125" style="2" customWidth="1"/>
    <col min="248" max="248" width="96.85546875" style="2" customWidth="1"/>
    <col min="249" max="249" width="30.85546875" style="2" customWidth="1"/>
    <col min="250" max="250" width="12.5703125" style="2" customWidth="1"/>
    <col min="251" max="251" width="5.140625" style="2" customWidth="1"/>
    <col min="252" max="252" width="9.140625" style="2"/>
    <col min="253" max="253" width="4.85546875" style="2" customWidth="1"/>
    <col min="254" max="254" width="30.5703125" style="2" customWidth="1"/>
    <col min="255" max="255" width="33.85546875" style="2" customWidth="1"/>
    <col min="256" max="256" width="5.140625" style="2" customWidth="1"/>
    <col min="257" max="258" width="17.5703125" style="2" customWidth="1"/>
    <col min="259" max="502" width="9.140625" style="2"/>
    <col min="503" max="503" width="3.5703125" style="2" customWidth="1"/>
    <col min="504" max="504" width="96.85546875" style="2" customWidth="1"/>
    <col min="505" max="505" width="30.85546875" style="2" customWidth="1"/>
    <col min="506" max="506" width="12.5703125" style="2" customWidth="1"/>
    <col min="507" max="507" width="5.140625" style="2" customWidth="1"/>
    <col min="508" max="508" width="9.140625" style="2"/>
    <col min="509" max="509" width="4.85546875" style="2" customWidth="1"/>
    <col min="510" max="510" width="30.5703125" style="2" customWidth="1"/>
    <col min="511" max="511" width="33.85546875" style="2" customWidth="1"/>
    <col min="512" max="512" width="5.140625" style="2" customWidth="1"/>
    <col min="513" max="514" width="17.5703125" style="2" customWidth="1"/>
    <col min="515" max="758" width="9.140625" style="2"/>
    <col min="759" max="759" width="3.5703125" style="2" customWidth="1"/>
    <col min="760" max="760" width="96.85546875" style="2" customWidth="1"/>
    <col min="761" max="761" width="30.85546875" style="2" customWidth="1"/>
    <col min="762" max="762" width="12.5703125" style="2" customWidth="1"/>
    <col min="763" max="763" width="5.140625" style="2" customWidth="1"/>
    <col min="764" max="764" width="9.140625" style="2"/>
    <col min="765" max="765" width="4.85546875" style="2" customWidth="1"/>
    <col min="766" max="766" width="30.5703125" style="2" customWidth="1"/>
    <col min="767" max="767" width="33.85546875" style="2" customWidth="1"/>
    <col min="768" max="768" width="5.140625" style="2" customWidth="1"/>
    <col min="769" max="770" width="17.5703125" style="2" customWidth="1"/>
    <col min="771" max="1014" width="9.140625" style="2"/>
    <col min="1015" max="1015" width="3.5703125" style="2" customWidth="1"/>
    <col min="1016" max="1016" width="96.85546875" style="2" customWidth="1"/>
    <col min="1017" max="1017" width="30.85546875" style="2" customWidth="1"/>
    <col min="1018" max="1018" width="12.5703125" style="2" customWidth="1"/>
    <col min="1019" max="1019" width="5.140625" style="2" customWidth="1"/>
    <col min="1020" max="1020" width="9.140625" style="2"/>
    <col min="1021" max="1021" width="4.85546875" style="2" customWidth="1"/>
    <col min="1022" max="1022" width="30.5703125" style="2" customWidth="1"/>
    <col min="1023" max="1023" width="33.85546875" style="2" customWidth="1"/>
    <col min="1024" max="1024" width="5.140625" style="2" customWidth="1"/>
    <col min="1025" max="1026" width="17.5703125" style="2" customWidth="1"/>
    <col min="1027" max="1270" width="9.140625" style="2"/>
    <col min="1271" max="1271" width="3.5703125" style="2" customWidth="1"/>
    <col min="1272" max="1272" width="96.85546875" style="2" customWidth="1"/>
    <col min="1273" max="1273" width="30.85546875" style="2" customWidth="1"/>
    <col min="1274" max="1274" width="12.5703125" style="2" customWidth="1"/>
    <col min="1275" max="1275" width="5.140625" style="2" customWidth="1"/>
    <col min="1276" max="1276" width="9.140625" style="2"/>
    <col min="1277" max="1277" width="4.85546875" style="2" customWidth="1"/>
    <col min="1278" max="1278" width="30.5703125" style="2" customWidth="1"/>
    <col min="1279" max="1279" width="33.85546875" style="2" customWidth="1"/>
    <col min="1280" max="1280" width="5.140625" style="2" customWidth="1"/>
    <col min="1281" max="1282" width="17.5703125" style="2" customWidth="1"/>
    <col min="1283" max="1526" width="9.140625" style="2"/>
    <col min="1527" max="1527" width="3.5703125" style="2" customWidth="1"/>
    <col min="1528" max="1528" width="96.85546875" style="2" customWidth="1"/>
    <col min="1529" max="1529" width="30.85546875" style="2" customWidth="1"/>
    <col min="1530" max="1530" width="12.5703125" style="2" customWidth="1"/>
    <col min="1531" max="1531" width="5.140625" style="2" customWidth="1"/>
    <col min="1532" max="1532" width="9.140625" style="2"/>
    <col min="1533" max="1533" width="4.85546875" style="2" customWidth="1"/>
    <col min="1534" max="1534" width="30.5703125" style="2" customWidth="1"/>
    <col min="1535" max="1535" width="33.85546875" style="2" customWidth="1"/>
    <col min="1536" max="1536" width="5.140625" style="2" customWidth="1"/>
    <col min="1537" max="1538" width="17.5703125" style="2" customWidth="1"/>
    <col min="1539" max="1782" width="9.140625" style="2"/>
    <col min="1783" max="1783" width="3.5703125" style="2" customWidth="1"/>
    <col min="1784" max="1784" width="96.85546875" style="2" customWidth="1"/>
    <col min="1785" max="1785" width="30.85546875" style="2" customWidth="1"/>
    <col min="1786" max="1786" width="12.5703125" style="2" customWidth="1"/>
    <col min="1787" max="1787" width="5.140625" style="2" customWidth="1"/>
    <col min="1788" max="1788" width="9.140625" style="2"/>
    <col min="1789" max="1789" width="4.85546875" style="2" customWidth="1"/>
    <col min="1790" max="1790" width="30.5703125" style="2" customWidth="1"/>
    <col min="1791" max="1791" width="33.85546875" style="2" customWidth="1"/>
    <col min="1792" max="1792" width="5.140625" style="2" customWidth="1"/>
    <col min="1793" max="1794" width="17.5703125" style="2" customWidth="1"/>
    <col min="1795" max="2038" width="9.140625" style="2"/>
    <col min="2039" max="2039" width="3.5703125" style="2" customWidth="1"/>
    <col min="2040" max="2040" width="96.85546875" style="2" customWidth="1"/>
    <col min="2041" max="2041" width="30.85546875" style="2" customWidth="1"/>
    <col min="2042" max="2042" width="12.5703125" style="2" customWidth="1"/>
    <col min="2043" max="2043" width="5.140625" style="2" customWidth="1"/>
    <col min="2044" max="2044" width="9.140625" style="2"/>
    <col min="2045" max="2045" width="4.85546875" style="2" customWidth="1"/>
    <col min="2046" max="2046" width="30.5703125" style="2" customWidth="1"/>
    <col min="2047" max="2047" width="33.85546875" style="2" customWidth="1"/>
    <col min="2048" max="2048" width="5.140625" style="2" customWidth="1"/>
    <col min="2049" max="2050" width="17.5703125" style="2" customWidth="1"/>
    <col min="2051" max="2294" width="9.140625" style="2"/>
    <col min="2295" max="2295" width="3.5703125" style="2" customWidth="1"/>
    <col min="2296" max="2296" width="96.85546875" style="2" customWidth="1"/>
    <col min="2297" max="2297" width="30.85546875" style="2" customWidth="1"/>
    <col min="2298" max="2298" width="12.5703125" style="2" customWidth="1"/>
    <col min="2299" max="2299" width="5.140625" style="2" customWidth="1"/>
    <col min="2300" max="2300" width="9.140625" style="2"/>
    <col min="2301" max="2301" width="4.85546875" style="2" customWidth="1"/>
    <col min="2302" max="2302" width="30.5703125" style="2" customWidth="1"/>
    <col min="2303" max="2303" width="33.85546875" style="2" customWidth="1"/>
    <col min="2304" max="2304" width="5.140625" style="2" customWidth="1"/>
    <col min="2305" max="2306" width="17.5703125" style="2" customWidth="1"/>
    <col min="2307" max="2550" width="9.140625" style="2"/>
    <col min="2551" max="2551" width="3.5703125" style="2" customWidth="1"/>
    <col min="2552" max="2552" width="96.85546875" style="2" customWidth="1"/>
    <col min="2553" max="2553" width="30.85546875" style="2" customWidth="1"/>
    <col min="2554" max="2554" width="12.5703125" style="2" customWidth="1"/>
    <col min="2555" max="2555" width="5.140625" style="2" customWidth="1"/>
    <col min="2556" max="2556" width="9.140625" style="2"/>
    <col min="2557" max="2557" width="4.85546875" style="2" customWidth="1"/>
    <col min="2558" max="2558" width="30.5703125" style="2" customWidth="1"/>
    <col min="2559" max="2559" width="33.85546875" style="2" customWidth="1"/>
    <col min="2560" max="2560" width="5.140625" style="2" customWidth="1"/>
    <col min="2561" max="2562" width="17.5703125" style="2" customWidth="1"/>
    <col min="2563" max="2806" width="9.140625" style="2"/>
    <col min="2807" max="2807" width="3.5703125" style="2" customWidth="1"/>
    <col min="2808" max="2808" width="96.85546875" style="2" customWidth="1"/>
    <col min="2809" max="2809" width="30.85546875" style="2" customWidth="1"/>
    <col min="2810" max="2810" width="12.5703125" style="2" customWidth="1"/>
    <col min="2811" max="2811" width="5.140625" style="2" customWidth="1"/>
    <col min="2812" max="2812" width="9.140625" style="2"/>
    <col min="2813" max="2813" width="4.85546875" style="2" customWidth="1"/>
    <col min="2814" max="2814" width="30.5703125" style="2" customWidth="1"/>
    <col min="2815" max="2815" width="33.85546875" style="2" customWidth="1"/>
    <col min="2816" max="2816" width="5.140625" style="2" customWidth="1"/>
    <col min="2817" max="2818" width="17.5703125" style="2" customWidth="1"/>
    <col min="2819" max="3062" width="9.140625" style="2"/>
    <col min="3063" max="3063" width="3.5703125" style="2" customWidth="1"/>
    <col min="3064" max="3064" width="96.85546875" style="2" customWidth="1"/>
    <col min="3065" max="3065" width="30.85546875" style="2" customWidth="1"/>
    <col min="3066" max="3066" width="12.5703125" style="2" customWidth="1"/>
    <col min="3067" max="3067" width="5.140625" style="2" customWidth="1"/>
    <col min="3068" max="3068" width="9.140625" style="2"/>
    <col min="3069" max="3069" width="4.85546875" style="2" customWidth="1"/>
    <col min="3070" max="3070" width="30.5703125" style="2" customWidth="1"/>
    <col min="3071" max="3071" width="33.85546875" style="2" customWidth="1"/>
    <col min="3072" max="3072" width="5.140625" style="2" customWidth="1"/>
    <col min="3073" max="3074" width="17.5703125" style="2" customWidth="1"/>
    <col min="3075" max="3318" width="9.140625" style="2"/>
    <col min="3319" max="3319" width="3.5703125" style="2" customWidth="1"/>
    <col min="3320" max="3320" width="96.85546875" style="2" customWidth="1"/>
    <col min="3321" max="3321" width="30.85546875" style="2" customWidth="1"/>
    <col min="3322" max="3322" width="12.5703125" style="2" customWidth="1"/>
    <col min="3323" max="3323" width="5.140625" style="2" customWidth="1"/>
    <col min="3324" max="3324" width="9.140625" style="2"/>
    <col min="3325" max="3325" width="4.85546875" style="2" customWidth="1"/>
    <col min="3326" max="3326" width="30.5703125" style="2" customWidth="1"/>
    <col min="3327" max="3327" width="33.85546875" style="2" customWidth="1"/>
    <col min="3328" max="3328" width="5.140625" style="2" customWidth="1"/>
    <col min="3329" max="3330" width="17.5703125" style="2" customWidth="1"/>
    <col min="3331" max="3574" width="9.140625" style="2"/>
    <col min="3575" max="3575" width="3.5703125" style="2" customWidth="1"/>
    <col min="3576" max="3576" width="96.85546875" style="2" customWidth="1"/>
    <col min="3577" max="3577" width="30.85546875" style="2" customWidth="1"/>
    <col min="3578" max="3578" width="12.5703125" style="2" customWidth="1"/>
    <col min="3579" max="3579" width="5.140625" style="2" customWidth="1"/>
    <col min="3580" max="3580" width="9.140625" style="2"/>
    <col min="3581" max="3581" width="4.85546875" style="2" customWidth="1"/>
    <col min="3582" max="3582" width="30.5703125" style="2" customWidth="1"/>
    <col min="3583" max="3583" width="33.85546875" style="2" customWidth="1"/>
    <col min="3584" max="3584" width="5.140625" style="2" customWidth="1"/>
    <col min="3585" max="3586" width="17.5703125" style="2" customWidth="1"/>
    <col min="3587" max="3830" width="9.140625" style="2"/>
    <col min="3831" max="3831" width="3.5703125" style="2" customWidth="1"/>
    <col min="3832" max="3832" width="96.85546875" style="2" customWidth="1"/>
    <col min="3833" max="3833" width="30.85546875" style="2" customWidth="1"/>
    <col min="3834" max="3834" width="12.5703125" style="2" customWidth="1"/>
    <col min="3835" max="3835" width="5.140625" style="2" customWidth="1"/>
    <col min="3836" max="3836" width="9.140625" style="2"/>
    <col min="3837" max="3837" width="4.85546875" style="2" customWidth="1"/>
    <col min="3838" max="3838" width="30.5703125" style="2" customWidth="1"/>
    <col min="3839" max="3839" width="33.85546875" style="2" customWidth="1"/>
    <col min="3840" max="3840" width="5.140625" style="2" customWidth="1"/>
    <col min="3841" max="3842" width="17.5703125" style="2" customWidth="1"/>
    <col min="3843" max="4086" width="9.140625" style="2"/>
    <col min="4087" max="4087" width="3.5703125" style="2" customWidth="1"/>
    <col min="4088" max="4088" width="96.85546875" style="2" customWidth="1"/>
    <col min="4089" max="4089" width="30.85546875" style="2" customWidth="1"/>
    <col min="4090" max="4090" width="12.5703125" style="2" customWidth="1"/>
    <col min="4091" max="4091" width="5.140625" style="2" customWidth="1"/>
    <col min="4092" max="4092" width="9.140625" style="2"/>
    <col min="4093" max="4093" width="4.85546875" style="2" customWidth="1"/>
    <col min="4094" max="4094" width="30.5703125" style="2" customWidth="1"/>
    <col min="4095" max="4095" width="33.85546875" style="2" customWidth="1"/>
    <col min="4096" max="4096" width="5.140625" style="2" customWidth="1"/>
    <col min="4097" max="4098" width="17.5703125" style="2" customWidth="1"/>
    <col min="4099" max="4342" width="9.140625" style="2"/>
    <col min="4343" max="4343" width="3.5703125" style="2" customWidth="1"/>
    <col min="4344" max="4344" width="96.85546875" style="2" customWidth="1"/>
    <col min="4345" max="4345" width="30.85546875" style="2" customWidth="1"/>
    <col min="4346" max="4346" width="12.5703125" style="2" customWidth="1"/>
    <col min="4347" max="4347" width="5.140625" style="2" customWidth="1"/>
    <col min="4348" max="4348" width="9.140625" style="2"/>
    <col min="4349" max="4349" width="4.85546875" style="2" customWidth="1"/>
    <col min="4350" max="4350" width="30.5703125" style="2" customWidth="1"/>
    <col min="4351" max="4351" width="33.85546875" style="2" customWidth="1"/>
    <col min="4352" max="4352" width="5.140625" style="2" customWidth="1"/>
    <col min="4353" max="4354" width="17.5703125" style="2" customWidth="1"/>
    <col min="4355" max="4598" width="9.140625" style="2"/>
    <col min="4599" max="4599" width="3.5703125" style="2" customWidth="1"/>
    <col min="4600" max="4600" width="96.85546875" style="2" customWidth="1"/>
    <col min="4601" max="4601" width="30.85546875" style="2" customWidth="1"/>
    <col min="4602" max="4602" width="12.5703125" style="2" customWidth="1"/>
    <col min="4603" max="4603" width="5.140625" style="2" customWidth="1"/>
    <col min="4604" max="4604" width="9.140625" style="2"/>
    <col min="4605" max="4605" width="4.85546875" style="2" customWidth="1"/>
    <col min="4606" max="4606" width="30.5703125" style="2" customWidth="1"/>
    <col min="4607" max="4607" width="33.85546875" style="2" customWidth="1"/>
    <col min="4608" max="4608" width="5.140625" style="2" customWidth="1"/>
    <col min="4609" max="4610" width="17.5703125" style="2" customWidth="1"/>
    <col min="4611" max="4854" width="9.140625" style="2"/>
    <col min="4855" max="4855" width="3.5703125" style="2" customWidth="1"/>
    <col min="4856" max="4856" width="96.85546875" style="2" customWidth="1"/>
    <col min="4857" max="4857" width="30.85546875" style="2" customWidth="1"/>
    <col min="4858" max="4858" width="12.5703125" style="2" customWidth="1"/>
    <col min="4859" max="4859" width="5.140625" style="2" customWidth="1"/>
    <col min="4860" max="4860" width="9.140625" style="2"/>
    <col min="4861" max="4861" width="4.85546875" style="2" customWidth="1"/>
    <col min="4862" max="4862" width="30.5703125" style="2" customWidth="1"/>
    <col min="4863" max="4863" width="33.85546875" style="2" customWidth="1"/>
    <col min="4864" max="4864" width="5.140625" style="2" customWidth="1"/>
    <col min="4865" max="4866" width="17.5703125" style="2" customWidth="1"/>
    <col min="4867" max="5110" width="9.140625" style="2"/>
    <col min="5111" max="5111" width="3.5703125" style="2" customWidth="1"/>
    <col min="5112" max="5112" width="96.85546875" style="2" customWidth="1"/>
    <col min="5113" max="5113" width="30.85546875" style="2" customWidth="1"/>
    <col min="5114" max="5114" width="12.5703125" style="2" customWidth="1"/>
    <col min="5115" max="5115" width="5.140625" style="2" customWidth="1"/>
    <col min="5116" max="5116" width="9.140625" style="2"/>
    <col min="5117" max="5117" width="4.85546875" style="2" customWidth="1"/>
    <col min="5118" max="5118" width="30.5703125" style="2" customWidth="1"/>
    <col min="5119" max="5119" width="33.85546875" style="2" customWidth="1"/>
    <col min="5120" max="5120" width="5.140625" style="2" customWidth="1"/>
    <col min="5121" max="5122" width="17.5703125" style="2" customWidth="1"/>
    <col min="5123" max="5366" width="9.140625" style="2"/>
    <col min="5367" max="5367" width="3.5703125" style="2" customWidth="1"/>
    <col min="5368" max="5368" width="96.85546875" style="2" customWidth="1"/>
    <col min="5369" max="5369" width="30.85546875" style="2" customWidth="1"/>
    <col min="5370" max="5370" width="12.5703125" style="2" customWidth="1"/>
    <col min="5371" max="5371" width="5.140625" style="2" customWidth="1"/>
    <col min="5372" max="5372" width="9.140625" style="2"/>
    <col min="5373" max="5373" width="4.85546875" style="2" customWidth="1"/>
    <col min="5374" max="5374" width="30.5703125" style="2" customWidth="1"/>
    <col min="5375" max="5375" width="33.85546875" style="2" customWidth="1"/>
    <col min="5376" max="5376" width="5.140625" style="2" customWidth="1"/>
    <col min="5377" max="5378" width="17.5703125" style="2" customWidth="1"/>
    <col min="5379" max="5622" width="9.140625" style="2"/>
    <col min="5623" max="5623" width="3.5703125" style="2" customWidth="1"/>
    <col min="5624" max="5624" width="96.85546875" style="2" customWidth="1"/>
    <col min="5625" max="5625" width="30.85546875" style="2" customWidth="1"/>
    <col min="5626" max="5626" width="12.5703125" style="2" customWidth="1"/>
    <col min="5627" max="5627" width="5.140625" style="2" customWidth="1"/>
    <col min="5628" max="5628" width="9.140625" style="2"/>
    <col min="5629" max="5629" width="4.85546875" style="2" customWidth="1"/>
    <col min="5630" max="5630" width="30.5703125" style="2" customWidth="1"/>
    <col min="5631" max="5631" width="33.85546875" style="2" customWidth="1"/>
    <col min="5632" max="5632" width="5.140625" style="2" customWidth="1"/>
    <col min="5633" max="5634" width="17.5703125" style="2" customWidth="1"/>
    <col min="5635" max="5878" width="9.140625" style="2"/>
    <col min="5879" max="5879" width="3.5703125" style="2" customWidth="1"/>
    <col min="5880" max="5880" width="96.85546875" style="2" customWidth="1"/>
    <col min="5881" max="5881" width="30.85546875" style="2" customWidth="1"/>
    <col min="5882" max="5882" width="12.5703125" style="2" customWidth="1"/>
    <col min="5883" max="5883" width="5.140625" style="2" customWidth="1"/>
    <col min="5884" max="5884" width="9.140625" style="2"/>
    <col min="5885" max="5885" width="4.85546875" style="2" customWidth="1"/>
    <col min="5886" max="5886" width="30.5703125" style="2" customWidth="1"/>
    <col min="5887" max="5887" width="33.85546875" style="2" customWidth="1"/>
    <col min="5888" max="5888" width="5.140625" style="2" customWidth="1"/>
    <col min="5889" max="5890" width="17.5703125" style="2" customWidth="1"/>
    <col min="5891" max="6134" width="9.140625" style="2"/>
    <col min="6135" max="6135" width="3.5703125" style="2" customWidth="1"/>
    <col min="6136" max="6136" width="96.85546875" style="2" customWidth="1"/>
    <col min="6137" max="6137" width="30.85546875" style="2" customWidth="1"/>
    <col min="6138" max="6138" width="12.5703125" style="2" customWidth="1"/>
    <col min="6139" max="6139" width="5.140625" style="2" customWidth="1"/>
    <col min="6140" max="6140" width="9.140625" style="2"/>
    <col min="6141" max="6141" width="4.85546875" style="2" customWidth="1"/>
    <col min="6142" max="6142" width="30.5703125" style="2" customWidth="1"/>
    <col min="6143" max="6143" width="33.85546875" style="2" customWidth="1"/>
    <col min="6144" max="6144" width="5.140625" style="2" customWidth="1"/>
    <col min="6145" max="6146" width="17.5703125" style="2" customWidth="1"/>
    <col min="6147" max="6390" width="9.140625" style="2"/>
    <col min="6391" max="6391" width="3.5703125" style="2" customWidth="1"/>
    <col min="6392" max="6392" width="96.85546875" style="2" customWidth="1"/>
    <col min="6393" max="6393" width="30.85546875" style="2" customWidth="1"/>
    <col min="6394" max="6394" width="12.5703125" style="2" customWidth="1"/>
    <col min="6395" max="6395" width="5.140625" style="2" customWidth="1"/>
    <col min="6396" max="6396" width="9.140625" style="2"/>
    <col min="6397" max="6397" width="4.85546875" style="2" customWidth="1"/>
    <col min="6398" max="6398" width="30.5703125" style="2" customWidth="1"/>
    <col min="6399" max="6399" width="33.85546875" style="2" customWidth="1"/>
    <col min="6400" max="6400" width="5.140625" style="2" customWidth="1"/>
    <col min="6401" max="6402" width="17.5703125" style="2" customWidth="1"/>
    <col min="6403" max="6646" width="9.140625" style="2"/>
    <col min="6647" max="6647" width="3.5703125" style="2" customWidth="1"/>
    <col min="6648" max="6648" width="96.85546875" style="2" customWidth="1"/>
    <col min="6649" max="6649" width="30.85546875" style="2" customWidth="1"/>
    <col min="6650" max="6650" width="12.5703125" style="2" customWidth="1"/>
    <col min="6651" max="6651" width="5.140625" style="2" customWidth="1"/>
    <col min="6652" max="6652" width="9.140625" style="2"/>
    <col min="6653" max="6653" width="4.85546875" style="2" customWidth="1"/>
    <col min="6654" max="6654" width="30.5703125" style="2" customWidth="1"/>
    <col min="6655" max="6655" width="33.85546875" style="2" customWidth="1"/>
    <col min="6656" max="6656" width="5.140625" style="2" customWidth="1"/>
    <col min="6657" max="6658" width="17.5703125" style="2" customWidth="1"/>
    <col min="6659" max="6902" width="9.140625" style="2"/>
    <col min="6903" max="6903" width="3.5703125" style="2" customWidth="1"/>
    <col min="6904" max="6904" width="96.85546875" style="2" customWidth="1"/>
    <col min="6905" max="6905" width="30.85546875" style="2" customWidth="1"/>
    <col min="6906" max="6906" width="12.5703125" style="2" customWidth="1"/>
    <col min="6907" max="6907" width="5.140625" style="2" customWidth="1"/>
    <col min="6908" max="6908" width="9.140625" style="2"/>
    <col min="6909" max="6909" width="4.85546875" style="2" customWidth="1"/>
    <col min="6910" max="6910" width="30.5703125" style="2" customWidth="1"/>
    <col min="6911" max="6911" width="33.85546875" style="2" customWidth="1"/>
    <col min="6912" max="6912" width="5.140625" style="2" customWidth="1"/>
    <col min="6913" max="6914" width="17.5703125" style="2" customWidth="1"/>
    <col min="6915" max="7158" width="9.140625" style="2"/>
    <col min="7159" max="7159" width="3.5703125" style="2" customWidth="1"/>
    <col min="7160" max="7160" width="96.85546875" style="2" customWidth="1"/>
    <col min="7161" max="7161" width="30.85546875" style="2" customWidth="1"/>
    <col min="7162" max="7162" width="12.5703125" style="2" customWidth="1"/>
    <col min="7163" max="7163" width="5.140625" style="2" customWidth="1"/>
    <col min="7164" max="7164" width="9.140625" style="2"/>
    <col min="7165" max="7165" width="4.85546875" style="2" customWidth="1"/>
    <col min="7166" max="7166" width="30.5703125" style="2" customWidth="1"/>
    <col min="7167" max="7167" width="33.85546875" style="2" customWidth="1"/>
    <col min="7168" max="7168" width="5.140625" style="2" customWidth="1"/>
    <col min="7169" max="7170" width="17.5703125" style="2" customWidth="1"/>
    <col min="7171" max="7414" width="9.140625" style="2"/>
    <col min="7415" max="7415" width="3.5703125" style="2" customWidth="1"/>
    <col min="7416" max="7416" width="96.85546875" style="2" customWidth="1"/>
    <col min="7417" max="7417" width="30.85546875" style="2" customWidth="1"/>
    <col min="7418" max="7418" width="12.5703125" style="2" customWidth="1"/>
    <col min="7419" max="7419" width="5.140625" style="2" customWidth="1"/>
    <col min="7420" max="7420" width="9.140625" style="2"/>
    <col min="7421" max="7421" width="4.85546875" style="2" customWidth="1"/>
    <col min="7422" max="7422" width="30.5703125" style="2" customWidth="1"/>
    <col min="7423" max="7423" width="33.85546875" style="2" customWidth="1"/>
    <col min="7424" max="7424" width="5.140625" style="2" customWidth="1"/>
    <col min="7425" max="7426" width="17.5703125" style="2" customWidth="1"/>
    <col min="7427" max="7670" width="9.140625" style="2"/>
    <col min="7671" max="7671" width="3.5703125" style="2" customWidth="1"/>
    <col min="7672" max="7672" width="96.85546875" style="2" customWidth="1"/>
    <col min="7673" max="7673" width="30.85546875" style="2" customWidth="1"/>
    <col min="7674" max="7674" width="12.5703125" style="2" customWidth="1"/>
    <col min="7675" max="7675" width="5.140625" style="2" customWidth="1"/>
    <col min="7676" max="7676" width="9.140625" style="2"/>
    <col min="7677" max="7677" width="4.85546875" style="2" customWidth="1"/>
    <col min="7678" max="7678" width="30.5703125" style="2" customWidth="1"/>
    <col min="7679" max="7679" width="33.85546875" style="2" customWidth="1"/>
    <col min="7680" max="7680" width="5.140625" style="2" customWidth="1"/>
    <col min="7681" max="7682" width="17.5703125" style="2" customWidth="1"/>
    <col min="7683" max="7926" width="9.140625" style="2"/>
    <col min="7927" max="7927" width="3.5703125" style="2" customWidth="1"/>
    <col min="7928" max="7928" width="96.85546875" style="2" customWidth="1"/>
    <col min="7929" max="7929" width="30.85546875" style="2" customWidth="1"/>
    <col min="7930" max="7930" width="12.5703125" style="2" customWidth="1"/>
    <col min="7931" max="7931" width="5.140625" style="2" customWidth="1"/>
    <col min="7932" max="7932" width="9.140625" style="2"/>
    <col min="7933" max="7933" width="4.85546875" style="2" customWidth="1"/>
    <col min="7934" max="7934" width="30.5703125" style="2" customWidth="1"/>
    <col min="7935" max="7935" width="33.85546875" style="2" customWidth="1"/>
    <col min="7936" max="7936" width="5.140625" style="2" customWidth="1"/>
    <col min="7937" max="7938" width="17.5703125" style="2" customWidth="1"/>
    <col min="7939" max="8182" width="9.140625" style="2"/>
    <col min="8183" max="8183" width="3.5703125" style="2" customWidth="1"/>
    <col min="8184" max="8184" width="96.85546875" style="2" customWidth="1"/>
    <col min="8185" max="8185" width="30.85546875" style="2" customWidth="1"/>
    <col min="8186" max="8186" width="12.5703125" style="2" customWidth="1"/>
    <col min="8187" max="8187" width="5.140625" style="2" customWidth="1"/>
    <col min="8188" max="8188" width="9.140625" style="2"/>
    <col min="8189" max="8189" width="4.85546875" style="2" customWidth="1"/>
    <col min="8190" max="8190" width="30.5703125" style="2" customWidth="1"/>
    <col min="8191" max="8191" width="33.85546875" style="2" customWidth="1"/>
    <col min="8192" max="8192" width="5.140625" style="2" customWidth="1"/>
    <col min="8193" max="8194" width="17.5703125" style="2" customWidth="1"/>
    <col min="8195" max="8438" width="9.140625" style="2"/>
    <col min="8439" max="8439" width="3.5703125" style="2" customWidth="1"/>
    <col min="8440" max="8440" width="96.85546875" style="2" customWidth="1"/>
    <col min="8441" max="8441" width="30.85546875" style="2" customWidth="1"/>
    <col min="8442" max="8442" width="12.5703125" style="2" customWidth="1"/>
    <col min="8443" max="8443" width="5.140625" style="2" customWidth="1"/>
    <col min="8444" max="8444" width="9.140625" style="2"/>
    <col min="8445" max="8445" width="4.85546875" style="2" customWidth="1"/>
    <col min="8446" max="8446" width="30.5703125" style="2" customWidth="1"/>
    <col min="8447" max="8447" width="33.85546875" style="2" customWidth="1"/>
    <col min="8448" max="8448" width="5.140625" style="2" customWidth="1"/>
    <col min="8449" max="8450" width="17.5703125" style="2" customWidth="1"/>
    <col min="8451" max="8694" width="9.140625" style="2"/>
    <col min="8695" max="8695" width="3.5703125" style="2" customWidth="1"/>
    <col min="8696" max="8696" width="96.85546875" style="2" customWidth="1"/>
    <col min="8697" max="8697" width="30.85546875" style="2" customWidth="1"/>
    <col min="8698" max="8698" width="12.5703125" style="2" customWidth="1"/>
    <col min="8699" max="8699" width="5.140625" style="2" customWidth="1"/>
    <col min="8700" max="8700" width="9.140625" style="2"/>
    <col min="8701" max="8701" width="4.85546875" style="2" customWidth="1"/>
    <col min="8702" max="8702" width="30.5703125" style="2" customWidth="1"/>
    <col min="8703" max="8703" width="33.85546875" style="2" customWidth="1"/>
    <col min="8704" max="8704" width="5.140625" style="2" customWidth="1"/>
    <col min="8705" max="8706" width="17.5703125" style="2" customWidth="1"/>
    <col min="8707" max="8950" width="9.140625" style="2"/>
    <col min="8951" max="8951" width="3.5703125" style="2" customWidth="1"/>
    <col min="8952" max="8952" width="96.85546875" style="2" customWidth="1"/>
    <col min="8953" max="8953" width="30.85546875" style="2" customWidth="1"/>
    <col min="8954" max="8954" width="12.5703125" style="2" customWidth="1"/>
    <col min="8955" max="8955" width="5.140625" style="2" customWidth="1"/>
    <col min="8956" max="8956" width="9.140625" style="2"/>
    <col min="8957" max="8957" width="4.85546875" style="2" customWidth="1"/>
    <col min="8958" max="8958" width="30.5703125" style="2" customWidth="1"/>
    <col min="8959" max="8959" width="33.85546875" style="2" customWidth="1"/>
    <col min="8960" max="8960" width="5.140625" style="2" customWidth="1"/>
    <col min="8961" max="8962" width="17.5703125" style="2" customWidth="1"/>
    <col min="8963" max="9206" width="9.140625" style="2"/>
    <col min="9207" max="9207" width="3.5703125" style="2" customWidth="1"/>
    <col min="9208" max="9208" width="96.85546875" style="2" customWidth="1"/>
    <col min="9209" max="9209" width="30.85546875" style="2" customWidth="1"/>
    <col min="9210" max="9210" width="12.5703125" style="2" customWidth="1"/>
    <col min="9211" max="9211" width="5.140625" style="2" customWidth="1"/>
    <col min="9212" max="9212" width="9.140625" style="2"/>
    <col min="9213" max="9213" width="4.85546875" style="2" customWidth="1"/>
    <col min="9214" max="9214" width="30.5703125" style="2" customWidth="1"/>
    <col min="9215" max="9215" width="33.85546875" style="2" customWidth="1"/>
    <col min="9216" max="9216" width="5.140625" style="2" customWidth="1"/>
    <col min="9217" max="9218" width="17.5703125" style="2" customWidth="1"/>
    <col min="9219" max="9462" width="9.140625" style="2"/>
    <col min="9463" max="9463" width="3.5703125" style="2" customWidth="1"/>
    <col min="9464" max="9464" width="96.85546875" style="2" customWidth="1"/>
    <col min="9465" max="9465" width="30.85546875" style="2" customWidth="1"/>
    <col min="9466" max="9466" width="12.5703125" style="2" customWidth="1"/>
    <col min="9467" max="9467" width="5.140625" style="2" customWidth="1"/>
    <col min="9468" max="9468" width="9.140625" style="2"/>
    <col min="9469" max="9469" width="4.85546875" style="2" customWidth="1"/>
    <col min="9470" max="9470" width="30.5703125" style="2" customWidth="1"/>
    <col min="9471" max="9471" width="33.85546875" style="2" customWidth="1"/>
    <col min="9472" max="9472" width="5.140625" style="2" customWidth="1"/>
    <col min="9473" max="9474" width="17.5703125" style="2" customWidth="1"/>
    <col min="9475" max="9718" width="9.140625" style="2"/>
    <col min="9719" max="9719" width="3.5703125" style="2" customWidth="1"/>
    <col min="9720" max="9720" width="96.85546875" style="2" customWidth="1"/>
    <col min="9721" max="9721" width="30.85546875" style="2" customWidth="1"/>
    <col min="9722" max="9722" width="12.5703125" style="2" customWidth="1"/>
    <col min="9723" max="9723" width="5.140625" style="2" customWidth="1"/>
    <col min="9724" max="9724" width="9.140625" style="2"/>
    <col min="9725" max="9725" width="4.85546875" style="2" customWidth="1"/>
    <col min="9726" max="9726" width="30.5703125" style="2" customWidth="1"/>
    <col min="9727" max="9727" width="33.85546875" style="2" customWidth="1"/>
    <col min="9728" max="9728" width="5.140625" style="2" customWidth="1"/>
    <col min="9729" max="9730" width="17.5703125" style="2" customWidth="1"/>
    <col min="9731" max="9974" width="9.140625" style="2"/>
    <col min="9975" max="9975" width="3.5703125" style="2" customWidth="1"/>
    <col min="9976" max="9976" width="96.85546875" style="2" customWidth="1"/>
    <col min="9977" max="9977" width="30.85546875" style="2" customWidth="1"/>
    <col min="9978" max="9978" width="12.5703125" style="2" customWidth="1"/>
    <col min="9979" max="9979" width="5.140625" style="2" customWidth="1"/>
    <col min="9980" max="9980" width="9.140625" style="2"/>
    <col min="9981" max="9981" width="4.85546875" style="2" customWidth="1"/>
    <col min="9982" max="9982" width="30.5703125" style="2" customWidth="1"/>
    <col min="9983" max="9983" width="33.85546875" style="2" customWidth="1"/>
    <col min="9984" max="9984" width="5.140625" style="2" customWidth="1"/>
    <col min="9985" max="9986" width="17.5703125" style="2" customWidth="1"/>
    <col min="9987" max="10230" width="9.140625" style="2"/>
    <col min="10231" max="10231" width="3.5703125" style="2" customWidth="1"/>
    <col min="10232" max="10232" width="96.85546875" style="2" customWidth="1"/>
    <col min="10233" max="10233" width="30.85546875" style="2" customWidth="1"/>
    <col min="10234" max="10234" width="12.5703125" style="2" customWidth="1"/>
    <col min="10235" max="10235" width="5.140625" style="2" customWidth="1"/>
    <col min="10236" max="10236" width="9.140625" style="2"/>
    <col min="10237" max="10237" width="4.85546875" style="2" customWidth="1"/>
    <col min="10238" max="10238" width="30.5703125" style="2" customWidth="1"/>
    <col min="10239" max="10239" width="33.85546875" style="2" customWidth="1"/>
    <col min="10240" max="10240" width="5.140625" style="2" customWidth="1"/>
    <col min="10241" max="10242" width="17.5703125" style="2" customWidth="1"/>
    <col min="10243" max="10486" width="9.140625" style="2"/>
    <col min="10487" max="10487" width="3.5703125" style="2" customWidth="1"/>
    <col min="10488" max="10488" width="96.85546875" style="2" customWidth="1"/>
    <col min="10489" max="10489" width="30.85546875" style="2" customWidth="1"/>
    <col min="10490" max="10490" width="12.5703125" style="2" customWidth="1"/>
    <col min="10491" max="10491" width="5.140625" style="2" customWidth="1"/>
    <col min="10492" max="10492" width="9.140625" style="2"/>
    <col min="10493" max="10493" width="4.85546875" style="2" customWidth="1"/>
    <col min="10494" max="10494" width="30.5703125" style="2" customWidth="1"/>
    <col min="10495" max="10495" width="33.85546875" style="2" customWidth="1"/>
    <col min="10496" max="10496" width="5.140625" style="2" customWidth="1"/>
    <col min="10497" max="10498" width="17.5703125" style="2" customWidth="1"/>
    <col min="10499" max="10742" width="9.140625" style="2"/>
    <col min="10743" max="10743" width="3.5703125" style="2" customWidth="1"/>
    <col min="10744" max="10744" width="96.85546875" style="2" customWidth="1"/>
    <col min="10745" max="10745" width="30.85546875" style="2" customWidth="1"/>
    <col min="10746" max="10746" width="12.5703125" style="2" customWidth="1"/>
    <col min="10747" max="10747" width="5.140625" style="2" customWidth="1"/>
    <col min="10748" max="10748" width="9.140625" style="2"/>
    <col min="10749" max="10749" width="4.85546875" style="2" customWidth="1"/>
    <col min="10750" max="10750" width="30.5703125" style="2" customWidth="1"/>
    <col min="10751" max="10751" width="33.85546875" style="2" customWidth="1"/>
    <col min="10752" max="10752" width="5.140625" style="2" customWidth="1"/>
    <col min="10753" max="10754" width="17.5703125" style="2" customWidth="1"/>
    <col min="10755" max="10998" width="9.140625" style="2"/>
    <col min="10999" max="10999" width="3.5703125" style="2" customWidth="1"/>
    <col min="11000" max="11000" width="96.85546875" style="2" customWidth="1"/>
    <col min="11001" max="11001" width="30.85546875" style="2" customWidth="1"/>
    <col min="11002" max="11002" width="12.5703125" style="2" customWidth="1"/>
    <col min="11003" max="11003" width="5.140625" style="2" customWidth="1"/>
    <col min="11004" max="11004" width="9.140625" style="2"/>
    <col min="11005" max="11005" width="4.85546875" style="2" customWidth="1"/>
    <col min="11006" max="11006" width="30.5703125" style="2" customWidth="1"/>
    <col min="11007" max="11007" width="33.85546875" style="2" customWidth="1"/>
    <col min="11008" max="11008" width="5.140625" style="2" customWidth="1"/>
    <col min="11009" max="11010" width="17.5703125" style="2" customWidth="1"/>
    <col min="11011" max="11254" width="9.140625" style="2"/>
    <col min="11255" max="11255" width="3.5703125" style="2" customWidth="1"/>
    <col min="11256" max="11256" width="96.85546875" style="2" customWidth="1"/>
    <col min="11257" max="11257" width="30.85546875" style="2" customWidth="1"/>
    <col min="11258" max="11258" width="12.5703125" style="2" customWidth="1"/>
    <col min="11259" max="11259" width="5.140625" style="2" customWidth="1"/>
    <col min="11260" max="11260" width="9.140625" style="2"/>
    <col min="11261" max="11261" width="4.85546875" style="2" customWidth="1"/>
    <col min="11262" max="11262" width="30.5703125" style="2" customWidth="1"/>
    <col min="11263" max="11263" width="33.85546875" style="2" customWidth="1"/>
    <col min="11264" max="11264" width="5.140625" style="2" customWidth="1"/>
    <col min="11265" max="11266" width="17.5703125" style="2" customWidth="1"/>
    <col min="11267" max="11510" width="9.140625" style="2"/>
    <col min="11511" max="11511" width="3.5703125" style="2" customWidth="1"/>
    <col min="11512" max="11512" width="96.85546875" style="2" customWidth="1"/>
    <col min="11513" max="11513" width="30.85546875" style="2" customWidth="1"/>
    <col min="11514" max="11514" width="12.5703125" style="2" customWidth="1"/>
    <col min="11515" max="11515" width="5.140625" style="2" customWidth="1"/>
    <col min="11516" max="11516" width="9.140625" style="2"/>
    <col min="11517" max="11517" width="4.85546875" style="2" customWidth="1"/>
    <col min="11518" max="11518" width="30.5703125" style="2" customWidth="1"/>
    <col min="11519" max="11519" width="33.85546875" style="2" customWidth="1"/>
    <col min="11520" max="11520" width="5.140625" style="2" customWidth="1"/>
    <col min="11521" max="11522" width="17.5703125" style="2" customWidth="1"/>
    <col min="11523" max="11766" width="9.140625" style="2"/>
    <col min="11767" max="11767" width="3.5703125" style="2" customWidth="1"/>
    <col min="11768" max="11768" width="96.85546875" style="2" customWidth="1"/>
    <col min="11769" max="11769" width="30.85546875" style="2" customWidth="1"/>
    <col min="11770" max="11770" width="12.5703125" style="2" customWidth="1"/>
    <col min="11771" max="11771" width="5.140625" style="2" customWidth="1"/>
    <col min="11772" max="11772" width="9.140625" style="2"/>
    <col min="11773" max="11773" width="4.85546875" style="2" customWidth="1"/>
    <col min="11774" max="11774" width="30.5703125" style="2" customWidth="1"/>
    <col min="11775" max="11775" width="33.85546875" style="2" customWidth="1"/>
    <col min="11776" max="11776" width="5.140625" style="2" customWidth="1"/>
    <col min="11777" max="11778" width="17.5703125" style="2" customWidth="1"/>
    <col min="11779" max="12022" width="9.140625" style="2"/>
    <col min="12023" max="12023" width="3.5703125" style="2" customWidth="1"/>
    <col min="12024" max="12024" width="96.85546875" style="2" customWidth="1"/>
    <col min="12025" max="12025" width="30.85546875" style="2" customWidth="1"/>
    <col min="12026" max="12026" width="12.5703125" style="2" customWidth="1"/>
    <col min="12027" max="12027" width="5.140625" style="2" customWidth="1"/>
    <col min="12028" max="12028" width="9.140625" style="2"/>
    <col min="12029" max="12029" width="4.85546875" style="2" customWidth="1"/>
    <col min="12030" max="12030" width="30.5703125" style="2" customWidth="1"/>
    <col min="12031" max="12031" width="33.85546875" style="2" customWidth="1"/>
    <col min="12032" max="12032" width="5.140625" style="2" customWidth="1"/>
    <col min="12033" max="12034" width="17.5703125" style="2" customWidth="1"/>
    <col min="12035" max="12278" width="9.140625" style="2"/>
    <col min="12279" max="12279" width="3.5703125" style="2" customWidth="1"/>
    <col min="12280" max="12280" width="96.85546875" style="2" customWidth="1"/>
    <col min="12281" max="12281" width="30.85546875" style="2" customWidth="1"/>
    <col min="12282" max="12282" width="12.5703125" style="2" customWidth="1"/>
    <col min="12283" max="12283" width="5.140625" style="2" customWidth="1"/>
    <col min="12284" max="12284" width="9.140625" style="2"/>
    <col min="12285" max="12285" width="4.85546875" style="2" customWidth="1"/>
    <col min="12286" max="12286" width="30.5703125" style="2" customWidth="1"/>
    <col min="12287" max="12287" width="33.85546875" style="2" customWidth="1"/>
    <col min="12288" max="12288" width="5.140625" style="2" customWidth="1"/>
    <col min="12289" max="12290" width="17.5703125" style="2" customWidth="1"/>
    <col min="12291" max="12534" width="9.140625" style="2"/>
    <col min="12535" max="12535" width="3.5703125" style="2" customWidth="1"/>
    <col min="12536" max="12536" width="96.85546875" style="2" customWidth="1"/>
    <col min="12537" max="12537" width="30.85546875" style="2" customWidth="1"/>
    <col min="12538" max="12538" width="12.5703125" style="2" customWidth="1"/>
    <col min="12539" max="12539" width="5.140625" style="2" customWidth="1"/>
    <col min="12540" max="12540" width="9.140625" style="2"/>
    <col min="12541" max="12541" width="4.85546875" style="2" customWidth="1"/>
    <col min="12542" max="12542" width="30.5703125" style="2" customWidth="1"/>
    <col min="12543" max="12543" width="33.85546875" style="2" customWidth="1"/>
    <col min="12544" max="12544" width="5.140625" style="2" customWidth="1"/>
    <col min="12545" max="12546" width="17.5703125" style="2" customWidth="1"/>
    <col min="12547" max="12790" width="9.140625" style="2"/>
    <col min="12791" max="12791" width="3.5703125" style="2" customWidth="1"/>
    <col min="12792" max="12792" width="96.85546875" style="2" customWidth="1"/>
    <col min="12793" max="12793" width="30.85546875" style="2" customWidth="1"/>
    <col min="12794" max="12794" width="12.5703125" style="2" customWidth="1"/>
    <col min="12795" max="12795" width="5.140625" style="2" customWidth="1"/>
    <col min="12796" max="12796" width="9.140625" style="2"/>
    <col min="12797" max="12797" width="4.85546875" style="2" customWidth="1"/>
    <col min="12798" max="12798" width="30.5703125" style="2" customWidth="1"/>
    <col min="12799" max="12799" width="33.85546875" style="2" customWidth="1"/>
    <col min="12800" max="12800" width="5.140625" style="2" customWidth="1"/>
    <col min="12801" max="12802" width="17.5703125" style="2" customWidth="1"/>
    <col min="12803" max="13046" width="9.140625" style="2"/>
    <col min="13047" max="13047" width="3.5703125" style="2" customWidth="1"/>
    <col min="13048" max="13048" width="96.85546875" style="2" customWidth="1"/>
    <col min="13049" max="13049" width="30.85546875" style="2" customWidth="1"/>
    <col min="13050" max="13050" width="12.5703125" style="2" customWidth="1"/>
    <col min="13051" max="13051" width="5.140625" style="2" customWidth="1"/>
    <col min="13052" max="13052" width="9.140625" style="2"/>
    <col min="13053" max="13053" width="4.85546875" style="2" customWidth="1"/>
    <col min="13054" max="13054" width="30.5703125" style="2" customWidth="1"/>
    <col min="13055" max="13055" width="33.85546875" style="2" customWidth="1"/>
    <col min="13056" max="13056" width="5.140625" style="2" customWidth="1"/>
    <col min="13057" max="13058" width="17.5703125" style="2" customWidth="1"/>
    <col min="13059" max="13302" width="9.140625" style="2"/>
    <col min="13303" max="13303" width="3.5703125" style="2" customWidth="1"/>
    <col min="13304" max="13304" width="96.85546875" style="2" customWidth="1"/>
    <col min="13305" max="13305" width="30.85546875" style="2" customWidth="1"/>
    <col min="13306" max="13306" width="12.5703125" style="2" customWidth="1"/>
    <col min="13307" max="13307" width="5.140625" style="2" customWidth="1"/>
    <col min="13308" max="13308" width="9.140625" style="2"/>
    <col min="13309" max="13309" width="4.85546875" style="2" customWidth="1"/>
    <col min="13310" max="13310" width="30.5703125" style="2" customWidth="1"/>
    <col min="13311" max="13311" width="33.85546875" style="2" customWidth="1"/>
    <col min="13312" max="13312" width="5.140625" style="2" customWidth="1"/>
    <col min="13313" max="13314" width="17.5703125" style="2" customWidth="1"/>
    <col min="13315" max="13558" width="9.140625" style="2"/>
    <col min="13559" max="13559" width="3.5703125" style="2" customWidth="1"/>
    <col min="13560" max="13560" width="96.85546875" style="2" customWidth="1"/>
    <col min="13561" max="13561" width="30.85546875" style="2" customWidth="1"/>
    <col min="13562" max="13562" width="12.5703125" style="2" customWidth="1"/>
    <col min="13563" max="13563" width="5.140625" style="2" customWidth="1"/>
    <col min="13564" max="13564" width="9.140625" style="2"/>
    <col min="13565" max="13565" width="4.85546875" style="2" customWidth="1"/>
    <col min="13566" max="13566" width="30.5703125" style="2" customWidth="1"/>
    <col min="13567" max="13567" width="33.85546875" style="2" customWidth="1"/>
    <col min="13568" max="13568" width="5.140625" style="2" customWidth="1"/>
    <col min="13569" max="13570" width="17.5703125" style="2" customWidth="1"/>
    <col min="13571" max="13814" width="9.140625" style="2"/>
    <col min="13815" max="13815" width="3.5703125" style="2" customWidth="1"/>
    <col min="13816" max="13816" width="96.85546875" style="2" customWidth="1"/>
    <col min="13817" max="13817" width="30.85546875" style="2" customWidth="1"/>
    <col min="13818" max="13818" width="12.5703125" style="2" customWidth="1"/>
    <col min="13819" max="13819" width="5.140625" style="2" customWidth="1"/>
    <col min="13820" max="13820" width="9.140625" style="2"/>
    <col min="13821" max="13821" width="4.85546875" style="2" customWidth="1"/>
    <col min="13822" max="13822" width="30.5703125" style="2" customWidth="1"/>
    <col min="13823" max="13823" width="33.85546875" style="2" customWidth="1"/>
    <col min="13824" max="13824" width="5.140625" style="2" customWidth="1"/>
    <col min="13825" max="13826" width="17.5703125" style="2" customWidth="1"/>
    <col min="13827" max="14070" width="9.140625" style="2"/>
    <col min="14071" max="14071" width="3.5703125" style="2" customWidth="1"/>
    <col min="14072" max="14072" width="96.85546875" style="2" customWidth="1"/>
    <col min="14073" max="14073" width="30.85546875" style="2" customWidth="1"/>
    <col min="14074" max="14074" width="12.5703125" style="2" customWidth="1"/>
    <col min="14075" max="14075" width="5.140625" style="2" customWidth="1"/>
    <col min="14076" max="14076" width="9.140625" style="2"/>
    <col min="14077" max="14077" width="4.85546875" style="2" customWidth="1"/>
    <col min="14078" max="14078" width="30.5703125" style="2" customWidth="1"/>
    <col min="14079" max="14079" width="33.85546875" style="2" customWidth="1"/>
    <col min="14080" max="14080" width="5.140625" style="2" customWidth="1"/>
    <col min="14081" max="14082" width="17.5703125" style="2" customWidth="1"/>
    <col min="14083" max="14326" width="9.140625" style="2"/>
    <col min="14327" max="14327" width="3.5703125" style="2" customWidth="1"/>
    <col min="14328" max="14328" width="96.85546875" style="2" customWidth="1"/>
    <col min="14329" max="14329" width="30.85546875" style="2" customWidth="1"/>
    <col min="14330" max="14330" width="12.5703125" style="2" customWidth="1"/>
    <col min="14331" max="14331" width="5.140625" style="2" customWidth="1"/>
    <col min="14332" max="14332" width="9.140625" style="2"/>
    <col min="14333" max="14333" width="4.85546875" style="2" customWidth="1"/>
    <col min="14334" max="14334" width="30.5703125" style="2" customWidth="1"/>
    <col min="14335" max="14335" width="33.85546875" style="2" customWidth="1"/>
    <col min="14336" max="14336" width="5.140625" style="2" customWidth="1"/>
    <col min="14337" max="14338" width="17.5703125" style="2" customWidth="1"/>
    <col min="14339" max="14582" width="9.140625" style="2"/>
    <col min="14583" max="14583" width="3.5703125" style="2" customWidth="1"/>
    <col min="14584" max="14584" width="96.85546875" style="2" customWidth="1"/>
    <col min="14585" max="14585" width="30.85546875" style="2" customWidth="1"/>
    <col min="14586" max="14586" width="12.5703125" style="2" customWidth="1"/>
    <col min="14587" max="14587" width="5.140625" style="2" customWidth="1"/>
    <col min="14588" max="14588" width="9.140625" style="2"/>
    <col min="14589" max="14589" width="4.85546875" style="2" customWidth="1"/>
    <col min="14590" max="14590" width="30.5703125" style="2" customWidth="1"/>
    <col min="14591" max="14591" width="33.85546875" style="2" customWidth="1"/>
    <col min="14592" max="14592" width="5.140625" style="2" customWidth="1"/>
    <col min="14593" max="14594" width="17.5703125" style="2" customWidth="1"/>
    <col min="14595" max="14838" width="9.140625" style="2"/>
    <col min="14839" max="14839" width="3.5703125" style="2" customWidth="1"/>
    <col min="14840" max="14840" width="96.85546875" style="2" customWidth="1"/>
    <col min="14841" max="14841" width="30.85546875" style="2" customWidth="1"/>
    <col min="14842" max="14842" width="12.5703125" style="2" customWidth="1"/>
    <col min="14843" max="14843" width="5.140625" style="2" customWidth="1"/>
    <col min="14844" max="14844" width="9.140625" style="2"/>
    <col min="14845" max="14845" width="4.85546875" style="2" customWidth="1"/>
    <col min="14846" max="14846" width="30.5703125" style="2" customWidth="1"/>
    <col min="14847" max="14847" width="33.85546875" style="2" customWidth="1"/>
    <col min="14848" max="14848" width="5.140625" style="2" customWidth="1"/>
    <col min="14849" max="14850" width="17.5703125" style="2" customWidth="1"/>
    <col min="14851" max="15094" width="9.140625" style="2"/>
    <col min="15095" max="15095" width="3.5703125" style="2" customWidth="1"/>
    <col min="15096" max="15096" width="96.85546875" style="2" customWidth="1"/>
    <col min="15097" max="15097" width="30.85546875" style="2" customWidth="1"/>
    <col min="15098" max="15098" width="12.5703125" style="2" customWidth="1"/>
    <col min="15099" max="15099" width="5.140625" style="2" customWidth="1"/>
    <col min="15100" max="15100" width="9.140625" style="2"/>
    <col min="15101" max="15101" width="4.85546875" style="2" customWidth="1"/>
    <col min="15102" max="15102" width="30.5703125" style="2" customWidth="1"/>
    <col min="15103" max="15103" width="33.85546875" style="2" customWidth="1"/>
    <col min="15104" max="15104" width="5.140625" style="2" customWidth="1"/>
    <col min="15105" max="15106" width="17.5703125" style="2" customWidth="1"/>
    <col min="15107" max="15350" width="9.140625" style="2"/>
    <col min="15351" max="15351" width="3.5703125" style="2" customWidth="1"/>
    <col min="15352" max="15352" width="96.85546875" style="2" customWidth="1"/>
    <col min="15353" max="15353" width="30.85546875" style="2" customWidth="1"/>
    <col min="15354" max="15354" width="12.5703125" style="2" customWidth="1"/>
    <col min="15355" max="15355" width="5.140625" style="2" customWidth="1"/>
    <col min="15356" max="15356" width="9.140625" style="2"/>
    <col min="15357" max="15357" width="4.85546875" style="2" customWidth="1"/>
    <col min="15358" max="15358" width="30.5703125" style="2" customWidth="1"/>
    <col min="15359" max="15359" width="33.85546875" style="2" customWidth="1"/>
    <col min="15360" max="15360" width="5.140625" style="2" customWidth="1"/>
    <col min="15361" max="15362" width="17.5703125" style="2" customWidth="1"/>
    <col min="15363" max="15606" width="9.140625" style="2"/>
    <col min="15607" max="15607" width="3.5703125" style="2" customWidth="1"/>
    <col min="15608" max="15608" width="96.85546875" style="2" customWidth="1"/>
    <col min="15609" max="15609" width="30.85546875" style="2" customWidth="1"/>
    <col min="15610" max="15610" width="12.5703125" style="2" customWidth="1"/>
    <col min="15611" max="15611" width="5.140625" style="2" customWidth="1"/>
    <col min="15612" max="15612" width="9.140625" style="2"/>
    <col min="15613" max="15613" width="4.85546875" style="2" customWidth="1"/>
    <col min="15614" max="15614" width="30.5703125" style="2" customWidth="1"/>
    <col min="15615" max="15615" width="33.85546875" style="2" customWidth="1"/>
    <col min="15616" max="15616" width="5.140625" style="2" customWidth="1"/>
    <col min="15617" max="15618" width="17.5703125" style="2" customWidth="1"/>
    <col min="15619" max="15862" width="9.140625" style="2"/>
    <col min="15863" max="15863" width="3.5703125" style="2" customWidth="1"/>
    <col min="15864" max="15864" width="96.85546875" style="2" customWidth="1"/>
    <col min="15865" max="15865" width="30.85546875" style="2" customWidth="1"/>
    <col min="15866" max="15866" width="12.5703125" style="2" customWidth="1"/>
    <col min="15867" max="15867" width="5.140625" style="2" customWidth="1"/>
    <col min="15868" max="15868" width="9.140625" style="2"/>
    <col min="15869" max="15869" width="4.85546875" style="2" customWidth="1"/>
    <col min="15870" max="15870" width="30.5703125" style="2" customWidth="1"/>
    <col min="15871" max="15871" width="33.85546875" style="2" customWidth="1"/>
    <col min="15872" max="15872" width="5.140625" style="2" customWidth="1"/>
    <col min="15873" max="15874" width="17.5703125" style="2" customWidth="1"/>
    <col min="15875" max="16118" width="9.140625" style="2"/>
    <col min="16119" max="16119" width="3.5703125" style="2" customWidth="1"/>
    <col min="16120" max="16120" width="96.85546875" style="2" customWidth="1"/>
    <col min="16121" max="16121" width="30.85546875" style="2" customWidth="1"/>
    <col min="16122" max="16122" width="12.5703125" style="2" customWidth="1"/>
    <col min="16123" max="16123" width="5.140625" style="2" customWidth="1"/>
    <col min="16124" max="16124" width="9.140625" style="2"/>
    <col min="16125" max="16125" width="4.85546875" style="2" customWidth="1"/>
    <col min="16126" max="16126" width="30.5703125" style="2" customWidth="1"/>
    <col min="16127" max="16127" width="33.85546875" style="2" customWidth="1"/>
    <col min="16128" max="16128" width="5.140625" style="2" customWidth="1"/>
    <col min="16129" max="16130" width="17.5703125" style="2" customWidth="1"/>
    <col min="16131" max="16384" width="9.140625" style="2"/>
  </cols>
  <sheetData>
    <row r="1" spans="1:3" ht="48" customHeight="1" x14ac:dyDescent="0.2">
      <c r="A1" s="111"/>
      <c r="B1" s="143" t="s">
        <v>225</v>
      </c>
      <c r="C1" s="143"/>
    </row>
    <row r="2" spans="1:3" x14ac:dyDescent="0.2">
      <c r="A2" s="1"/>
      <c r="B2" s="3" t="s">
        <v>2</v>
      </c>
      <c r="C2" s="4">
        <v>45317</v>
      </c>
    </row>
    <row r="3" spans="1:3" x14ac:dyDescent="0.2">
      <c r="A3" s="1"/>
      <c r="B3" s="112" t="s">
        <v>3</v>
      </c>
    </row>
    <row r="4" spans="1:3" ht="25.5" x14ac:dyDescent="0.2">
      <c r="A4" s="7"/>
      <c r="B4" s="8" t="str">
        <f>[12]И1!D13</f>
        <v>Субъект Российской Федерации</v>
      </c>
      <c r="C4" s="9" t="str">
        <f>[12]И1!E13</f>
        <v>Новосибирская область</v>
      </c>
    </row>
    <row r="5" spans="1:3" ht="38.25" x14ac:dyDescent="0.2">
      <c r="A5" s="7"/>
      <c r="B5" s="8" t="str">
        <f>[12]И1!D14</f>
        <v>Тип муниципального образования (выберите из списка)</v>
      </c>
      <c r="C5" s="9" t="str">
        <f>[12]И1!E14</f>
        <v>село Новопичугово, Ордынский муниципальный район</v>
      </c>
    </row>
    <row r="6" spans="1:3" x14ac:dyDescent="0.2">
      <c r="A6" s="7"/>
      <c r="B6" s="8" t="str">
        <f>IF([12]И1!E15="","",[12]И1!D15)</f>
        <v/>
      </c>
      <c r="C6" s="9" t="str">
        <f>IF([12]И1!E15="","",[12]И1!E15)</f>
        <v/>
      </c>
    </row>
    <row r="7" spans="1:3" x14ac:dyDescent="0.2">
      <c r="A7" s="7"/>
      <c r="B7" s="8" t="str">
        <f>[12]И1!D16</f>
        <v>Код ОКТМО</v>
      </c>
      <c r="C7" s="10" t="str">
        <f>[12]И1!E16</f>
        <v>50642418101</v>
      </c>
    </row>
    <row r="8" spans="1:3" x14ac:dyDescent="0.2">
      <c r="A8" s="7"/>
      <c r="B8" s="11" t="str">
        <f>[12]И1!D17</f>
        <v>Система теплоснабжения</v>
      </c>
      <c r="C8" s="12">
        <f>[12]И1!E17</f>
        <v>0</v>
      </c>
    </row>
    <row r="9" spans="1:3" x14ac:dyDescent="0.2">
      <c r="A9" s="7"/>
      <c r="B9" s="8" t="str">
        <f>[12]И1!D8</f>
        <v>Период регулирования (i)-й</v>
      </c>
      <c r="C9" s="13">
        <f>[12]И1!E8</f>
        <v>2024</v>
      </c>
    </row>
    <row r="10" spans="1:3" x14ac:dyDescent="0.2">
      <c r="A10" s="7"/>
      <c r="B10" s="8" t="str">
        <f>[12]И1!D9</f>
        <v>Период регулирования (i-1)-й</v>
      </c>
      <c r="C10" s="13">
        <f>[12]И1!E9</f>
        <v>2023</v>
      </c>
    </row>
    <row r="11" spans="1:3" x14ac:dyDescent="0.2">
      <c r="A11" s="7"/>
      <c r="B11" s="8" t="str">
        <f>[12]И1!D10</f>
        <v>Период регулирования (i-2)-й</v>
      </c>
      <c r="C11" s="13">
        <f>[12]И1!E10</f>
        <v>2022</v>
      </c>
    </row>
    <row r="12" spans="1:3" x14ac:dyDescent="0.2">
      <c r="A12" s="7"/>
      <c r="B12" s="8" t="str">
        <f>[12]И1!D11</f>
        <v>Базовый год (б)</v>
      </c>
      <c r="C12" s="13">
        <f>[12]И1!E11</f>
        <v>2019</v>
      </c>
    </row>
    <row r="13" spans="1:3" ht="38.25" x14ac:dyDescent="0.2">
      <c r="A13" s="7"/>
      <c r="B13" s="8" t="str">
        <f>[12]И1!D18</f>
        <v>Вид топлива, использование которого преобладает в системе теплоснабжения</v>
      </c>
      <c r="C13" s="14" t="str">
        <f>[12]С1.1!E13</f>
        <v>уголь (вид угля не указан в топливном балансе)</v>
      </c>
    </row>
    <row r="14" spans="1:3" ht="31.7" customHeight="1" thickBot="1" x14ac:dyDescent="0.25">
      <c r="A14" s="146" t="s">
        <v>4</v>
      </c>
      <c r="B14" s="146"/>
      <c r="C14" s="146"/>
    </row>
    <row r="15" spans="1:3" x14ac:dyDescent="0.2">
      <c r="A15" s="15" t="s">
        <v>5</v>
      </c>
      <c r="B15" s="113" t="s">
        <v>6</v>
      </c>
      <c r="C15" s="114" t="s">
        <v>7</v>
      </c>
    </row>
    <row r="16" spans="1:3" x14ac:dyDescent="0.2">
      <c r="A16" s="18">
        <v>1</v>
      </c>
      <c r="B16" s="115">
        <v>2</v>
      </c>
      <c r="C16" s="116">
        <v>3</v>
      </c>
    </row>
    <row r="17" spans="1:3" x14ac:dyDescent="0.2">
      <c r="A17" s="21">
        <v>1</v>
      </c>
      <c r="B17" s="22" t="s">
        <v>8</v>
      </c>
      <c r="C17" s="23">
        <f>SUM(C18:C22)</f>
        <v>3624.5827974075228</v>
      </c>
    </row>
    <row r="18" spans="1:3" ht="42.75" x14ac:dyDescent="0.2">
      <c r="A18" s="21" t="s">
        <v>9</v>
      </c>
      <c r="B18" s="24" t="s">
        <v>10</v>
      </c>
      <c r="C18" s="25">
        <f>[12]С1!F12</f>
        <v>648.97214183397375</v>
      </c>
    </row>
    <row r="19" spans="1:3" ht="42.75" x14ac:dyDescent="0.2">
      <c r="A19" s="21" t="s">
        <v>11</v>
      </c>
      <c r="B19" s="24" t="s">
        <v>12</v>
      </c>
      <c r="C19" s="25">
        <f>[12]С2!F12</f>
        <v>1988.7336845318171</v>
      </c>
    </row>
    <row r="20" spans="1:3" ht="30" x14ac:dyDescent="0.2">
      <c r="A20" s="21" t="s">
        <v>13</v>
      </c>
      <c r="B20" s="24" t="s">
        <v>14</v>
      </c>
      <c r="C20" s="25">
        <f>[12]С3!F12</f>
        <v>472.61808029676507</v>
      </c>
    </row>
    <row r="21" spans="1:3" ht="42.75" x14ac:dyDescent="0.2">
      <c r="A21" s="21" t="s">
        <v>15</v>
      </c>
      <c r="B21" s="24" t="s">
        <v>226</v>
      </c>
      <c r="C21" s="25">
        <f>[12]С4!F12</f>
        <v>443.18863981540756</v>
      </c>
    </row>
    <row r="22" spans="1:3" ht="30" x14ac:dyDescent="0.2">
      <c r="A22" s="21" t="s">
        <v>17</v>
      </c>
      <c r="B22" s="24" t="s">
        <v>227</v>
      </c>
      <c r="C22" s="25">
        <f>[12]С5!F12</f>
        <v>71.070250929559265</v>
      </c>
    </row>
    <row r="23" spans="1:3" ht="43.5" thickBot="1" x14ac:dyDescent="0.25">
      <c r="A23" s="26" t="s">
        <v>19</v>
      </c>
      <c r="B23" s="140" t="s">
        <v>228</v>
      </c>
      <c r="C23" s="27" t="str">
        <f>[12]С6!F12</f>
        <v>-</v>
      </c>
    </row>
    <row r="24" spans="1:3" ht="13.5" thickBot="1" x14ac:dyDescent="0.25">
      <c r="A24" s="1"/>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229</v>
      </c>
      <c r="C28" s="32">
        <f>[12]С1.1!E16</f>
        <v>5100</v>
      </c>
    </row>
    <row r="29" spans="1:3" ht="42.75" x14ac:dyDescent="0.2">
      <c r="A29" s="21" t="s">
        <v>11</v>
      </c>
      <c r="B29" s="31" t="s">
        <v>230</v>
      </c>
      <c r="C29" s="32">
        <f>[12]С1.1!E27</f>
        <v>2915.86</v>
      </c>
    </row>
    <row r="30" spans="1:3" ht="17.25" x14ac:dyDescent="0.2">
      <c r="A30" s="21" t="s">
        <v>13</v>
      </c>
      <c r="B30" s="31" t="s">
        <v>30</v>
      </c>
      <c r="C30" s="34">
        <f>[12]С1.1!E19</f>
        <v>-0.19900000000000001</v>
      </c>
    </row>
    <row r="31" spans="1:3" ht="17.25" x14ac:dyDescent="0.2">
      <c r="A31" s="21" t="s">
        <v>15</v>
      </c>
      <c r="B31" s="31" t="s">
        <v>31</v>
      </c>
      <c r="C31" s="34">
        <f>[12]С1.1!E20</f>
        <v>5.7000000000000002E-2</v>
      </c>
    </row>
    <row r="32" spans="1:3" ht="30" x14ac:dyDescent="0.2">
      <c r="A32" s="21" t="s">
        <v>17</v>
      </c>
      <c r="B32" s="35" t="s">
        <v>231</v>
      </c>
      <c r="C32" s="117">
        <f>[12]С1!F13</f>
        <v>176.4</v>
      </c>
    </row>
    <row r="33" spans="1:3" x14ac:dyDescent="0.2">
      <c r="A33" s="21" t="s">
        <v>19</v>
      </c>
      <c r="B33" s="35" t="s">
        <v>33</v>
      </c>
      <c r="C33" s="37">
        <f>[12]С1!F16</f>
        <v>7000</v>
      </c>
    </row>
    <row r="34" spans="1:3" ht="14.25" x14ac:dyDescent="0.2">
      <c r="A34" s="21" t="s">
        <v>34</v>
      </c>
      <c r="B34" s="39" t="s">
        <v>232</v>
      </c>
      <c r="C34" s="40">
        <f>[12]С1!F17</f>
        <v>0.72857142857142854</v>
      </c>
    </row>
    <row r="35" spans="1:3" ht="15.75" x14ac:dyDescent="0.2">
      <c r="A35" s="118" t="s">
        <v>36</v>
      </c>
      <c r="B35" s="42" t="s">
        <v>37</v>
      </c>
      <c r="C35" s="40">
        <f>[12]С1!F20</f>
        <v>21.588411179999994</v>
      </c>
    </row>
    <row r="36" spans="1:3" ht="15.75" x14ac:dyDescent="0.2">
      <c r="A36" s="118" t="s">
        <v>38</v>
      </c>
      <c r="B36" s="43" t="s">
        <v>39</v>
      </c>
      <c r="C36" s="40">
        <f>[12]С1!F21</f>
        <v>20.818139999999996</v>
      </c>
    </row>
    <row r="37" spans="1:3" ht="14.25" x14ac:dyDescent="0.2">
      <c r="A37" s="118" t="s">
        <v>40</v>
      </c>
      <c r="B37" s="44" t="s">
        <v>41</v>
      </c>
      <c r="C37" s="40">
        <f>[12]С1!F22</f>
        <v>1.0369999999999999</v>
      </c>
    </row>
    <row r="38" spans="1:3" ht="53.25" thickBot="1" x14ac:dyDescent="0.25">
      <c r="A38" s="26" t="s">
        <v>42</v>
      </c>
      <c r="B38" s="45" t="s">
        <v>43</v>
      </c>
      <c r="C38" s="46">
        <f>[12]С1!F23</f>
        <v>1.0469999999999999</v>
      </c>
    </row>
    <row r="39" spans="1:3" ht="13.5" thickBot="1" x14ac:dyDescent="0.25">
      <c r="A39" s="47"/>
      <c r="B39" s="119"/>
      <c r="C39" s="120"/>
    </row>
    <row r="40" spans="1:3" ht="30" customHeight="1" x14ac:dyDescent="0.2">
      <c r="A40" s="49" t="s">
        <v>44</v>
      </c>
      <c r="B40" s="145" t="s">
        <v>45</v>
      </c>
      <c r="C40" s="145"/>
    </row>
    <row r="41" spans="1:3" ht="25.5" x14ac:dyDescent="0.2">
      <c r="A41" s="21" t="s">
        <v>46</v>
      </c>
      <c r="B41" s="35" t="s">
        <v>47</v>
      </c>
      <c r="C41" s="50" t="str">
        <f>[12]С2.1!E12</f>
        <v>V</v>
      </c>
    </row>
    <row r="42" spans="1:3" ht="25.5" x14ac:dyDescent="0.2">
      <c r="A42" s="21" t="s">
        <v>48</v>
      </c>
      <c r="B42" s="31" t="s">
        <v>49</v>
      </c>
      <c r="C42" s="50" t="str">
        <f>[12]С2.1!E13</f>
        <v>6 и менее баллов</v>
      </c>
    </row>
    <row r="43" spans="1:3" ht="25.5" x14ac:dyDescent="0.2">
      <c r="A43" s="21" t="s">
        <v>50</v>
      </c>
      <c r="B43" s="31" t="s">
        <v>233</v>
      </c>
      <c r="C43" s="50" t="str">
        <f>[12]С2.1!E14</f>
        <v>от 200 до 500</v>
      </c>
    </row>
    <row r="44" spans="1:3" ht="25.5" x14ac:dyDescent="0.2">
      <c r="A44" s="21" t="s">
        <v>52</v>
      </c>
      <c r="B44" s="31" t="s">
        <v>234</v>
      </c>
      <c r="C44" s="51" t="str">
        <f>[12]С2.1!E15</f>
        <v>нет</v>
      </c>
    </row>
    <row r="45" spans="1:3" ht="30" x14ac:dyDescent="0.2">
      <c r="A45" s="21" t="s">
        <v>54</v>
      </c>
      <c r="B45" s="31" t="s">
        <v>55</v>
      </c>
      <c r="C45" s="32">
        <f>[12]С2!F18</f>
        <v>35106.652004551666</v>
      </c>
    </row>
    <row r="46" spans="1:3" ht="30" x14ac:dyDescent="0.2">
      <c r="A46" s="21" t="s">
        <v>56</v>
      </c>
      <c r="B46" s="52" t="s">
        <v>57</v>
      </c>
      <c r="C46" s="32">
        <f>IF([12]С2!F19&gt;0,[12]С2!F19,[12]С2!F20)</f>
        <v>23441.524932855718</v>
      </c>
    </row>
    <row r="47" spans="1:3" ht="25.5" x14ac:dyDescent="0.2">
      <c r="A47" s="21" t="s">
        <v>58</v>
      </c>
      <c r="B47" s="53" t="s">
        <v>59</v>
      </c>
      <c r="C47" s="32">
        <f>[12]С2.1!E19</f>
        <v>-37</v>
      </c>
    </row>
    <row r="48" spans="1:3" ht="25.5" x14ac:dyDescent="0.2">
      <c r="A48" s="21" t="s">
        <v>60</v>
      </c>
      <c r="B48" s="53" t="s">
        <v>61</v>
      </c>
      <c r="C48" s="32" t="str">
        <f>[12]С2.1!E22</f>
        <v>нет</v>
      </c>
    </row>
    <row r="49" spans="1:3" ht="38.25" x14ac:dyDescent="0.2">
      <c r="A49" s="21" t="s">
        <v>62</v>
      </c>
      <c r="B49" s="54" t="s">
        <v>63</v>
      </c>
      <c r="C49" s="32">
        <f>[12]С2.2!E10</f>
        <v>1287</v>
      </c>
    </row>
    <row r="50" spans="1:3" ht="25.5" x14ac:dyDescent="0.2">
      <c r="A50" s="21" t="s">
        <v>64</v>
      </c>
      <c r="B50" s="55" t="s">
        <v>65</v>
      </c>
      <c r="C50" s="32">
        <f>[12]С2.2!E12</f>
        <v>5.97</v>
      </c>
    </row>
    <row r="51" spans="1:3" ht="52.5" x14ac:dyDescent="0.2">
      <c r="A51" s="21" t="s">
        <v>66</v>
      </c>
      <c r="B51" s="56" t="s">
        <v>67</v>
      </c>
      <c r="C51" s="32">
        <f>[12]С2.2!E13</f>
        <v>1</v>
      </c>
    </row>
    <row r="52" spans="1:3" ht="27.75" x14ac:dyDescent="0.2">
      <c r="A52" s="21" t="s">
        <v>68</v>
      </c>
      <c r="B52" s="55" t="s">
        <v>69</v>
      </c>
      <c r="C52" s="32">
        <f>[12]С2.2!E14</f>
        <v>12104</v>
      </c>
    </row>
    <row r="53" spans="1:3" ht="25.5" x14ac:dyDescent="0.2">
      <c r="A53" s="21" t="s">
        <v>70</v>
      </c>
      <c r="B53" s="56" t="s">
        <v>71</v>
      </c>
      <c r="C53" s="34">
        <f>[12]С2.2!E15</f>
        <v>4.8000000000000001E-2</v>
      </c>
    </row>
    <row r="54" spans="1:3" x14ac:dyDescent="0.2">
      <c r="A54" s="21" t="s">
        <v>72</v>
      </c>
      <c r="B54" s="56" t="s">
        <v>73</v>
      </c>
      <c r="C54" s="32">
        <f>[12]С2.2!E16</f>
        <v>1</v>
      </c>
    </row>
    <row r="55" spans="1:3" ht="15.75" x14ac:dyDescent="0.2">
      <c r="A55" s="21" t="s">
        <v>74</v>
      </c>
      <c r="B55" s="58" t="s">
        <v>75</v>
      </c>
      <c r="C55" s="32">
        <f>[12]С2!F21</f>
        <v>1</v>
      </c>
    </row>
    <row r="56" spans="1:3" ht="30" x14ac:dyDescent="0.2">
      <c r="A56" s="59" t="s">
        <v>76</v>
      </c>
      <c r="B56" s="31" t="s">
        <v>235</v>
      </c>
      <c r="C56" s="32">
        <f>[12]С2!F13</f>
        <v>183796.83936385796</v>
      </c>
    </row>
    <row r="57" spans="1:3" ht="30" x14ac:dyDescent="0.2">
      <c r="A57" s="59" t="s">
        <v>78</v>
      </c>
      <c r="B57" s="58" t="s">
        <v>236</v>
      </c>
      <c r="C57" s="32">
        <f>[12]С2!F14</f>
        <v>113455</v>
      </c>
    </row>
    <row r="58" spans="1:3" ht="15.75" x14ac:dyDescent="0.2">
      <c r="A58" s="59" t="s">
        <v>80</v>
      </c>
      <c r="B58" s="60" t="s">
        <v>81</v>
      </c>
      <c r="C58" s="40">
        <f>[12]С2!F15</f>
        <v>1.071</v>
      </c>
    </row>
    <row r="59" spans="1:3" ht="15.75" x14ac:dyDescent="0.2">
      <c r="A59" s="59" t="s">
        <v>82</v>
      </c>
      <c r="B59" s="60" t="s">
        <v>83</v>
      </c>
      <c r="C59" s="40">
        <f>[12]С2!F16</f>
        <v>1</v>
      </c>
    </row>
    <row r="60" spans="1:3" ht="17.25" x14ac:dyDescent="0.2">
      <c r="A60" s="59" t="s">
        <v>84</v>
      </c>
      <c r="B60" s="58" t="s">
        <v>85</v>
      </c>
      <c r="C60" s="32">
        <f>[12]С2!F17</f>
        <v>1.01</v>
      </c>
    </row>
    <row r="61" spans="1:3" s="65" customFormat="1" ht="14.25" x14ac:dyDescent="0.2">
      <c r="A61" s="59" t="s">
        <v>86</v>
      </c>
      <c r="B61" s="63" t="s">
        <v>87</v>
      </c>
      <c r="C61" s="64">
        <f>[12]С2!F33</f>
        <v>10</v>
      </c>
    </row>
    <row r="62" spans="1:3" ht="30" x14ac:dyDescent="0.2">
      <c r="A62" s="59" t="s">
        <v>88</v>
      </c>
      <c r="B62" s="66" t="s">
        <v>89</v>
      </c>
      <c r="C62" s="32">
        <f>[12]С2!F26</f>
        <v>1266.3745527115127</v>
      </c>
    </row>
    <row r="63" spans="1:3" ht="17.25" x14ac:dyDescent="0.2">
      <c r="A63" s="59" t="s">
        <v>90</v>
      </c>
      <c r="B63" s="52" t="s">
        <v>237</v>
      </c>
      <c r="C63" s="32">
        <f>[12]С2!F27</f>
        <v>0.201330388</v>
      </c>
    </row>
    <row r="64" spans="1:3" ht="17.25" x14ac:dyDescent="0.2">
      <c r="A64" s="59" t="s">
        <v>92</v>
      </c>
      <c r="B64" s="58" t="s">
        <v>238</v>
      </c>
      <c r="C64" s="64">
        <f>[12]С2!F28</f>
        <v>4200</v>
      </c>
    </row>
    <row r="65" spans="1:3" ht="42.75" x14ac:dyDescent="0.2">
      <c r="A65" s="59" t="s">
        <v>94</v>
      </c>
      <c r="B65" s="31" t="s">
        <v>239</v>
      </c>
      <c r="C65" s="32">
        <f>[12]С2!F22</f>
        <v>38698.422798410109</v>
      </c>
    </row>
    <row r="66" spans="1:3" ht="30" x14ac:dyDescent="0.2">
      <c r="A66" s="59" t="s">
        <v>96</v>
      </c>
      <c r="B66" s="60" t="s">
        <v>240</v>
      </c>
      <c r="C66" s="32">
        <f>[12]С2!F23</f>
        <v>1990</v>
      </c>
    </row>
    <row r="67" spans="1:3" ht="30" x14ac:dyDescent="0.2">
      <c r="A67" s="59" t="s">
        <v>98</v>
      </c>
      <c r="B67" s="52" t="s">
        <v>99</v>
      </c>
      <c r="C67" s="32">
        <f>[12]С2.1!E27</f>
        <v>14307.876789999998</v>
      </c>
    </row>
    <row r="68" spans="1:3" ht="38.25" x14ac:dyDescent="0.2">
      <c r="A68" s="59" t="s">
        <v>100</v>
      </c>
      <c r="B68" s="67" t="s">
        <v>101</v>
      </c>
      <c r="C68" s="51">
        <f>[12]С2.3!E21</f>
        <v>0</v>
      </c>
    </row>
    <row r="69" spans="1:3" ht="25.5" x14ac:dyDescent="0.2">
      <c r="A69" s="59" t="s">
        <v>102</v>
      </c>
      <c r="B69" s="68" t="s">
        <v>103</v>
      </c>
      <c r="C69" s="69">
        <f>[12]С2.3!E11</f>
        <v>9.89</v>
      </c>
    </row>
    <row r="70" spans="1:3" ht="25.5" x14ac:dyDescent="0.2">
      <c r="A70" s="59" t="s">
        <v>104</v>
      </c>
      <c r="B70" s="68" t="s">
        <v>105</v>
      </c>
      <c r="C70" s="64">
        <f>[12]С2.3!E13</f>
        <v>300</v>
      </c>
    </row>
    <row r="71" spans="1:3" ht="25.5" x14ac:dyDescent="0.2">
      <c r="A71" s="59" t="s">
        <v>106</v>
      </c>
      <c r="B71" s="67" t="s">
        <v>107</v>
      </c>
      <c r="C71" s="70">
        <f>IF([12]С2.3!E22&gt;0,[12]С2.3!E22,[12]С2.3!E14)</f>
        <v>61211</v>
      </c>
    </row>
    <row r="72" spans="1:3" ht="38.25" x14ac:dyDescent="0.2">
      <c r="A72" s="59" t="s">
        <v>108</v>
      </c>
      <c r="B72" s="67" t="s">
        <v>109</v>
      </c>
      <c r="C72" s="70">
        <f>IF([12]С2.3!E23&gt;0,[12]С2.3!E23,[12]С2.3!E15)</f>
        <v>45675</v>
      </c>
    </row>
    <row r="73" spans="1:3" ht="30" x14ac:dyDescent="0.2">
      <c r="A73" s="59" t="s">
        <v>110</v>
      </c>
      <c r="B73" s="52" t="s">
        <v>111</v>
      </c>
      <c r="C73" s="32">
        <f>[12]С2.1!E28</f>
        <v>9541.9567200000001</v>
      </c>
    </row>
    <row r="74" spans="1:3" ht="38.25" x14ac:dyDescent="0.2">
      <c r="A74" s="59" t="s">
        <v>112</v>
      </c>
      <c r="B74" s="67" t="s">
        <v>113</v>
      </c>
      <c r="C74" s="51">
        <f>[12]С2.3!E25</f>
        <v>0</v>
      </c>
    </row>
    <row r="75" spans="1:3" ht="25.5" x14ac:dyDescent="0.2">
      <c r="A75" s="59" t="s">
        <v>114</v>
      </c>
      <c r="B75" s="68" t="s">
        <v>115</v>
      </c>
      <c r="C75" s="69">
        <f>[12]С2.3!E12</f>
        <v>0.56000000000000005</v>
      </c>
    </row>
    <row r="76" spans="1:3" ht="25.5" x14ac:dyDescent="0.2">
      <c r="A76" s="59" t="s">
        <v>116</v>
      </c>
      <c r="B76" s="68" t="s">
        <v>105</v>
      </c>
      <c r="C76" s="64">
        <f>[12]С2.3!E13</f>
        <v>300</v>
      </c>
    </row>
    <row r="77" spans="1:3" ht="25.5" x14ac:dyDescent="0.2">
      <c r="A77" s="59" t="s">
        <v>117</v>
      </c>
      <c r="B77" s="71" t="s">
        <v>118</v>
      </c>
      <c r="C77" s="70">
        <f>IF([12]С2.3!E26&gt;0,[12]С2.3!E26,[12]С2.3!E16)</f>
        <v>65637</v>
      </c>
    </row>
    <row r="78" spans="1:3" ht="38.25" x14ac:dyDescent="0.2">
      <c r="A78" s="59" t="s">
        <v>119</v>
      </c>
      <c r="B78" s="71" t="s">
        <v>120</v>
      </c>
      <c r="C78" s="70">
        <f>IF([12]С2.3!E27&gt;0,[12]С2.3!E27,[12]С2.3!E17)</f>
        <v>31684</v>
      </c>
    </row>
    <row r="79" spans="1:3" ht="17.25" x14ac:dyDescent="0.2">
      <c r="A79" s="59" t="s">
        <v>123</v>
      </c>
      <c r="B79" s="31" t="s">
        <v>124</v>
      </c>
      <c r="C79" s="34">
        <f>[12]С2!F29</f>
        <v>9.5962865259740182E-2</v>
      </c>
    </row>
    <row r="80" spans="1:3" ht="30" x14ac:dyDescent="0.2">
      <c r="A80" s="59" t="s">
        <v>125</v>
      </c>
      <c r="B80" s="52" t="s">
        <v>126</v>
      </c>
      <c r="C80" s="72">
        <f>[12]С2!F30</f>
        <v>8.4029304029304031E-2</v>
      </c>
    </row>
    <row r="81" spans="1:3" ht="17.25" x14ac:dyDescent="0.2">
      <c r="A81" s="59" t="s">
        <v>127</v>
      </c>
      <c r="B81" s="73" t="s">
        <v>128</v>
      </c>
      <c r="C81" s="34">
        <f>[12]С2!F31</f>
        <v>0.13880000000000001</v>
      </c>
    </row>
    <row r="82" spans="1:3" s="65" customFormat="1" ht="18" thickBot="1" x14ac:dyDescent="0.25">
      <c r="A82" s="74" t="s">
        <v>129</v>
      </c>
      <c r="B82" s="75" t="s">
        <v>130</v>
      </c>
      <c r="C82" s="76">
        <f>[12]С2!F32</f>
        <v>0.12640000000000001</v>
      </c>
    </row>
    <row r="83" spans="1:3" ht="13.5" thickBot="1" x14ac:dyDescent="0.25">
      <c r="A83" s="47"/>
      <c r="B83" s="48"/>
      <c r="C83" s="14"/>
    </row>
    <row r="84" spans="1:3" s="65" customFormat="1" ht="30" customHeight="1" x14ac:dyDescent="0.2">
      <c r="A84" s="77" t="s">
        <v>131</v>
      </c>
      <c r="B84" s="145" t="s">
        <v>132</v>
      </c>
      <c r="C84" s="145"/>
    </row>
    <row r="85" spans="1:3" s="65" customFormat="1" ht="30" x14ac:dyDescent="0.2">
      <c r="A85" s="78" t="s">
        <v>133</v>
      </c>
      <c r="B85" s="31" t="s">
        <v>134</v>
      </c>
      <c r="C85" s="32">
        <f>[12]С3!F14</f>
        <v>6057.0688307111368</v>
      </c>
    </row>
    <row r="86" spans="1:3" s="65" customFormat="1" ht="42.75" x14ac:dyDescent="0.2">
      <c r="A86" s="78" t="s">
        <v>135</v>
      </c>
      <c r="B86" s="52" t="s">
        <v>136</v>
      </c>
      <c r="C86" s="79">
        <f>[12]С3!F15</f>
        <v>0.2</v>
      </c>
    </row>
    <row r="87" spans="1:3" s="65" customFormat="1" ht="14.25" x14ac:dyDescent="0.2">
      <c r="A87" s="78" t="s">
        <v>137</v>
      </c>
      <c r="B87" s="80" t="s">
        <v>138</v>
      </c>
      <c r="C87" s="64">
        <f>[12]С3!F18</f>
        <v>15</v>
      </c>
    </row>
    <row r="88" spans="1:3" s="65" customFormat="1" ht="17.25" x14ac:dyDescent="0.2">
      <c r="A88" s="78" t="s">
        <v>139</v>
      </c>
      <c r="B88" s="31" t="s">
        <v>140</v>
      </c>
      <c r="C88" s="32">
        <f>[12]С3!F19</f>
        <v>3778.1614077800232</v>
      </c>
    </row>
    <row r="89" spans="1:3" s="65" customFormat="1" ht="55.5" x14ac:dyDescent="0.2">
      <c r="A89" s="78" t="s">
        <v>141</v>
      </c>
      <c r="B89" s="52" t="s">
        <v>142</v>
      </c>
      <c r="C89" s="81">
        <f>[12]С3!F20</f>
        <v>2.1999999999999999E-2</v>
      </c>
    </row>
    <row r="90" spans="1:3" s="65" customFormat="1" ht="14.25" x14ac:dyDescent="0.2">
      <c r="A90" s="78" t="s">
        <v>143</v>
      </c>
      <c r="B90" s="58" t="s">
        <v>87</v>
      </c>
      <c r="C90" s="64">
        <f>[12]С3!F21</f>
        <v>10</v>
      </c>
    </row>
    <row r="91" spans="1:3" s="65" customFormat="1" ht="17.25" x14ac:dyDescent="0.2">
      <c r="A91" s="78" t="s">
        <v>144</v>
      </c>
      <c r="B91" s="31" t="s">
        <v>145</v>
      </c>
      <c r="C91" s="32">
        <f>[12]С3!F22</f>
        <v>3.7991236581345382</v>
      </c>
    </row>
    <row r="92" spans="1:3" s="65" customFormat="1" ht="55.5" x14ac:dyDescent="0.2">
      <c r="A92" s="78" t="s">
        <v>146</v>
      </c>
      <c r="B92" s="52" t="s">
        <v>147</v>
      </c>
      <c r="C92" s="81">
        <f>[12]С3!F23</f>
        <v>3.0000000000000001E-3</v>
      </c>
    </row>
    <row r="93" spans="1:3" s="65" customFormat="1" ht="27.75" thickBot="1" x14ac:dyDescent="0.25">
      <c r="A93" s="82" t="s">
        <v>148</v>
      </c>
      <c r="B93" s="83" t="s">
        <v>241</v>
      </c>
      <c r="C93" s="84">
        <f>[12]С3!F24</f>
        <v>1266.3745527115127</v>
      </c>
    </row>
    <row r="94" spans="1:3" ht="13.5" thickBot="1" x14ac:dyDescent="0.25">
      <c r="A94" s="47"/>
      <c r="B94" s="48"/>
      <c r="C94" s="14"/>
    </row>
    <row r="95" spans="1:3" ht="30" customHeight="1" x14ac:dyDescent="0.2">
      <c r="A95" s="85" t="s">
        <v>149</v>
      </c>
      <c r="B95" s="145" t="s">
        <v>150</v>
      </c>
      <c r="C95" s="145"/>
    </row>
    <row r="96" spans="1:3" ht="30" x14ac:dyDescent="0.2">
      <c r="A96" s="59" t="s">
        <v>151</v>
      </c>
      <c r="B96" s="31" t="s">
        <v>242</v>
      </c>
      <c r="C96" s="32">
        <f>[12]С4!F16</f>
        <v>1652.5</v>
      </c>
    </row>
    <row r="97" spans="1:3" ht="30" x14ac:dyDescent="0.2">
      <c r="A97" s="59" t="s">
        <v>153</v>
      </c>
      <c r="B97" s="58" t="s">
        <v>243</v>
      </c>
      <c r="C97" s="32">
        <f>[12]С4!F17</f>
        <v>73547</v>
      </c>
    </row>
    <row r="98" spans="1:3" ht="17.25" x14ac:dyDescent="0.2">
      <c r="A98" s="59" t="s">
        <v>155</v>
      </c>
      <c r="B98" s="58" t="s">
        <v>156</v>
      </c>
      <c r="C98" s="40">
        <f>[12]С4!F18</f>
        <v>0.02</v>
      </c>
    </row>
    <row r="99" spans="1:3" ht="30" x14ac:dyDescent="0.2">
      <c r="A99" s="59" t="s">
        <v>157</v>
      </c>
      <c r="B99" s="58" t="s">
        <v>158</v>
      </c>
      <c r="C99" s="32">
        <f>[12]С4!F19</f>
        <v>12104</v>
      </c>
    </row>
    <row r="100" spans="1:3" ht="28.5" x14ac:dyDescent="0.2">
      <c r="A100" s="59" t="s">
        <v>159</v>
      </c>
      <c r="B100" s="58" t="s">
        <v>160</v>
      </c>
      <c r="C100" s="40">
        <f>[12]С4!F20</f>
        <v>1.4999999999999999E-2</v>
      </c>
    </row>
    <row r="101" spans="1:3" ht="30" x14ac:dyDescent="0.2">
      <c r="A101" s="59" t="s">
        <v>161</v>
      </c>
      <c r="B101" s="31" t="s">
        <v>244</v>
      </c>
      <c r="C101" s="32">
        <f>[12]С4!F21</f>
        <v>1933.1949342509995</v>
      </c>
    </row>
    <row r="102" spans="1:3" ht="24" customHeight="1" x14ac:dyDescent="0.2">
      <c r="A102" s="59" t="s">
        <v>163</v>
      </c>
      <c r="B102" s="52" t="s">
        <v>164</v>
      </c>
      <c r="C102" s="33">
        <f>IF([12]С4.2!F8="да",[12]С4.2!D21,[12]С4.2!D15)</f>
        <v>0</v>
      </c>
    </row>
    <row r="103" spans="1:3" ht="68.25" x14ac:dyDescent="0.2">
      <c r="A103" s="59" t="s">
        <v>165</v>
      </c>
      <c r="B103" s="52" t="s">
        <v>166</v>
      </c>
      <c r="C103" s="32">
        <f>[12]С4!F22</f>
        <v>3.6112641666666665</v>
      </c>
    </row>
    <row r="104" spans="1:3" ht="30" x14ac:dyDescent="0.2">
      <c r="A104" s="59" t="s">
        <v>167</v>
      </c>
      <c r="B104" s="58" t="s">
        <v>245</v>
      </c>
      <c r="C104" s="32">
        <f>[12]С4!F23</f>
        <v>180</v>
      </c>
    </row>
    <row r="105" spans="1:3" ht="14.25" x14ac:dyDescent="0.2">
      <c r="A105" s="59" t="s">
        <v>169</v>
      </c>
      <c r="B105" s="52" t="s">
        <v>170</v>
      </c>
      <c r="C105" s="32">
        <f>[12]С4!F24</f>
        <v>8497.1999999999989</v>
      </c>
    </row>
    <row r="106" spans="1:3" ht="14.25" x14ac:dyDescent="0.2">
      <c r="A106" s="59" t="s">
        <v>171</v>
      </c>
      <c r="B106" s="58" t="s">
        <v>172</v>
      </c>
      <c r="C106" s="40">
        <f>[12]С4!F25</f>
        <v>0.35</v>
      </c>
    </row>
    <row r="107" spans="1:3" ht="17.25" x14ac:dyDescent="0.2">
      <c r="A107" s="59" t="s">
        <v>173</v>
      </c>
      <c r="B107" s="31" t="s">
        <v>174</v>
      </c>
      <c r="C107" s="32">
        <f>[12]С4!F26</f>
        <v>97.367349999999988</v>
      </c>
    </row>
    <row r="108" spans="1:3" ht="25.5" x14ac:dyDescent="0.2">
      <c r="A108" s="59" t="s">
        <v>175</v>
      </c>
      <c r="B108" s="52" t="s">
        <v>101</v>
      </c>
      <c r="C108" s="33">
        <f>[12]С4.3!E16</f>
        <v>0</v>
      </c>
    </row>
    <row r="109" spans="1:3" ht="25.5" x14ac:dyDescent="0.2">
      <c r="A109" s="59" t="s">
        <v>176</v>
      </c>
      <c r="B109" s="52" t="s">
        <v>177</v>
      </c>
      <c r="C109" s="32">
        <f>[12]С4.3!E17</f>
        <v>25.016666666666666</v>
      </c>
    </row>
    <row r="110" spans="1:3" ht="38.25" x14ac:dyDescent="0.2">
      <c r="A110" s="59" t="s">
        <v>178</v>
      </c>
      <c r="B110" s="52" t="s">
        <v>113</v>
      </c>
      <c r="C110" s="33">
        <f>[12]С4.3!E18</f>
        <v>0</v>
      </c>
    </row>
    <row r="111" spans="1:3" x14ac:dyDescent="0.2">
      <c r="A111" s="59" t="s">
        <v>179</v>
      </c>
      <c r="B111" s="52" t="s">
        <v>180</v>
      </c>
      <c r="C111" s="32">
        <f>[12]С4.3!E19</f>
        <v>47.225000000000001</v>
      </c>
    </row>
    <row r="112" spans="1:3" x14ac:dyDescent="0.2">
      <c r="A112" s="59" t="s">
        <v>181</v>
      </c>
      <c r="B112" s="58" t="s">
        <v>182</v>
      </c>
      <c r="C112" s="32">
        <f>[12]С4.3!E11</f>
        <v>1871</v>
      </c>
    </row>
    <row r="113" spans="1:3" x14ac:dyDescent="0.2">
      <c r="A113" s="59" t="s">
        <v>183</v>
      </c>
      <c r="B113" s="58" t="s">
        <v>184</v>
      </c>
      <c r="C113" s="51">
        <f>[12]С4.3!E12</f>
        <v>1636</v>
      </c>
    </row>
    <row r="114" spans="1:3" x14ac:dyDescent="0.2">
      <c r="A114" s="59" t="s">
        <v>185</v>
      </c>
      <c r="B114" s="58" t="s">
        <v>186</v>
      </c>
      <c r="C114" s="51">
        <f>[12]С4.3!E13</f>
        <v>204</v>
      </c>
    </row>
    <row r="115" spans="1:3" ht="30" x14ac:dyDescent="0.2">
      <c r="A115" s="59" t="s">
        <v>187</v>
      </c>
      <c r="B115" s="31" t="s">
        <v>246</v>
      </c>
      <c r="C115" s="32">
        <f>[12]С4!F27</f>
        <v>1351.1912129385403</v>
      </c>
    </row>
    <row r="116" spans="1:3" ht="25.5" x14ac:dyDescent="0.2">
      <c r="A116" s="59" t="s">
        <v>189</v>
      </c>
      <c r="B116" s="52" t="s">
        <v>247</v>
      </c>
      <c r="C116" s="32">
        <f>[12]С4!F28</f>
        <v>1037.7812695380494</v>
      </c>
    </row>
    <row r="117" spans="1:3" ht="42.75" x14ac:dyDescent="0.2">
      <c r="A117" s="59" t="s">
        <v>191</v>
      </c>
      <c r="B117" s="52" t="s">
        <v>192</v>
      </c>
      <c r="C117" s="32">
        <f>[12]С4!F29</f>
        <v>313.40994340049093</v>
      </c>
    </row>
    <row r="118" spans="1:3" ht="30" x14ac:dyDescent="0.2">
      <c r="A118" s="59" t="s">
        <v>193</v>
      </c>
      <c r="B118" s="39" t="s">
        <v>194</v>
      </c>
      <c r="C118" s="32">
        <f>[12]С4!F30</f>
        <v>1686.9310468101623</v>
      </c>
    </row>
    <row r="119" spans="1:3" ht="42.75" x14ac:dyDescent="0.2">
      <c r="A119" s="59" t="s">
        <v>248</v>
      </c>
      <c r="B119" s="89" t="s">
        <v>249</v>
      </c>
      <c r="C119" s="32">
        <f>[12]С4!F33</f>
        <v>962.76818433596634</v>
      </c>
    </row>
    <row r="120" spans="1:3" ht="30" x14ac:dyDescent="0.2">
      <c r="A120" s="59" t="s">
        <v>250</v>
      </c>
      <c r="B120" s="121" t="s">
        <v>251</v>
      </c>
      <c r="C120" s="32">
        <f>[12]С4!F35</f>
        <v>17.040680999999999</v>
      </c>
    </row>
    <row r="121" spans="1:3" ht="14.25" x14ac:dyDescent="0.2">
      <c r="A121" s="59" t="s">
        <v>252</v>
      </c>
      <c r="B121" s="55" t="s">
        <v>253</v>
      </c>
      <c r="C121" s="32">
        <f>[12]С4!F36</f>
        <v>14319.9</v>
      </c>
    </row>
    <row r="122" spans="1:3" ht="28.5" thickBot="1" x14ac:dyDescent="0.25">
      <c r="A122" s="74" t="s">
        <v>254</v>
      </c>
      <c r="B122" s="122" t="s">
        <v>255</v>
      </c>
      <c r="C122" s="84">
        <f>[12]С4!F37</f>
        <v>1.19</v>
      </c>
    </row>
    <row r="123" spans="1:3" s="87" customFormat="1" ht="13.5" thickBot="1" x14ac:dyDescent="0.25">
      <c r="A123" s="47"/>
      <c r="B123" s="48"/>
      <c r="C123" s="14"/>
    </row>
    <row r="124" spans="1:3" s="65" customFormat="1" ht="30" customHeight="1" x14ac:dyDescent="0.2">
      <c r="A124" s="77" t="s">
        <v>195</v>
      </c>
      <c r="B124" s="145" t="s">
        <v>196</v>
      </c>
      <c r="C124" s="145"/>
    </row>
    <row r="125" spans="1:3" ht="16.5" thickBot="1" x14ac:dyDescent="0.25">
      <c r="A125" s="26" t="s">
        <v>197</v>
      </c>
      <c r="B125" s="86" t="s">
        <v>198</v>
      </c>
      <c r="C125" s="84">
        <f>[12]С5!F17</f>
        <v>0.02</v>
      </c>
    </row>
    <row r="126" spans="1:3" s="87" customFormat="1" ht="13.5" thickBot="1" x14ac:dyDescent="0.25">
      <c r="A126" s="47"/>
      <c r="B126" s="48"/>
      <c r="C126" s="14"/>
    </row>
    <row r="127" spans="1:3" ht="42.75" customHeight="1" x14ac:dyDescent="0.2">
      <c r="A127" s="85" t="s">
        <v>199</v>
      </c>
      <c r="B127" s="147" t="s">
        <v>200</v>
      </c>
      <c r="C127" s="147"/>
    </row>
    <row r="128" spans="1:3" ht="68.25" x14ac:dyDescent="0.2">
      <c r="A128" s="59" t="s">
        <v>201</v>
      </c>
      <c r="B128" s="88" t="s">
        <v>202</v>
      </c>
      <c r="C128" s="32" t="s">
        <v>256</v>
      </c>
    </row>
    <row r="129" spans="1:3" ht="42.75" hidden="1" x14ac:dyDescent="0.2">
      <c r="A129" s="59" t="s">
        <v>203</v>
      </c>
      <c r="B129" s="89" t="s">
        <v>204</v>
      </c>
      <c r="C129" s="90"/>
    </row>
    <row r="130" spans="1:3" ht="69" thickBot="1" x14ac:dyDescent="0.25">
      <c r="A130" s="74" t="s">
        <v>205</v>
      </c>
      <c r="B130" s="123" t="s">
        <v>206</v>
      </c>
      <c r="C130" s="124" t="s">
        <v>256</v>
      </c>
    </row>
    <row r="131" spans="1:3" ht="62.25" hidden="1" customHeight="1" x14ac:dyDescent="0.2">
      <c r="A131" s="125" t="s">
        <v>207</v>
      </c>
      <c r="B131" s="126" t="s">
        <v>208</v>
      </c>
      <c r="C131" s="127"/>
    </row>
    <row r="132" spans="1:3" ht="68.25" hidden="1" x14ac:dyDescent="0.2">
      <c r="A132" s="59" t="s">
        <v>209</v>
      </c>
      <c r="B132" s="89" t="s">
        <v>257</v>
      </c>
      <c r="C132" s="34"/>
    </row>
    <row r="133" spans="1:3" ht="69" hidden="1" thickBot="1" x14ac:dyDescent="0.25">
      <c r="A133" s="74" t="s">
        <v>211</v>
      </c>
      <c r="B133" s="92" t="s">
        <v>212</v>
      </c>
      <c r="C133" s="76"/>
    </row>
    <row r="134" spans="1:3" s="87" customFormat="1" ht="13.5" thickBot="1" x14ac:dyDescent="0.25">
      <c r="A134" s="47"/>
      <c r="B134" s="48"/>
      <c r="C134" s="14"/>
    </row>
    <row r="135" spans="1:3" ht="26.25" customHeight="1" x14ac:dyDescent="0.2">
      <c r="A135" s="85" t="s">
        <v>213</v>
      </c>
      <c r="B135" s="93" t="s">
        <v>214</v>
      </c>
      <c r="C135" s="94">
        <f>[12]С2!F37</f>
        <v>20.818139999999996</v>
      </c>
    </row>
    <row r="136" spans="1:3" ht="14.25" x14ac:dyDescent="0.2">
      <c r="A136" s="59" t="s">
        <v>215</v>
      </c>
      <c r="B136" s="128" t="s">
        <v>216</v>
      </c>
      <c r="C136" s="32">
        <f>[12]С2!F38</f>
        <v>7</v>
      </c>
    </row>
    <row r="137" spans="1:3" ht="17.25" x14ac:dyDescent="0.2">
      <c r="A137" s="59" t="s">
        <v>217</v>
      </c>
      <c r="B137" s="128" t="s">
        <v>218</v>
      </c>
      <c r="C137" s="32">
        <f>[12]С2!F40</f>
        <v>0.97</v>
      </c>
    </row>
    <row r="138" spans="1:3" ht="15" thickBot="1" x14ac:dyDescent="0.25">
      <c r="A138" s="74" t="s">
        <v>219</v>
      </c>
      <c r="B138" s="129" t="s">
        <v>220</v>
      </c>
      <c r="C138" s="46">
        <f>[12]С2!F42</f>
        <v>0.35</v>
      </c>
    </row>
    <row r="139" spans="1:3" s="87" customFormat="1" ht="13.5" thickBot="1" x14ac:dyDescent="0.25">
      <c r="A139" s="47"/>
      <c r="B139" s="48"/>
      <c r="C139" s="14"/>
    </row>
    <row r="140" spans="1:3" ht="30" x14ac:dyDescent="0.2">
      <c r="A140" s="85" t="s">
        <v>221</v>
      </c>
      <c r="B140" s="95" t="s">
        <v>258</v>
      </c>
      <c r="C140" s="130">
        <f>[12]С2!F35</f>
        <v>1.4976266307379205</v>
      </c>
    </row>
    <row r="141" spans="1:3" ht="22.7" customHeight="1" thickBot="1" x14ac:dyDescent="0.25">
      <c r="A141" s="74" t="s">
        <v>223</v>
      </c>
      <c r="B141" s="141" t="s">
        <v>224</v>
      </c>
      <c r="C141" s="141"/>
    </row>
    <row r="142" spans="1:3" ht="13.5" thickBot="1" x14ac:dyDescent="0.25">
      <c r="A142" s="97"/>
      <c r="B142" s="131" t="s">
        <v>0</v>
      </c>
      <c r="C142" s="132"/>
    </row>
    <row r="143" spans="1:3" x14ac:dyDescent="0.2">
      <c r="A143" s="97"/>
      <c r="B143" s="133">
        <v>2020</v>
      </c>
      <c r="C143" s="134">
        <f>[12]С2.5!$E$11</f>
        <v>-2.9000000000000026E-2</v>
      </c>
    </row>
    <row r="144" spans="1:3" x14ac:dyDescent="0.2">
      <c r="A144" s="97"/>
      <c r="B144" s="104">
        <f>B143+1</f>
        <v>2021</v>
      </c>
      <c r="C144" s="135">
        <f>[12]С2.5!$F$11</f>
        <v>0.245</v>
      </c>
    </row>
    <row r="145" spans="1:3" x14ac:dyDescent="0.2">
      <c r="A145" s="97"/>
      <c r="B145" s="104">
        <f t="shared" ref="B145:B208" si="0">B144+1</f>
        <v>2022</v>
      </c>
      <c r="C145" s="135">
        <f>[12]С2.5!$G$11</f>
        <v>0.114</v>
      </c>
    </row>
    <row r="146" spans="1:3" ht="13.5" thickBot="1" x14ac:dyDescent="0.25">
      <c r="A146" s="97"/>
      <c r="B146" s="106">
        <f t="shared" si="0"/>
        <v>2023</v>
      </c>
      <c r="C146" s="136">
        <f>[12]С2.5!$H$11</f>
        <v>2.4E-2</v>
      </c>
    </row>
    <row r="147" spans="1:3" x14ac:dyDescent="0.2">
      <c r="A147" s="97"/>
      <c r="B147" s="137">
        <f t="shared" si="0"/>
        <v>2024</v>
      </c>
      <c r="C147" s="138">
        <f>[12]С2.5!$I$11</f>
        <v>8.5999999999999993E-2</v>
      </c>
    </row>
    <row r="148" spans="1:3" hidden="1" x14ac:dyDescent="0.2">
      <c r="A148" s="97"/>
      <c r="B148" s="104">
        <f t="shared" si="0"/>
        <v>2025</v>
      </c>
      <c r="C148" s="135">
        <f>[12]С2.5!$J$11</f>
        <v>0.21215960863291</v>
      </c>
    </row>
    <row r="149" spans="1:3" hidden="1" x14ac:dyDescent="0.2">
      <c r="A149" s="97"/>
      <c r="B149" s="104">
        <f t="shared" si="0"/>
        <v>2026</v>
      </c>
      <c r="C149" s="135">
        <f>[12]С2.5!$K$11</f>
        <v>3.5813361771260002E-2</v>
      </c>
    </row>
    <row r="150" spans="1:3" hidden="1" x14ac:dyDescent="0.2">
      <c r="A150" s="97"/>
      <c r="B150" s="104">
        <f t="shared" si="0"/>
        <v>2027</v>
      </c>
      <c r="C150" s="135">
        <f>[12]С2.5!$L$11</f>
        <v>3.2682303599220003E-2</v>
      </c>
    </row>
    <row r="151" spans="1:3" hidden="1" x14ac:dyDescent="0.2">
      <c r="A151" s="97"/>
      <c r="B151" s="104">
        <f t="shared" si="0"/>
        <v>2028</v>
      </c>
      <c r="C151" s="135">
        <f>[12]С2.5!$M$11</f>
        <v>0</v>
      </c>
    </row>
    <row r="152" spans="1:3" hidden="1" x14ac:dyDescent="0.2">
      <c r="A152" s="97"/>
      <c r="B152" s="104">
        <f t="shared" si="0"/>
        <v>2029</v>
      </c>
      <c r="C152" s="135">
        <f>[12]С2.5!$N$11</f>
        <v>0</v>
      </c>
    </row>
    <row r="153" spans="1:3" hidden="1" x14ac:dyDescent="0.2">
      <c r="A153" s="97"/>
      <c r="B153" s="104">
        <f t="shared" si="0"/>
        <v>2030</v>
      </c>
      <c r="C153" s="135">
        <f>[12]С2.5!$O$11</f>
        <v>0</v>
      </c>
    </row>
    <row r="154" spans="1:3" hidden="1" x14ac:dyDescent="0.2">
      <c r="A154" s="97"/>
      <c r="B154" s="104">
        <f t="shared" si="0"/>
        <v>2031</v>
      </c>
      <c r="C154" s="135">
        <f>[12]С2.5!$P$11</f>
        <v>0</v>
      </c>
    </row>
    <row r="155" spans="1:3" hidden="1" x14ac:dyDescent="0.2">
      <c r="A155" s="87"/>
      <c r="B155" s="104">
        <f t="shared" si="0"/>
        <v>2032</v>
      </c>
      <c r="C155" s="135">
        <f>[12]С2.5!$Q$11</f>
        <v>0</v>
      </c>
    </row>
    <row r="156" spans="1:3" hidden="1" x14ac:dyDescent="0.2">
      <c r="A156" s="87"/>
      <c r="B156" s="104">
        <f t="shared" si="0"/>
        <v>2033</v>
      </c>
      <c r="C156" s="135">
        <f>[12]С2.5!$R$11</f>
        <v>0</v>
      </c>
    </row>
    <row r="157" spans="1:3" hidden="1" x14ac:dyDescent="0.2">
      <c r="B157" s="104">
        <f t="shared" si="0"/>
        <v>2034</v>
      </c>
      <c r="C157" s="135">
        <f>[12]С2.5!$S$11</f>
        <v>0</v>
      </c>
    </row>
    <row r="158" spans="1:3" hidden="1" x14ac:dyDescent="0.2">
      <c r="B158" s="104">
        <f t="shared" si="0"/>
        <v>2035</v>
      </c>
      <c r="C158" s="135">
        <f>[12]С2.5!$T$11</f>
        <v>0</v>
      </c>
    </row>
    <row r="159" spans="1:3" hidden="1" x14ac:dyDescent="0.2">
      <c r="B159" s="104">
        <f t="shared" si="0"/>
        <v>2036</v>
      </c>
      <c r="C159" s="135">
        <f>[12]С2.5!$U$11</f>
        <v>0</v>
      </c>
    </row>
    <row r="160" spans="1:3" hidden="1" x14ac:dyDescent="0.2">
      <c r="B160" s="104">
        <f t="shared" si="0"/>
        <v>2037</v>
      </c>
      <c r="C160" s="135">
        <f>[12]С2.5!$V$11</f>
        <v>0</v>
      </c>
    </row>
    <row r="161" spans="2:3" hidden="1" x14ac:dyDescent="0.2">
      <c r="B161" s="104">
        <f t="shared" si="0"/>
        <v>2038</v>
      </c>
      <c r="C161" s="135">
        <f>[12]С2.5!$W$11</f>
        <v>0</v>
      </c>
    </row>
    <row r="162" spans="2:3" hidden="1" x14ac:dyDescent="0.2">
      <c r="B162" s="104">
        <f t="shared" si="0"/>
        <v>2039</v>
      </c>
      <c r="C162" s="135">
        <f>[12]С2.5!$X$11</f>
        <v>0</v>
      </c>
    </row>
    <row r="163" spans="2:3" hidden="1" x14ac:dyDescent="0.2">
      <c r="B163" s="104">
        <f t="shared" si="0"/>
        <v>2040</v>
      </c>
      <c r="C163" s="135">
        <f>[12]С2.5!$Y$11</f>
        <v>0</v>
      </c>
    </row>
    <row r="164" spans="2:3" hidden="1" x14ac:dyDescent="0.2">
      <c r="B164" s="104">
        <f t="shared" si="0"/>
        <v>2041</v>
      </c>
      <c r="C164" s="135">
        <f>[12]С2.5!$Z$11</f>
        <v>0</v>
      </c>
    </row>
    <row r="165" spans="2:3" hidden="1" x14ac:dyDescent="0.2">
      <c r="B165" s="104">
        <f t="shared" si="0"/>
        <v>2042</v>
      </c>
      <c r="C165" s="135">
        <f>[12]С2.5!$AA$11</f>
        <v>0</v>
      </c>
    </row>
    <row r="166" spans="2:3" hidden="1" x14ac:dyDescent="0.2">
      <c r="B166" s="104">
        <f t="shared" si="0"/>
        <v>2043</v>
      </c>
      <c r="C166" s="135">
        <f>[12]С2.5!$AB$11</f>
        <v>0</v>
      </c>
    </row>
    <row r="167" spans="2:3" hidden="1" x14ac:dyDescent="0.2">
      <c r="B167" s="104">
        <f t="shared" si="0"/>
        <v>2044</v>
      </c>
      <c r="C167" s="135">
        <f>[12]С2.5!$AC$11</f>
        <v>0</v>
      </c>
    </row>
    <row r="168" spans="2:3" hidden="1" x14ac:dyDescent="0.2">
      <c r="B168" s="104">
        <f t="shared" si="0"/>
        <v>2045</v>
      </c>
      <c r="C168" s="135">
        <f>[12]С2.5!$AD$11</f>
        <v>0</v>
      </c>
    </row>
    <row r="169" spans="2:3" hidden="1" x14ac:dyDescent="0.2">
      <c r="B169" s="104">
        <f t="shared" si="0"/>
        <v>2046</v>
      </c>
      <c r="C169" s="135">
        <f>[12]С2.5!$AE$11</f>
        <v>0</v>
      </c>
    </row>
    <row r="170" spans="2:3" hidden="1" x14ac:dyDescent="0.2">
      <c r="B170" s="104">
        <f t="shared" si="0"/>
        <v>2047</v>
      </c>
      <c r="C170" s="135">
        <f>[12]С2.5!$AF$11</f>
        <v>0</v>
      </c>
    </row>
    <row r="171" spans="2:3" hidden="1" x14ac:dyDescent="0.2">
      <c r="B171" s="104">
        <f t="shared" si="0"/>
        <v>2048</v>
      </c>
      <c r="C171" s="135">
        <f>[12]С2.5!$AG$11</f>
        <v>0</v>
      </c>
    </row>
    <row r="172" spans="2:3" hidden="1" x14ac:dyDescent="0.2">
      <c r="B172" s="104">
        <f t="shared" si="0"/>
        <v>2049</v>
      </c>
      <c r="C172" s="135">
        <f>[12]С2.5!$AH$11</f>
        <v>0</v>
      </c>
    </row>
    <row r="173" spans="2:3" hidden="1" x14ac:dyDescent="0.2">
      <c r="B173" s="104">
        <f t="shared" si="0"/>
        <v>2050</v>
      </c>
      <c r="C173" s="135">
        <f>[12]С2.5!$AI$11</f>
        <v>0</v>
      </c>
    </row>
    <row r="174" spans="2:3" hidden="1" x14ac:dyDescent="0.2">
      <c r="B174" s="104">
        <f t="shared" si="0"/>
        <v>2051</v>
      </c>
      <c r="C174" s="135">
        <f>[12]С2.5!$AJ$11</f>
        <v>0</v>
      </c>
    </row>
    <row r="175" spans="2:3" hidden="1" x14ac:dyDescent="0.2">
      <c r="B175" s="104">
        <f t="shared" si="0"/>
        <v>2052</v>
      </c>
      <c r="C175" s="135">
        <f>[12]С2.5!$AK$11</f>
        <v>0</v>
      </c>
    </row>
    <row r="176" spans="2:3" hidden="1" x14ac:dyDescent="0.2">
      <c r="B176" s="104">
        <f t="shared" si="0"/>
        <v>2053</v>
      </c>
      <c r="C176" s="135">
        <f>[12]С2.5!$AL$11</f>
        <v>0</v>
      </c>
    </row>
    <row r="177" spans="2:3" hidden="1" x14ac:dyDescent="0.2">
      <c r="B177" s="104">
        <f t="shared" si="0"/>
        <v>2054</v>
      </c>
      <c r="C177" s="135">
        <f>[12]С2.5!$AM$11</f>
        <v>0</v>
      </c>
    </row>
    <row r="178" spans="2:3" hidden="1" x14ac:dyDescent="0.2">
      <c r="B178" s="104">
        <f t="shared" si="0"/>
        <v>2055</v>
      </c>
      <c r="C178" s="135">
        <f>[12]С2.5!$AN$11</f>
        <v>0</v>
      </c>
    </row>
    <row r="179" spans="2:3" hidden="1" x14ac:dyDescent="0.2">
      <c r="B179" s="104">
        <f t="shared" si="0"/>
        <v>2056</v>
      </c>
      <c r="C179" s="135">
        <f>[12]С2.5!$AO$11</f>
        <v>0</v>
      </c>
    </row>
    <row r="180" spans="2:3" hidden="1" x14ac:dyDescent="0.2">
      <c r="B180" s="104">
        <f t="shared" si="0"/>
        <v>2057</v>
      </c>
      <c r="C180" s="135">
        <f>[12]С2.5!$AP$11</f>
        <v>0</v>
      </c>
    </row>
    <row r="181" spans="2:3" hidden="1" x14ac:dyDescent="0.2">
      <c r="B181" s="104">
        <f t="shared" si="0"/>
        <v>2058</v>
      </c>
      <c r="C181" s="135">
        <f>[12]С2.5!$AQ$11</f>
        <v>0</v>
      </c>
    </row>
    <row r="182" spans="2:3" hidden="1" x14ac:dyDescent="0.2">
      <c r="B182" s="104">
        <f t="shared" si="0"/>
        <v>2059</v>
      </c>
      <c r="C182" s="135">
        <f>[12]С2.5!$AR$11</f>
        <v>0</v>
      </c>
    </row>
    <row r="183" spans="2:3" hidden="1" x14ac:dyDescent="0.2">
      <c r="B183" s="104">
        <f t="shared" si="0"/>
        <v>2060</v>
      </c>
      <c r="C183" s="135">
        <f>[12]С2.5!$AS$11</f>
        <v>0</v>
      </c>
    </row>
    <row r="184" spans="2:3" hidden="1" x14ac:dyDescent="0.2">
      <c r="B184" s="104">
        <f t="shared" si="0"/>
        <v>2061</v>
      </c>
      <c r="C184" s="135">
        <f>[12]С2.5!$AT$11</f>
        <v>0</v>
      </c>
    </row>
    <row r="185" spans="2:3" hidden="1" x14ac:dyDescent="0.2">
      <c r="B185" s="104">
        <f t="shared" si="0"/>
        <v>2062</v>
      </c>
      <c r="C185" s="135">
        <f>[12]С2.5!$AU$11</f>
        <v>0</v>
      </c>
    </row>
    <row r="186" spans="2:3" hidden="1" x14ac:dyDescent="0.2">
      <c r="B186" s="104">
        <f t="shared" si="0"/>
        <v>2063</v>
      </c>
      <c r="C186" s="135">
        <f>[12]С2.5!$AV$11</f>
        <v>0</v>
      </c>
    </row>
    <row r="187" spans="2:3" hidden="1" x14ac:dyDescent="0.2">
      <c r="B187" s="104">
        <f t="shared" si="0"/>
        <v>2064</v>
      </c>
      <c r="C187" s="135">
        <f>[12]С2.5!$AW$11</f>
        <v>0</v>
      </c>
    </row>
    <row r="188" spans="2:3" hidden="1" x14ac:dyDescent="0.2">
      <c r="B188" s="104">
        <f t="shared" si="0"/>
        <v>2065</v>
      </c>
      <c r="C188" s="135">
        <f>[12]С2.5!$AX$11</f>
        <v>0</v>
      </c>
    </row>
    <row r="189" spans="2:3" hidden="1" x14ac:dyDescent="0.2">
      <c r="B189" s="104">
        <f t="shared" si="0"/>
        <v>2066</v>
      </c>
      <c r="C189" s="135">
        <f>[12]С2.5!$AY$11</f>
        <v>0</v>
      </c>
    </row>
    <row r="190" spans="2:3" hidden="1" x14ac:dyDescent="0.2">
      <c r="B190" s="104">
        <f t="shared" si="0"/>
        <v>2067</v>
      </c>
      <c r="C190" s="135">
        <f>[12]С2.5!$AZ$11</f>
        <v>0</v>
      </c>
    </row>
    <row r="191" spans="2:3" hidden="1" x14ac:dyDescent="0.2">
      <c r="B191" s="104">
        <f t="shared" si="0"/>
        <v>2068</v>
      </c>
      <c r="C191" s="135">
        <f>[12]С2.5!$BA$11</f>
        <v>0</v>
      </c>
    </row>
    <row r="192" spans="2:3" hidden="1" x14ac:dyDescent="0.2">
      <c r="B192" s="104">
        <f t="shared" si="0"/>
        <v>2069</v>
      </c>
      <c r="C192" s="135">
        <f>[12]С2.5!$BB$11</f>
        <v>0</v>
      </c>
    </row>
    <row r="193" spans="2:3" hidden="1" x14ac:dyDescent="0.2">
      <c r="B193" s="104">
        <f t="shared" si="0"/>
        <v>2070</v>
      </c>
      <c r="C193" s="135">
        <f>[12]С2.5!$BC$11</f>
        <v>0</v>
      </c>
    </row>
    <row r="194" spans="2:3" hidden="1" x14ac:dyDescent="0.2">
      <c r="B194" s="104">
        <f t="shared" si="0"/>
        <v>2071</v>
      </c>
      <c r="C194" s="135">
        <f>[12]С2.5!$BD$11</f>
        <v>0</v>
      </c>
    </row>
    <row r="195" spans="2:3" hidden="1" x14ac:dyDescent="0.2">
      <c r="B195" s="104">
        <f t="shared" si="0"/>
        <v>2072</v>
      </c>
      <c r="C195" s="135">
        <f>[12]С2.5!$BE$11</f>
        <v>0</v>
      </c>
    </row>
    <row r="196" spans="2:3" hidden="1" x14ac:dyDescent="0.2">
      <c r="B196" s="104">
        <f t="shared" si="0"/>
        <v>2073</v>
      </c>
      <c r="C196" s="135">
        <f>[12]С2.5!$BF$11</f>
        <v>0</v>
      </c>
    </row>
    <row r="197" spans="2:3" hidden="1" x14ac:dyDescent="0.2">
      <c r="B197" s="104">
        <f t="shared" si="0"/>
        <v>2074</v>
      </c>
      <c r="C197" s="135">
        <f>[12]С2.5!$BG$11</f>
        <v>0</v>
      </c>
    </row>
    <row r="198" spans="2:3" hidden="1" x14ac:dyDescent="0.2">
      <c r="B198" s="104">
        <f t="shared" si="0"/>
        <v>2075</v>
      </c>
      <c r="C198" s="135">
        <f>[12]С2.5!$BH$11</f>
        <v>0</v>
      </c>
    </row>
    <row r="199" spans="2:3" hidden="1" x14ac:dyDescent="0.2">
      <c r="B199" s="104">
        <f t="shared" si="0"/>
        <v>2076</v>
      </c>
      <c r="C199" s="135">
        <f>[12]С2.5!$BI$11</f>
        <v>0</v>
      </c>
    </row>
    <row r="200" spans="2:3" hidden="1" x14ac:dyDescent="0.2">
      <c r="B200" s="104">
        <f t="shared" si="0"/>
        <v>2077</v>
      </c>
      <c r="C200" s="135">
        <f>[12]С2.5!$BJ$11</f>
        <v>0</v>
      </c>
    </row>
    <row r="201" spans="2:3" hidden="1" x14ac:dyDescent="0.2">
      <c r="B201" s="104">
        <f t="shared" si="0"/>
        <v>2078</v>
      </c>
      <c r="C201" s="135">
        <f>[12]С2.5!$BK$11</f>
        <v>0</v>
      </c>
    </row>
    <row r="202" spans="2:3" hidden="1" x14ac:dyDescent="0.2">
      <c r="B202" s="104">
        <f t="shared" si="0"/>
        <v>2079</v>
      </c>
      <c r="C202" s="135">
        <f>[12]С2.5!$BL$11</f>
        <v>0</v>
      </c>
    </row>
    <row r="203" spans="2:3" hidden="1" x14ac:dyDescent="0.2">
      <c r="B203" s="104">
        <f t="shared" si="0"/>
        <v>2080</v>
      </c>
      <c r="C203" s="135">
        <f>[12]С2.5!$BM$11</f>
        <v>0</v>
      </c>
    </row>
    <row r="204" spans="2:3" hidden="1" x14ac:dyDescent="0.2">
      <c r="B204" s="104">
        <f t="shared" si="0"/>
        <v>2081</v>
      </c>
      <c r="C204" s="135">
        <f>[12]С2.5!$BN$11</f>
        <v>0</v>
      </c>
    </row>
    <row r="205" spans="2:3" hidden="1" x14ac:dyDescent="0.2">
      <c r="B205" s="104">
        <f t="shared" si="0"/>
        <v>2082</v>
      </c>
      <c r="C205" s="135">
        <f>[12]С2.5!$BO$11</f>
        <v>0</v>
      </c>
    </row>
    <row r="206" spans="2:3" hidden="1" x14ac:dyDescent="0.2">
      <c r="B206" s="104">
        <f t="shared" si="0"/>
        <v>2083</v>
      </c>
      <c r="C206" s="135">
        <f>[12]С2.5!$BP$11</f>
        <v>0</v>
      </c>
    </row>
    <row r="207" spans="2:3" hidden="1" x14ac:dyDescent="0.2">
      <c r="B207" s="104">
        <f t="shared" si="0"/>
        <v>2084</v>
      </c>
      <c r="C207" s="135">
        <f>[12]С2.5!$BQ$11</f>
        <v>0</v>
      </c>
    </row>
    <row r="208" spans="2:3" hidden="1" x14ac:dyDescent="0.2">
      <c r="B208" s="104">
        <f t="shared" si="0"/>
        <v>2085</v>
      </c>
      <c r="C208" s="135">
        <f>[12]С2.5!$BR$11</f>
        <v>0</v>
      </c>
    </row>
    <row r="209" spans="2:3" hidden="1" x14ac:dyDescent="0.2">
      <c r="B209" s="104">
        <f t="shared" ref="B209:B223" si="1">B208+1</f>
        <v>2086</v>
      </c>
      <c r="C209" s="135">
        <f>[12]С2.5!$BS$11</f>
        <v>0</v>
      </c>
    </row>
    <row r="210" spans="2:3" hidden="1" x14ac:dyDescent="0.2">
      <c r="B210" s="104">
        <f t="shared" si="1"/>
        <v>2087</v>
      </c>
      <c r="C210" s="135">
        <f>[12]С2.5!$BT$11</f>
        <v>0</v>
      </c>
    </row>
    <row r="211" spans="2:3" hidden="1" x14ac:dyDescent="0.2">
      <c r="B211" s="104">
        <f t="shared" si="1"/>
        <v>2088</v>
      </c>
      <c r="C211" s="135">
        <f>[12]С2.5!$BU$11</f>
        <v>0</v>
      </c>
    </row>
    <row r="212" spans="2:3" hidden="1" x14ac:dyDescent="0.2">
      <c r="B212" s="104">
        <f t="shared" si="1"/>
        <v>2089</v>
      </c>
      <c r="C212" s="135">
        <f>[12]С2.5!$BV$11</f>
        <v>0</v>
      </c>
    </row>
    <row r="213" spans="2:3" hidden="1" x14ac:dyDescent="0.2">
      <c r="B213" s="104">
        <f t="shared" si="1"/>
        <v>2090</v>
      </c>
      <c r="C213" s="135">
        <f>[12]С2.5!$BW$11</f>
        <v>0</v>
      </c>
    </row>
    <row r="214" spans="2:3" hidden="1" x14ac:dyDescent="0.2">
      <c r="B214" s="104">
        <f t="shared" si="1"/>
        <v>2091</v>
      </c>
      <c r="C214" s="135">
        <f>[12]С2.5!$BX$11</f>
        <v>0</v>
      </c>
    </row>
    <row r="215" spans="2:3" hidden="1" x14ac:dyDescent="0.2">
      <c r="B215" s="104">
        <f t="shared" si="1"/>
        <v>2092</v>
      </c>
      <c r="C215" s="135">
        <f>[12]С2.5!$BY$11</f>
        <v>0</v>
      </c>
    </row>
    <row r="216" spans="2:3" hidden="1" x14ac:dyDescent="0.2">
      <c r="B216" s="104">
        <f t="shared" si="1"/>
        <v>2093</v>
      </c>
      <c r="C216" s="135">
        <f>[12]С2.5!$BZ$11</f>
        <v>0</v>
      </c>
    </row>
    <row r="217" spans="2:3" hidden="1" x14ac:dyDescent="0.2">
      <c r="B217" s="104">
        <f t="shared" si="1"/>
        <v>2094</v>
      </c>
      <c r="C217" s="135">
        <f>[12]С2.5!$CA$11</f>
        <v>0</v>
      </c>
    </row>
    <row r="218" spans="2:3" hidden="1" x14ac:dyDescent="0.2">
      <c r="B218" s="104">
        <f t="shared" si="1"/>
        <v>2095</v>
      </c>
      <c r="C218" s="135">
        <f>[12]С2.5!$CB$11</f>
        <v>0</v>
      </c>
    </row>
    <row r="219" spans="2:3" hidden="1" x14ac:dyDescent="0.2">
      <c r="B219" s="104">
        <f t="shared" si="1"/>
        <v>2096</v>
      </c>
      <c r="C219" s="135">
        <f>[12]С2.5!$CC$11</f>
        <v>0</v>
      </c>
    </row>
    <row r="220" spans="2:3" hidden="1" x14ac:dyDescent="0.2">
      <c r="B220" s="104">
        <f t="shared" si="1"/>
        <v>2097</v>
      </c>
      <c r="C220" s="135">
        <f>[12]С2.5!$CD$11</f>
        <v>0</v>
      </c>
    </row>
    <row r="221" spans="2:3" hidden="1" x14ac:dyDescent="0.2">
      <c r="B221" s="104">
        <f t="shared" si="1"/>
        <v>2098</v>
      </c>
      <c r="C221" s="135">
        <f>[12]С2.5!$CE$11</f>
        <v>0</v>
      </c>
    </row>
    <row r="222" spans="2:3" hidden="1" x14ac:dyDescent="0.2">
      <c r="B222" s="104">
        <f t="shared" si="1"/>
        <v>2099</v>
      </c>
      <c r="C222" s="135">
        <f>[12]С2.5!$CF$11</f>
        <v>0</v>
      </c>
    </row>
    <row r="223" spans="2:3" ht="13.5" hidden="1" thickBot="1" x14ac:dyDescent="0.25">
      <c r="B223" s="106">
        <f t="shared" si="1"/>
        <v>2100</v>
      </c>
      <c r="C223" s="136">
        <f>[12]С2.5!$CG$11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6" customWidth="1"/>
    <col min="4" max="243" width="9.140625" style="2"/>
    <col min="244" max="244" width="3.5703125" style="2" customWidth="1"/>
    <col min="245" max="245" width="96.85546875" style="2" customWidth="1"/>
    <col min="246" max="246" width="30.85546875" style="2" customWidth="1"/>
    <col min="247" max="247" width="12.5703125" style="2" customWidth="1"/>
    <col min="248" max="248" width="5.140625" style="2" customWidth="1"/>
    <col min="249" max="249" width="9.140625" style="2"/>
    <col min="250" max="250" width="4.85546875" style="2" customWidth="1"/>
    <col min="251" max="251" width="30.5703125" style="2" customWidth="1"/>
    <col min="252" max="252" width="33.85546875" style="2" customWidth="1"/>
    <col min="253" max="253" width="5.140625" style="2" customWidth="1"/>
    <col min="254" max="255" width="17.5703125" style="2" customWidth="1"/>
    <col min="256" max="499" width="9.140625" style="2"/>
    <col min="500" max="500" width="3.5703125" style="2" customWidth="1"/>
    <col min="501" max="501" width="96.85546875" style="2" customWidth="1"/>
    <col min="502" max="502" width="30.85546875" style="2" customWidth="1"/>
    <col min="503" max="503" width="12.5703125" style="2" customWidth="1"/>
    <col min="504" max="504" width="5.140625" style="2" customWidth="1"/>
    <col min="505" max="505" width="9.140625" style="2"/>
    <col min="506" max="506" width="4.85546875" style="2" customWidth="1"/>
    <col min="507" max="507" width="30.5703125" style="2" customWidth="1"/>
    <col min="508" max="508" width="33.85546875" style="2" customWidth="1"/>
    <col min="509" max="509" width="5.140625" style="2" customWidth="1"/>
    <col min="510" max="511" width="17.5703125" style="2" customWidth="1"/>
    <col min="512" max="755" width="9.140625" style="2"/>
    <col min="756" max="756" width="3.5703125" style="2" customWidth="1"/>
    <col min="757" max="757" width="96.85546875" style="2" customWidth="1"/>
    <col min="758" max="758" width="30.85546875" style="2" customWidth="1"/>
    <col min="759" max="759" width="12.5703125" style="2" customWidth="1"/>
    <col min="760" max="760" width="5.140625" style="2" customWidth="1"/>
    <col min="761" max="761" width="9.140625" style="2"/>
    <col min="762" max="762" width="4.85546875" style="2" customWidth="1"/>
    <col min="763" max="763" width="30.5703125" style="2" customWidth="1"/>
    <col min="764" max="764" width="33.85546875" style="2" customWidth="1"/>
    <col min="765" max="765" width="5.140625" style="2" customWidth="1"/>
    <col min="766" max="767" width="17.5703125" style="2" customWidth="1"/>
    <col min="768" max="1011" width="9.140625" style="2"/>
    <col min="1012" max="1012" width="3.5703125" style="2" customWidth="1"/>
    <col min="1013" max="1013" width="96.85546875" style="2" customWidth="1"/>
    <col min="1014" max="1014" width="30.85546875" style="2" customWidth="1"/>
    <col min="1015" max="1015" width="12.5703125" style="2" customWidth="1"/>
    <col min="1016" max="1016" width="5.140625" style="2" customWidth="1"/>
    <col min="1017" max="1017" width="9.140625" style="2"/>
    <col min="1018" max="1018" width="4.85546875" style="2" customWidth="1"/>
    <col min="1019" max="1019" width="30.5703125" style="2" customWidth="1"/>
    <col min="1020" max="1020" width="33.85546875" style="2" customWidth="1"/>
    <col min="1021" max="1021" width="5.140625" style="2" customWidth="1"/>
    <col min="1022" max="1023" width="17.5703125" style="2" customWidth="1"/>
    <col min="1024" max="1267" width="9.140625" style="2"/>
    <col min="1268" max="1268" width="3.5703125" style="2" customWidth="1"/>
    <col min="1269" max="1269" width="96.85546875" style="2" customWidth="1"/>
    <col min="1270" max="1270" width="30.85546875" style="2" customWidth="1"/>
    <col min="1271" max="1271" width="12.5703125" style="2" customWidth="1"/>
    <col min="1272" max="1272" width="5.140625" style="2" customWidth="1"/>
    <col min="1273" max="1273" width="9.140625" style="2"/>
    <col min="1274" max="1274" width="4.85546875" style="2" customWidth="1"/>
    <col min="1275" max="1275" width="30.5703125" style="2" customWidth="1"/>
    <col min="1276" max="1276" width="33.85546875" style="2" customWidth="1"/>
    <col min="1277" max="1277" width="5.140625" style="2" customWidth="1"/>
    <col min="1278" max="1279" width="17.5703125" style="2" customWidth="1"/>
    <col min="1280" max="1523" width="9.140625" style="2"/>
    <col min="1524" max="1524" width="3.5703125" style="2" customWidth="1"/>
    <col min="1525" max="1525" width="96.85546875" style="2" customWidth="1"/>
    <col min="1526" max="1526" width="30.85546875" style="2" customWidth="1"/>
    <col min="1527" max="1527" width="12.5703125" style="2" customWidth="1"/>
    <col min="1528" max="1528" width="5.140625" style="2" customWidth="1"/>
    <col min="1529" max="1529" width="9.140625" style="2"/>
    <col min="1530" max="1530" width="4.85546875" style="2" customWidth="1"/>
    <col min="1531" max="1531" width="30.5703125" style="2" customWidth="1"/>
    <col min="1532" max="1532" width="33.85546875" style="2" customWidth="1"/>
    <col min="1533" max="1533" width="5.140625" style="2" customWidth="1"/>
    <col min="1534" max="1535" width="17.5703125" style="2" customWidth="1"/>
    <col min="1536" max="1779" width="9.140625" style="2"/>
    <col min="1780" max="1780" width="3.5703125" style="2" customWidth="1"/>
    <col min="1781" max="1781" width="96.85546875" style="2" customWidth="1"/>
    <col min="1782" max="1782" width="30.85546875" style="2" customWidth="1"/>
    <col min="1783" max="1783" width="12.5703125" style="2" customWidth="1"/>
    <col min="1784" max="1784" width="5.140625" style="2" customWidth="1"/>
    <col min="1785" max="1785" width="9.140625" style="2"/>
    <col min="1786" max="1786" width="4.85546875" style="2" customWidth="1"/>
    <col min="1787" max="1787" width="30.5703125" style="2" customWidth="1"/>
    <col min="1788" max="1788" width="33.85546875" style="2" customWidth="1"/>
    <col min="1789" max="1789" width="5.140625" style="2" customWidth="1"/>
    <col min="1790" max="1791" width="17.5703125" style="2" customWidth="1"/>
    <col min="1792" max="2035" width="9.140625" style="2"/>
    <col min="2036" max="2036" width="3.5703125" style="2" customWidth="1"/>
    <col min="2037" max="2037" width="96.85546875" style="2" customWidth="1"/>
    <col min="2038" max="2038" width="30.85546875" style="2" customWidth="1"/>
    <col min="2039" max="2039" width="12.5703125" style="2" customWidth="1"/>
    <col min="2040" max="2040" width="5.140625" style="2" customWidth="1"/>
    <col min="2041" max="2041" width="9.140625" style="2"/>
    <col min="2042" max="2042" width="4.85546875" style="2" customWidth="1"/>
    <col min="2043" max="2043" width="30.5703125" style="2" customWidth="1"/>
    <col min="2044" max="2044" width="33.85546875" style="2" customWidth="1"/>
    <col min="2045" max="2045" width="5.140625" style="2" customWidth="1"/>
    <col min="2046" max="2047" width="17.5703125" style="2" customWidth="1"/>
    <col min="2048" max="2291" width="9.140625" style="2"/>
    <col min="2292" max="2292" width="3.5703125" style="2" customWidth="1"/>
    <col min="2293" max="2293" width="96.85546875" style="2" customWidth="1"/>
    <col min="2294" max="2294" width="30.85546875" style="2" customWidth="1"/>
    <col min="2295" max="2295" width="12.5703125" style="2" customWidth="1"/>
    <col min="2296" max="2296" width="5.140625" style="2" customWidth="1"/>
    <col min="2297" max="2297" width="9.140625" style="2"/>
    <col min="2298" max="2298" width="4.85546875" style="2" customWidth="1"/>
    <col min="2299" max="2299" width="30.5703125" style="2" customWidth="1"/>
    <col min="2300" max="2300" width="33.85546875" style="2" customWidth="1"/>
    <col min="2301" max="2301" width="5.140625" style="2" customWidth="1"/>
    <col min="2302" max="2303" width="17.5703125" style="2" customWidth="1"/>
    <col min="2304" max="2547" width="9.140625" style="2"/>
    <col min="2548" max="2548" width="3.5703125" style="2" customWidth="1"/>
    <col min="2549" max="2549" width="96.85546875" style="2" customWidth="1"/>
    <col min="2550" max="2550" width="30.85546875" style="2" customWidth="1"/>
    <col min="2551" max="2551" width="12.5703125" style="2" customWidth="1"/>
    <col min="2552" max="2552" width="5.140625" style="2" customWidth="1"/>
    <col min="2553" max="2553" width="9.140625" style="2"/>
    <col min="2554" max="2554" width="4.85546875" style="2" customWidth="1"/>
    <col min="2555" max="2555" width="30.5703125" style="2" customWidth="1"/>
    <col min="2556" max="2556" width="33.85546875" style="2" customWidth="1"/>
    <col min="2557" max="2557" width="5.140625" style="2" customWidth="1"/>
    <col min="2558" max="2559" width="17.5703125" style="2" customWidth="1"/>
    <col min="2560" max="2803" width="9.140625" style="2"/>
    <col min="2804" max="2804" width="3.5703125" style="2" customWidth="1"/>
    <col min="2805" max="2805" width="96.85546875" style="2" customWidth="1"/>
    <col min="2806" max="2806" width="30.85546875" style="2" customWidth="1"/>
    <col min="2807" max="2807" width="12.5703125" style="2" customWidth="1"/>
    <col min="2808" max="2808" width="5.140625" style="2" customWidth="1"/>
    <col min="2809" max="2809" width="9.140625" style="2"/>
    <col min="2810" max="2810" width="4.85546875" style="2" customWidth="1"/>
    <col min="2811" max="2811" width="30.5703125" style="2" customWidth="1"/>
    <col min="2812" max="2812" width="33.85546875" style="2" customWidth="1"/>
    <col min="2813" max="2813" width="5.140625" style="2" customWidth="1"/>
    <col min="2814" max="2815" width="17.5703125" style="2" customWidth="1"/>
    <col min="2816" max="3059" width="9.140625" style="2"/>
    <col min="3060" max="3060" width="3.5703125" style="2" customWidth="1"/>
    <col min="3061" max="3061" width="96.85546875" style="2" customWidth="1"/>
    <col min="3062" max="3062" width="30.85546875" style="2" customWidth="1"/>
    <col min="3063" max="3063" width="12.5703125" style="2" customWidth="1"/>
    <col min="3064" max="3064" width="5.140625" style="2" customWidth="1"/>
    <col min="3065" max="3065" width="9.140625" style="2"/>
    <col min="3066" max="3066" width="4.85546875" style="2" customWidth="1"/>
    <col min="3067" max="3067" width="30.5703125" style="2" customWidth="1"/>
    <col min="3068" max="3068" width="33.85546875" style="2" customWidth="1"/>
    <col min="3069" max="3069" width="5.140625" style="2" customWidth="1"/>
    <col min="3070" max="3071" width="17.5703125" style="2" customWidth="1"/>
    <col min="3072" max="3315" width="9.140625" style="2"/>
    <col min="3316" max="3316" width="3.5703125" style="2" customWidth="1"/>
    <col min="3317" max="3317" width="96.85546875" style="2" customWidth="1"/>
    <col min="3318" max="3318" width="30.85546875" style="2" customWidth="1"/>
    <col min="3319" max="3319" width="12.5703125" style="2" customWidth="1"/>
    <col min="3320" max="3320" width="5.140625" style="2" customWidth="1"/>
    <col min="3321" max="3321" width="9.140625" style="2"/>
    <col min="3322" max="3322" width="4.85546875" style="2" customWidth="1"/>
    <col min="3323" max="3323" width="30.5703125" style="2" customWidth="1"/>
    <col min="3324" max="3324" width="33.85546875" style="2" customWidth="1"/>
    <col min="3325" max="3325" width="5.140625" style="2" customWidth="1"/>
    <col min="3326" max="3327" width="17.5703125" style="2" customWidth="1"/>
    <col min="3328" max="3571" width="9.140625" style="2"/>
    <col min="3572" max="3572" width="3.5703125" style="2" customWidth="1"/>
    <col min="3573" max="3573" width="96.85546875" style="2" customWidth="1"/>
    <col min="3574" max="3574" width="30.85546875" style="2" customWidth="1"/>
    <col min="3575" max="3575" width="12.5703125" style="2" customWidth="1"/>
    <col min="3576" max="3576" width="5.140625" style="2" customWidth="1"/>
    <col min="3577" max="3577" width="9.140625" style="2"/>
    <col min="3578" max="3578" width="4.85546875" style="2" customWidth="1"/>
    <col min="3579" max="3579" width="30.5703125" style="2" customWidth="1"/>
    <col min="3580" max="3580" width="33.85546875" style="2" customWidth="1"/>
    <col min="3581" max="3581" width="5.140625" style="2" customWidth="1"/>
    <col min="3582" max="3583" width="17.5703125" style="2" customWidth="1"/>
    <col min="3584" max="3827" width="9.140625" style="2"/>
    <col min="3828" max="3828" width="3.5703125" style="2" customWidth="1"/>
    <col min="3829" max="3829" width="96.85546875" style="2" customWidth="1"/>
    <col min="3830" max="3830" width="30.85546875" style="2" customWidth="1"/>
    <col min="3831" max="3831" width="12.5703125" style="2" customWidth="1"/>
    <col min="3832" max="3832" width="5.140625" style="2" customWidth="1"/>
    <col min="3833" max="3833" width="9.140625" style="2"/>
    <col min="3834" max="3834" width="4.85546875" style="2" customWidth="1"/>
    <col min="3835" max="3835" width="30.5703125" style="2" customWidth="1"/>
    <col min="3836" max="3836" width="33.85546875" style="2" customWidth="1"/>
    <col min="3837" max="3837" width="5.140625" style="2" customWidth="1"/>
    <col min="3838" max="3839" width="17.5703125" style="2" customWidth="1"/>
    <col min="3840" max="4083" width="9.140625" style="2"/>
    <col min="4084" max="4084" width="3.5703125" style="2" customWidth="1"/>
    <col min="4085" max="4085" width="96.85546875" style="2" customWidth="1"/>
    <col min="4086" max="4086" width="30.85546875" style="2" customWidth="1"/>
    <col min="4087" max="4087" width="12.5703125" style="2" customWidth="1"/>
    <col min="4088" max="4088" width="5.140625" style="2" customWidth="1"/>
    <col min="4089" max="4089" width="9.140625" style="2"/>
    <col min="4090" max="4090" width="4.85546875" style="2" customWidth="1"/>
    <col min="4091" max="4091" width="30.5703125" style="2" customWidth="1"/>
    <col min="4092" max="4092" width="33.85546875" style="2" customWidth="1"/>
    <col min="4093" max="4093" width="5.140625" style="2" customWidth="1"/>
    <col min="4094" max="4095" width="17.5703125" style="2" customWidth="1"/>
    <col min="4096" max="4339" width="9.140625" style="2"/>
    <col min="4340" max="4340" width="3.5703125" style="2" customWidth="1"/>
    <col min="4341" max="4341" width="96.85546875" style="2" customWidth="1"/>
    <col min="4342" max="4342" width="30.85546875" style="2" customWidth="1"/>
    <col min="4343" max="4343" width="12.5703125" style="2" customWidth="1"/>
    <col min="4344" max="4344" width="5.140625" style="2" customWidth="1"/>
    <col min="4345" max="4345" width="9.140625" style="2"/>
    <col min="4346" max="4346" width="4.85546875" style="2" customWidth="1"/>
    <col min="4347" max="4347" width="30.5703125" style="2" customWidth="1"/>
    <col min="4348" max="4348" width="33.85546875" style="2" customWidth="1"/>
    <col min="4349" max="4349" width="5.140625" style="2" customWidth="1"/>
    <col min="4350" max="4351" width="17.5703125" style="2" customWidth="1"/>
    <col min="4352" max="4595" width="9.140625" style="2"/>
    <col min="4596" max="4596" width="3.5703125" style="2" customWidth="1"/>
    <col min="4597" max="4597" width="96.85546875" style="2" customWidth="1"/>
    <col min="4598" max="4598" width="30.85546875" style="2" customWidth="1"/>
    <col min="4599" max="4599" width="12.5703125" style="2" customWidth="1"/>
    <col min="4600" max="4600" width="5.140625" style="2" customWidth="1"/>
    <col min="4601" max="4601" width="9.140625" style="2"/>
    <col min="4602" max="4602" width="4.85546875" style="2" customWidth="1"/>
    <col min="4603" max="4603" width="30.5703125" style="2" customWidth="1"/>
    <col min="4604" max="4604" width="33.85546875" style="2" customWidth="1"/>
    <col min="4605" max="4605" width="5.140625" style="2" customWidth="1"/>
    <col min="4606" max="4607" width="17.5703125" style="2" customWidth="1"/>
    <col min="4608" max="4851" width="9.140625" style="2"/>
    <col min="4852" max="4852" width="3.5703125" style="2" customWidth="1"/>
    <col min="4853" max="4853" width="96.85546875" style="2" customWidth="1"/>
    <col min="4854" max="4854" width="30.85546875" style="2" customWidth="1"/>
    <col min="4855" max="4855" width="12.5703125" style="2" customWidth="1"/>
    <col min="4856" max="4856" width="5.140625" style="2" customWidth="1"/>
    <col min="4857" max="4857" width="9.140625" style="2"/>
    <col min="4858" max="4858" width="4.85546875" style="2" customWidth="1"/>
    <col min="4859" max="4859" width="30.5703125" style="2" customWidth="1"/>
    <col min="4860" max="4860" width="33.85546875" style="2" customWidth="1"/>
    <col min="4861" max="4861" width="5.140625" style="2" customWidth="1"/>
    <col min="4862" max="4863" width="17.5703125" style="2" customWidth="1"/>
    <col min="4864" max="5107" width="9.140625" style="2"/>
    <col min="5108" max="5108" width="3.5703125" style="2" customWidth="1"/>
    <col min="5109" max="5109" width="96.85546875" style="2" customWidth="1"/>
    <col min="5110" max="5110" width="30.85546875" style="2" customWidth="1"/>
    <col min="5111" max="5111" width="12.5703125" style="2" customWidth="1"/>
    <col min="5112" max="5112" width="5.140625" style="2" customWidth="1"/>
    <col min="5113" max="5113" width="9.140625" style="2"/>
    <col min="5114" max="5114" width="4.85546875" style="2" customWidth="1"/>
    <col min="5115" max="5115" width="30.5703125" style="2" customWidth="1"/>
    <col min="5116" max="5116" width="33.85546875" style="2" customWidth="1"/>
    <col min="5117" max="5117" width="5.140625" style="2" customWidth="1"/>
    <col min="5118" max="5119" width="17.5703125" style="2" customWidth="1"/>
    <col min="5120" max="5363" width="9.140625" style="2"/>
    <col min="5364" max="5364" width="3.5703125" style="2" customWidth="1"/>
    <col min="5365" max="5365" width="96.85546875" style="2" customWidth="1"/>
    <col min="5366" max="5366" width="30.85546875" style="2" customWidth="1"/>
    <col min="5367" max="5367" width="12.5703125" style="2" customWidth="1"/>
    <col min="5368" max="5368" width="5.140625" style="2" customWidth="1"/>
    <col min="5369" max="5369" width="9.140625" style="2"/>
    <col min="5370" max="5370" width="4.85546875" style="2" customWidth="1"/>
    <col min="5371" max="5371" width="30.5703125" style="2" customWidth="1"/>
    <col min="5372" max="5372" width="33.85546875" style="2" customWidth="1"/>
    <col min="5373" max="5373" width="5.140625" style="2" customWidth="1"/>
    <col min="5374" max="5375" width="17.5703125" style="2" customWidth="1"/>
    <col min="5376" max="5619" width="9.140625" style="2"/>
    <col min="5620" max="5620" width="3.5703125" style="2" customWidth="1"/>
    <col min="5621" max="5621" width="96.85546875" style="2" customWidth="1"/>
    <col min="5622" max="5622" width="30.85546875" style="2" customWidth="1"/>
    <col min="5623" max="5623" width="12.5703125" style="2" customWidth="1"/>
    <col min="5624" max="5624" width="5.140625" style="2" customWidth="1"/>
    <col min="5625" max="5625" width="9.140625" style="2"/>
    <col min="5626" max="5626" width="4.85546875" style="2" customWidth="1"/>
    <col min="5627" max="5627" width="30.5703125" style="2" customWidth="1"/>
    <col min="5628" max="5628" width="33.85546875" style="2" customWidth="1"/>
    <col min="5629" max="5629" width="5.140625" style="2" customWidth="1"/>
    <col min="5630" max="5631" width="17.5703125" style="2" customWidth="1"/>
    <col min="5632" max="5875" width="9.140625" style="2"/>
    <col min="5876" max="5876" width="3.5703125" style="2" customWidth="1"/>
    <col min="5877" max="5877" width="96.85546875" style="2" customWidth="1"/>
    <col min="5878" max="5878" width="30.85546875" style="2" customWidth="1"/>
    <col min="5879" max="5879" width="12.5703125" style="2" customWidth="1"/>
    <col min="5880" max="5880" width="5.140625" style="2" customWidth="1"/>
    <col min="5881" max="5881" width="9.140625" style="2"/>
    <col min="5882" max="5882" width="4.85546875" style="2" customWidth="1"/>
    <col min="5883" max="5883" width="30.5703125" style="2" customWidth="1"/>
    <col min="5884" max="5884" width="33.85546875" style="2" customWidth="1"/>
    <col min="5885" max="5885" width="5.140625" style="2" customWidth="1"/>
    <col min="5886" max="5887" width="17.5703125" style="2" customWidth="1"/>
    <col min="5888" max="6131" width="9.140625" style="2"/>
    <col min="6132" max="6132" width="3.5703125" style="2" customWidth="1"/>
    <col min="6133" max="6133" width="96.85546875" style="2" customWidth="1"/>
    <col min="6134" max="6134" width="30.85546875" style="2" customWidth="1"/>
    <col min="6135" max="6135" width="12.5703125" style="2" customWidth="1"/>
    <col min="6136" max="6136" width="5.140625" style="2" customWidth="1"/>
    <col min="6137" max="6137" width="9.140625" style="2"/>
    <col min="6138" max="6138" width="4.85546875" style="2" customWidth="1"/>
    <col min="6139" max="6139" width="30.5703125" style="2" customWidth="1"/>
    <col min="6140" max="6140" width="33.85546875" style="2" customWidth="1"/>
    <col min="6141" max="6141" width="5.140625" style="2" customWidth="1"/>
    <col min="6142" max="6143" width="17.5703125" style="2" customWidth="1"/>
    <col min="6144" max="6387" width="9.140625" style="2"/>
    <col min="6388" max="6388" width="3.5703125" style="2" customWidth="1"/>
    <col min="6389" max="6389" width="96.85546875" style="2" customWidth="1"/>
    <col min="6390" max="6390" width="30.85546875" style="2" customWidth="1"/>
    <col min="6391" max="6391" width="12.5703125" style="2" customWidth="1"/>
    <col min="6392" max="6392" width="5.140625" style="2" customWidth="1"/>
    <col min="6393" max="6393" width="9.140625" style="2"/>
    <col min="6394" max="6394" width="4.85546875" style="2" customWidth="1"/>
    <col min="6395" max="6395" width="30.5703125" style="2" customWidth="1"/>
    <col min="6396" max="6396" width="33.85546875" style="2" customWidth="1"/>
    <col min="6397" max="6397" width="5.140625" style="2" customWidth="1"/>
    <col min="6398" max="6399" width="17.5703125" style="2" customWidth="1"/>
    <col min="6400" max="6643" width="9.140625" style="2"/>
    <col min="6644" max="6644" width="3.5703125" style="2" customWidth="1"/>
    <col min="6645" max="6645" width="96.85546875" style="2" customWidth="1"/>
    <col min="6646" max="6646" width="30.85546875" style="2" customWidth="1"/>
    <col min="6647" max="6647" width="12.5703125" style="2" customWidth="1"/>
    <col min="6648" max="6648" width="5.140625" style="2" customWidth="1"/>
    <col min="6649" max="6649" width="9.140625" style="2"/>
    <col min="6650" max="6650" width="4.85546875" style="2" customWidth="1"/>
    <col min="6651" max="6651" width="30.5703125" style="2" customWidth="1"/>
    <col min="6652" max="6652" width="33.85546875" style="2" customWidth="1"/>
    <col min="6653" max="6653" width="5.140625" style="2" customWidth="1"/>
    <col min="6654" max="6655" width="17.5703125" style="2" customWidth="1"/>
    <col min="6656" max="6899" width="9.140625" style="2"/>
    <col min="6900" max="6900" width="3.5703125" style="2" customWidth="1"/>
    <col min="6901" max="6901" width="96.85546875" style="2" customWidth="1"/>
    <col min="6902" max="6902" width="30.85546875" style="2" customWidth="1"/>
    <col min="6903" max="6903" width="12.5703125" style="2" customWidth="1"/>
    <col min="6904" max="6904" width="5.140625" style="2" customWidth="1"/>
    <col min="6905" max="6905" width="9.140625" style="2"/>
    <col min="6906" max="6906" width="4.85546875" style="2" customWidth="1"/>
    <col min="6907" max="6907" width="30.5703125" style="2" customWidth="1"/>
    <col min="6908" max="6908" width="33.85546875" style="2" customWidth="1"/>
    <col min="6909" max="6909" width="5.140625" style="2" customWidth="1"/>
    <col min="6910" max="6911" width="17.5703125" style="2" customWidth="1"/>
    <col min="6912" max="7155" width="9.140625" style="2"/>
    <col min="7156" max="7156" width="3.5703125" style="2" customWidth="1"/>
    <col min="7157" max="7157" width="96.85546875" style="2" customWidth="1"/>
    <col min="7158" max="7158" width="30.85546875" style="2" customWidth="1"/>
    <col min="7159" max="7159" width="12.5703125" style="2" customWidth="1"/>
    <col min="7160" max="7160" width="5.140625" style="2" customWidth="1"/>
    <col min="7161" max="7161" width="9.140625" style="2"/>
    <col min="7162" max="7162" width="4.85546875" style="2" customWidth="1"/>
    <col min="7163" max="7163" width="30.5703125" style="2" customWidth="1"/>
    <col min="7164" max="7164" width="33.85546875" style="2" customWidth="1"/>
    <col min="7165" max="7165" width="5.140625" style="2" customWidth="1"/>
    <col min="7166" max="7167" width="17.5703125" style="2" customWidth="1"/>
    <col min="7168" max="7411" width="9.140625" style="2"/>
    <col min="7412" max="7412" width="3.5703125" style="2" customWidth="1"/>
    <col min="7413" max="7413" width="96.85546875" style="2" customWidth="1"/>
    <col min="7414" max="7414" width="30.85546875" style="2" customWidth="1"/>
    <col min="7415" max="7415" width="12.5703125" style="2" customWidth="1"/>
    <col min="7416" max="7416" width="5.140625" style="2" customWidth="1"/>
    <col min="7417" max="7417" width="9.140625" style="2"/>
    <col min="7418" max="7418" width="4.85546875" style="2" customWidth="1"/>
    <col min="7419" max="7419" width="30.5703125" style="2" customWidth="1"/>
    <col min="7420" max="7420" width="33.85546875" style="2" customWidth="1"/>
    <col min="7421" max="7421" width="5.140625" style="2" customWidth="1"/>
    <col min="7422" max="7423" width="17.5703125" style="2" customWidth="1"/>
    <col min="7424" max="7667" width="9.140625" style="2"/>
    <col min="7668" max="7668" width="3.5703125" style="2" customWidth="1"/>
    <col min="7669" max="7669" width="96.85546875" style="2" customWidth="1"/>
    <col min="7670" max="7670" width="30.85546875" style="2" customWidth="1"/>
    <col min="7671" max="7671" width="12.5703125" style="2" customWidth="1"/>
    <col min="7672" max="7672" width="5.140625" style="2" customWidth="1"/>
    <col min="7673" max="7673" width="9.140625" style="2"/>
    <col min="7674" max="7674" width="4.85546875" style="2" customWidth="1"/>
    <col min="7675" max="7675" width="30.5703125" style="2" customWidth="1"/>
    <col min="7676" max="7676" width="33.85546875" style="2" customWidth="1"/>
    <col min="7677" max="7677" width="5.140625" style="2" customWidth="1"/>
    <col min="7678" max="7679" width="17.5703125" style="2" customWidth="1"/>
    <col min="7680" max="7923" width="9.140625" style="2"/>
    <col min="7924" max="7924" width="3.5703125" style="2" customWidth="1"/>
    <col min="7925" max="7925" width="96.85546875" style="2" customWidth="1"/>
    <col min="7926" max="7926" width="30.85546875" style="2" customWidth="1"/>
    <col min="7927" max="7927" width="12.5703125" style="2" customWidth="1"/>
    <col min="7928" max="7928" width="5.140625" style="2" customWidth="1"/>
    <col min="7929" max="7929" width="9.140625" style="2"/>
    <col min="7930" max="7930" width="4.85546875" style="2" customWidth="1"/>
    <col min="7931" max="7931" width="30.5703125" style="2" customWidth="1"/>
    <col min="7932" max="7932" width="33.85546875" style="2" customWidth="1"/>
    <col min="7933" max="7933" width="5.140625" style="2" customWidth="1"/>
    <col min="7934" max="7935" width="17.5703125" style="2" customWidth="1"/>
    <col min="7936" max="8179" width="9.140625" style="2"/>
    <col min="8180" max="8180" width="3.5703125" style="2" customWidth="1"/>
    <col min="8181" max="8181" width="96.85546875" style="2" customWidth="1"/>
    <col min="8182" max="8182" width="30.85546875" style="2" customWidth="1"/>
    <col min="8183" max="8183" width="12.5703125" style="2" customWidth="1"/>
    <col min="8184" max="8184" width="5.140625" style="2" customWidth="1"/>
    <col min="8185" max="8185" width="9.140625" style="2"/>
    <col min="8186" max="8186" width="4.85546875" style="2" customWidth="1"/>
    <col min="8187" max="8187" width="30.5703125" style="2" customWidth="1"/>
    <col min="8188" max="8188" width="33.85546875" style="2" customWidth="1"/>
    <col min="8189" max="8189" width="5.140625" style="2" customWidth="1"/>
    <col min="8190" max="8191" width="17.5703125" style="2" customWidth="1"/>
    <col min="8192" max="8435" width="9.140625" style="2"/>
    <col min="8436" max="8436" width="3.5703125" style="2" customWidth="1"/>
    <col min="8437" max="8437" width="96.85546875" style="2" customWidth="1"/>
    <col min="8438" max="8438" width="30.85546875" style="2" customWidth="1"/>
    <col min="8439" max="8439" width="12.5703125" style="2" customWidth="1"/>
    <col min="8440" max="8440" width="5.140625" style="2" customWidth="1"/>
    <col min="8441" max="8441" width="9.140625" style="2"/>
    <col min="8442" max="8442" width="4.85546875" style="2" customWidth="1"/>
    <col min="8443" max="8443" width="30.5703125" style="2" customWidth="1"/>
    <col min="8444" max="8444" width="33.85546875" style="2" customWidth="1"/>
    <col min="8445" max="8445" width="5.140625" style="2" customWidth="1"/>
    <col min="8446" max="8447" width="17.5703125" style="2" customWidth="1"/>
    <col min="8448" max="8691" width="9.140625" style="2"/>
    <col min="8692" max="8692" width="3.5703125" style="2" customWidth="1"/>
    <col min="8693" max="8693" width="96.85546875" style="2" customWidth="1"/>
    <col min="8694" max="8694" width="30.85546875" style="2" customWidth="1"/>
    <col min="8695" max="8695" width="12.5703125" style="2" customWidth="1"/>
    <col min="8696" max="8696" width="5.140625" style="2" customWidth="1"/>
    <col min="8697" max="8697" width="9.140625" style="2"/>
    <col min="8698" max="8698" width="4.85546875" style="2" customWidth="1"/>
    <col min="8699" max="8699" width="30.5703125" style="2" customWidth="1"/>
    <col min="8700" max="8700" width="33.85546875" style="2" customWidth="1"/>
    <col min="8701" max="8701" width="5.140625" style="2" customWidth="1"/>
    <col min="8702" max="8703" width="17.5703125" style="2" customWidth="1"/>
    <col min="8704" max="8947" width="9.140625" style="2"/>
    <col min="8948" max="8948" width="3.5703125" style="2" customWidth="1"/>
    <col min="8949" max="8949" width="96.85546875" style="2" customWidth="1"/>
    <col min="8950" max="8950" width="30.85546875" style="2" customWidth="1"/>
    <col min="8951" max="8951" width="12.5703125" style="2" customWidth="1"/>
    <col min="8952" max="8952" width="5.140625" style="2" customWidth="1"/>
    <col min="8953" max="8953" width="9.140625" style="2"/>
    <col min="8954" max="8954" width="4.85546875" style="2" customWidth="1"/>
    <col min="8955" max="8955" width="30.5703125" style="2" customWidth="1"/>
    <col min="8956" max="8956" width="33.85546875" style="2" customWidth="1"/>
    <col min="8957" max="8957" width="5.140625" style="2" customWidth="1"/>
    <col min="8958" max="8959" width="17.5703125" style="2" customWidth="1"/>
    <col min="8960" max="9203" width="9.140625" style="2"/>
    <col min="9204" max="9204" width="3.5703125" style="2" customWidth="1"/>
    <col min="9205" max="9205" width="96.85546875" style="2" customWidth="1"/>
    <col min="9206" max="9206" width="30.85546875" style="2" customWidth="1"/>
    <col min="9207" max="9207" width="12.5703125" style="2" customWidth="1"/>
    <col min="9208" max="9208" width="5.140625" style="2" customWidth="1"/>
    <col min="9209" max="9209" width="9.140625" style="2"/>
    <col min="9210" max="9210" width="4.85546875" style="2" customWidth="1"/>
    <col min="9211" max="9211" width="30.5703125" style="2" customWidth="1"/>
    <col min="9212" max="9212" width="33.85546875" style="2" customWidth="1"/>
    <col min="9213" max="9213" width="5.140625" style="2" customWidth="1"/>
    <col min="9214" max="9215" width="17.5703125" style="2" customWidth="1"/>
    <col min="9216" max="9459" width="9.140625" style="2"/>
    <col min="9460" max="9460" width="3.5703125" style="2" customWidth="1"/>
    <col min="9461" max="9461" width="96.85546875" style="2" customWidth="1"/>
    <col min="9462" max="9462" width="30.85546875" style="2" customWidth="1"/>
    <col min="9463" max="9463" width="12.5703125" style="2" customWidth="1"/>
    <col min="9464" max="9464" width="5.140625" style="2" customWidth="1"/>
    <col min="9465" max="9465" width="9.140625" style="2"/>
    <col min="9466" max="9466" width="4.85546875" style="2" customWidth="1"/>
    <col min="9467" max="9467" width="30.5703125" style="2" customWidth="1"/>
    <col min="9468" max="9468" width="33.85546875" style="2" customWidth="1"/>
    <col min="9469" max="9469" width="5.140625" style="2" customWidth="1"/>
    <col min="9470" max="9471" width="17.5703125" style="2" customWidth="1"/>
    <col min="9472" max="9715" width="9.140625" style="2"/>
    <col min="9716" max="9716" width="3.5703125" style="2" customWidth="1"/>
    <col min="9717" max="9717" width="96.85546875" style="2" customWidth="1"/>
    <col min="9718" max="9718" width="30.85546875" style="2" customWidth="1"/>
    <col min="9719" max="9719" width="12.5703125" style="2" customWidth="1"/>
    <col min="9720" max="9720" width="5.140625" style="2" customWidth="1"/>
    <col min="9721" max="9721" width="9.140625" style="2"/>
    <col min="9722" max="9722" width="4.85546875" style="2" customWidth="1"/>
    <col min="9723" max="9723" width="30.5703125" style="2" customWidth="1"/>
    <col min="9724" max="9724" width="33.85546875" style="2" customWidth="1"/>
    <col min="9725" max="9725" width="5.140625" style="2" customWidth="1"/>
    <col min="9726" max="9727" width="17.5703125" style="2" customWidth="1"/>
    <col min="9728" max="9971" width="9.140625" style="2"/>
    <col min="9972" max="9972" width="3.5703125" style="2" customWidth="1"/>
    <col min="9973" max="9973" width="96.85546875" style="2" customWidth="1"/>
    <col min="9974" max="9974" width="30.85546875" style="2" customWidth="1"/>
    <col min="9975" max="9975" width="12.5703125" style="2" customWidth="1"/>
    <col min="9976" max="9976" width="5.140625" style="2" customWidth="1"/>
    <col min="9977" max="9977" width="9.140625" style="2"/>
    <col min="9978" max="9978" width="4.85546875" style="2" customWidth="1"/>
    <col min="9979" max="9979" width="30.5703125" style="2" customWidth="1"/>
    <col min="9980" max="9980" width="33.85546875" style="2" customWidth="1"/>
    <col min="9981" max="9981" width="5.140625" style="2" customWidth="1"/>
    <col min="9982" max="9983" width="17.5703125" style="2" customWidth="1"/>
    <col min="9984" max="10227" width="9.140625" style="2"/>
    <col min="10228" max="10228" width="3.5703125" style="2" customWidth="1"/>
    <col min="10229" max="10229" width="96.85546875" style="2" customWidth="1"/>
    <col min="10230" max="10230" width="30.85546875" style="2" customWidth="1"/>
    <col min="10231" max="10231" width="12.5703125" style="2" customWidth="1"/>
    <col min="10232" max="10232" width="5.140625" style="2" customWidth="1"/>
    <col min="10233" max="10233" width="9.140625" style="2"/>
    <col min="10234" max="10234" width="4.85546875" style="2" customWidth="1"/>
    <col min="10235" max="10235" width="30.5703125" style="2" customWidth="1"/>
    <col min="10236" max="10236" width="33.85546875" style="2" customWidth="1"/>
    <col min="10237" max="10237" width="5.140625" style="2" customWidth="1"/>
    <col min="10238" max="10239" width="17.5703125" style="2" customWidth="1"/>
    <col min="10240" max="10483" width="9.140625" style="2"/>
    <col min="10484" max="10484" width="3.5703125" style="2" customWidth="1"/>
    <col min="10485" max="10485" width="96.85546875" style="2" customWidth="1"/>
    <col min="10486" max="10486" width="30.85546875" style="2" customWidth="1"/>
    <col min="10487" max="10487" width="12.5703125" style="2" customWidth="1"/>
    <col min="10488" max="10488" width="5.140625" style="2" customWidth="1"/>
    <col min="10489" max="10489" width="9.140625" style="2"/>
    <col min="10490" max="10490" width="4.85546875" style="2" customWidth="1"/>
    <col min="10491" max="10491" width="30.5703125" style="2" customWidth="1"/>
    <col min="10492" max="10492" width="33.85546875" style="2" customWidth="1"/>
    <col min="10493" max="10493" width="5.140625" style="2" customWidth="1"/>
    <col min="10494" max="10495" width="17.5703125" style="2" customWidth="1"/>
    <col min="10496" max="10739" width="9.140625" style="2"/>
    <col min="10740" max="10740" width="3.5703125" style="2" customWidth="1"/>
    <col min="10741" max="10741" width="96.85546875" style="2" customWidth="1"/>
    <col min="10742" max="10742" width="30.85546875" style="2" customWidth="1"/>
    <col min="10743" max="10743" width="12.5703125" style="2" customWidth="1"/>
    <col min="10744" max="10744" width="5.140625" style="2" customWidth="1"/>
    <col min="10745" max="10745" width="9.140625" style="2"/>
    <col min="10746" max="10746" width="4.85546875" style="2" customWidth="1"/>
    <col min="10747" max="10747" width="30.5703125" style="2" customWidth="1"/>
    <col min="10748" max="10748" width="33.85546875" style="2" customWidth="1"/>
    <col min="10749" max="10749" width="5.140625" style="2" customWidth="1"/>
    <col min="10750" max="10751" width="17.5703125" style="2" customWidth="1"/>
    <col min="10752" max="10995" width="9.140625" style="2"/>
    <col min="10996" max="10996" width="3.5703125" style="2" customWidth="1"/>
    <col min="10997" max="10997" width="96.85546875" style="2" customWidth="1"/>
    <col min="10998" max="10998" width="30.85546875" style="2" customWidth="1"/>
    <col min="10999" max="10999" width="12.5703125" style="2" customWidth="1"/>
    <col min="11000" max="11000" width="5.140625" style="2" customWidth="1"/>
    <col min="11001" max="11001" width="9.140625" style="2"/>
    <col min="11002" max="11002" width="4.85546875" style="2" customWidth="1"/>
    <col min="11003" max="11003" width="30.5703125" style="2" customWidth="1"/>
    <col min="11004" max="11004" width="33.85546875" style="2" customWidth="1"/>
    <col min="11005" max="11005" width="5.140625" style="2" customWidth="1"/>
    <col min="11006" max="11007" width="17.5703125" style="2" customWidth="1"/>
    <col min="11008" max="11251" width="9.140625" style="2"/>
    <col min="11252" max="11252" width="3.5703125" style="2" customWidth="1"/>
    <col min="11253" max="11253" width="96.85546875" style="2" customWidth="1"/>
    <col min="11254" max="11254" width="30.85546875" style="2" customWidth="1"/>
    <col min="11255" max="11255" width="12.5703125" style="2" customWidth="1"/>
    <col min="11256" max="11256" width="5.140625" style="2" customWidth="1"/>
    <col min="11257" max="11257" width="9.140625" style="2"/>
    <col min="11258" max="11258" width="4.85546875" style="2" customWidth="1"/>
    <col min="11259" max="11259" width="30.5703125" style="2" customWidth="1"/>
    <col min="11260" max="11260" width="33.85546875" style="2" customWidth="1"/>
    <col min="11261" max="11261" width="5.140625" style="2" customWidth="1"/>
    <col min="11262" max="11263" width="17.5703125" style="2" customWidth="1"/>
    <col min="11264" max="11507" width="9.140625" style="2"/>
    <col min="11508" max="11508" width="3.5703125" style="2" customWidth="1"/>
    <col min="11509" max="11509" width="96.85546875" style="2" customWidth="1"/>
    <col min="11510" max="11510" width="30.85546875" style="2" customWidth="1"/>
    <col min="11511" max="11511" width="12.5703125" style="2" customWidth="1"/>
    <col min="11512" max="11512" width="5.140625" style="2" customWidth="1"/>
    <col min="11513" max="11513" width="9.140625" style="2"/>
    <col min="11514" max="11514" width="4.85546875" style="2" customWidth="1"/>
    <col min="11515" max="11515" width="30.5703125" style="2" customWidth="1"/>
    <col min="11516" max="11516" width="33.85546875" style="2" customWidth="1"/>
    <col min="11517" max="11517" width="5.140625" style="2" customWidth="1"/>
    <col min="11518" max="11519" width="17.5703125" style="2" customWidth="1"/>
    <col min="11520" max="11763" width="9.140625" style="2"/>
    <col min="11764" max="11764" width="3.5703125" style="2" customWidth="1"/>
    <col min="11765" max="11765" width="96.85546875" style="2" customWidth="1"/>
    <col min="11766" max="11766" width="30.85546875" style="2" customWidth="1"/>
    <col min="11767" max="11767" width="12.5703125" style="2" customWidth="1"/>
    <col min="11768" max="11768" width="5.140625" style="2" customWidth="1"/>
    <col min="11769" max="11769" width="9.140625" style="2"/>
    <col min="11770" max="11770" width="4.85546875" style="2" customWidth="1"/>
    <col min="11771" max="11771" width="30.5703125" style="2" customWidth="1"/>
    <col min="11772" max="11772" width="33.85546875" style="2" customWidth="1"/>
    <col min="11773" max="11773" width="5.140625" style="2" customWidth="1"/>
    <col min="11774" max="11775" width="17.5703125" style="2" customWidth="1"/>
    <col min="11776" max="12019" width="9.140625" style="2"/>
    <col min="12020" max="12020" width="3.5703125" style="2" customWidth="1"/>
    <col min="12021" max="12021" width="96.85546875" style="2" customWidth="1"/>
    <col min="12022" max="12022" width="30.85546875" style="2" customWidth="1"/>
    <col min="12023" max="12023" width="12.5703125" style="2" customWidth="1"/>
    <col min="12024" max="12024" width="5.140625" style="2" customWidth="1"/>
    <col min="12025" max="12025" width="9.140625" style="2"/>
    <col min="12026" max="12026" width="4.85546875" style="2" customWidth="1"/>
    <col min="12027" max="12027" width="30.5703125" style="2" customWidth="1"/>
    <col min="12028" max="12028" width="33.85546875" style="2" customWidth="1"/>
    <col min="12029" max="12029" width="5.140625" style="2" customWidth="1"/>
    <col min="12030" max="12031" width="17.5703125" style="2" customWidth="1"/>
    <col min="12032" max="12275" width="9.140625" style="2"/>
    <col min="12276" max="12276" width="3.5703125" style="2" customWidth="1"/>
    <col min="12277" max="12277" width="96.85546875" style="2" customWidth="1"/>
    <col min="12278" max="12278" width="30.85546875" style="2" customWidth="1"/>
    <col min="12279" max="12279" width="12.5703125" style="2" customWidth="1"/>
    <col min="12280" max="12280" width="5.140625" style="2" customWidth="1"/>
    <col min="12281" max="12281" width="9.140625" style="2"/>
    <col min="12282" max="12282" width="4.85546875" style="2" customWidth="1"/>
    <col min="12283" max="12283" width="30.5703125" style="2" customWidth="1"/>
    <col min="12284" max="12284" width="33.85546875" style="2" customWidth="1"/>
    <col min="12285" max="12285" width="5.140625" style="2" customWidth="1"/>
    <col min="12286" max="12287" width="17.5703125" style="2" customWidth="1"/>
    <col min="12288" max="12531" width="9.140625" style="2"/>
    <col min="12532" max="12532" width="3.5703125" style="2" customWidth="1"/>
    <col min="12533" max="12533" width="96.85546875" style="2" customWidth="1"/>
    <col min="12534" max="12534" width="30.85546875" style="2" customWidth="1"/>
    <col min="12535" max="12535" width="12.5703125" style="2" customWidth="1"/>
    <col min="12536" max="12536" width="5.140625" style="2" customWidth="1"/>
    <col min="12537" max="12537" width="9.140625" style="2"/>
    <col min="12538" max="12538" width="4.85546875" style="2" customWidth="1"/>
    <col min="12539" max="12539" width="30.5703125" style="2" customWidth="1"/>
    <col min="12540" max="12540" width="33.85546875" style="2" customWidth="1"/>
    <col min="12541" max="12541" width="5.140625" style="2" customWidth="1"/>
    <col min="12542" max="12543" width="17.5703125" style="2" customWidth="1"/>
    <col min="12544" max="12787" width="9.140625" style="2"/>
    <col min="12788" max="12788" width="3.5703125" style="2" customWidth="1"/>
    <col min="12789" max="12789" width="96.85546875" style="2" customWidth="1"/>
    <col min="12790" max="12790" width="30.85546875" style="2" customWidth="1"/>
    <col min="12791" max="12791" width="12.5703125" style="2" customWidth="1"/>
    <col min="12792" max="12792" width="5.140625" style="2" customWidth="1"/>
    <col min="12793" max="12793" width="9.140625" style="2"/>
    <col min="12794" max="12794" width="4.85546875" style="2" customWidth="1"/>
    <col min="12795" max="12795" width="30.5703125" style="2" customWidth="1"/>
    <col min="12796" max="12796" width="33.85546875" style="2" customWidth="1"/>
    <col min="12797" max="12797" width="5.140625" style="2" customWidth="1"/>
    <col min="12798" max="12799" width="17.5703125" style="2" customWidth="1"/>
    <col min="12800" max="13043" width="9.140625" style="2"/>
    <col min="13044" max="13044" width="3.5703125" style="2" customWidth="1"/>
    <col min="13045" max="13045" width="96.85546875" style="2" customWidth="1"/>
    <col min="13046" max="13046" width="30.85546875" style="2" customWidth="1"/>
    <col min="13047" max="13047" width="12.5703125" style="2" customWidth="1"/>
    <col min="13048" max="13048" width="5.140625" style="2" customWidth="1"/>
    <col min="13049" max="13049" width="9.140625" style="2"/>
    <col min="13050" max="13050" width="4.85546875" style="2" customWidth="1"/>
    <col min="13051" max="13051" width="30.5703125" style="2" customWidth="1"/>
    <col min="13052" max="13052" width="33.85546875" style="2" customWidth="1"/>
    <col min="13053" max="13053" width="5.140625" style="2" customWidth="1"/>
    <col min="13054" max="13055" width="17.5703125" style="2" customWidth="1"/>
    <col min="13056" max="13299" width="9.140625" style="2"/>
    <col min="13300" max="13300" width="3.5703125" style="2" customWidth="1"/>
    <col min="13301" max="13301" width="96.85546875" style="2" customWidth="1"/>
    <col min="13302" max="13302" width="30.85546875" style="2" customWidth="1"/>
    <col min="13303" max="13303" width="12.5703125" style="2" customWidth="1"/>
    <col min="13304" max="13304" width="5.140625" style="2" customWidth="1"/>
    <col min="13305" max="13305" width="9.140625" style="2"/>
    <col min="13306" max="13306" width="4.85546875" style="2" customWidth="1"/>
    <col min="13307" max="13307" width="30.5703125" style="2" customWidth="1"/>
    <col min="13308" max="13308" width="33.85546875" style="2" customWidth="1"/>
    <col min="13309" max="13309" width="5.140625" style="2" customWidth="1"/>
    <col min="13310" max="13311" width="17.5703125" style="2" customWidth="1"/>
    <col min="13312" max="13555" width="9.140625" style="2"/>
    <col min="13556" max="13556" width="3.5703125" style="2" customWidth="1"/>
    <col min="13557" max="13557" width="96.85546875" style="2" customWidth="1"/>
    <col min="13558" max="13558" width="30.85546875" style="2" customWidth="1"/>
    <col min="13559" max="13559" width="12.5703125" style="2" customWidth="1"/>
    <col min="13560" max="13560" width="5.140625" style="2" customWidth="1"/>
    <col min="13561" max="13561" width="9.140625" style="2"/>
    <col min="13562" max="13562" width="4.85546875" style="2" customWidth="1"/>
    <col min="13563" max="13563" width="30.5703125" style="2" customWidth="1"/>
    <col min="13564" max="13564" width="33.85546875" style="2" customWidth="1"/>
    <col min="13565" max="13565" width="5.140625" style="2" customWidth="1"/>
    <col min="13566" max="13567" width="17.5703125" style="2" customWidth="1"/>
    <col min="13568" max="13811" width="9.140625" style="2"/>
    <col min="13812" max="13812" width="3.5703125" style="2" customWidth="1"/>
    <col min="13813" max="13813" width="96.85546875" style="2" customWidth="1"/>
    <col min="13814" max="13814" width="30.85546875" style="2" customWidth="1"/>
    <col min="13815" max="13815" width="12.5703125" style="2" customWidth="1"/>
    <col min="13816" max="13816" width="5.140625" style="2" customWidth="1"/>
    <col min="13817" max="13817" width="9.140625" style="2"/>
    <col min="13818" max="13818" width="4.85546875" style="2" customWidth="1"/>
    <col min="13819" max="13819" width="30.5703125" style="2" customWidth="1"/>
    <col min="13820" max="13820" width="33.85546875" style="2" customWidth="1"/>
    <col min="13821" max="13821" width="5.140625" style="2" customWidth="1"/>
    <col min="13822" max="13823" width="17.5703125" style="2" customWidth="1"/>
    <col min="13824" max="14067" width="9.140625" style="2"/>
    <col min="14068" max="14068" width="3.5703125" style="2" customWidth="1"/>
    <col min="14069" max="14069" width="96.85546875" style="2" customWidth="1"/>
    <col min="14070" max="14070" width="30.85546875" style="2" customWidth="1"/>
    <col min="14071" max="14071" width="12.5703125" style="2" customWidth="1"/>
    <col min="14072" max="14072" width="5.140625" style="2" customWidth="1"/>
    <col min="14073" max="14073" width="9.140625" style="2"/>
    <col min="14074" max="14074" width="4.85546875" style="2" customWidth="1"/>
    <col min="14075" max="14075" width="30.5703125" style="2" customWidth="1"/>
    <col min="14076" max="14076" width="33.85546875" style="2" customWidth="1"/>
    <col min="14077" max="14077" width="5.140625" style="2" customWidth="1"/>
    <col min="14078" max="14079" width="17.5703125" style="2" customWidth="1"/>
    <col min="14080" max="14323" width="9.140625" style="2"/>
    <col min="14324" max="14324" width="3.5703125" style="2" customWidth="1"/>
    <col min="14325" max="14325" width="96.85546875" style="2" customWidth="1"/>
    <col min="14326" max="14326" width="30.85546875" style="2" customWidth="1"/>
    <col min="14327" max="14327" width="12.5703125" style="2" customWidth="1"/>
    <col min="14328" max="14328" width="5.140625" style="2" customWidth="1"/>
    <col min="14329" max="14329" width="9.140625" style="2"/>
    <col min="14330" max="14330" width="4.85546875" style="2" customWidth="1"/>
    <col min="14331" max="14331" width="30.5703125" style="2" customWidth="1"/>
    <col min="14332" max="14332" width="33.85546875" style="2" customWidth="1"/>
    <col min="14333" max="14333" width="5.140625" style="2" customWidth="1"/>
    <col min="14334" max="14335" width="17.5703125" style="2" customWidth="1"/>
    <col min="14336" max="14579" width="9.140625" style="2"/>
    <col min="14580" max="14580" width="3.5703125" style="2" customWidth="1"/>
    <col min="14581" max="14581" width="96.85546875" style="2" customWidth="1"/>
    <col min="14582" max="14582" width="30.85546875" style="2" customWidth="1"/>
    <col min="14583" max="14583" width="12.5703125" style="2" customWidth="1"/>
    <col min="14584" max="14584" width="5.140625" style="2" customWidth="1"/>
    <col min="14585" max="14585" width="9.140625" style="2"/>
    <col min="14586" max="14586" width="4.85546875" style="2" customWidth="1"/>
    <col min="14587" max="14587" width="30.5703125" style="2" customWidth="1"/>
    <col min="14588" max="14588" width="33.85546875" style="2" customWidth="1"/>
    <col min="14589" max="14589" width="5.140625" style="2" customWidth="1"/>
    <col min="14590" max="14591" width="17.5703125" style="2" customWidth="1"/>
    <col min="14592" max="14835" width="9.140625" style="2"/>
    <col min="14836" max="14836" width="3.5703125" style="2" customWidth="1"/>
    <col min="14837" max="14837" width="96.85546875" style="2" customWidth="1"/>
    <col min="14838" max="14838" width="30.85546875" style="2" customWidth="1"/>
    <col min="14839" max="14839" width="12.5703125" style="2" customWidth="1"/>
    <col min="14840" max="14840" width="5.140625" style="2" customWidth="1"/>
    <col min="14841" max="14841" width="9.140625" style="2"/>
    <col min="14842" max="14842" width="4.85546875" style="2" customWidth="1"/>
    <col min="14843" max="14843" width="30.5703125" style="2" customWidth="1"/>
    <col min="14844" max="14844" width="33.85546875" style="2" customWidth="1"/>
    <col min="14845" max="14845" width="5.140625" style="2" customWidth="1"/>
    <col min="14846" max="14847" width="17.5703125" style="2" customWidth="1"/>
    <col min="14848" max="15091" width="9.140625" style="2"/>
    <col min="15092" max="15092" width="3.5703125" style="2" customWidth="1"/>
    <col min="15093" max="15093" width="96.85546875" style="2" customWidth="1"/>
    <col min="15094" max="15094" width="30.85546875" style="2" customWidth="1"/>
    <col min="15095" max="15095" width="12.5703125" style="2" customWidth="1"/>
    <col min="15096" max="15096" width="5.140625" style="2" customWidth="1"/>
    <col min="15097" max="15097" width="9.140625" style="2"/>
    <col min="15098" max="15098" width="4.85546875" style="2" customWidth="1"/>
    <col min="15099" max="15099" width="30.5703125" style="2" customWidth="1"/>
    <col min="15100" max="15100" width="33.85546875" style="2" customWidth="1"/>
    <col min="15101" max="15101" width="5.140625" style="2" customWidth="1"/>
    <col min="15102" max="15103" width="17.5703125" style="2" customWidth="1"/>
    <col min="15104" max="15347" width="9.140625" style="2"/>
    <col min="15348" max="15348" width="3.5703125" style="2" customWidth="1"/>
    <col min="15349" max="15349" width="96.85546875" style="2" customWidth="1"/>
    <col min="15350" max="15350" width="30.85546875" style="2" customWidth="1"/>
    <col min="15351" max="15351" width="12.5703125" style="2" customWidth="1"/>
    <col min="15352" max="15352" width="5.140625" style="2" customWidth="1"/>
    <col min="15353" max="15353" width="9.140625" style="2"/>
    <col min="15354" max="15354" width="4.85546875" style="2" customWidth="1"/>
    <col min="15355" max="15355" width="30.5703125" style="2" customWidth="1"/>
    <col min="15356" max="15356" width="33.85546875" style="2" customWidth="1"/>
    <col min="15357" max="15357" width="5.140625" style="2" customWidth="1"/>
    <col min="15358" max="15359" width="17.5703125" style="2" customWidth="1"/>
    <col min="15360" max="15603" width="9.140625" style="2"/>
    <col min="15604" max="15604" width="3.5703125" style="2" customWidth="1"/>
    <col min="15605" max="15605" width="96.85546875" style="2" customWidth="1"/>
    <col min="15606" max="15606" width="30.85546875" style="2" customWidth="1"/>
    <col min="15607" max="15607" width="12.5703125" style="2" customWidth="1"/>
    <col min="15608" max="15608" width="5.140625" style="2" customWidth="1"/>
    <col min="15609" max="15609" width="9.140625" style="2"/>
    <col min="15610" max="15610" width="4.85546875" style="2" customWidth="1"/>
    <col min="15611" max="15611" width="30.5703125" style="2" customWidth="1"/>
    <col min="15612" max="15612" width="33.85546875" style="2" customWidth="1"/>
    <col min="15613" max="15613" width="5.140625" style="2" customWidth="1"/>
    <col min="15614" max="15615" width="17.5703125" style="2" customWidth="1"/>
    <col min="15616" max="15859" width="9.140625" style="2"/>
    <col min="15860" max="15860" width="3.5703125" style="2" customWidth="1"/>
    <col min="15861" max="15861" width="96.85546875" style="2" customWidth="1"/>
    <col min="15862" max="15862" width="30.85546875" style="2" customWidth="1"/>
    <col min="15863" max="15863" width="12.5703125" style="2" customWidth="1"/>
    <col min="15864" max="15864" width="5.140625" style="2" customWidth="1"/>
    <col min="15865" max="15865" width="9.140625" style="2"/>
    <col min="15866" max="15866" width="4.85546875" style="2" customWidth="1"/>
    <col min="15867" max="15867" width="30.5703125" style="2" customWidth="1"/>
    <col min="15868" max="15868" width="33.85546875" style="2" customWidth="1"/>
    <col min="15869" max="15869" width="5.140625" style="2" customWidth="1"/>
    <col min="15870" max="15871" width="17.5703125" style="2" customWidth="1"/>
    <col min="15872" max="16115" width="9.140625" style="2"/>
    <col min="16116" max="16116" width="3.5703125" style="2" customWidth="1"/>
    <col min="16117" max="16117" width="96.85546875" style="2" customWidth="1"/>
    <col min="16118" max="16118" width="30.85546875" style="2" customWidth="1"/>
    <col min="16119" max="16119" width="12.5703125" style="2" customWidth="1"/>
    <col min="16120" max="16120" width="5.140625" style="2" customWidth="1"/>
    <col min="16121" max="16121" width="9.140625" style="2"/>
    <col min="16122" max="16122" width="4.85546875" style="2" customWidth="1"/>
    <col min="16123" max="16123" width="30.5703125" style="2" customWidth="1"/>
    <col min="16124" max="16124" width="33.85546875" style="2" customWidth="1"/>
    <col min="16125" max="16125" width="5.140625" style="2" customWidth="1"/>
    <col min="16126" max="16127" width="17.5703125" style="2" customWidth="1"/>
    <col min="16128" max="16384" width="9.140625" style="2"/>
  </cols>
  <sheetData>
    <row r="1" spans="1:3" ht="48" customHeight="1" x14ac:dyDescent="0.2">
      <c r="A1" s="111"/>
      <c r="B1" s="143" t="s">
        <v>225</v>
      </c>
      <c r="C1" s="143"/>
    </row>
    <row r="2" spans="1:3" x14ac:dyDescent="0.2">
      <c r="A2" s="1"/>
      <c r="B2" s="3" t="s">
        <v>2</v>
      </c>
      <c r="C2" s="4">
        <v>45317</v>
      </c>
    </row>
    <row r="3" spans="1:3" x14ac:dyDescent="0.2">
      <c r="A3" s="1"/>
      <c r="B3" s="112" t="s">
        <v>3</v>
      </c>
    </row>
    <row r="4" spans="1:3" ht="25.5" x14ac:dyDescent="0.2">
      <c r="A4" s="7"/>
      <c r="B4" s="8" t="str">
        <f>[13]И1!D13</f>
        <v>Субъект Российской Федерации</v>
      </c>
      <c r="C4" s="9" t="str">
        <f>[13]И1!E13</f>
        <v>Новосибирская область</v>
      </c>
    </row>
    <row r="5" spans="1:3" ht="38.25" x14ac:dyDescent="0.2">
      <c r="A5" s="7"/>
      <c r="B5" s="8" t="str">
        <f>[13]И1!D14</f>
        <v>Тип муниципального образования (выберите из списка)</v>
      </c>
      <c r="C5" s="9" t="str">
        <f>[13]И1!E14</f>
        <v>село Чингис, Ордынский муниципальный район</v>
      </c>
    </row>
    <row r="6" spans="1:3" x14ac:dyDescent="0.2">
      <c r="A6" s="7"/>
      <c r="B6" s="8" t="str">
        <f>IF([13]И1!E15="","",[13]И1!D15)</f>
        <v/>
      </c>
      <c r="C6" s="9" t="str">
        <f>IF([13]И1!E15="","",[13]И1!E15)</f>
        <v/>
      </c>
    </row>
    <row r="7" spans="1:3" x14ac:dyDescent="0.2">
      <c r="A7" s="7"/>
      <c r="B7" s="8" t="str">
        <f>[13]И1!D16</f>
        <v>Код ОКТМО</v>
      </c>
      <c r="C7" s="10" t="str">
        <f>[13]И1!E16</f>
        <v>50642437101</v>
      </c>
    </row>
    <row r="8" spans="1:3" x14ac:dyDescent="0.2">
      <c r="A8" s="7"/>
      <c r="B8" s="11" t="str">
        <f>[13]И1!D17</f>
        <v>Система теплоснабжения</v>
      </c>
      <c r="C8" s="12">
        <f>[13]И1!E17</f>
        <v>0</v>
      </c>
    </row>
    <row r="9" spans="1:3" x14ac:dyDescent="0.2">
      <c r="A9" s="7"/>
      <c r="B9" s="8" t="str">
        <f>[13]И1!D8</f>
        <v>Период регулирования (i)-й</v>
      </c>
      <c r="C9" s="13">
        <f>[13]И1!E8</f>
        <v>2024</v>
      </c>
    </row>
    <row r="10" spans="1:3" x14ac:dyDescent="0.2">
      <c r="A10" s="7"/>
      <c r="B10" s="8" t="str">
        <f>[13]И1!D9</f>
        <v>Период регулирования (i-1)-й</v>
      </c>
      <c r="C10" s="13">
        <f>[13]И1!E9</f>
        <v>2023</v>
      </c>
    </row>
    <row r="11" spans="1:3" x14ac:dyDescent="0.2">
      <c r="A11" s="7"/>
      <c r="B11" s="8" t="str">
        <f>[13]И1!D10</f>
        <v>Период регулирования (i-2)-й</v>
      </c>
      <c r="C11" s="13">
        <f>[13]И1!E10</f>
        <v>2022</v>
      </c>
    </row>
    <row r="12" spans="1:3" x14ac:dyDescent="0.2">
      <c r="A12" s="7"/>
      <c r="B12" s="8" t="str">
        <f>[13]И1!D11</f>
        <v>Базовый год (б)</v>
      </c>
      <c r="C12" s="13">
        <f>[13]И1!E11</f>
        <v>2019</v>
      </c>
    </row>
    <row r="13" spans="1:3" ht="38.25" x14ac:dyDescent="0.2">
      <c r="A13" s="7"/>
      <c r="B13" s="8" t="str">
        <f>[13]И1!D18</f>
        <v>Вид топлива, использование которого преобладает в системе теплоснабжения</v>
      </c>
      <c r="C13" s="14" t="str">
        <f>[13]С1.1!E13</f>
        <v>уголь (вид угля не указан в топливном балансе)</v>
      </c>
    </row>
    <row r="14" spans="1:3" ht="31.7" customHeight="1" thickBot="1" x14ac:dyDescent="0.25">
      <c r="A14" s="146" t="s">
        <v>4</v>
      </c>
      <c r="B14" s="146"/>
      <c r="C14" s="146"/>
    </row>
    <row r="15" spans="1:3" x14ac:dyDescent="0.2">
      <c r="A15" s="15" t="s">
        <v>5</v>
      </c>
      <c r="B15" s="113" t="s">
        <v>6</v>
      </c>
      <c r="C15" s="114" t="s">
        <v>7</v>
      </c>
    </row>
    <row r="16" spans="1:3" x14ac:dyDescent="0.2">
      <c r="A16" s="18">
        <v>1</v>
      </c>
      <c r="B16" s="115">
        <v>2</v>
      </c>
      <c r="C16" s="116">
        <v>3</v>
      </c>
    </row>
    <row r="17" spans="1:3" x14ac:dyDescent="0.2">
      <c r="A17" s="21">
        <v>1</v>
      </c>
      <c r="B17" s="22" t="s">
        <v>8</v>
      </c>
      <c r="C17" s="23">
        <f>SUM(C18:C22)</f>
        <v>3658.8373396730149</v>
      </c>
    </row>
    <row r="18" spans="1:3" ht="42.75" x14ac:dyDescent="0.2">
      <c r="A18" s="21" t="s">
        <v>9</v>
      </c>
      <c r="B18" s="24" t="s">
        <v>10</v>
      </c>
      <c r="C18" s="25">
        <f>[13]С1!F12</f>
        <v>681.72722270675411</v>
      </c>
    </row>
    <row r="19" spans="1:3" ht="42.75" x14ac:dyDescent="0.2">
      <c r="A19" s="21" t="s">
        <v>11</v>
      </c>
      <c r="B19" s="24" t="s">
        <v>12</v>
      </c>
      <c r="C19" s="25">
        <f>[13]С2!F12</f>
        <v>1988.7336845318171</v>
      </c>
    </row>
    <row r="20" spans="1:3" ht="30" x14ac:dyDescent="0.2">
      <c r="A20" s="21" t="s">
        <v>13</v>
      </c>
      <c r="B20" s="24" t="s">
        <v>14</v>
      </c>
      <c r="C20" s="25">
        <f>[13]С3!F12</f>
        <v>472.61808029676507</v>
      </c>
    </row>
    <row r="21" spans="1:3" ht="42.75" x14ac:dyDescent="0.2">
      <c r="A21" s="21" t="s">
        <v>15</v>
      </c>
      <c r="B21" s="24" t="s">
        <v>226</v>
      </c>
      <c r="C21" s="25">
        <f>[13]С4!F12</f>
        <v>444.0164435166393</v>
      </c>
    </row>
    <row r="22" spans="1:3" ht="30" x14ac:dyDescent="0.2">
      <c r="A22" s="21" t="s">
        <v>17</v>
      </c>
      <c r="B22" s="24" t="s">
        <v>227</v>
      </c>
      <c r="C22" s="25">
        <f>[13]С5!F12</f>
        <v>71.741908621039514</v>
      </c>
    </row>
    <row r="23" spans="1:3" ht="43.5" thickBot="1" x14ac:dyDescent="0.25">
      <c r="A23" s="26" t="s">
        <v>19</v>
      </c>
      <c r="B23" s="140" t="s">
        <v>228</v>
      </c>
      <c r="C23" s="27" t="str">
        <f>[13]С6!F12</f>
        <v>-</v>
      </c>
    </row>
    <row r="24" spans="1:3" ht="13.5" thickBot="1" x14ac:dyDescent="0.25">
      <c r="A24" s="1"/>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229</v>
      </c>
      <c r="C28" s="32">
        <f>[13]С1.1!E16</f>
        <v>5100</v>
      </c>
    </row>
    <row r="29" spans="1:3" ht="42.75" x14ac:dyDescent="0.2">
      <c r="A29" s="21" t="s">
        <v>11</v>
      </c>
      <c r="B29" s="31" t="s">
        <v>230</v>
      </c>
      <c r="C29" s="32">
        <f>[13]С1.1!E27</f>
        <v>3063.03</v>
      </c>
    </row>
    <row r="30" spans="1:3" ht="17.25" x14ac:dyDescent="0.2">
      <c r="A30" s="21" t="s">
        <v>13</v>
      </c>
      <c r="B30" s="31" t="s">
        <v>30</v>
      </c>
      <c r="C30" s="34">
        <f>[13]С1.1!E19</f>
        <v>-0.19900000000000001</v>
      </c>
    </row>
    <row r="31" spans="1:3" ht="17.25" x14ac:dyDescent="0.2">
      <c r="A31" s="21" t="s">
        <v>15</v>
      </c>
      <c r="B31" s="31" t="s">
        <v>31</v>
      </c>
      <c r="C31" s="34">
        <f>[13]С1.1!E20</f>
        <v>5.7000000000000002E-2</v>
      </c>
    </row>
    <row r="32" spans="1:3" ht="30" x14ac:dyDescent="0.2">
      <c r="A32" s="21" t="s">
        <v>17</v>
      </c>
      <c r="B32" s="35" t="s">
        <v>231</v>
      </c>
      <c r="C32" s="117">
        <f>[13]С1!F13</f>
        <v>176.4</v>
      </c>
    </row>
    <row r="33" spans="1:3" x14ac:dyDescent="0.2">
      <c r="A33" s="21" t="s">
        <v>19</v>
      </c>
      <c r="B33" s="35" t="s">
        <v>33</v>
      </c>
      <c r="C33" s="37">
        <f>[13]С1!F16</f>
        <v>7000</v>
      </c>
    </row>
    <row r="34" spans="1:3" ht="14.25" x14ac:dyDescent="0.2">
      <c r="A34" s="21" t="s">
        <v>34</v>
      </c>
      <c r="B34" s="39" t="s">
        <v>232</v>
      </c>
      <c r="C34" s="40">
        <f>[13]С1!F17</f>
        <v>0.72857142857142854</v>
      </c>
    </row>
    <row r="35" spans="1:3" ht="15.75" x14ac:dyDescent="0.2">
      <c r="A35" s="118" t="s">
        <v>36</v>
      </c>
      <c r="B35" s="42" t="s">
        <v>37</v>
      </c>
      <c r="C35" s="40">
        <f>[13]С1!F20</f>
        <v>21.588411179999994</v>
      </c>
    </row>
    <row r="36" spans="1:3" ht="15.75" x14ac:dyDescent="0.2">
      <c r="A36" s="118" t="s">
        <v>38</v>
      </c>
      <c r="B36" s="43" t="s">
        <v>39</v>
      </c>
      <c r="C36" s="40">
        <f>[13]С1!F21</f>
        <v>20.818139999999996</v>
      </c>
    </row>
    <row r="37" spans="1:3" ht="14.25" x14ac:dyDescent="0.2">
      <c r="A37" s="118" t="s">
        <v>40</v>
      </c>
      <c r="B37" s="44" t="s">
        <v>41</v>
      </c>
      <c r="C37" s="40">
        <f>[13]С1!F22</f>
        <v>1.0369999999999999</v>
      </c>
    </row>
    <row r="38" spans="1:3" ht="53.25" thickBot="1" x14ac:dyDescent="0.25">
      <c r="A38" s="26" t="s">
        <v>42</v>
      </c>
      <c r="B38" s="45" t="s">
        <v>43</v>
      </c>
      <c r="C38" s="46">
        <f>[13]С1!F23</f>
        <v>1.0469999999999999</v>
      </c>
    </row>
    <row r="39" spans="1:3" ht="13.5" thickBot="1" x14ac:dyDescent="0.25">
      <c r="A39" s="47"/>
      <c r="B39" s="119"/>
      <c r="C39" s="120"/>
    </row>
    <row r="40" spans="1:3" ht="30" customHeight="1" x14ac:dyDescent="0.2">
      <c r="A40" s="49" t="s">
        <v>44</v>
      </c>
      <c r="B40" s="145" t="s">
        <v>45</v>
      </c>
      <c r="C40" s="145"/>
    </row>
    <row r="41" spans="1:3" ht="25.5" x14ac:dyDescent="0.2">
      <c r="A41" s="21" t="s">
        <v>46</v>
      </c>
      <c r="B41" s="35" t="s">
        <v>47</v>
      </c>
      <c r="C41" s="50" t="str">
        <f>[13]С2.1!E12</f>
        <v>V</v>
      </c>
    </row>
    <row r="42" spans="1:3" ht="25.5" x14ac:dyDescent="0.2">
      <c r="A42" s="21" t="s">
        <v>48</v>
      </c>
      <c r="B42" s="31" t="s">
        <v>49</v>
      </c>
      <c r="C42" s="50" t="str">
        <f>[13]С2.1!E13</f>
        <v>6 и менее баллов</v>
      </c>
    </row>
    <row r="43" spans="1:3" ht="25.5" x14ac:dyDescent="0.2">
      <c r="A43" s="21" t="s">
        <v>50</v>
      </c>
      <c r="B43" s="31" t="s">
        <v>233</v>
      </c>
      <c r="C43" s="50" t="str">
        <f>[13]С2.1!E14</f>
        <v>от 200 до 500</v>
      </c>
    </row>
    <row r="44" spans="1:3" ht="25.5" x14ac:dyDescent="0.2">
      <c r="A44" s="21" t="s">
        <v>52</v>
      </c>
      <c r="B44" s="31" t="s">
        <v>234</v>
      </c>
      <c r="C44" s="51" t="str">
        <f>[13]С2.1!E15</f>
        <v>нет</v>
      </c>
    </row>
    <row r="45" spans="1:3" ht="30" x14ac:dyDescent="0.2">
      <c r="A45" s="21" t="s">
        <v>54</v>
      </c>
      <c r="B45" s="31" t="s">
        <v>55</v>
      </c>
      <c r="C45" s="32">
        <f>[13]С2!F18</f>
        <v>35106.652004551666</v>
      </c>
    </row>
    <row r="46" spans="1:3" ht="30" x14ac:dyDescent="0.2">
      <c r="A46" s="21" t="s">
        <v>56</v>
      </c>
      <c r="B46" s="52" t="s">
        <v>57</v>
      </c>
      <c r="C46" s="32">
        <f>IF([13]С2!F19&gt;0,[13]С2!F19,[13]С2!F20)</f>
        <v>23441.524932855718</v>
      </c>
    </row>
    <row r="47" spans="1:3" ht="25.5" x14ac:dyDescent="0.2">
      <c r="A47" s="21" t="s">
        <v>58</v>
      </c>
      <c r="B47" s="53" t="s">
        <v>59</v>
      </c>
      <c r="C47" s="32">
        <f>[13]С2.1!E19</f>
        <v>-37</v>
      </c>
    </row>
    <row r="48" spans="1:3" ht="25.5" x14ac:dyDescent="0.2">
      <c r="A48" s="21" t="s">
        <v>60</v>
      </c>
      <c r="B48" s="53" t="s">
        <v>61</v>
      </c>
      <c r="C48" s="32" t="str">
        <f>[13]С2.1!E22</f>
        <v>нет</v>
      </c>
    </row>
    <row r="49" spans="1:3" ht="38.25" x14ac:dyDescent="0.2">
      <c r="A49" s="21" t="s">
        <v>62</v>
      </c>
      <c r="B49" s="54" t="s">
        <v>63</v>
      </c>
      <c r="C49" s="32">
        <f>[13]С2.2!E10</f>
        <v>1287</v>
      </c>
    </row>
    <row r="50" spans="1:3" ht="25.5" x14ac:dyDescent="0.2">
      <c r="A50" s="21" t="s">
        <v>64</v>
      </c>
      <c r="B50" s="55" t="s">
        <v>65</v>
      </c>
      <c r="C50" s="32">
        <f>[13]С2.2!E12</f>
        <v>5.97</v>
      </c>
    </row>
    <row r="51" spans="1:3" ht="52.5" x14ac:dyDescent="0.2">
      <c r="A51" s="21" t="s">
        <v>66</v>
      </c>
      <c r="B51" s="56" t="s">
        <v>67</v>
      </c>
      <c r="C51" s="32">
        <f>[13]С2.2!E13</f>
        <v>1</v>
      </c>
    </row>
    <row r="52" spans="1:3" ht="27.75" x14ac:dyDescent="0.2">
      <c r="A52" s="21" t="s">
        <v>68</v>
      </c>
      <c r="B52" s="55" t="s">
        <v>69</v>
      </c>
      <c r="C52" s="32">
        <f>[13]С2.2!E14</f>
        <v>12104</v>
      </c>
    </row>
    <row r="53" spans="1:3" ht="25.5" x14ac:dyDescent="0.2">
      <c r="A53" s="21" t="s">
        <v>70</v>
      </c>
      <c r="B53" s="56" t="s">
        <v>71</v>
      </c>
      <c r="C53" s="34">
        <f>[13]С2.2!E15</f>
        <v>4.8000000000000001E-2</v>
      </c>
    </row>
    <row r="54" spans="1:3" x14ac:dyDescent="0.2">
      <c r="A54" s="21" t="s">
        <v>72</v>
      </c>
      <c r="B54" s="56" t="s">
        <v>73</v>
      </c>
      <c r="C54" s="32">
        <f>[13]С2.2!E16</f>
        <v>1</v>
      </c>
    </row>
    <row r="55" spans="1:3" ht="15.75" x14ac:dyDescent="0.2">
      <c r="A55" s="21" t="s">
        <v>74</v>
      </c>
      <c r="B55" s="58" t="s">
        <v>75</v>
      </c>
      <c r="C55" s="32">
        <f>[13]С2!F21</f>
        <v>1</v>
      </c>
    </row>
    <row r="56" spans="1:3" ht="30" x14ac:dyDescent="0.2">
      <c r="A56" s="59" t="s">
        <v>76</v>
      </c>
      <c r="B56" s="31" t="s">
        <v>235</v>
      </c>
      <c r="C56" s="32">
        <f>[13]С2!F13</f>
        <v>183796.83936385796</v>
      </c>
    </row>
    <row r="57" spans="1:3" ht="30" x14ac:dyDescent="0.2">
      <c r="A57" s="59" t="s">
        <v>78</v>
      </c>
      <c r="B57" s="58" t="s">
        <v>236</v>
      </c>
      <c r="C57" s="32">
        <f>[13]С2!F14</f>
        <v>113455</v>
      </c>
    </row>
    <row r="58" spans="1:3" ht="15.75" x14ac:dyDescent="0.2">
      <c r="A58" s="59" t="s">
        <v>80</v>
      </c>
      <c r="B58" s="60" t="s">
        <v>81</v>
      </c>
      <c r="C58" s="40">
        <f>[13]С2!F15</f>
        <v>1.071</v>
      </c>
    </row>
    <row r="59" spans="1:3" ht="15.75" x14ac:dyDescent="0.2">
      <c r="A59" s="59" t="s">
        <v>82</v>
      </c>
      <c r="B59" s="60" t="s">
        <v>83</v>
      </c>
      <c r="C59" s="40">
        <f>[13]С2!F16</f>
        <v>1</v>
      </c>
    </row>
    <row r="60" spans="1:3" ht="17.25" x14ac:dyDescent="0.2">
      <c r="A60" s="59" t="s">
        <v>84</v>
      </c>
      <c r="B60" s="58" t="s">
        <v>85</v>
      </c>
      <c r="C60" s="32">
        <f>[13]С2!F17</f>
        <v>1.01</v>
      </c>
    </row>
    <row r="61" spans="1:3" s="65" customFormat="1" ht="14.25" x14ac:dyDescent="0.2">
      <c r="A61" s="59" t="s">
        <v>86</v>
      </c>
      <c r="B61" s="63" t="s">
        <v>87</v>
      </c>
      <c r="C61" s="64">
        <f>[13]С2!F33</f>
        <v>10</v>
      </c>
    </row>
    <row r="62" spans="1:3" ht="30" x14ac:dyDescent="0.2">
      <c r="A62" s="59" t="s">
        <v>88</v>
      </c>
      <c r="B62" s="66" t="s">
        <v>89</v>
      </c>
      <c r="C62" s="32">
        <f>[13]С2!F26</f>
        <v>1266.3745527115127</v>
      </c>
    </row>
    <row r="63" spans="1:3" ht="17.25" x14ac:dyDescent="0.2">
      <c r="A63" s="59" t="s">
        <v>90</v>
      </c>
      <c r="B63" s="52" t="s">
        <v>237</v>
      </c>
      <c r="C63" s="32">
        <f>[13]С2!F27</f>
        <v>0.201330388</v>
      </c>
    </row>
    <row r="64" spans="1:3" ht="17.25" x14ac:dyDescent="0.2">
      <c r="A64" s="59" t="s">
        <v>92</v>
      </c>
      <c r="B64" s="58" t="s">
        <v>238</v>
      </c>
      <c r="C64" s="64">
        <f>[13]С2!F28</f>
        <v>4200</v>
      </c>
    </row>
    <row r="65" spans="1:3" ht="42.75" x14ac:dyDescent="0.2">
      <c r="A65" s="59" t="s">
        <v>94</v>
      </c>
      <c r="B65" s="31" t="s">
        <v>239</v>
      </c>
      <c r="C65" s="32">
        <f>[13]С2!F22</f>
        <v>38698.422798410109</v>
      </c>
    </row>
    <row r="66" spans="1:3" ht="30" x14ac:dyDescent="0.2">
      <c r="A66" s="59" t="s">
        <v>96</v>
      </c>
      <c r="B66" s="60" t="s">
        <v>240</v>
      </c>
      <c r="C66" s="32">
        <f>[13]С2!F23</f>
        <v>1990</v>
      </c>
    </row>
    <row r="67" spans="1:3" ht="30" x14ac:dyDescent="0.2">
      <c r="A67" s="59" t="s">
        <v>98</v>
      </c>
      <c r="B67" s="52" t="s">
        <v>99</v>
      </c>
      <c r="C67" s="32">
        <f>[13]С2.1!E27</f>
        <v>14307.876789999998</v>
      </c>
    </row>
    <row r="68" spans="1:3" ht="38.25" x14ac:dyDescent="0.2">
      <c r="A68" s="59" t="s">
        <v>100</v>
      </c>
      <c r="B68" s="67" t="s">
        <v>101</v>
      </c>
      <c r="C68" s="51">
        <f>[13]С2.3!E21</f>
        <v>0</v>
      </c>
    </row>
    <row r="69" spans="1:3" ht="25.5" x14ac:dyDescent="0.2">
      <c r="A69" s="59" t="s">
        <v>102</v>
      </c>
      <c r="B69" s="68" t="s">
        <v>103</v>
      </c>
      <c r="C69" s="69">
        <f>[13]С2.3!E11</f>
        <v>9.89</v>
      </c>
    </row>
    <row r="70" spans="1:3" ht="25.5" x14ac:dyDescent="0.2">
      <c r="A70" s="59" t="s">
        <v>104</v>
      </c>
      <c r="B70" s="68" t="s">
        <v>105</v>
      </c>
      <c r="C70" s="64">
        <f>[13]С2.3!E13</f>
        <v>300</v>
      </c>
    </row>
    <row r="71" spans="1:3" ht="25.5" x14ac:dyDescent="0.2">
      <c r="A71" s="59" t="s">
        <v>106</v>
      </c>
      <c r="B71" s="67" t="s">
        <v>107</v>
      </c>
      <c r="C71" s="70">
        <f>IF([13]С2.3!E22&gt;0,[13]С2.3!E22,[13]С2.3!E14)</f>
        <v>61211</v>
      </c>
    </row>
    <row r="72" spans="1:3" ht="38.25" x14ac:dyDescent="0.2">
      <c r="A72" s="59" t="s">
        <v>108</v>
      </c>
      <c r="B72" s="67" t="s">
        <v>109</v>
      </c>
      <c r="C72" s="70">
        <f>IF([13]С2.3!E23&gt;0,[13]С2.3!E23,[13]С2.3!E15)</f>
        <v>45675</v>
      </c>
    </row>
    <row r="73" spans="1:3" ht="30" x14ac:dyDescent="0.2">
      <c r="A73" s="59" t="s">
        <v>110</v>
      </c>
      <c r="B73" s="52" t="s">
        <v>111</v>
      </c>
      <c r="C73" s="32">
        <f>[13]С2.1!E28</f>
        <v>9541.9567200000001</v>
      </c>
    </row>
    <row r="74" spans="1:3" ht="38.25" x14ac:dyDescent="0.2">
      <c r="A74" s="59" t="s">
        <v>112</v>
      </c>
      <c r="B74" s="67" t="s">
        <v>113</v>
      </c>
      <c r="C74" s="51">
        <f>[13]С2.3!E25</f>
        <v>0</v>
      </c>
    </row>
    <row r="75" spans="1:3" ht="25.5" x14ac:dyDescent="0.2">
      <c r="A75" s="59" t="s">
        <v>114</v>
      </c>
      <c r="B75" s="68" t="s">
        <v>115</v>
      </c>
      <c r="C75" s="69">
        <f>[13]С2.3!E12</f>
        <v>0.56000000000000005</v>
      </c>
    </row>
    <row r="76" spans="1:3" ht="25.5" x14ac:dyDescent="0.2">
      <c r="A76" s="59" t="s">
        <v>116</v>
      </c>
      <c r="B76" s="68" t="s">
        <v>105</v>
      </c>
      <c r="C76" s="64">
        <f>[13]С2.3!E13</f>
        <v>300</v>
      </c>
    </row>
    <row r="77" spans="1:3" ht="25.5" x14ac:dyDescent="0.2">
      <c r="A77" s="59" t="s">
        <v>117</v>
      </c>
      <c r="B77" s="71" t="s">
        <v>118</v>
      </c>
      <c r="C77" s="70">
        <f>IF([13]С2.3!E26&gt;0,[13]С2.3!E26,[13]С2.3!E16)</f>
        <v>65637</v>
      </c>
    </row>
    <row r="78" spans="1:3" ht="38.25" x14ac:dyDescent="0.2">
      <c r="A78" s="59" t="s">
        <v>119</v>
      </c>
      <c r="B78" s="71" t="s">
        <v>120</v>
      </c>
      <c r="C78" s="70">
        <f>IF([13]С2.3!E27&gt;0,[13]С2.3!E27,[13]С2.3!E17)</f>
        <v>31684</v>
      </c>
    </row>
    <row r="79" spans="1:3" ht="17.25" x14ac:dyDescent="0.2">
      <c r="A79" s="59" t="s">
        <v>123</v>
      </c>
      <c r="B79" s="31" t="s">
        <v>124</v>
      </c>
      <c r="C79" s="34">
        <f>[13]С2!F29</f>
        <v>9.5962865259740182E-2</v>
      </c>
    </row>
    <row r="80" spans="1:3" ht="30" x14ac:dyDescent="0.2">
      <c r="A80" s="59" t="s">
        <v>125</v>
      </c>
      <c r="B80" s="52" t="s">
        <v>126</v>
      </c>
      <c r="C80" s="72">
        <f>[13]С2!F30</f>
        <v>8.4029304029304031E-2</v>
      </c>
    </row>
    <row r="81" spans="1:3" ht="17.25" x14ac:dyDescent="0.2">
      <c r="A81" s="59" t="s">
        <v>127</v>
      </c>
      <c r="B81" s="73" t="s">
        <v>128</v>
      </c>
      <c r="C81" s="34">
        <f>[13]С2!F31</f>
        <v>0.13880000000000001</v>
      </c>
    </row>
    <row r="82" spans="1:3" s="65" customFormat="1" ht="18" thickBot="1" x14ac:dyDescent="0.25">
      <c r="A82" s="74" t="s">
        <v>129</v>
      </c>
      <c r="B82" s="75" t="s">
        <v>130</v>
      </c>
      <c r="C82" s="76">
        <f>[13]С2!F32</f>
        <v>0.12640000000000001</v>
      </c>
    </row>
    <row r="83" spans="1:3" ht="13.5" thickBot="1" x14ac:dyDescent="0.25">
      <c r="A83" s="47"/>
      <c r="B83" s="48"/>
      <c r="C83" s="14"/>
    </row>
    <row r="84" spans="1:3" s="65" customFormat="1" ht="30" customHeight="1" x14ac:dyDescent="0.2">
      <c r="A84" s="77" t="s">
        <v>131</v>
      </c>
      <c r="B84" s="145" t="s">
        <v>132</v>
      </c>
      <c r="C84" s="145"/>
    </row>
    <row r="85" spans="1:3" s="65" customFormat="1" ht="30" x14ac:dyDescent="0.2">
      <c r="A85" s="78" t="s">
        <v>133</v>
      </c>
      <c r="B85" s="31" t="s">
        <v>134</v>
      </c>
      <c r="C85" s="32">
        <f>[13]С3!F14</f>
        <v>6057.0688307111368</v>
      </c>
    </row>
    <row r="86" spans="1:3" s="65" customFormat="1" ht="42.75" x14ac:dyDescent="0.2">
      <c r="A86" s="78" t="s">
        <v>135</v>
      </c>
      <c r="B86" s="52" t="s">
        <v>136</v>
      </c>
      <c r="C86" s="79">
        <f>[13]С3!F15</f>
        <v>0.2</v>
      </c>
    </row>
    <row r="87" spans="1:3" s="65" customFormat="1" ht="14.25" x14ac:dyDescent="0.2">
      <c r="A87" s="78" t="s">
        <v>137</v>
      </c>
      <c r="B87" s="80" t="s">
        <v>138</v>
      </c>
      <c r="C87" s="64">
        <f>[13]С3!F18</f>
        <v>15</v>
      </c>
    </row>
    <row r="88" spans="1:3" s="65" customFormat="1" ht="17.25" x14ac:dyDescent="0.2">
      <c r="A88" s="78" t="s">
        <v>139</v>
      </c>
      <c r="B88" s="31" t="s">
        <v>140</v>
      </c>
      <c r="C88" s="32">
        <f>[13]С3!F19</f>
        <v>3778.1614077800232</v>
      </c>
    </row>
    <row r="89" spans="1:3" s="65" customFormat="1" ht="55.5" x14ac:dyDescent="0.2">
      <c r="A89" s="78" t="s">
        <v>141</v>
      </c>
      <c r="B89" s="52" t="s">
        <v>142</v>
      </c>
      <c r="C89" s="81">
        <f>[13]С3!F20</f>
        <v>2.1999999999999999E-2</v>
      </c>
    </row>
    <row r="90" spans="1:3" s="65" customFormat="1" ht="14.25" x14ac:dyDescent="0.2">
      <c r="A90" s="78" t="s">
        <v>143</v>
      </c>
      <c r="B90" s="58" t="s">
        <v>87</v>
      </c>
      <c r="C90" s="64">
        <f>[13]С3!F21</f>
        <v>10</v>
      </c>
    </row>
    <row r="91" spans="1:3" s="65" customFormat="1" ht="17.25" x14ac:dyDescent="0.2">
      <c r="A91" s="78" t="s">
        <v>144</v>
      </c>
      <c r="B91" s="31" t="s">
        <v>145</v>
      </c>
      <c r="C91" s="32">
        <f>[13]С3!F22</f>
        <v>3.7991236581345382</v>
      </c>
    </row>
    <row r="92" spans="1:3" s="65" customFormat="1" ht="55.5" x14ac:dyDescent="0.2">
      <c r="A92" s="78" t="s">
        <v>146</v>
      </c>
      <c r="B92" s="52" t="s">
        <v>147</v>
      </c>
      <c r="C92" s="81">
        <f>[13]С3!F23</f>
        <v>3.0000000000000001E-3</v>
      </c>
    </row>
    <row r="93" spans="1:3" s="65" customFormat="1" ht="27.75" thickBot="1" x14ac:dyDescent="0.25">
      <c r="A93" s="82" t="s">
        <v>148</v>
      </c>
      <c r="B93" s="83" t="s">
        <v>241</v>
      </c>
      <c r="C93" s="84">
        <f>[13]С3!F24</f>
        <v>1266.3745527115127</v>
      </c>
    </row>
    <row r="94" spans="1:3" ht="13.5" thickBot="1" x14ac:dyDescent="0.25">
      <c r="A94" s="47"/>
      <c r="B94" s="48"/>
      <c r="C94" s="14"/>
    </row>
    <row r="95" spans="1:3" ht="30" customHeight="1" x14ac:dyDescent="0.2">
      <c r="A95" s="85" t="s">
        <v>149</v>
      </c>
      <c r="B95" s="145" t="s">
        <v>150</v>
      </c>
      <c r="C95" s="145"/>
    </row>
    <row r="96" spans="1:3" ht="30" x14ac:dyDescent="0.2">
      <c r="A96" s="59" t="s">
        <v>151</v>
      </c>
      <c r="B96" s="31" t="s">
        <v>242</v>
      </c>
      <c r="C96" s="32">
        <f>[13]С4!F16</f>
        <v>1652.5</v>
      </c>
    </row>
    <row r="97" spans="1:3" ht="30" x14ac:dyDescent="0.2">
      <c r="A97" s="59" t="s">
        <v>153</v>
      </c>
      <c r="B97" s="58" t="s">
        <v>243</v>
      </c>
      <c r="C97" s="32">
        <f>[13]С4!F17</f>
        <v>73547</v>
      </c>
    </row>
    <row r="98" spans="1:3" ht="17.25" x14ac:dyDescent="0.2">
      <c r="A98" s="59" t="s">
        <v>155</v>
      </c>
      <c r="B98" s="58" t="s">
        <v>156</v>
      </c>
      <c r="C98" s="40">
        <f>[13]С4!F18</f>
        <v>0.02</v>
      </c>
    </row>
    <row r="99" spans="1:3" ht="30" x14ac:dyDescent="0.2">
      <c r="A99" s="59" t="s">
        <v>157</v>
      </c>
      <c r="B99" s="58" t="s">
        <v>158</v>
      </c>
      <c r="C99" s="32">
        <f>[13]С4!F19</f>
        <v>12104</v>
      </c>
    </row>
    <row r="100" spans="1:3" ht="28.5" x14ac:dyDescent="0.2">
      <c r="A100" s="59" t="s">
        <v>159</v>
      </c>
      <c r="B100" s="58" t="s">
        <v>160</v>
      </c>
      <c r="C100" s="40">
        <f>[13]С4!F20</f>
        <v>1.4999999999999999E-2</v>
      </c>
    </row>
    <row r="101" spans="1:3" ht="30" x14ac:dyDescent="0.2">
      <c r="A101" s="59" t="s">
        <v>161</v>
      </c>
      <c r="B101" s="31" t="s">
        <v>244</v>
      </c>
      <c r="C101" s="32">
        <f>[13]С4!F21</f>
        <v>1933.1949342509995</v>
      </c>
    </row>
    <row r="102" spans="1:3" ht="24" customHeight="1" x14ac:dyDescent="0.2">
      <c r="A102" s="59" t="s">
        <v>163</v>
      </c>
      <c r="B102" s="52" t="s">
        <v>164</v>
      </c>
      <c r="C102" s="33">
        <f>IF([13]С4.2!F8="да",[13]С4.2!D21,[13]С4.2!D15)</f>
        <v>0</v>
      </c>
    </row>
    <row r="103" spans="1:3" ht="68.25" x14ac:dyDescent="0.2">
      <c r="A103" s="59" t="s">
        <v>165</v>
      </c>
      <c r="B103" s="52" t="s">
        <v>166</v>
      </c>
      <c r="C103" s="32">
        <f>[13]С4!F22</f>
        <v>3.6112641666666665</v>
      </c>
    </row>
    <row r="104" spans="1:3" ht="30" x14ac:dyDescent="0.2">
      <c r="A104" s="59" t="s">
        <v>167</v>
      </c>
      <c r="B104" s="58" t="s">
        <v>245</v>
      </c>
      <c r="C104" s="32">
        <f>[13]С4!F23</f>
        <v>180</v>
      </c>
    </row>
    <row r="105" spans="1:3" ht="14.25" x14ac:dyDescent="0.2">
      <c r="A105" s="59" t="s">
        <v>169</v>
      </c>
      <c r="B105" s="52" t="s">
        <v>170</v>
      </c>
      <c r="C105" s="32">
        <f>[13]С4!F24</f>
        <v>8497.1999999999989</v>
      </c>
    </row>
    <row r="106" spans="1:3" ht="14.25" x14ac:dyDescent="0.2">
      <c r="A106" s="59" t="s">
        <v>171</v>
      </c>
      <c r="B106" s="58" t="s">
        <v>172</v>
      </c>
      <c r="C106" s="40">
        <f>[13]С4!F25</f>
        <v>0.35</v>
      </c>
    </row>
    <row r="107" spans="1:3" ht="17.25" x14ac:dyDescent="0.2">
      <c r="A107" s="59" t="s">
        <v>173</v>
      </c>
      <c r="B107" s="31" t="s">
        <v>174</v>
      </c>
      <c r="C107" s="32">
        <f>[13]С4!F26</f>
        <v>77.971800000000002</v>
      </c>
    </row>
    <row r="108" spans="1:3" ht="25.5" x14ac:dyDescent="0.2">
      <c r="A108" s="59" t="s">
        <v>175</v>
      </c>
      <c r="B108" s="52" t="s">
        <v>101</v>
      </c>
      <c r="C108" s="33">
        <f>[13]С4.3!E16</f>
        <v>0</v>
      </c>
    </row>
    <row r="109" spans="1:3" ht="25.5" x14ac:dyDescent="0.2">
      <c r="A109" s="59" t="s">
        <v>176</v>
      </c>
      <c r="B109" s="52" t="s">
        <v>177</v>
      </c>
      <c r="C109" s="32">
        <f>[13]С4.3!E17</f>
        <v>19.3</v>
      </c>
    </row>
    <row r="110" spans="1:3" ht="38.25" x14ac:dyDescent="0.2">
      <c r="A110" s="59" t="s">
        <v>178</v>
      </c>
      <c r="B110" s="52" t="s">
        <v>113</v>
      </c>
      <c r="C110" s="33">
        <f>[13]С4.3!E18</f>
        <v>0</v>
      </c>
    </row>
    <row r="111" spans="1:3" x14ac:dyDescent="0.2">
      <c r="A111" s="59" t="s">
        <v>179</v>
      </c>
      <c r="B111" s="52" t="s">
        <v>180</v>
      </c>
      <c r="C111" s="32">
        <f>[13]С4.3!E19</f>
        <v>50.424999999999997</v>
      </c>
    </row>
    <row r="112" spans="1:3" x14ac:dyDescent="0.2">
      <c r="A112" s="59" t="s">
        <v>181</v>
      </c>
      <c r="B112" s="58" t="s">
        <v>182</v>
      </c>
      <c r="C112" s="32">
        <f>[13]С4.3!E11</f>
        <v>1871</v>
      </c>
    </row>
    <row r="113" spans="1:3" x14ac:dyDescent="0.2">
      <c r="A113" s="59" t="s">
        <v>183</v>
      </c>
      <c r="B113" s="58" t="s">
        <v>184</v>
      </c>
      <c r="C113" s="51">
        <f>[13]С4.3!E12</f>
        <v>1636</v>
      </c>
    </row>
    <row r="114" spans="1:3" x14ac:dyDescent="0.2">
      <c r="A114" s="59" t="s">
        <v>185</v>
      </c>
      <c r="B114" s="58" t="s">
        <v>186</v>
      </c>
      <c r="C114" s="51">
        <f>[13]С4.3!E13</f>
        <v>204</v>
      </c>
    </row>
    <row r="115" spans="1:3" ht="30" x14ac:dyDescent="0.2">
      <c r="A115" s="59" t="s">
        <v>187</v>
      </c>
      <c r="B115" s="31" t="s">
        <v>246</v>
      </c>
      <c r="C115" s="32">
        <f>[13]С4!F27</f>
        <v>1351.1912129385403</v>
      </c>
    </row>
    <row r="116" spans="1:3" ht="25.5" x14ac:dyDescent="0.2">
      <c r="A116" s="59" t="s">
        <v>189</v>
      </c>
      <c r="B116" s="52" t="s">
        <v>247</v>
      </c>
      <c r="C116" s="32">
        <f>[13]С4!F28</f>
        <v>1037.7812695380494</v>
      </c>
    </row>
    <row r="117" spans="1:3" ht="42.75" x14ac:dyDescent="0.2">
      <c r="A117" s="59" t="s">
        <v>191</v>
      </c>
      <c r="B117" s="52" t="s">
        <v>192</v>
      </c>
      <c r="C117" s="32">
        <f>[13]С4!F29</f>
        <v>313.40994340049093</v>
      </c>
    </row>
    <row r="118" spans="1:3" ht="30" x14ac:dyDescent="0.2">
      <c r="A118" s="59" t="s">
        <v>193</v>
      </c>
      <c r="B118" s="39" t="s">
        <v>194</v>
      </c>
      <c r="C118" s="32">
        <f>[13]С4!F30</f>
        <v>1733.2116723527324</v>
      </c>
    </row>
    <row r="119" spans="1:3" ht="42.75" x14ac:dyDescent="0.2">
      <c r="A119" s="59" t="s">
        <v>248</v>
      </c>
      <c r="B119" s="89" t="s">
        <v>249</v>
      </c>
      <c r="C119" s="32">
        <f>[13]С4!F33</f>
        <v>1010.5011744884268</v>
      </c>
    </row>
    <row r="120" spans="1:3" ht="30" x14ac:dyDescent="0.2">
      <c r="A120" s="59" t="s">
        <v>250</v>
      </c>
      <c r="B120" s="121" t="s">
        <v>251</v>
      </c>
      <c r="C120" s="32">
        <f>[13]С4!F35</f>
        <v>17.040680999999999</v>
      </c>
    </row>
    <row r="121" spans="1:3" ht="14.25" x14ac:dyDescent="0.2">
      <c r="A121" s="59" t="s">
        <v>252</v>
      </c>
      <c r="B121" s="55" t="s">
        <v>253</v>
      </c>
      <c r="C121" s="32">
        <f>[13]С4!F36</f>
        <v>14319.9</v>
      </c>
    </row>
    <row r="122" spans="1:3" ht="28.5" thickBot="1" x14ac:dyDescent="0.25">
      <c r="A122" s="74" t="s">
        <v>254</v>
      </c>
      <c r="B122" s="122" t="s">
        <v>255</v>
      </c>
      <c r="C122" s="84">
        <f>[13]С4!F37</f>
        <v>1.19</v>
      </c>
    </row>
    <row r="123" spans="1:3" s="87" customFormat="1" ht="13.5" thickBot="1" x14ac:dyDescent="0.25">
      <c r="A123" s="47"/>
      <c r="B123" s="48"/>
      <c r="C123" s="14"/>
    </row>
    <row r="124" spans="1:3" s="65" customFormat="1" ht="30" customHeight="1" x14ac:dyDescent="0.2">
      <c r="A124" s="77" t="s">
        <v>195</v>
      </c>
      <c r="B124" s="145" t="s">
        <v>196</v>
      </c>
      <c r="C124" s="145"/>
    </row>
    <row r="125" spans="1:3" ht="16.5" thickBot="1" x14ac:dyDescent="0.25">
      <c r="A125" s="26" t="s">
        <v>197</v>
      </c>
      <c r="B125" s="86" t="s">
        <v>198</v>
      </c>
      <c r="C125" s="84">
        <f>[13]С5!F17</f>
        <v>0.02</v>
      </c>
    </row>
    <row r="126" spans="1:3" s="87" customFormat="1" ht="13.5" thickBot="1" x14ac:dyDescent="0.25">
      <c r="A126" s="47"/>
      <c r="B126" s="48"/>
      <c r="C126" s="14"/>
    </row>
    <row r="127" spans="1:3" ht="42.75" customHeight="1" x14ac:dyDescent="0.2">
      <c r="A127" s="85" t="s">
        <v>199</v>
      </c>
      <c r="B127" s="147" t="s">
        <v>200</v>
      </c>
      <c r="C127" s="147"/>
    </row>
    <row r="128" spans="1:3" ht="68.25" x14ac:dyDescent="0.2">
      <c r="A128" s="59" t="s">
        <v>201</v>
      </c>
      <c r="B128" s="88" t="s">
        <v>202</v>
      </c>
      <c r="C128" s="32" t="s">
        <v>256</v>
      </c>
    </row>
    <row r="129" spans="1:3" ht="42.75" hidden="1" x14ac:dyDescent="0.2">
      <c r="A129" s="59" t="s">
        <v>203</v>
      </c>
      <c r="B129" s="89" t="s">
        <v>204</v>
      </c>
      <c r="C129" s="90"/>
    </row>
    <row r="130" spans="1:3" ht="69" thickBot="1" x14ac:dyDescent="0.25">
      <c r="A130" s="74" t="s">
        <v>205</v>
      </c>
      <c r="B130" s="123" t="s">
        <v>206</v>
      </c>
      <c r="C130" s="124" t="s">
        <v>256</v>
      </c>
    </row>
    <row r="131" spans="1:3" ht="62.25" hidden="1" customHeight="1" x14ac:dyDescent="0.2">
      <c r="A131" s="125" t="s">
        <v>207</v>
      </c>
      <c r="B131" s="126" t="s">
        <v>208</v>
      </c>
      <c r="C131" s="127"/>
    </row>
    <row r="132" spans="1:3" ht="68.25" hidden="1" x14ac:dyDescent="0.2">
      <c r="A132" s="59" t="s">
        <v>209</v>
      </c>
      <c r="B132" s="89" t="s">
        <v>257</v>
      </c>
      <c r="C132" s="34"/>
    </row>
    <row r="133" spans="1:3" ht="69" hidden="1" thickBot="1" x14ac:dyDescent="0.25">
      <c r="A133" s="74" t="s">
        <v>211</v>
      </c>
      <c r="B133" s="92" t="s">
        <v>212</v>
      </c>
      <c r="C133" s="76"/>
    </row>
    <row r="134" spans="1:3" s="87" customFormat="1" ht="13.5" thickBot="1" x14ac:dyDescent="0.25">
      <c r="A134" s="47"/>
      <c r="B134" s="48"/>
      <c r="C134" s="14"/>
    </row>
    <row r="135" spans="1:3" ht="26.25" customHeight="1" x14ac:dyDescent="0.2">
      <c r="A135" s="85" t="s">
        <v>213</v>
      </c>
      <c r="B135" s="93" t="s">
        <v>214</v>
      </c>
      <c r="C135" s="94">
        <f>[13]С2!F37</f>
        <v>20.818139999999996</v>
      </c>
    </row>
    <row r="136" spans="1:3" ht="14.25" x14ac:dyDescent="0.2">
      <c r="A136" s="59" t="s">
        <v>215</v>
      </c>
      <c r="B136" s="128" t="s">
        <v>216</v>
      </c>
      <c r="C136" s="32">
        <f>[13]С2!F38</f>
        <v>7</v>
      </c>
    </row>
    <row r="137" spans="1:3" ht="17.25" x14ac:dyDescent="0.2">
      <c r="A137" s="59" t="s">
        <v>217</v>
      </c>
      <c r="B137" s="128" t="s">
        <v>218</v>
      </c>
      <c r="C137" s="32">
        <f>[13]С2!F40</f>
        <v>0.97</v>
      </c>
    </row>
    <row r="138" spans="1:3" ht="15" thickBot="1" x14ac:dyDescent="0.25">
      <c r="A138" s="74" t="s">
        <v>219</v>
      </c>
      <c r="B138" s="129" t="s">
        <v>220</v>
      </c>
      <c r="C138" s="46">
        <f>[13]С2!F42</f>
        <v>0.35</v>
      </c>
    </row>
    <row r="139" spans="1:3" s="87" customFormat="1" ht="13.5" thickBot="1" x14ac:dyDescent="0.25">
      <c r="A139" s="47"/>
      <c r="B139" s="48"/>
      <c r="C139" s="14"/>
    </row>
    <row r="140" spans="1:3" ht="30" x14ac:dyDescent="0.2">
      <c r="A140" s="85" t="s">
        <v>221</v>
      </c>
      <c r="B140" s="95" t="s">
        <v>258</v>
      </c>
      <c r="C140" s="130">
        <f>[13]С2!F35</f>
        <v>1.4976266307379205</v>
      </c>
    </row>
    <row r="141" spans="1:3" ht="22.7" customHeight="1" thickBot="1" x14ac:dyDescent="0.25">
      <c r="A141" s="74" t="s">
        <v>223</v>
      </c>
      <c r="B141" s="141" t="s">
        <v>224</v>
      </c>
      <c r="C141" s="141"/>
    </row>
    <row r="142" spans="1:3" ht="13.5" thickBot="1" x14ac:dyDescent="0.25">
      <c r="A142" s="97"/>
      <c r="B142" s="131" t="s">
        <v>0</v>
      </c>
      <c r="C142" s="132"/>
    </row>
    <row r="143" spans="1:3" x14ac:dyDescent="0.2">
      <c r="A143" s="97"/>
      <c r="B143" s="133">
        <v>2020</v>
      </c>
      <c r="C143" s="134">
        <f>[13]С2.5!$E$11</f>
        <v>-2.9000000000000026E-2</v>
      </c>
    </row>
    <row r="144" spans="1:3" x14ac:dyDescent="0.2">
      <c r="A144" s="97"/>
      <c r="B144" s="104">
        <f>B143+1</f>
        <v>2021</v>
      </c>
      <c r="C144" s="135">
        <f>[13]С2.5!$F$11</f>
        <v>0.245</v>
      </c>
    </row>
    <row r="145" spans="1:3" x14ac:dyDescent="0.2">
      <c r="A145" s="97"/>
      <c r="B145" s="104">
        <f t="shared" ref="B145:B208" si="0">B144+1</f>
        <v>2022</v>
      </c>
      <c r="C145" s="135">
        <f>[13]С2.5!$G$11</f>
        <v>0.114</v>
      </c>
    </row>
    <row r="146" spans="1:3" ht="13.5" thickBot="1" x14ac:dyDescent="0.25">
      <c r="A146" s="97"/>
      <c r="B146" s="106">
        <f t="shared" si="0"/>
        <v>2023</v>
      </c>
      <c r="C146" s="136">
        <f>[13]С2.5!$H$11</f>
        <v>2.4E-2</v>
      </c>
    </row>
    <row r="147" spans="1:3" x14ac:dyDescent="0.2">
      <c r="A147" s="97"/>
      <c r="B147" s="137">
        <f t="shared" si="0"/>
        <v>2024</v>
      </c>
      <c r="C147" s="138">
        <f>[13]С2.5!$I$11</f>
        <v>8.5999999999999993E-2</v>
      </c>
    </row>
    <row r="148" spans="1:3" hidden="1" x14ac:dyDescent="0.2">
      <c r="A148" s="97"/>
      <c r="B148" s="104">
        <f t="shared" si="0"/>
        <v>2025</v>
      </c>
      <c r="C148" s="135">
        <f>[13]С2.5!$J$11</f>
        <v>0.21215960863291</v>
      </c>
    </row>
    <row r="149" spans="1:3" hidden="1" x14ac:dyDescent="0.2">
      <c r="A149" s="97"/>
      <c r="B149" s="104">
        <f t="shared" si="0"/>
        <v>2026</v>
      </c>
      <c r="C149" s="135">
        <f>[13]С2.5!$K$11</f>
        <v>3.5813361771260002E-2</v>
      </c>
    </row>
    <row r="150" spans="1:3" hidden="1" x14ac:dyDescent="0.2">
      <c r="A150" s="97"/>
      <c r="B150" s="104">
        <f t="shared" si="0"/>
        <v>2027</v>
      </c>
      <c r="C150" s="135">
        <f>[13]С2.5!$L$11</f>
        <v>3.2682303599220003E-2</v>
      </c>
    </row>
    <row r="151" spans="1:3" hidden="1" x14ac:dyDescent="0.2">
      <c r="A151" s="97"/>
      <c r="B151" s="104">
        <f t="shared" si="0"/>
        <v>2028</v>
      </c>
      <c r="C151" s="135">
        <f>[13]С2.5!$M$11</f>
        <v>0</v>
      </c>
    </row>
    <row r="152" spans="1:3" hidden="1" x14ac:dyDescent="0.2">
      <c r="A152" s="97"/>
      <c r="B152" s="104">
        <f t="shared" si="0"/>
        <v>2029</v>
      </c>
      <c r="C152" s="135">
        <f>[13]С2.5!$N$11</f>
        <v>0</v>
      </c>
    </row>
    <row r="153" spans="1:3" hidden="1" x14ac:dyDescent="0.2">
      <c r="A153" s="97"/>
      <c r="B153" s="104">
        <f t="shared" si="0"/>
        <v>2030</v>
      </c>
      <c r="C153" s="135">
        <f>[13]С2.5!$O$11</f>
        <v>0</v>
      </c>
    </row>
    <row r="154" spans="1:3" hidden="1" x14ac:dyDescent="0.2">
      <c r="A154" s="97"/>
      <c r="B154" s="104">
        <f t="shared" si="0"/>
        <v>2031</v>
      </c>
      <c r="C154" s="135">
        <f>[13]С2.5!$P$11</f>
        <v>0</v>
      </c>
    </row>
    <row r="155" spans="1:3" hidden="1" x14ac:dyDescent="0.2">
      <c r="A155" s="87"/>
      <c r="B155" s="104">
        <f t="shared" si="0"/>
        <v>2032</v>
      </c>
      <c r="C155" s="135">
        <f>[13]С2.5!$Q$11</f>
        <v>0</v>
      </c>
    </row>
    <row r="156" spans="1:3" hidden="1" x14ac:dyDescent="0.2">
      <c r="A156" s="87"/>
      <c r="B156" s="104">
        <f t="shared" si="0"/>
        <v>2033</v>
      </c>
      <c r="C156" s="135">
        <f>[13]С2.5!$R$11</f>
        <v>0</v>
      </c>
    </row>
    <row r="157" spans="1:3" hidden="1" x14ac:dyDescent="0.2">
      <c r="B157" s="104">
        <f t="shared" si="0"/>
        <v>2034</v>
      </c>
      <c r="C157" s="135">
        <f>[13]С2.5!$S$11</f>
        <v>0</v>
      </c>
    </row>
    <row r="158" spans="1:3" hidden="1" x14ac:dyDescent="0.2">
      <c r="B158" s="104">
        <f t="shared" si="0"/>
        <v>2035</v>
      </c>
      <c r="C158" s="135">
        <f>[13]С2.5!$T$11</f>
        <v>0</v>
      </c>
    </row>
    <row r="159" spans="1:3" hidden="1" x14ac:dyDescent="0.2">
      <c r="B159" s="104">
        <f t="shared" si="0"/>
        <v>2036</v>
      </c>
      <c r="C159" s="135">
        <f>[13]С2.5!$U$11</f>
        <v>0</v>
      </c>
    </row>
    <row r="160" spans="1:3" hidden="1" x14ac:dyDescent="0.2">
      <c r="B160" s="104">
        <f t="shared" si="0"/>
        <v>2037</v>
      </c>
      <c r="C160" s="135">
        <f>[13]С2.5!$V$11</f>
        <v>0</v>
      </c>
    </row>
    <row r="161" spans="2:3" hidden="1" x14ac:dyDescent="0.2">
      <c r="B161" s="104">
        <f t="shared" si="0"/>
        <v>2038</v>
      </c>
      <c r="C161" s="135">
        <f>[13]С2.5!$W$11</f>
        <v>0</v>
      </c>
    </row>
    <row r="162" spans="2:3" hidden="1" x14ac:dyDescent="0.2">
      <c r="B162" s="104">
        <f t="shared" si="0"/>
        <v>2039</v>
      </c>
      <c r="C162" s="135">
        <f>[13]С2.5!$X$11</f>
        <v>0</v>
      </c>
    </row>
    <row r="163" spans="2:3" hidden="1" x14ac:dyDescent="0.2">
      <c r="B163" s="104">
        <f t="shared" si="0"/>
        <v>2040</v>
      </c>
      <c r="C163" s="135">
        <f>[13]С2.5!$Y$11</f>
        <v>0</v>
      </c>
    </row>
    <row r="164" spans="2:3" hidden="1" x14ac:dyDescent="0.2">
      <c r="B164" s="104">
        <f t="shared" si="0"/>
        <v>2041</v>
      </c>
      <c r="C164" s="135">
        <f>[13]С2.5!$Z$11</f>
        <v>0</v>
      </c>
    </row>
    <row r="165" spans="2:3" hidden="1" x14ac:dyDescent="0.2">
      <c r="B165" s="104">
        <f t="shared" si="0"/>
        <v>2042</v>
      </c>
      <c r="C165" s="135">
        <f>[13]С2.5!$AA$11</f>
        <v>0</v>
      </c>
    </row>
    <row r="166" spans="2:3" hidden="1" x14ac:dyDescent="0.2">
      <c r="B166" s="104">
        <f t="shared" si="0"/>
        <v>2043</v>
      </c>
      <c r="C166" s="135">
        <f>[13]С2.5!$AB$11</f>
        <v>0</v>
      </c>
    </row>
    <row r="167" spans="2:3" hidden="1" x14ac:dyDescent="0.2">
      <c r="B167" s="104">
        <f t="shared" si="0"/>
        <v>2044</v>
      </c>
      <c r="C167" s="135">
        <f>[13]С2.5!$AC$11</f>
        <v>0</v>
      </c>
    </row>
    <row r="168" spans="2:3" hidden="1" x14ac:dyDescent="0.2">
      <c r="B168" s="104">
        <f t="shared" si="0"/>
        <v>2045</v>
      </c>
      <c r="C168" s="135">
        <f>[13]С2.5!$AD$11</f>
        <v>0</v>
      </c>
    </row>
    <row r="169" spans="2:3" hidden="1" x14ac:dyDescent="0.2">
      <c r="B169" s="104">
        <f t="shared" si="0"/>
        <v>2046</v>
      </c>
      <c r="C169" s="135">
        <f>[13]С2.5!$AE$11</f>
        <v>0</v>
      </c>
    </row>
    <row r="170" spans="2:3" hidden="1" x14ac:dyDescent="0.2">
      <c r="B170" s="104">
        <f t="shared" si="0"/>
        <v>2047</v>
      </c>
      <c r="C170" s="135">
        <f>[13]С2.5!$AF$11</f>
        <v>0</v>
      </c>
    </row>
    <row r="171" spans="2:3" hidden="1" x14ac:dyDescent="0.2">
      <c r="B171" s="104">
        <f t="shared" si="0"/>
        <v>2048</v>
      </c>
      <c r="C171" s="135">
        <f>[13]С2.5!$AG$11</f>
        <v>0</v>
      </c>
    </row>
    <row r="172" spans="2:3" hidden="1" x14ac:dyDescent="0.2">
      <c r="B172" s="104">
        <f t="shared" si="0"/>
        <v>2049</v>
      </c>
      <c r="C172" s="135">
        <f>[13]С2.5!$AH$11</f>
        <v>0</v>
      </c>
    </row>
    <row r="173" spans="2:3" hidden="1" x14ac:dyDescent="0.2">
      <c r="B173" s="104">
        <f t="shared" si="0"/>
        <v>2050</v>
      </c>
      <c r="C173" s="135">
        <f>[13]С2.5!$AI$11</f>
        <v>0</v>
      </c>
    </row>
    <row r="174" spans="2:3" hidden="1" x14ac:dyDescent="0.2">
      <c r="B174" s="104">
        <f t="shared" si="0"/>
        <v>2051</v>
      </c>
      <c r="C174" s="135">
        <f>[13]С2.5!$AJ$11</f>
        <v>0</v>
      </c>
    </row>
    <row r="175" spans="2:3" hidden="1" x14ac:dyDescent="0.2">
      <c r="B175" s="104">
        <f t="shared" si="0"/>
        <v>2052</v>
      </c>
      <c r="C175" s="135">
        <f>[13]С2.5!$AK$11</f>
        <v>0</v>
      </c>
    </row>
    <row r="176" spans="2:3" hidden="1" x14ac:dyDescent="0.2">
      <c r="B176" s="104">
        <f t="shared" si="0"/>
        <v>2053</v>
      </c>
      <c r="C176" s="135">
        <f>[13]С2.5!$AL$11</f>
        <v>0</v>
      </c>
    </row>
    <row r="177" spans="2:3" hidden="1" x14ac:dyDescent="0.2">
      <c r="B177" s="104">
        <f t="shared" si="0"/>
        <v>2054</v>
      </c>
      <c r="C177" s="135">
        <f>[13]С2.5!$AM$11</f>
        <v>0</v>
      </c>
    </row>
    <row r="178" spans="2:3" hidden="1" x14ac:dyDescent="0.2">
      <c r="B178" s="104">
        <f t="shared" si="0"/>
        <v>2055</v>
      </c>
      <c r="C178" s="135">
        <f>[13]С2.5!$AN$11</f>
        <v>0</v>
      </c>
    </row>
    <row r="179" spans="2:3" hidden="1" x14ac:dyDescent="0.2">
      <c r="B179" s="104">
        <f t="shared" si="0"/>
        <v>2056</v>
      </c>
      <c r="C179" s="135">
        <f>[13]С2.5!$AO$11</f>
        <v>0</v>
      </c>
    </row>
    <row r="180" spans="2:3" hidden="1" x14ac:dyDescent="0.2">
      <c r="B180" s="104">
        <f t="shared" si="0"/>
        <v>2057</v>
      </c>
      <c r="C180" s="135">
        <f>[13]С2.5!$AP$11</f>
        <v>0</v>
      </c>
    </row>
    <row r="181" spans="2:3" hidden="1" x14ac:dyDescent="0.2">
      <c r="B181" s="104">
        <f t="shared" si="0"/>
        <v>2058</v>
      </c>
      <c r="C181" s="135">
        <f>[13]С2.5!$AQ$11</f>
        <v>0</v>
      </c>
    </row>
    <row r="182" spans="2:3" hidden="1" x14ac:dyDescent="0.2">
      <c r="B182" s="104">
        <f t="shared" si="0"/>
        <v>2059</v>
      </c>
      <c r="C182" s="135">
        <f>[13]С2.5!$AR$11</f>
        <v>0</v>
      </c>
    </row>
    <row r="183" spans="2:3" hidden="1" x14ac:dyDescent="0.2">
      <c r="B183" s="104">
        <f t="shared" si="0"/>
        <v>2060</v>
      </c>
      <c r="C183" s="135">
        <f>[13]С2.5!$AS$11</f>
        <v>0</v>
      </c>
    </row>
    <row r="184" spans="2:3" hidden="1" x14ac:dyDescent="0.2">
      <c r="B184" s="104">
        <f t="shared" si="0"/>
        <v>2061</v>
      </c>
      <c r="C184" s="135">
        <f>[13]С2.5!$AT$11</f>
        <v>0</v>
      </c>
    </row>
    <row r="185" spans="2:3" hidden="1" x14ac:dyDescent="0.2">
      <c r="B185" s="104">
        <f t="shared" si="0"/>
        <v>2062</v>
      </c>
      <c r="C185" s="135">
        <f>[13]С2.5!$AU$11</f>
        <v>0</v>
      </c>
    </row>
    <row r="186" spans="2:3" hidden="1" x14ac:dyDescent="0.2">
      <c r="B186" s="104">
        <f t="shared" si="0"/>
        <v>2063</v>
      </c>
      <c r="C186" s="135">
        <f>[13]С2.5!$AV$11</f>
        <v>0</v>
      </c>
    </row>
    <row r="187" spans="2:3" hidden="1" x14ac:dyDescent="0.2">
      <c r="B187" s="104">
        <f t="shared" si="0"/>
        <v>2064</v>
      </c>
      <c r="C187" s="135">
        <f>[13]С2.5!$AW$11</f>
        <v>0</v>
      </c>
    </row>
    <row r="188" spans="2:3" hidden="1" x14ac:dyDescent="0.2">
      <c r="B188" s="104">
        <f t="shared" si="0"/>
        <v>2065</v>
      </c>
      <c r="C188" s="135">
        <f>[13]С2.5!$AX$11</f>
        <v>0</v>
      </c>
    </row>
    <row r="189" spans="2:3" hidden="1" x14ac:dyDescent="0.2">
      <c r="B189" s="104">
        <f t="shared" si="0"/>
        <v>2066</v>
      </c>
      <c r="C189" s="135">
        <f>[13]С2.5!$AY$11</f>
        <v>0</v>
      </c>
    </row>
    <row r="190" spans="2:3" hidden="1" x14ac:dyDescent="0.2">
      <c r="B190" s="104">
        <f t="shared" si="0"/>
        <v>2067</v>
      </c>
      <c r="C190" s="135">
        <f>[13]С2.5!$AZ$11</f>
        <v>0</v>
      </c>
    </row>
    <row r="191" spans="2:3" hidden="1" x14ac:dyDescent="0.2">
      <c r="B191" s="104">
        <f t="shared" si="0"/>
        <v>2068</v>
      </c>
      <c r="C191" s="135">
        <f>[13]С2.5!$BA$11</f>
        <v>0</v>
      </c>
    </row>
    <row r="192" spans="2:3" hidden="1" x14ac:dyDescent="0.2">
      <c r="B192" s="104">
        <f t="shared" si="0"/>
        <v>2069</v>
      </c>
      <c r="C192" s="135">
        <f>[13]С2.5!$BB$11</f>
        <v>0</v>
      </c>
    </row>
    <row r="193" spans="2:3" hidden="1" x14ac:dyDescent="0.2">
      <c r="B193" s="104">
        <f t="shared" si="0"/>
        <v>2070</v>
      </c>
      <c r="C193" s="135">
        <f>[13]С2.5!$BC$11</f>
        <v>0</v>
      </c>
    </row>
    <row r="194" spans="2:3" hidden="1" x14ac:dyDescent="0.2">
      <c r="B194" s="104">
        <f t="shared" si="0"/>
        <v>2071</v>
      </c>
      <c r="C194" s="135">
        <f>[13]С2.5!$BD$11</f>
        <v>0</v>
      </c>
    </row>
    <row r="195" spans="2:3" hidden="1" x14ac:dyDescent="0.2">
      <c r="B195" s="104">
        <f t="shared" si="0"/>
        <v>2072</v>
      </c>
      <c r="C195" s="135">
        <f>[13]С2.5!$BE$11</f>
        <v>0</v>
      </c>
    </row>
    <row r="196" spans="2:3" hidden="1" x14ac:dyDescent="0.2">
      <c r="B196" s="104">
        <f t="shared" si="0"/>
        <v>2073</v>
      </c>
      <c r="C196" s="135">
        <f>[13]С2.5!$BF$11</f>
        <v>0</v>
      </c>
    </row>
    <row r="197" spans="2:3" hidden="1" x14ac:dyDescent="0.2">
      <c r="B197" s="104">
        <f t="shared" si="0"/>
        <v>2074</v>
      </c>
      <c r="C197" s="135">
        <f>[13]С2.5!$BG$11</f>
        <v>0</v>
      </c>
    </row>
    <row r="198" spans="2:3" hidden="1" x14ac:dyDescent="0.2">
      <c r="B198" s="104">
        <f t="shared" si="0"/>
        <v>2075</v>
      </c>
      <c r="C198" s="135">
        <f>[13]С2.5!$BH$11</f>
        <v>0</v>
      </c>
    </row>
    <row r="199" spans="2:3" hidden="1" x14ac:dyDescent="0.2">
      <c r="B199" s="104">
        <f t="shared" si="0"/>
        <v>2076</v>
      </c>
      <c r="C199" s="135">
        <f>[13]С2.5!$BI$11</f>
        <v>0</v>
      </c>
    </row>
    <row r="200" spans="2:3" hidden="1" x14ac:dyDescent="0.2">
      <c r="B200" s="104">
        <f t="shared" si="0"/>
        <v>2077</v>
      </c>
      <c r="C200" s="135">
        <f>[13]С2.5!$BJ$11</f>
        <v>0</v>
      </c>
    </row>
    <row r="201" spans="2:3" hidden="1" x14ac:dyDescent="0.2">
      <c r="B201" s="104">
        <f t="shared" si="0"/>
        <v>2078</v>
      </c>
      <c r="C201" s="135">
        <f>[13]С2.5!$BK$11</f>
        <v>0</v>
      </c>
    </row>
    <row r="202" spans="2:3" hidden="1" x14ac:dyDescent="0.2">
      <c r="B202" s="104">
        <f t="shared" si="0"/>
        <v>2079</v>
      </c>
      <c r="C202" s="135">
        <f>[13]С2.5!$BL$11</f>
        <v>0</v>
      </c>
    </row>
    <row r="203" spans="2:3" hidden="1" x14ac:dyDescent="0.2">
      <c r="B203" s="104">
        <f t="shared" si="0"/>
        <v>2080</v>
      </c>
      <c r="C203" s="135">
        <f>[13]С2.5!$BM$11</f>
        <v>0</v>
      </c>
    </row>
    <row r="204" spans="2:3" hidden="1" x14ac:dyDescent="0.2">
      <c r="B204" s="104">
        <f t="shared" si="0"/>
        <v>2081</v>
      </c>
      <c r="C204" s="135">
        <f>[13]С2.5!$BN$11</f>
        <v>0</v>
      </c>
    </row>
    <row r="205" spans="2:3" hidden="1" x14ac:dyDescent="0.2">
      <c r="B205" s="104">
        <f t="shared" si="0"/>
        <v>2082</v>
      </c>
      <c r="C205" s="135">
        <f>[13]С2.5!$BO$11</f>
        <v>0</v>
      </c>
    </row>
    <row r="206" spans="2:3" hidden="1" x14ac:dyDescent="0.2">
      <c r="B206" s="104">
        <f t="shared" si="0"/>
        <v>2083</v>
      </c>
      <c r="C206" s="135">
        <f>[13]С2.5!$BP$11</f>
        <v>0</v>
      </c>
    </row>
    <row r="207" spans="2:3" hidden="1" x14ac:dyDescent="0.2">
      <c r="B207" s="104">
        <f t="shared" si="0"/>
        <v>2084</v>
      </c>
      <c r="C207" s="135">
        <f>[13]С2.5!$BQ$11</f>
        <v>0</v>
      </c>
    </row>
    <row r="208" spans="2:3" hidden="1" x14ac:dyDescent="0.2">
      <c r="B208" s="104">
        <f t="shared" si="0"/>
        <v>2085</v>
      </c>
      <c r="C208" s="135">
        <f>[13]С2.5!$BR$11</f>
        <v>0</v>
      </c>
    </row>
    <row r="209" spans="2:3" hidden="1" x14ac:dyDescent="0.2">
      <c r="B209" s="104">
        <f t="shared" ref="B209:B223" si="1">B208+1</f>
        <v>2086</v>
      </c>
      <c r="C209" s="135">
        <f>[13]С2.5!$BS$11</f>
        <v>0</v>
      </c>
    </row>
    <row r="210" spans="2:3" hidden="1" x14ac:dyDescent="0.2">
      <c r="B210" s="104">
        <f t="shared" si="1"/>
        <v>2087</v>
      </c>
      <c r="C210" s="135">
        <f>[13]С2.5!$BT$11</f>
        <v>0</v>
      </c>
    </row>
    <row r="211" spans="2:3" hidden="1" x14ac:dyDescent="0.2">
      <c r="B211" s="104">
        <f t="shared" si="1"/>
        <v>2088</v>
      </c>
      <c r="C211" s="135">
        <f>[13]С2.5!$BU$11</f>
        <v>0</v>
      </c>
    </row>
    <row r="212" spans="2:3" hidden="1" x14ac:dyDescent="0.2">
      <c r="B212" s="104">
        <f t="shared" si="1"/>
        <v>2089</v>
      </c>
      <c r="C212" s="135">
        <f>[13]С2.5!$BV$11</f>
        <v>0</v>
      </c>
    </row>
    <row r="213" spans="2:3" hidden="1" x14ac:dyDescent="0.2">
      <c r="B213" s="104">
        <f t="shared" si="1"/>
        <v>2090</v>
      </c>
      <c r="C213" s="135">
        <f>[13]С2.5!$BW$11</f>
        <v>0</v>
      </c>
    </row>
    <row r="214" spans="2:3" hidden="1" x14ac:dyDescent="0.2">
      <c r="B214" s="104">
        <f t="shared" si="1"/>
        <v>2091</v>
      </c>
      <c r="C214" s="135">
        <f>[13]С2.5!$BX$11</f>
        <v>0</v>
      </c>
    </row>
    <row r="215" spans="2:3" hidden="1" x14ac:dyDescent="0.2">
      <c r="B215" s="104">
        <f t="shared" si="1"/>
        <v>2092</v>
      </c>
      <c r="C215" s="135">
        <f>[13]С2.5!$BY$11</f>
        <v>0</v>
      </c>
    </row>
    <row r="216" spans="2:3" hidden="1" x14ac:dyDescent="0.2">
      <c r="B216" s="104">
        <f t="shared" si="1"/>
        <v>2093</v>
      </c>
      <c r="C216" s="135">
        <f>[13]С2.5!$BZ$11</f>
        <v>0</v>
      </c>
    </row>
    <row r="217" spans="2:3" hidden="1" x14ac:dyDescent="0.2">
      <c r="B217" s="104">
        <f t="shared" si="1"/>
        <v>2094</v>
      </c>
      <c r="C217" s="135">
        <f>[13]С2.5!$CA$11</f>
        <v>0</v>
      </c>
    </row>
    <row r="218" spans="2:3" hidden="1" x14ac:dyDescent="0.2">
      <c r="B218" s="104">
        <f t="shared" si="1"/>
        <v>2095</v>
      </c>
      <c r="C218" s="135">
        <f>[13]С2.5!$CB$11</f>
        <v>0</v>
      </c>
    </row>
    <row r="219" spans="2:3" hidden="1" x14ac:dyDescent="0.2">
      <c r="B219" s="104">
        <f t="shared" si="1"/>
        <v>2096</v>
      </c>
      <c r="C219" s="135">
        <f>[13]С2.5!$CC$11</f>
        <v>0</v>
      </c>
    </row>
    <row r="220" spans="2:3" hidden="1" x14ac:dyDescent="0.2">
      <c r="B220" s="104">
        <f t="shared" si="1"/>
        <v>2097</v>
      </c>
      <c r="C220" s="135">
        <f>[13]С2.5!$CD$11</f>
        <v>0</v>
      </c>
    </row>
    <row r="221" spans="2:3" hidden="1" x14ac:dyDescent="0.2">
      <c r="B221" s="104">
        <f t="shared" si="1"/>
        <v>2098</v>
      </c>
      <c r="C221" s="135">
        <f>[13]С2.5!$CE$11</f>
        <v>0</v>
      </c>
    </row>
    <row r="222" spans="2:3" hidden="1" x14ac:dyDescent="0.2">
      <c r="B222" s="104">
        <f t="shared" si="1"/>
        <v>2099</v>
      </c>
      <c r="C222" s="135">
        <f>[13]С2.5!$CF$11</f>
        <v>0</v>
      </c>
    </row>
    <row r="223" spans="2:3" ht="13.5" hidden="1" thickBot="1" x14ac:dyDescent="0.25">
      <c r="B223" s="106">
        <f t="shared" si="1"/>
        <v>2100</v>
      </c>
      <c r="C223" s="136">
        <f>[13]С2.5!$CG$11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6" customWidth="1"/>
    <col min="4" max="246" width="9.140625" style="2"/>
    <col min="247" max="247" width="3.5703125" style="2" customWidth="1"/>
    <col min="248" max="248" width="96.85546875" style="2" customWidth="1"/>
    <col min="249" max="249" width="30.85546875" style="2" customWidth="1"/>
    <col min="250" max="250" width="12.5703125" style="2" customWidth="1"/>
    <col min="251" max="251" width="5.140625" style="2" customWidth="1"/>
    <col min="252" max="252" width="9.140625" style="2"/>
    <col min="253" max="253" width="4.85546875" style="2" customWidth="1"/>
    <col min="254" max="254" width="30.5703125" style="2" customWidth="1"/>
    <col min="255" max="255" width="33.85546875" style="2" customWidth="1"/>
    <col min="256" max="256" width="5.140625" style="2" customWidth="1"/>
    <col min="257" max="258" width="17.5703125" style="2" customWidth="1"/>
    <col min="259" max="502" width="9.140625" style="2"/>
    <col min="503" max="503" width="3.5703125" style="2" customWidth="1"/>
    <col min="504" max="504" width="96.85546875" style="2" customWidth="1"/>
    <col min="505" max="505" width="30.85546875" style="2" customWidth="1"/>
    <col min="506" max="506" width="12.5703125" style="2" customWidth="1"/>
    <col min="507" max="507" width="5.140625" style="2" customWidth="1"/>
    <col min="508" max="508" width="9.140625" style="2"/>
    <col min="509" max="509" width="4.85546875" style="2" customWidth="1"/>
    <col min="510" max="510" width="30.5703125" style="2" customWidth="1"/>
    <col min="511" max="511" width="33.85546875" style="2" customWidth="1"/>
    <col min="512" max="512" width="5.140625" style="2" customWidth="1"/>
    <col min="513" max="514" width="17.5703125" style="2" customWidth="1"/>
    <col min="515" max="758" width="9.140625" style="2"/>
    <col min="759" max="759" width="3.5703125" style="2" customWidth="1"/>
    <col min="760" max="760" width="96.85546875" style="2" customWidth="1"/>
    <col min="761" max="761" width="30.85546875" style="2" customWidth="1"/>
    <col min="762" max="762" width="12.5703125" style="2" customWidth="1"/>
    <col min="763" max="763" width="5.140625" style="2" customWidth="1"/>
    <col min="764" max="764" width="9.140625" style="2"/>
    <col min="765" max="765" width="4.85546875" style="2" customWidth="1"/>
    <col min="766" max="766" width="30.5703125" style="2" customWidth="1"/>
    <col min="767" max="767" width="33.85546875" style="2" customWidth="1"/>
    <col min="768" max="768" width="5.140625" style="2" customWidth="1"/>
    <col min="769" max="770" width="17.5703125" style="2" customWidth="1"/>
    <col min="771" max="1014" width="9.140625" style="2"/>
    <col min="1015" max="1015" width="3.5703125" style="2" customWidth="1"/>
    <col min="1016" max="1016" width="96.85546875" style="2" customWidth="1"/>
    <col min="1017" max="1017" width="30.85546875" style="2" customWidth="1"/>
    <col min="1018" max="1018" width="12.5703125" style="2" customWidth="1"/>
    <col min="1019" max="1019" width="5.140625" style="2" customWidth="1"/>
    <col min="1020" max="1020" width="9.140625" style="2"/>
    <col min="1021" max="1021" width="4.85546875" style="2" customWidth="1"/>
    <col min="1022" max="1022" width="30.5703125" style="2" customWidth="1"/>
    <col min="1023" max="1023" width="33.85546875" style="2" customWidth="1"/>
    <col min="1024" max="1024" width="5.140625" style="2" customWidth="1"/>
    <col min="1025" max="1026" width="17.5703125" style="2" customWidth="1"/>
    <col min="1027" max="1270" width="9.140625" style="2"/>
    <col min="1271" max="1271" width="3.5703125" style="2" customWidth="1"/>
    <col min="1272" max="1272" width="96.85546875" style="2" customWidth="1"/>
    <col min="1273" max="1273" width="30.85546875" style="2" customWidth="1"/>
    <col min="1274" max="1274" width="12.5703125" style="2" customWidth="1"/>
    <col min="1275" max="1275" width="5.140625" style="2" customWidth="1"/>
    <col min="1276" max="1276" width="9.140625" style="2"/>
    <col min="1277" max="1277" width="4.85546875" style="2" customWidth="1"/>
    <col min="1278" max="1278" width="30.5703125" style="2" customWidth="1"/>
    <col min="1279" max="1279" width="33.85546875" style="2" customWidth="1"/>
    <col min="1280" max="1280" width="5.140625" style="2" customWidth="1"/>
    <col min="1281" max="1282" width="17.5703125" style="2" customWidth="1"/>
    <col min="1283" max="1526" width="9.140625" style="2"/>
    <col min="1527" max="1527" width="3.5703125" style="2" customWidth="1"/>
    <col min="1528" max="1528" width="96.85546875" style="2" customWidth="1"/>
    <col min="1529" max="1529" width="30.85546875" style="2" customWidth="1"/>
    <col min="1530" max="1530" width="12.5703125" style="2" customWidth="1"/>
    <col min="1531" max="1531" width="5.140625" style="2" customWidth="1"/>
    <col min="1532" max="1532" width="9.140625" style="2"/>
    <col min="1533" max="1533" width="4.85546875" style="2" customWidth="1"/>
    <col min="1534" max="1534" width="30.5703125" style="2" customWidth="1"/>
    <col min="1535" max="1535" width="33.85546875" style="2" customWidth="1"/>
    <col min="1536" max="1536" width="5.140625" style="2" customWidth="1"/>
    <col min="1537" max="1538" width="17.5703125" style="2" customWidth="1"/>
    <col min="1539" max="1782" width="9.140625" style="2"/>
    <col min="1783" max="1783" width="3.5703125" style="2" customWidth="1"/>
    <col min="1784" max="1784" width="96.85546875" style="2" customWidth="1"/>
    <col min="1785" max="1785" width="30.85546875" style="2" customWidth="1"/>
    <col min="1786" max="1786" width="12.5703125" style="2" customWidth="1"/>
    <col min="1787" max="1787" width="5.140625" style="2" customWidth="1"/>
    <col min="1788" max="1788" width="9.140625" style="2"/>
    <col min="1789" max="1789" width="4.85546875" style="2" customWidth="1"/>
    <col min="1790" max="1790" width="30.5703125" style="2" customWidth="1"/>
    <col min="1791" max="1791" width="33.85546875" style="2" customWidth="1"/>
    <col min="1792" max="1792" width="5.140625" style="2" customWidth="1"/>
    <col min="1793" max="1794" width="17.5703125" style="2" customWidth="1"/>
    <col min="1795" max="2038" width="9.140625" style="2"/>
    <col min="2039" max="2039" width="3.5703125" style="2" customWidth="1"/>
    <col min="2040" max="2040" width="96.85546875" style="2" customWidth="1"/>
    <col min="2041" max="2041" width="30.85546875" style="2" customWidth="1"/>
    <col min="2042" max="2042" width="12.5703125" style="2" customWidth="1"/>
    <col min="2043" max="2043" width="5.140625" style="2" customWidth="1"/>
    <col min="2044" max="2044" width="9.140625" style="2"/>
    <col min="2045" max="2045" width="4.85546875" style="2" customWidth="1"/>
    <col min="2046" max="2046" width="30.5703125" style="2" customWidth="1"/>
    <col min="2047" max="2047" width="33.85546875" style="2" customWidth="1"/>
    <col min="2048" max="2048" width="5.140625" style="2" customWidth="1"/>
    <col min="2049" max="2050" width="17.5703125" style="2" customWidth="1"/>
    <col min="2051" max="2294" width="9.140625" style="2"/>
    <col min="2295" max="2295" width="3.5703125" style="2" customWidth="1"/>
    <col min="2296" max="2296" width="96.85546875" style="2" customWidth="1"/>
    <col min="2297" max="2297" width="30.85546875" style="2" customWidth="1"/>
    <col min="2298" max="2298" width="12.5703125" style="2" customWidth="1"/>
    <col min="2299" max="2299" width="5.140625" style="2" customWidth="1"/>
    <col min="2300" max="2300" width="9.140625" style="2"/>
    <col min="2301" max="2301" width="4.85546875" style="2" customWidth="1"/>
    <col min="2302" max="2302" width="30.5703125" style="2" customWidth="1"/>
    <col min="2303" max="2303" width="33.85546875" style="2" customWidth="1"/>
    <col min="2304" max="2304" width="5.140625" style="2" customWidth="1"/>
    <col min="2305" max="2306" width="17.5703125" style="2" customWidth="1"/>
    <col min="2307" max="2550" width="9.140625" style="2"/>
    <col min="2551" max="2551" width="3.5703125" style="2" customWidth="1"/>
    <col min="2552" max="2552" width="96.85546875" style="2" customWidth="1"/>
    <col min="2553" max="2553" width="30.85546875" style="2" customWidth="1"/>
    <col min="2554" max="2554" width="12.5703125" style="2" customWidth="1"/>
    <col min="2555" max="2555" width="5.140625" style="2" customWidth="1"/>
    <col min="2556" max="2556" width="9.140625" style="2"/>
    <col min="2557" max="2557" width="4.85546875" style="2" customWidth="1"/>
    <col min="2558" max="2558" width="30.5703125" style="2" customWidth="1"/>
    <col min="2559" max="2559" width="33.85546875" style="2" customWidth="1"/>
    <col min="2560" max="2560" width="5.140625" style="2" customWidth="1"/>
    <col min="2561" max="2562" width="17.5703125" style="2" customWidth="1"/>
    <col min="2563" max="2806" width="9.140625" style="2"/>
    <col min="2807" max="2807" width="3.5703125" style="2" customWidth="1"/>
    <col min="2808" max="2808" width="96.85546875" style="2" customWidth="1"/>
    <col min="2809" max="2809" width="30.85546875" style="2" customWidth="1"/>
    <col min="2810" max="2810" width="12.5703125" style="2" customWidth="1"/>
    <col min="2811" max="2811" width="5.140625" style="2" customWidth="1"/>
    <col min="2812" max="2812" width="9.140625" style="2"/>
    <col min="2813" max="2813" width="4.85546875" style="2" customWidth="1"/>
    <col min="2814" max="2814" width="30.5703125" style="2" customWidth="1"/>
    <col min="2815" max="2815" width="33.85546875" style="2" customWidth="1"/>
    <col min="2816" max="2816" width="5.140625" style="2" customWidth="1"/>
    <col min="2817" max="2818" width="17.5703125" style="2" customWidth="1"/>
    <col min="2819" max="3062" width="9.140625" style="2"/>
    <col min="3063" max="3063" width="3.5703125" style="2" customWidth="1"/>
    <col min="3064" max="3064" width="96.85546875" style="2" customWidth="1"/>
    <col min="3065" max="3065" width="30.85546875" style="2" customWidth="1"/>
    <col min="3066" max="3066" width="12.5703125" style="2" customWidth="1"/>
    <col min="3067" max="3067" width="5.140625" style="2" customWidth="1"/>
    <col min="3068" max="3068" width="9.140625" style="2"/>
    <col min="3069" max="3069" width="4.85546875" style="2" customWidth="1"/>
    <col min="3070" max="3070" width="30.5703125" style="2" customWidth="1"/>
    <col min="3071" max="3071" width="33.85546875" style="2" customWidth="1"/>
    <col min="3072" max="3072" width="5.140625" style="2" customWidth="1"/>
    <col min="3073" max="3074" width="17.5703125" style="2" customWidth="1"/>
    <col min="3075" max="3318" width="9.140625" style="2"/>
    <col min="3319" max="3319" width="3.5703125" style="2" customWidth="1"/>
    <col min="3320" max="3320" width="96.85546875" style="2" customWidth="1"/>
    <col min="3321" max="3321" width="30.85546875" style="2" customWidth="1"/>
    <col min="3322" max="3322" width="12.5703125" style="2" customWidth="1"/>
    <col min="3323" max="3323" width="5.140625" style="2" customWidth="1"/>
    <col min="3324" max="3324" width="9.140625" style="2"/>
    <col min="3325" max="3325" width="4.85546875" style="2" customWidth="1"/>
    <col min="3326" max="3326" width="30.5703125" style="2" customWidth="1"/>
    <col min="3327" max="3327" width="33.85546875" style="2" customWidth="1"/>
    <col min="3328" max="3328" width="5.140625" style="2" customWidth="1"/>
    <col min="3329" max="3330" width="17.5703125" style="2" customWidth="1"/>
    <col min="3331" max="3574" width="9.140625" style="2"/>
    <col min="3575" max="3575" width="3.5703125" style="2" customWidth="1"/>
    <col min="3576" max="3576" width="96.85546875" style="2" customWidth="1"/>
    <col min="3577" max="3577" width="30.85546875" style="2" customWidth="1"/>
    <col min="3578" max="3578" width="12.5703125" style="2" customWidth="1"/>
    <col min="3579" max="3579" width="5.140625" style="2" customWidth="1"/>
    <col min="3580" max="3580" width="9.140625" style="2"/>
    <col min="3581" max="3581" width="4.85546875" style="2" customWidth="1"/>
    <col min="3582" max="3582" width="30.5703125" style="2" customWidth="1"/>
    <col min="3583" max="3583" width="33.85546875" style="2" customWidth="1"/>
    <col min="3584" max="3584" width="5.140625" style="2" customWidth="1"/>
    <col min="3585" max="3586" width="17.5703125" style="2" customWidth="1"/>
    <col min="3587" max="3830" width="9.140625" style="2"/>
    <col min="3831" max="3831" width="3.5703125" style="2" customWidth="1"/>
    <col min="3832" max="3832" width="96.85546875" style="2" customWidth="1"/>
    <col min="3833" max="3833" width="30.85546875" style="2" customWidth="1"/>
    <col min="3834" max="3834" width="12.5703125" style="2" customWidth="1"/>
    <col min="3835" max="3835" width="5.140625" style="2" customWidth="1"/>
    <col min="3836" max="3836" width="9.140625" style="2"/>
    <col min="3837" max="3837" width="4.85546875" style="2" customWidth="1"/>
    <col min="3838" max="3838" width="30.5703125" style="2" customWidth="1"/>
    <col min="3839" max="3839" width="33.85546875" style="2" customWidth="1"/>
    <col min="3840" max="3840" width="5.140625" style="2" customWidth="1"/>
    <col min="3841" max="3842" width="17.5703125" style="2" customWidth="1"/>
    <col min="3843" max="4086" width="9.140625" style="2"/>
    <col min="4087" max="4087" width="3.5703125" style="2" customWidth="1"/>
    <col min="4088" max="4088" width="96.85546875" style="2" customWidth="1"/>
    <col min="4089" max="4089" width="30.85546875" style="2" customWidth="1"/>
    <col min="4090" max="4090" width="12.5703125" style="2" customWidth="1"/>
    <col min="4091" max="4091" width="5.140625" style="2" customWidth="1"/>
    <col min="4092" max="4092" width="9.140625" style="2"/>
    <col min="4093" max="4093" width="4.85546875" style="2" customWidth="1"/>
    <col min="4094" max="4094" width="30.5703125" style="2" customWidth="1"/>
    <col min="4095" max="4095" width="33.85546875" style="2" customWidth="1"/>
    <col min="4096" max="4096" width="5.140625" style="2" customWidth="1"/>
    <col min="4097" max="4098" width="17.5703125" style="2" customWidth="1"/>
    <col min="4099" max="4342" width="9.140625" style="2"/>
    <col min="4343" max="4343" width="3.5703125" style="2" customWidth="1"/>
    <col min="4344" max="4344" width="96.85546875" style="2" customWidth="1"/>
    <col min="4345" max="4345" width="30.85546875" style="2" customWidth="1"/>
    <col min="4346" max="4346" width="12.5703125" style="2" customWidth="1"/>
    <col min="4347" max="4347" width="5.140625" style="2" customWidth="1"/>
    <col min="4348" max="4348" width="9.140625" style="2"/>
    <col min="4349" max="4349" width="4.85546875" style="2" customWidth="1"/>
    <col min="4350" max="4350" width="30.5703125" style="2" customWidth="1"/>
    <col min="4351" max="4351" width="33.85546875" style="2" customWidth="1"/>
    <col min="4352" max="4352" width="5.140625" style="2" customWidth="1"/>
    <col min="4353" max="4354" width="17.5703125" style="2" customWidth="1"/>
    <col min="4355" max="4598" width="9.140625" style="2"/>
    <col min="4599" max="4599" width="3.5703125" style="2" customWidth="1"/>
    <col min="4600" max="4600" width="96.85546875" style="2" customWidth="1"/>
    <col min="4601" max="4601" width="30.85546875" style="2" customWidth="1"/>
    <col min="4602" max="4602" width="12.5703125" style="2" customWidth="1"/>
    <col min="4603" max="4603" width="5.140625" style="2" customWidth="1"/>
    <col min="4604" max="4604" width="9.140625" style="2"/>
    <col min="4605" max="4605" width="4.85546875" style="2" customWidth="1"/>
    <col min="4606" max="4606" width="30.5703125" style="2" customWidth="1"/>
    <col min="4607" max="4607" width="33.85546875" style="2" customWidth="1"/>
    <col min="4608" max="4608" width="5.140625" style="2" customWidth="1"/>
    <col min="4609" max="4610" width="17.5703125" style="2" customWidth="1"/>
    <col min="4611" max="4854" width="9.140625" style="2"/>
    <col min="4855" max="4855" width="3.5703125" style="2" customWidth="1"/>
    <col min="4856" max="4856" width="96.85546875" style="2" customWidth="1"/>
    <col min="4857" max="4857" width="30.85546875" style="2" customWidth="1"/>
    <col min="4858" max="4858" width="12.5703125" style="2" customWidth="1"/>
    <col min="4859" max="4859" width="5.140625" style="2" customWidth="1"/>
    <col min="4860" max="4860" width="9.140625" style="2"/>
    <col min="4861" max="4861" width="4.85546875" style="2" customWidth="1"/>
    <col min="4862" max="4862" width="30.5703125" style="2" customWidth="1"/>
    <col min="4863" max="4863" width="33.85546875" style="2" customWidth="1"/>
    <col min="4864" max="4864" width="5.140625" style="2" customWidth="1"/>
    <col min="4865" max="4866" width="17.5703125" style="2" customWidth="1"/>
    <col min="4867" max="5110" width="9.140625" style="2"/>
    <col min="5111" max="5111" width="3.5703125" style="2" customWidth="1"/>
    <col min="5112" max="5112" width="96.85546875" style="2" customWidth="1"/>
    <col min="5113" max="5113" width="30.85546875" style="2" customWidth="1"/>
    <col min="5114" max="5114" width="12.5703125" style="2" customWidth="1"/>
    <col min="5115" max="5115" width="5.140625" style="2" customWidth="1"/>
    <col min="5116" max="5116" width="9.140625" style="2"/>
    <col min="5117" max="5117" width="4.85546875" style="2" customWidth="1"/>
    <col min="5118" max="5118" width="30.5703125" style="2" customWidth="1"/>
    <col min="5119" max="5119" width="33.85546875" style="2" customWidth="1"/>
    <col min="5120" max="5120" width="5.140625" style="2" customWidth="1"/>
    <col min="5121" max="5122" width="17.5703125" style="2" customWidth="1"/>
    <col min="5123" max="5366" width="9.140625" style="2"/>
    <col min="5367" max="5367" width="3.5703125" style="2" customWidth="1"/>
    <col min="5368" max="5368" width="96.85546875" style="2" customWidth="1"/>
    <col min="5369" max="5369" width="30.85546875" style="2" customWidth="1"/>
    <col min="5370" max="5370" width="12.5703125" style="2" customWidth="1"/>
    <col min="5371" max="5371" width="5.140625" style="2" customWidth="1"/>
    <col min="5372" max="5372" width="9.140625" style="2"/>
    <col min="5373" max="5373" width="4.85546875" style="2" customWidth="1"/>
    <col min="5374" max="5374" width="30.5703125" style="2" customWidth="1"/>
    <col min="5375" max="5375" width="33.85546875" style="2" customWidth="1"/>
    <col min="5376" max="5376" width="5.140625" style="2" customWidth="1"/>
    <col min="5377" max="5378" width="17.5703125" style="2" customWidth="1"/>
    <col min="5379" max="5622" width="9.140625" style="2"/>
    <col min="5623" max="5623" width="3.5703125" style="2" customWidth="1"/>
    <col min="5624" max="5624" width="96.85546875" style="2" customWidth="1"/>
    <col min="5625" max="5625" width="30.85546875" style="2" customWidth="1"/>
    <col min="5626" max="5626" width="12.5703125" style="2" customWidth="1"/>
    <col min="5627" max="5627" width="5.140625" style="2" customWidth="1"/>
    <col min="5628" max="5628" width="9.140625" style="2"/>
    <col min="5629" max="5629" width="4.85546875" style="2" customWidth="1"/>
    <col min="5630" max="5630" width="30.5703125" style="2" customWidth="1"/>
    <col min="5631" max="5631" width="33.85546875" style="2" customWidth="1"/>
    <col min="5632" max="5632" width="5.140625" style="2" customWidth="1"/>
    <col min="5633" max="5634" width="17.5703125" style="2" customWidth="1"/>
    <col min="5635" max="5878" width="9.140625" style="2"/>
    <col min="5879" max="5879" width="3.5703125" style="2" customWidth="1"/>
    <col min="5880" max="5880" width="96.85546875" style="2" customWidth="1"/>
    <col min="5881" max="5881" width="30.85546875" style="2" customWidth="1"/>
    <col min="5882" max="5882" width="12.5703125" style="2" customWidth="1"/>
    <col min="5883" max="5883" width="5.140625" style="2" customWidth="1"/>
    <col min="5884" max="5884" width="9.140625" style="2"/>
    <col min="5885" max="5885" width="4.85546875" style="2" customWidth="1"/>
    <col min="5886" max="5886" width="30.5703125" style="2" customWidth="1"/>
    <col min="5887" max="5887" width="33.85546875" style="2" customWidth="1"/>
    <col min="5888" max="5888" width="5.140625" style="2" customWidth="1"/>
    <col min="5889" max="5890" width="17.5703125" style="2" customWidth="1"/>
    <col min="5891" max="6134" width="9.140625" style="2"/>
    <col min="6135" max="6135" width="3.5703125" style="2" customWidth="1"/>
    <col min="6136" max="6136" width="96.85546875" style="2" customWidth="1"/>
    <col min="6137" max="6137" width="30.85546875" style="2" customWidth="1"/>
    <col min="6138" max="6138" width="12.5703125" style="2" customWidth="1"/>
    <col min="6139" max="6139" width="5.140625" style="2" customWidth="1"/>
    <col min="6140" max="6140" width="9.140625" style="2"/>
    <col min="6141" max="6141" width="4.85546875" style="2" customWidth="1"/>
    <col min="6142" max="6142" width="30.5703125" style="2" customWidth="1"/>
    <col min="6143" max="6143" width="33.85546875" style="2" customWidth="1"/>
    <col min="6144" max="6144" width="5.140625" style="2" customWidth="1"/>
    <col min="6145" max="6146" width="17.5703125" style="2" customWidth="1"/>
    <col min="6147" max="6390" width="9.140625" style="2"/>
    <col min="6391" max="6391" width="3.5703125" style="2" customWidth="1"/>
    <col min="6392" max="6392" width="96.85546875" style="2" customWidth="1"/>
    <col min="6393" max="6393" width="30.85546875" style="2" customWidth="1"/>
    <col min="6394" max="6394" width="12.5703125" style="2" customWidth="1"/>
    <col min="6395" max="6395" width="5.140625" style="2" customWidth="1"/>
    <col min="6396" max="6396" width="9.140625" style="2"/>
    <col min="6397" max="6397" width="4.85546875" style="2" customWidth="1"/>
    <col min="6398" max="6398" width="30.5703125" style="2" customWidth="1"/>
    <col min="6399" max="6399" width="33.85546875" style="2" customWidth="1"/>
    <col min="6400" max="6400" width="5.140625" style="2" customWidth="1"/>
    <col min="6401" max="6402" width="17.5703125" style="2" customWidth="1"/>
    <col min="6403" max="6646" width="9.140625" style="2"/>
    <col min="6647" max="6647" width="3.5703125" style="2" customWidth="1"/>
    <col min="6648" max="6648" width="96.85546875" style="2" customWidth="1"/>
    <col min="6649" max="6649" width="30.85546875" style="2" customWidth="1"/>
    <col min="6650" max="6650" width="12.5703125" style="2" customWidth="1"/>
    <col min="6651" max="6651" width="5.140625" style="2" customWidth="1"/>
    <col min="6652" max="6652" width="9.140625" style="2"/>
    <col min="6653" max="6653" width="4.85546875" style="2" customWidth="1"/>
    <col min="6654" max="6654" width="30.5703125" style="2" customWidth="1"/>
    <col min="6655" max="6655" width="33.85546875" style="2" customWidth="1"/>
    <col min="6656" max="6656" width="5.140625" style="2" customWidth="1"/>
    <col min="6657" max="6658" width="17.5703125" style="2" customWidth="1"/>
    <col min="6659" max="6902" width="9.140625" style="2"/>
    <col min="6903" max="6903" width="3.5703125" style="2" customWidth="1"/>
    <col min="6904" max="6904" width="96.85546875" style="2" customWidth="1"/>
    <col min="6905" max="6905" width="30.85546875" style="2" customWidth="1"/>
    <col min="6906" max="6906" width="12.5703125" style="2" customWidth="1"/>
    <col min="6907" max="6907" width="5.140625" style="2" customWidth="1"/>
    <col min="6908" max="6908" width="9.140625" style="2"/>
    <col min="6909" max="6909" width="4.85546875" style="2" customWidth="1"/>
    <col min="6910" max="6910" width="30.5703125" style="2" customWidth="1"/>
    <col min="6911" max="6911" width="33.85546875" style="2" customWidth="1"/>
    <col min="6912" max="6912" width="5.140625" style="2" customWidth="1"/>
    <col min="6913" max="6914" width="17.5703125" style="2" customWidth="1"/>
    <col min="6915" max="7158" width="9.140625" style="2"/>
    <col min="7159" max="7159" width="3.5703125" style="2" customWidth="1"/>
    <col min="7160" max="7160" width="96.85546875" style="2" customWidth="1"/>
    <col min="7161" max="7161" width="30.85546875" style="2" customWidth="1"/>
    <col min="7162" max="7162" width="12.5703125" style="2" customWidth="1"/>
    <col min="7163" max="7163" width="5.140625" style="2" customWidth="1"/>
    <col min="7164" max="7164" width="9.140625" style="2"/>
    <col min="7165" max="7165" width="4.85546875" style="2" customWidth="1"/>
    <col min="7166" max="7166" width="30.5703125" style="2" customWidth="1"/>
    <col min="7167" max="7167" width="33.85546875" style="2" customWidth="1"/>
    <col min="7168" max="7168" width="5.140625" style="2" customWidth="1"/>
    <col min="7169" max="7170" width="17.5703125" style="2" customWidth="1"/>
    <col min="7171" max="7414" width="9.140625" style="2"/>
    <col min="7415" max="7415" width="3.5703125" style="2" customWidth="1"/>
    <col min="7416" max="7416" width="96.85546875" style="2" customWidth="1"/>
    <col min="7417" max="7417" width="30.85546875" style="2" customWidth="1"/>
    <col min="7418" max="7418" width="12.5703125" style="2" customWidth="1"/>
    <col min="7419" max="7419" width="5.140625" style="2" customWidth="1"/>
    <col min="7420" max="7420" width="9.140625" style="2"/>
    <col min="7421" max="7421" width="4.85546875" style="2" customWidth="1"/>
    <col min="7422" max="7422" width="30.5703125" style="2" customWidth="1"/>
    <col min="7423" max="7423" width="33.85546875" style="2" customWidth="1"/>
    <col min="7424" max="7424" width="5.140625" style="2" customWidth="1"/>
    <col min="7425" max="7426" width="17.5703125" style="2" customWidth="1"/>
    <col min="7427" max="7670" width="9.140625" style="2"/>
    <col min="7671" max="7671" width="3.5703125" style="2" customWidth="1"/>
    <col min="7672" max="7672" width="96.85546875" style="2" customWidth="1"/>
    <col min="7673" max="7673" width="30.85546875" style="2" customWidth="1"/>
    <col min="7674" max="7674" width="12.5703125" style="2" customWidth="1"/>
    <col min="7675" max="7675" width="5.140625" style="2" customWidth="1"/>
    <col min="7676" max="7676" width="9.140625" style="2"/>
    <col min="7677" max="7677" width="4.85546875" style="2" customWidth="1"/>
    <col min="7678" max="7678" width="30.5703125" style="2" customWidth="1"/>
    <col min="7679" max="7679" width="33.85546875" style="2" customWidth="1"/>
    <col min="7680" max="7680" width="5.140625" style="2" customWidth="1"/>
    <col min="7681" max="7682" width="17.5703125" style="2" customWidth="1"/>
    <col min="7683" max="7926" width="9.140625" style="2"/>
    <col min="7927" max="7927" width="3.5703125" style="2" customWidth="1"/>
    <col min="7928" max="7928" width="96.85546875" style="2" customWidth="1"/>
    <col min="7929" max="7929" width="30.85546875" style="2" customWidth="1"/>
    <col min="7930" max="7930" width="12.5703125" style="2" customWidth="1"/>
    <col min="7931" max="7931" width="5.140625" style="2" customWidth="1"/>
    <col min="7932" max="7932" width="9.140625" style="2"/>
    <col min="7933" max="7933" width="4.85546875" style="2" customWidth="1"/>
    <col min="7934" max="7934" width="30.5703125" style="2" customWidth="1"/>
    <col min="7935" max="7935" width="33.85546875" style="2" customWidth="1"/>
    <col min="7936" max="7936" width="5.140625" style="2" customWidth="1"/>
    <col min="7937" max="7938" width="17.5703125" style="2" customWidth="1"/>
    <col min="7939" max="8182" width="9.140625" style="2"/>
    <col min="8183" max="8183" width="3.5703125" style="2" customWidth="1"/>
    <col min="8184" max="8184" width="96.85546875" style="2" customWidth="1"/>
    <col min="8185" max="8185" width="30.85546875" style="2" customWidth="1"/>
    <col min="8186" max="8186" width="12.5703125" style="2" customWidth="1"/>
    <col min="8187" max="8187" width="5.140625" style="2" customWidth="1"/>
    <col min="8188" max="8188" width="9.140625" style="2"/>
    <col min="8189" max="8189" width="4.85546875" style="2" customWidth="1"/>
    <col min="8190" max="8190" width="30.5703125" style="2" customWidth="1"/>
    <col min="8191" max="8191" width="33.85546875" style="2" customWidth="1"/>
    <col min="8192" max="8192" width="5.140625" style="2" customWidth="1"/>
    <col min="8193" max="8194" width="17.5703125" style="2" customWidth="1"/>
    <col min="8195" max="8438" width="9.140625" style="2"/>
    <col min="8439" max="8439" width="3.5703125" style="2" customWidth="1"/>
    <col min="8440" max="8440" width="96.85546875" style="2" customWidth="1"/>
    <col min="8441" max="8441" width="30.85546875" style="2" customWidth="1"/>
    <col min="8442" max="8442" width="12.5703125" style="2" customWidth="1"/>
    <col min="8443" max="8443" width="5.140625" style="2" customWidth="1"/>
    <col min="8444" max="8444" width="9.140625" style="2"/>
    <col min="8445" max="8445" width="4.85546875" style="2" customWidth="1"/>
    <col min="8446" max="8446" width="30.5703125" style="2" customWidth="1"/>
    <col min="8447" max="8447" width="33.85546875" style="2" customWidth="1"/>
    <col min="8448" max="8448" width="5.140625" style="2" customWidth="1"/>
    <col min="8449" max="8450" width="17.5703125" style="2" customWidth="1"/>
    <col min="8451" max="8694" width="9.140625" style="2"/>
    <col min="8695" max="8695" width="3.5703125" style="2" customWidth="1"/>
    <col min="8696" max="8696" width="96.85546875" style="2" customWidth="1"/>
    <col min="8697" max="8697" width="30.85546875" style="2" customWidth="1"/>
    <col min="8698" max="8698" width="12.5703125" style="2" customWidth="1"/>
    <col min="8699" max="8699" width="5.140625" style="2" customWidth="1"/>
    <col min="8700" max="8700" width="9.140625" style="2"/>
    <col min="8701" max="8701" width="4.85546875" style="2" customWidth="1"/>
    <col min="8702" max="8702" width="30.5703125" style="2" customWidth="1"/>
    <col min="8703" max="8703" width="33.85546875" style="2" customWidth="1"/>
    <col min="8704" max="8704" width="5.140625" style="2" customWidth="1"/>
    <col min="8705" max="8706" width="17.5703125" style="2" customWidth="1"/>
    <col min="8707" max="8950" width="9.140625" style="2"/>
    <col min="8951" max="8951" width="3.5703125" style="2" customWidth="1"/>
    <col min="8952" max="8952" width="96.85546875" style="2" customWidth="1"/>
    <col min="8953" max="8953" width="30.85546875" style="2" customWidth="1"/>
    <col min="8954" max="8954" width="12.5703125" style="2" customWidth="1"/>
    <col min="8955" max="8955" width="5.140625" style="2" customWidth="1"/>
    <col min="8956" max="8956" width="9.140625" style="2"/>
    <col min="8957" max="8957" width="4.85546875" style="2" customWidth="1"/>
    <col min="8958" max="8958" width="30.5703125" style="2" customWidth="1"/>
    <col min="8959" max="8959" width="33.85546875" style="2" customWidth="1"/>
    <col min="8960" max="8960" width="5.140625" style="2" customWidth="1"/>
    <col min="8961" max="8962" width="17.5703125" style="2" customWidth="1"/>
    <col min="8963" max="9206" width="9.140625" style="2"/>
    <col min="9207" max="9207" width="3.5703125" style="2" customWidth="1"/>
    <col min="9208" max="9208" width="96.85546875" style="2" customWidth="1"/>
    <col min="9209" max="9209" width="30.85546875" style="2" customWidth="1"/>
    <col min="9210" max="9210" width="12.5703125" style="2" customWidth="1"/>
    <col min="9211" max="9211" width="5.140625" style="2" customWidth="1"/>
    <col min="9212" max="9212" width="9.140625" style="2"/>
    <col min="9213" max="9213" width="4.85546875" style="2" customWidth="1"/>
    <col min="9214" max="9214" width="30.5703125" style="2" customWidth="1"/>
    <col min="9215" max="9215" width="33.85546875" style="2" customWidth="1"/>
    <col min="9216" max="9216" width="5.140625" style="2" customWidth="1"/>
    <col min="9217" max="9218" width="17.5703125" style="2" customWidth="1"/>
    <col min="9219" max="9462" width="9.140625" style="2"/>
    <col min="9463" max="9463" width="3.5703125" style="2" customWidth="1"/>
    <col min="9464" max="9464" width="96.85546875" style="2" customWidth="1"/>
    <col min="9465" max="9465" width="30.85546875" style="2" customWidth="1"/>
    <col min="9466" max="9466" width="12.5703125" style="2" customWidth="1"/>
    <col min="9467" max="9467" width="5.140625" style="2" customWidth="1"/>
    <col min="9468" max="9468" width="9.140625" style="2"/>
    <col min="9469" max="9469" width="4.85546875" style="2" customWidth="1"/>
    <col min="9470" max="9470" width="30.5703125" style="2" customWidth="1"/>
    <col min="9471" max="9471" width="33.85546875" style="2" customWidth="1"/>
    <col min="9472" max="9472" width="5.140625" style="2" customWidth="1"/>
    <col min="9473" max="9474" width="17.5703125" style="2" customWidth="1"/>
    <col min="9475" max="9718" width="9.140625" style="2"/>
    <col min="9719" max="9719" width="3.5703125" style="2" customWidth="1"/>
    <col min="9720" max="9720" width="96.85546875" style="2" customWidth="1"/>
    <col min="9721" max="9721" width="30.85546875" style="2" customWidth="1"/>
    <col min="9722" max="9722" width="12.5703125" style="2" customWidth="1"/>
    <col min="9723" max="9723" width="5.140625" style="2" customWidth="1"/>
    <col min="9724" max="9724" width="9.140625" style="2"/>
    <col min="9725" max="9725" width="4.85546875" style="2" customWidth="1"/>
    <col min="9726" max="9726" width="30.5703125" style="2" customWidth="1"/>
    <col min="9727" max="9727" width="33.85546875" style="2" customWidth="1"/>
    <col min="9728" max="9728" width="5.140625" style="2" customWidth="1"/>
    <col min="9729" max="9730" width="17.5703125" style="2" customWidth="1"/>
    <col min="9731" max="9974" width="9.140625" style="2"/>
    <col min="9975" max="9975" width="3.5703125" style="2" customWidth="1"/>
    <col min="9976" max="9976" width="96.85546875" style="2" customWidth="1"/>
    <col min="9977" max="9977" width="30.85546875" style="2" customWidth="1"/>
    <col min="9978" max="9978" width="12.5703125" style="2" customWidth="1"/>
    <col min="9979" max="9979" width="5.140625" style="2" customWidth="1"/>
    <col min="9980" max="9980" width="9.140625" style="2"/>
    <col min="9981" max="9981" width="4.85546875" style="2" customWidth="1"/>
    <col min="9982" max="9982" width="30.5703125" style="2" customWidth="1"/>
    <col min="9983" max="9983" width="33.85546875" style="2" customWidth="1"/>
    <col min="9984" max="9984" width="5.140625" style="2" customWidth="1"/>
    <col min="9985" max="9986" width="17.5703125" style="2" customWidth="1"/>
    <col min="9987" max="10230" width="9.140625" style="2"/>
    <col min="10231" max="10231" width="3.5703125" style="2" customWidth="1"/>
    <col min="10232" max="10232" width="96.85546875" style="2" customWidth="1"/>
    <col min="10233" max="10233" width="30.85546875" style="2" customWidth="1"/>
    <col min="10234" max="10234" width="12.5703125" style="2" customWidth="1"/>
    <col min="10235" max="10235" width="5.140625" style="2" customWidth="1"/>
    <col min="10236" max="10236" width="9.140625" style="2"/>
    <col min="10237" max="10237" width="4.85546875" style="2" customWidth="1"/>
    <col min="10238" max="10238" width="30.5703125" style="2" customWidth="1"/>
    <col min="10239" max="10239" width="33.85546875" style="2" customWidth="1"/>
    <col min="10240" max="10240" width="5.140625" style="2" customWidth="1"/>
    <col min="10241" max="10242" width="17.5703125" style="2" customWidth="1"/>
    <col min="10243" max="10486" width="9.140625" style="2"/>
    <col min="10487" max="10487" width="3.5703125" style="2" customWidth="1"/>
    <col min="10488" max="10488" width="96.85546875" style="2" customWidth="1"/>
    <col min="10489" max="10489" width="30.85546875" style="2" customWidth="1"/>
    <col min="10490" max="10490" width="12.5703125" style="2" customWidth="1"/>
    <col min="10491" max="10491" width="5.140625" style="2" customWidth="1"/>
    <col min="10492" max="10492" width="9.140625" style="2"/>
    <col min="10493" max="10493" width="4.85546875" style="2" customWidth="1"/>
    <col min="10494" max="10494" width="30.5703125" style="2" customWidth="1"/>
    <col min="10495" max="10495" width="33.85546875" style="2" customWidth="1"/>
    <col min="10496" max="10496" width="5.140625" style="2" customWidth="1"/>
    <col min="10497" max="10498" width="17.5703125" style="2" customWidth="1"/>
    <col min="10499" max="10742" width="9.140625" style="2"/>
    <col min="10743" max="10743" width="3.5703125" style="2" customWidth="1"/>
    <col min="10744" max="10744" width="96.85546875" style="2" customWidth="1"/>
    <col min="10745" max="10745" width="30.85546875" style="2" customWidth="1"/>
    <col min="10746" max="10746" width="12.5703125" style="2" customWidth="1"/>
    <col min="10747" max="10747" width="5.140625" style="2" customWidth="1"/>
    <col min="10748" max="10748" width="9.140625" style="2"/>
    <col min="10749" max="10749" width="4.85546875" style="2" customWidth="1"/>
    <col min="10750" max="10750" width="30.5703125" style="2" customWidth="1"/>
    <col min="10751" max="10751" width="33.85546875" style="2" customWidth="1"/>
    <col min="10752" max="10752" width="5.140625" style="2" customWidth="1"/>
    <col min="10753" max="10754" width="17.5703125" style="2" customWidth="1"/>
    <col min="10755" max="10998" width="9.140625" style="2"/>
    <col min="10999" max="10999" width="3.5703125" style="2" customWidth="1"/>
    <col min="11000" max="11000" width="96.85546875" style="2" customWidth="1"/>
    <col min="11001" max="11001" width="30.85546875" style="2" customWidth="1"/>
    <col min="11002" max="11002" width="12.5703125" style="2" customWidth="1"/>
    <col min="11003" max="11003" width="5.140625" style="2" customWidth="1"/>
    <col min="11004" max="11004" width="9.140625" style="2"/>
    <col min="11005" max="11005" width="4.85546875" style="2" customWidth="1"/>
    <col min="11006" max="11006" width="30.5703125" style="2" customWidth="1"/>
    <col min="11007" max="11007" width="33.85546875" style="2" customWidth="1"/>
    <col min="11008" max="11008" width="5.140625" style="2" customWidth="1"/>
    <col min="11009" max="11010" width="17.5703125" style="2" customWidth="1"/>
    <col min="11011" max="11254" width="9.140625" style="2"/>
    <col min="11255" max="11255" width="3.5703125" style="2" customWidth="1"/>
    <col min="11256" max="11256" width="96.85546875" style="2" customWidth="1"/>
    <col min="11257" max="11257" width="30.85546875" style="2" customWidth="1"/>
    <col min="11258" max="11258" width="12.5703125" style="2" customWidth="1"/>
    <col min="11259" max="11259" width="5.140625" style="2" customWidth="1"/>
    <col min="11260" max="11260" width="9.140625" style="2"/>
    <col min="11261" max="11261" width="4.85546875" style="2" customWidth="1"/>
    <col min="11262" max="11262" width="30.5703125" style="2" customWidth="1"/>
    <col min="11263" max="11263" width="33.85546875" style="2" customWidth="1"/>
    <col min="11264" max="11264" width="5.140625" style="2" customWidth="1"/>
    <col min="11265" max="11266" width="17.5703125" style="2" customWidth="1"/>
    <col min="11267" max="11510" width="9.140625" style="2"/>
    <col min="11511" max="11511" width="3.5703125" style="2" customWidth="1"/>
    <col min="11512" max="11512" width="96.85546875" style="2" customWidth="1"/>
    <col min="11513" max="11513" width="30.85546875" style="2" customWidth="1"/>
    <col min="11514" max="11514" width="12.5703125" style="2" customWidth="1"/>
    <col min="11515" max="11515" width="5.140625" style="2" customWidth="1"/>
    <col min="11516" max="11516" width="9.140625" style="2"/>
    <col min="11517" max="11517" width="4.85546875" style="2" customWidth="1"/>
    <col min="11518" max="11518" width="30.5703125" style="2" customWidth="1"/>
    <col min="11519" max="11519" width="33.85546875" style="2" customWidth="1"/>
    <col min="11520" max="11520" width="5.140625" style="2" customWidth="1"/>
    <col min="11521" max="11522" width="17.5703125" style="2" customWidth="1"/>
    <col min="11523" max="11766" width="9.140625" style="2"/>
    <col min="11767" max="11767" width="3.5703125" style="2" customWidth="1"/>
    <col min="11768" max="11768" width="96.85546875" style="2" customWidth="1"/>
    <col min="11769" max="11769" width="30.85546875" style="2" customWidth="1"/>
    <col min="11770" max="11770" width="12.5703125" style="2" customWidth="1"/>
    <col min="11771" max="11771" width="5.140625" style="2" customWidth="1"/>
    <col min="11772" max="11772" width="9.140625" style="2"/>
    <col min="11773" max="11773" width="4.85546875" style="2" customWidth="1"/>
    <col min="11774" max="11774" width="30.5703125" style="2" customWidth="1"/>
    <col min="11775" max="11775" width="33.85546875" style="2" customWidth="1"/>
    <col min="11776" max="11776" width="5.140625" style="2" customWidth="1"/>
    <col min="11777" max="11778" width="17.5703125" style="2" customWidth="1"/>
    <col min="11779" max="12022" width="9.140625" style="2"/>
    <col min="12023" max="12023" width="3.5703125" style="2" customWidth="1"/>
    <col min="12024" max="12024" width="96.85546875" style="2" customWidth="1"/>
    <col min="12025" max="12025" width="30.85546875" style="2" customWidth="1"/>
    <col min="12026" max="12026" width="12.5703125" style="2" customWidth="1"/>
    <col min="12027" max="12027" width="5.140625" style="2" customWidth="1"/>
    <col min="12028" max="12028" width="9.140625" style="2"/>
    <col min="12029" max="12029" width="4.85546875" style="2" customWidth="1"/>
    <col min="12030" max="12030" width="30.5703125" style="2" customWidth="1"/>
    <col min="12031" max="12031" width="33.85546875" style="2" customWidth="1"/>
    <col min="12032" max="12032" width="5.140625" style="2" customWidth="1"/>
    <col min="12033" max="12034" width="17.5703125" style="2" customWidth="1"/>
    <col min="12035" max="12278" width="9.140625" style="2"/>
    <col min="12279" max="12279" width="3.5703125" style="2" customWidth="1"/>
    <col min="12280" max="12280" width="96.85546875" style="2" customWidth="1"/>
    <col min="12281" max="12281" width="30.85546875" style="2" customWidth="1"/>
    <col min="12282" max="12282" width="12.5703125" style="2" customWidth="1"/>
    <col min="12283" max="12283" width="5.140625" style="2" customWidth="1"/>
    <col min="12284" max="12284" width="9.140625" style="2"/>
    <col min="12285" max="12285" width="4.85546875" style="2" customWidth="1"/>
    <col min="12286" max="12286" width="30.5703125" style="2" customWidth="1"/>
    <col min="12287" max="12287" width="33.85546875" style="2" customWidth="1"/>
    <col min="12288" max="12288" width="5.140625" style="2" customWidth="1"/>
    <col min="12289" max="12290" width="17.5703125" style="2" customWidth="1"/>
    <col min="12291" max="12534" width="9.140625" style="2"/>
    <col min="12535" max="12535" width="3.5703125" style="2" customWidth="1"/>
    <col min="12536" max="12536" width="96.85546875" style="2" customWidth="1"/>
    <col min="12537" max="12537" width="30.85546875" style="2" customWidth="1"/>
    <col min="12538" max="12538" width="12.5703125" style="2" customWidth="1"/>
    <col min="12539" max="12539" width="5.140625" style="2" customWidth="1"/>
    <col min="12540" max="12540" width="9.140625" style="2"/>
    <col min="12541" max="12541" width="4.85546875" style="2" customWidth="1"/>
    <col min="12542" max="12542" width="30.5703125" style="2" customWidth="1"/>
    <col min="12543" max="12543" width="33.85546875" style="2" customWidth="1"/>
    <col min="12544" max="12544" width="5.140625" style="2" customWidth="1"/>
    <col min="12545" max="12546" width="17.5703125" style="2" customWidth="1"/>
    <col min="12547" max="12790" width="9.140625" style="2"/>
    <col min="12791" max="12791" width="3.5703125" style="2" customWidth="1"/>
    <col min="12792" max="12792" width="96.85546875" style="2" customWidth="1"/>
    <col min="12793" max="12793" width="30.85546875" style="2" customWidth="1"/>
    <col min="12794" max="12794" width="12.5703125" style="2" customWidth="1"/>
    <col min="12795" max="12795" width="5.140625" style="2" customWidth="1"/>
    <col min="12796" max="12796" width="9.140625" style="2"/>
    <col min="12797" max="12797" width="4.85546875" style="2" customWidth="1"/>
    <col min="12798" max="12798" width="30.5703125" style="2" customWidth="1"/>
    <col min="12799" max="12799" width="33.85546875" style="2" customWidth="1"/>
    <col min="12800" max="12800" width="5.140625" style="2" customWidth="1"/>
    <col min="12801" max="12802" width="17.5703125" style="2" customWidth="1"/>
    <col min="12803" max="13046" width="9.140625" style="2"/>
    <col min="13047" max="13047" width="3.5703125" style="2" customWidth="1"/>
    <col min="13048" max="13048" width="96.85546875" style="2" customWidth="1"/>
    <col min="13049" max="13049" width="30.85546875" style="2" customWidth="1"/>
    <col min="13050" max="13050" width="12.5703125" style="2" customWidth="1"/>
    <col min="13051" max="13051" width="5.140625" style="2" customWidth="1"/>
    <col min="13052" max="13052" width="9.140625" style="2"/>
    <col min="13053" max="13053" width="4.85546875" style="2" customWidth="1"/>
    <col min="13054" max="13054" width="30.5703125" style="2" customWidth="1"/>
    <col min="13055" max="13055" width="33.85546875" style="2" customWidth="1"/>
    <col min="13056" max="13056" width="5.140625" style="2" customWidth="1"/>
    <col min="13057" max="13058" width="17.5703125" style="2" customWidth="1"/>
    <col min="13059" max="13302" width="9.140625" style="2"/>
    <col min="13303" max="13303" width="3.5703125" style="2" customWidth="1"/>
    <col min="13304" max="13304" width="96.85546875" style="2" customWidth="1"/>
    <col min="13305" max="13305" width="30.85546875" style="2" customWidth="1"/>
    <col min="13306" max="13306" width="12.5703125" style="2" customWidth="1"/>
    <col min="13307" max="13307" width="5.140625" style="2" customWidth="1"/>
    <col min="13308" max="13308" width="9.140625" style="2"/>
    <col min="13309" max="13309" width="4.85546875" style="2" customWidth="1"/>
    <col min="13310" max="13310" width="30.5703125" style="2" customWidth="1"/>
    <col min="13311" max="13311" width="33.85546875" style="2" customWidth="1"/>
    <col min="13312" max="13312" width="5.140625" style="2" customWidth="1"/>
    <col min="13313" max="13314" width="17.5703125" style="2" customWidth="1"/>
    <col min="13315" max="13558" width="9.140625" style="2"/>
    <col min="13559" max="13559" width="3.5703125" style="2" customWidth="1"/>
    <col min="13560" max="13560" width="96.85546875" style="2" customWidth="1"/>
    <col min="13561" max="13561" width="30.85546875" style="2" customWidth="1"/>
    <col min="13562" max="13562" width="12.5703125" style="2" customWidth="1"/>
    <col min="13563" max="13563" width="5.140625" style="2" customWidth="1"/>
    <col min="13564" max="13564" width="9.140625" style="2"/>
    <col min="13565" max="13565" width="4.85546875" style="2" customWidth="1"/>
    <col min="13566" max="13566" width="30.5703125" style="2" customWidth="1"/>
    <col min="13567" max="13567" width="33.85546875" style="2" customWidth="1"/>
    <col min="13568" max="13568" width="5.140625" style="2" customWidth="1"/>
    <col min="13569" max="13570" width="17.5703125" style="2" customWidth="1"/>
    <col min="13571" max="13814" width="9.140625" style="2"/>
    <col min="13815" max="13815" width="3.5703125" style="2" customWidth="1"/>
    <col min="13816" max="13816" width="96.85546875" style="2" customWidth="1"/>
    <col min="13817" max="13817" width="30.85546875" style="2" customWidth="1"/>
    <col min="13818" max="13818" width="12.5703125" style="2" customWidth="1"/>
    <col min="13819" max="13819" width="5.140625" style="2" customWidth="1"/>
    <col min="13820" max="13820" width="9.140625" style="2"/>
    <col min="13821" max="13821" width="4.85546875" style="2" customWidth="1"/>
    <col min="13822" max="13822" width="30.5703125" style="2" customWidth="1"/>
    <col min="13823" max="13823" width="33.85546875" style="2" customWidth="1"/>
    <col min="13824" max="13824" width="5.140625" style="2" customWidth="1"/>
    <col min="13825" max="13826" width="17.5703125" style="2" customWidth="1"/>
    <col min="13827" max="14070" width="9.140625" style="2"/>
    <col min="14071" max="14071" width="3.5703125" style="2" customWidth="1"/>
    <col min="14072" max="14072" width="96.85546875" style="2" customWidth="1"/>
    <col min="14073" max="14073" width="30.85546875" style="2" customWidth="1"/>
    <col min="14074" max="14074" width="12.5703125" style="2" customWidth="1"/>
    <col min="14075" max="14075" width="5.140625" style="2" customWidth="1"/>
    <col min="14076" max="14076" width="9.140625" style="2"/>
    <col min="14077" max="14077" width="4.85546875" style="2" customWidth="1"/>
    <col min="14078" max="14078" width="30.5703125" style="2" customWidth="1"/>
    <col min="14079" max="14079" width="33.85546875" style="2" customWidth="1"/>
    <col min="14080" max="14080" width="5.140625" style="2" customWidth="1"/>
    <col min="14081" max="14082" width="17.5703125" style="2" customWidth="1"/>
    <col min="14083" max="14326" width="9.140625" style="2"/>
    <col min="14327" max="14327" width="3.5703125" style="2" customWidth="1"/>
    <col min="14328" max="14328" width="96.85546875" style="2" customWidth="1"/>
    <col min="14329" max="14329" width="30.85546875" style="2" customWidth="1"/>
    <col min="14330" max="14330" width="12.5703125" style="2" customWidth="1"/>
    <col min="14331" max="14331" width="5.140625" style="2" customWidth="1"/>
    <col min="14332" max="14332" width="9.140625" style="2"/>
    <col min="14333" max="14333" width="4.85546875" style="2" customWidth="1"/>
    <col min="14334" max="14334" width="30.5703125" style="2" customWidth="1"/>
    <col min="14335" max="14335" width="33.85546875" style="2" customWidth="1"/>
    <col min="14336" max="14336" width="5.140625" style="2" customWidth="1"/>
    <col min="14337" max="14338" width="17.5703125" style="2" customWidth="1"/>
    <col min="14339" max="14582" width="9.140625" style="2"/>
    <col min="14583" max="14583" width="3.5703125" style="2" customWidth="1"/>
    <col min="14584" max="14584" width="96.85546875" style="2" customWidth="1"/>
    <col min="14585" max="14585" width="30.85546875" style="2" customWidth="1"/>
    <col min="14586" max="14586" width="12.5703125" style="2" customWidth="1"/>
    <col min="14587" max="14587" width="5.140625" style="2" customWidth="1"/>
    <col min="14588" max="14588" width="9.140625" style="2"/>
    <col min="14589" max="14589" width="4.85546875" style="2" customWidth="1"/>
    <col min="14590" max="14590" width="30.5703125" style="2" customWidth="1"/>
    <col min="14591" max="14591" width="33.85546875" style="2" customWidth="1"/>
    <col min="14592" max="14592" width="5.140625" style="2" customWidth="1"/>
    <col min="14593" max="14594" width="17.5703125" style="2" customWidth="1"/>
    <col min="14595" max="14838" width="9.140625" style="2"/>
    <col min="14839" max="14839" width="3.5703125" style="2" customWidth="1"/>
    <col min="14840" max="14840" width="96.85546875" style="2" customWidth="1"/>
    <col min="14841" max="14841" width="30.85546875" style="2" customWidth="1"/>
    <col min="14842" max="14842" width="12.5703125" style="2" customWidth="1"/>
    <col min="14843" max="14843" width="5.140625" style="2" customWidth="1"/>
    <col min="14844" max="14844" width="9.140625" style="2"/>
    <col min="14845" max="14845" width="4.85546875" style="2" customWidth="1"/>
    <col min="14846" max="14846" width="30.5703125" style="2" customWidth="1"/>
    <col min="14847" max="14847" width="33.85546875" style="2" customWidth="1"/>
    <col min="14848" max="14848" width="5.140625" style="2" customWidth="1"/>
    <col min="14849" max="14850" width="17.5703125" style="2" customWidth="1"/>
    <col min="14851" max="15094" width="9.140625" style="2"/>
    <col min="15095" max="15095" width="3.5703125" style="2" customWidth="1"/>
    <col min="15096" max="15096" width="96.85546875" style="2" customWidth="1"/>
    <col min="15097" max="15097" width="30.85546875" style="2" customWidth="1"/>
    <col min="15098" max="15098" width="12.5703125" style="2" customWidth="1"/>
    <col min="15099" max="15099" width="5.140625" style="2" customWidth="1"/>
    <col min="15100" max="15100" width="9.140625" style="2"/>
    <col min="15101" max="15101" width="4.85546875" style="2" customWidth="1"/>
    <col min="15102" max="15102" width="30.5703125" style="2" customWidth="1"/>
    <col min="15103" max="15103" width="33.85546875" style="2" customWidth="1"/>
    <col min="15104" max="15104" width="5.140625" style="2" customWidth="1"/>
    <col min="15105" max="15106" width="17.5703125" style="2" customWidth="1"/>
    <col min="15107" max="15350" width="9.140625" style="2"/>
    <col min="15351" max="15351" width="3.5703125" style="2" customWidth="1"/>
    <col min="15352" max="15352" width="96.85546875" style="2" customWidth="1"/>
    <col min="15353" max="15353" width="30.85546875" style="2" customWidth="1"/>
    <col min="15354" max="15354" width="12.5703125" style="2" customWidth="1"/>
    <col min="15355" max="15355" width="5.140625" style="2" customWidth="1"/>
    <col min="15356" max="15356" width="9.140625" style="2"/>
    <col min="15357" max="15357" width="4.85546875" style="2" customWidth="1"/>
    <col min="15358" max="15358" width="30.5703125" style="2" customWidth="1"/>
    <col min="15359" max="15359" width="33.85546875" style="2" customWidth="1"/>
    <col min="15360" max="15360" width="5.140625" style="2" customWidth="1"/>
    <col min="15361" max="15362" width="17.5703125" style="2" customWidth="1"/>
    <col min="15363" max="15606" width="9.140625" style="2"/>
    <col min="15607" max="15607" width="3.5703125" style="2" customWidth="1"/>
    <col min="15608" max="15608" width="96.85546875" style="2" customWidth="1"/>
    <col min="15609" max="15609" width="30.85546875" style="2" customWidth="1"/>
    <col min="15610" max="15610" width="12.5703125" style="2" customWidth="1"/>
    <col min="15611" max="15611" width="5.140625" style="2" customWidth="1"/>
    <col min="15612" max="15612" width="9.140625" style="2"/>
    <col min="15613" max="15613" width="4.85546875" style="2" customWidth="1"/>
    <col min="15614" max="15614" width="30.5703125" style="2" customWidth="1"/>
    <col min="15615" max="15615" width="33.85546875" style="2" customWidth="1"/>
    <col min="15616" max="15616" width="5.140625" style="2" customWidth="1"/>
    <col min="15617" max="15618" width="17.5703125" style="2" customWidth="1"/>
    <col min="15619" max="15862" width="9.140625" style="2"/>
    <col min="15863" max="15863" width="3.5703125" style="2" customWidth="1"/>
    <col min="15864" max="15864" width="96.85546875" style="2" customWidth="1"/>
    <col min="15865" max="15865" width="30.85546875" style="2" customWidth="1"/>
    <col min="15866" max="15866" width="12.5703125" style="2" customWidth="1"/>
    <col min="15867" max="15867" width="5.140625" style="2" customWidth="1"/>
    <col min="15868" max="15868" width="9.140625" style="2"/>
    <col min="15869" max="15869" width="4.85546875" style="2" customWidth="1"/>
    <col min="15870" max="15870" width="30.5703125" style="2" customWidth="1"/>
    <col min="15871" max="15871" width="33.85546875" style="2" customWidth="1"/>
    <col min="15872" max="15872" width="5.140625" style="2" customWidth="1"/>
    <col min="15873" max="15874" width="17.5703125" style="2" customWidth="1"/>
    <col min="15875" max="16118" width="9.140625" style="2"/>
    <col min="16119" max="16119" width="3.5703125" style="2" customWidth="1"/>
    <col min="16120" max="16120" width="96.85546875" style="2" customWidth="1"/>
    <col min="16121" max="16121" width="30.85546875" style="2" customWidth="1"/>
    <col min="16122" max="16122" width="12.5703125" style="2" customWidth="1"/>
    <col min="16123" max="16123" width="5.140625" style="2" customWidth="1"/>
    <col min="16124" max="16124" width="9.140625" style="2"/>
    <col min="16125" max="16125" width="4.85546875" style="2" customWidth="1"/>
    <col min="16126" max="16126" width="30.5703125" style="2" customWidth="1"/>
    <col min="16127" max="16127" width="33.85546875" style="2" customWidth="1"/>
    <col min="16128" max="16128" width="5.140625" style="2" customWidth="1"/>
    <col min="16129" max="16130" width="17.5703125" style="2" customWidth="1"/>
    <col min="16131" max="16384" width="9.140625" style="2"/>
  </cols>
  <sheetData>
    <row r="1" spans="1:3" ht="48" customHeight="1" x14ac:dyDescent="0.2">
      <c r="A1" s="111"/>
      <c r="B1" s="143" t="s">
        <v>225</v>
      </c>
      <c r="C1" s="143"/>
    </row>
    <row r="2" spans="1:3" x14ac:dyDescent="0.2">
      <c r="A2" s="1"/>
      <c r="B2" s="3" t="s">
        <v>2</v>
      </c>
      <c r="C2" s="4">
        <v>45317</v>
      </c>
    </row>
    <row r="3" spans="1:3" x14ac:dyDescent="0.2">
      <c r="A3" s="1"/>
      <c r="B3" s="112" t="s">
        <v>3</v>
      </c>
    </row>
    <row r="4" spans="1:3" ht="25.5" x14ac:dyDescent="0.2">
      <c r="A4" s="7"/>
      <c r="B4" s="8" t="str">
        <f>[14]И1!D13</f>
        <v>Субъект Российской Федерации</v>
      </c>
      <c r="C4" s="9" t="str">
        <f>[14]И1!E13</f>
        <v>Новосибирская область</v>
      </c>
    </row>
    <row r="5" spans="1:3" ht="51" x14ac:dyDescent="0.2">
      <c r="A5" s="7"/>
      <c r="B5" s="8" t="str">
        <f>[14]И1!D14</f>
        <v>Тип муниципального образования (выберите из списка)</v>
      </c>
      <c r="C5" s="9" t="str">
        <f>[14]И1!E14</f>
        <v>поселок Шайдуровский, Ордынский муниципальный район</v>
      </c>
    </row>
    <row r="6" spans="1:3" x14ac:dyDescent="0.2">
      <c r="A6" s="7"/>
      <c r="B6" s="8" t="str">
        <f>IF([14]И1!E15="","",[14]И1!D15)</f>
        <v/>
      </c>
      <c r="C6" s="9" t="str">
        <f>IF([14]И1!E15="","",[14]И1!E15)</f>
        <v/>
      </c>
    </row>
    <row r="7" spans="1:3" x14ac:dyDescent="0.2">
      <c r="A7" s="7"/>
      <c r="B7" s="8" t="str">
        <f>[14]И1!D16</f>
        <v>Код ОКТМО</v>
      </c>
      <c r="C7" s="10" t="str">
        <f>[14]И1!E16</f>
        <v>50642440101</v>
      </c>
    </row>
    <row r="8" spans="1:3" x14ac:dyDescent="0.2">
      <c r="A8" s="7"/>
      <c r="B8" s="11" t="str">
        <f>[14]И1!D17</f>
        <v>Система теплоснабжения</v>
      </c>
      <c r="C8" s="12">
        <f>[14]И1!E17</f>
        <v>0</v>
      </c>
    </row>
    <row r="9" spans="1:3" x14ac:dyDescent="0.2">
      <c r="A9" s="7"/>
      <c r="B9" s="8" t="str">
        <f>[14]И1!D8</f>
        <v>Период регулирования (i)-й</v>
      </c>
      <c r="C9" s="13">
        <f>[14]И1!E8</f>
        <v>2024</v>
      </c>
    </row>
    <row r="10" spans="1:3" x14ac:dyDescent="0.2">
      <c r="A10" s="7"/>
      <c r="B10" s="8" t="str">
        <f>[14]И1!D9</f>
        <v>Период регулирования (i-1)-й</v>
      </c>
      <c r="C10" s="13">
        <f>[14]И1!E9</f>
        <v>2023</v>
      </c>
    </row>
    <row r="11" spans="1:3" x14ac:dyDescent="0.2">
      <c r="A11" s="7"/>
      <c r="B11" s="8" t="str">
        <f>[14]И1!D10</f>
        <v>Период регулирования (i-2)-й</v>
      </c>
      <c r="C11" s="13">
        <f>[14]И1!E10</f>
        <v>2022</v>
      </c>
    </row>
    <row r="12" spans="1:3" x14ac:dyDescent="0.2">
      <c r="A12" s="7"/>
      <c r="B12" s="8" t="str">
        <f>[14]И1!D11</f>
        <v>Базовый год (б)</v>
      </c>
      <c r="C12" s="13">
        <f>[14]И1!E11</f>
        <v>2019</v>
      </c>
    </row>
    <row r="13" spans="1:3" ht="38.25" x14ac:dyDescent="0.2">
      <c r="A13" s="7"/>
      <c r="B13" s="8" t="str">
        <f>[14]И1!D18</f>
        <v>Вид топлива, использование которого преобладает в системе теплоснабжения</v>
      </c>
      <c r="C13" s="14" t="str">
        <f>[14]С1.1!E13</f>
        <v>уголь (вид угля не указан в топливном балансе)</v>
      </c>
    </row>
    <row r="14" spans="1:3" ht="31.7" customHeight="1" thickBot="1" x14ac:dyDescent="0.25">
      <c r="A14" s="146" t="s">
        <v>4</v>
      </c>
      <c r="B14" s="146"/>
      <c r="C14" s="146"/>
    </row>
    <row r="15" spans="1:3" x14ac:dyDescent="0.2">
      <c r="A15" s="15" t="s">
        <v>5</v>
      </c>
      <c r="B15" s="113" t="s">
        <v>6</v>
      </c>
      <c r="C15" s="114" t="s">
        <v>7</v>
      </c>
    </row>
    <row r="16" spans="1:3" x14ac:dyDescent="0.2">
      <c r="A16" s="18">
        <v>1</v>
      </c>
      <c r="B16" s="115">
        <v>2</v>
      </c>
      <c r="C16" s="116">
        <v>3</v>
      </c>
    </row>
    <row r="17" spans="1:3" x14ac:dyDescent="0.2">
      <c r="A17" s="21">
        <v>1</v>
      </c>
      <c r="B17" s="22" t="s">
        <v>8</v>
      </c>
      <c r="C17" s="23">
        <f>SUM(C18:C22)</f>
        <v>3658.8373396730149</v>
      </c>
    </row>
    <row r="18" spans="1:3" ht="42.75" x14ac:dyDescent="0.2">
      <c r="A18" s="21" t="s">
        <v>9</v>
      </c>
      <c r="B18" s="24" t="s">
        <v>10</v>
      </c>
      <c r="C18" s="25">
        <f>[14]С1!F12</f>
        <v>681.72722270675411</v>
      </c>
    </row>
    <row r="19" spans="1:3" ht="42.75" x14ac:dyDescent="0.2">
      <c r="A19" s="21" t="s">
        <v>11</v>
      </c>
      <c r="B19" s="24" t="s">
        <v>12</v>
      </c>
      <c r="C19" s="25">
        <f>[14]С2!F12</f>
        <v>1988.7336845318171</v>
      </c>
    </row>
    <row r="20" spans="1:3" ht="30" x14ac:dyDescent="0.2">
      <c r="A20" s="21" t="s">
        <v>13</v>
      </c>
      <c r="B20" s="24" t="s">
        <v>14</v>
      </c>
      <c r="C20" s="25">
        <f>[14]С3!F12</f>
        <v>472.61808029676507</v>
      </c>
    </row>
    <row r="21" spans="1:3" ht="42.75" x14ac:dyDescent="0.2">
      <c r="A21" s="21" t="s">
        <v>15</v>
      </c>
      <c r="B21" s="24" t="s">
        <v>226</v>
      </c>
      <c r="C21" s="25">
        <f>[14]С4!F12</f>
        <v>444.0164435166393</v>
      </c>
    </row>
    <row r="22" spans="1:3" ht="30" x14ac:dyDescent="0.2">
      <c r="A22" s="21" t="s">
        <v>17</v>
      </c>
      <c r="B22" s="24" t="s">
        <v>227</v>
      </c>
      <c r="C22" s="25">
        <f>[14]С5!F12</f>
        <v>71.741908621039514</v>
      </c>
    </row>
    <row r="23" spans="1:3" ht="43.5" thickBot="1" x14ac:dyDescent="0.25">
      <c r="A23" s="26" t="s">
        <v>19</v>
      </c>
      <c r="B23" s="140" t="s">
        <v>228</v>
      </c>
      <c r="C23" s="27" t="str">
        <f>[14]С6!F12</f>
        <v>-</v>
      </c>
    </row>
    <row r="24" spans="1:3" ht="13.5" thickBot="1" x14ac:dyDescent="0.25">
      <c r="A24" s="1"/>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229</v>
      </c>
      <c r="C28" s="32">
        <f>[14]С1.1!E16</f>
        <v>5100</v>
      </c>
    </row>
    <row r="29" spans="1:3" ht="42.75" x14ac:dyDescent="0.2">
      <c r="A29" s="21" t="s">
        <v>11</v>
      </c>
      <c r="B29" s="31" t="s">
        <v>230</v>
      </c>
      <c r="C29" s="32">
        <f>[14]С1.1!E27</f>
        <v>3063.03</v>
      </c>
    </row>
    <row r="30" spans="1:3" ht="17.25" x14ac:dyDescent="0.2">
      <c r="A30" s="21" t="s">
        <v>13</v>
      </c>
      <c r="B30" s="31" t="s">
        <v>30</v>
      </c>
      <c r="C30" s="34">
        <f>[14]С1.1!E19</f>
        <v>-0.19900000000000001</v>
      </c>
    </row>
    <row r="31" spans="1:3" ht="17.25" x14ac:dyDescent="0.2">
      <c r="A31" s="21" t="s">
        <v>15</v>
      </c>
      <c r="B31" s="31" t="s">
        <v>31</v>
      </c>
      <c r="C31" s="34">
        <f>[14]С1.1!E20</f>
        <v>5.7000000000000002E-2</v>
      </c>
    </row>
    <row r="32" spans="1:3" ht="30" x14ac:dyDescent="0.2">
      <c r="A32" s="21" t="s">
        <v>17</v>
      </c>
      <c r="B32" s="35" t="s">
        <v>231</v>
      </c>
      <c r="C32" s="117">
        <f>[14]С1!F13</f>
        <v>176.4</v>
      </c>
    </row>
    <row r="33" spans="1:3" x14ac:dyDescent="0.2">
      <c r="A33" s="21" t="s">
        <v>19</v>
      </c>
      <c r="B33" s="35" t="s">
        <v>33</v>
      </c>
      <c r="C33" s="37">
        <f>[14]С1!F16</f>
        <v>7000</v>
      </c>
    </row>
    <row r="34" spans="1:3" ht="14.25" x14ac:dyDescent="0.2">
      <c r="A34" s="21" t="s">
        <v>34</v>
      </c>
      <c r="B34" s="39" t="s">
        <v>232</v>
      </c>
      <c r="C34" s="40">
        <f>[14]С1!F17</f>
        <v>0.72857142857142854</v>
      </c>
    </row>
    <row r="35" spans="1:3" ht="15.75" x14ac:dyDescent="0.2">
      <c r="A35" s="118" t="s">
        <v>36</v>
      </c>
      <c r="B35" s="42" t="s">
        <v>37</v>
      </c>
      <c r="C35" s="40">
        <f>[14]С1!F20</f>
        <v>21.588411179999994</v>
      </c>
    </row>
    <row r="36" spans="1:3" ht="15.75" x14ac:dyDescent="0.2">
      <c r="A36" s="118" t="s">
        <v>38</v>
      </c>
      <c r="B36" s="43" t="s">
        <v>39</v>
      </c>
      <c r="C36" s="40">
        <f>[14]С1!F21</f>
        <v>20.818139999999996</v>
      </c>
    </row>
    <row r="37" spans="1:3" ht="14.25" x14ac:dyDescent="0.2">
      <c r="A37" s="118" t="s">
        <v>40</v>
      </c>
      <c r="B37" s="44" t="s">
        <v>41</v>
      </c>
      <c r="C37" s="40">
        <f>[14]С1!F22</f>
        <v>1.0369999999999999</v>
      </c>
    </row>
    <row r="38" spans="1:3" ht="53.25" thickBot="1" x14ac:dyDescent="0.25">
      <c r="A38" s="26" t="s">
        <v>42</v>
      </c>
      <c r="B38" s="45" t="s">
        <v>43</v>
      </c>
      <c r="C38" s="46">
        <f>[14]С1!F23</f>
        <v>1.0469999999999999</v>
      </c>
    </row>
    <row r="39" spans="1:3" ht="13.5" thickBot="1" x14ac:dyDescent="0.25">
      <c r="A39" s="47"/>
      <c r="B39" s="119"/>
      <c r="C39" s="120"/>
    </row>
    <row r="40" spans="1:3" ht="30" customHeight="1" x14ac:dyDescent="0.2">
      <c r="A40" s="49" t="s">
        <v>44</v>
      </c>
      <c r="B40" s="145" t="s">
        <v>45</v>
      </c>
      <c r="C40" s="145"/>
    </row>
    <row r="41" spans="1:3" ht="25.5" x14ac:dyDescent="0.2">
      <c r="A41" s="21" t="s">
        <v>46</v>
      </c>
      <c r="B41" s="35" t="s">
        <v>47</v>
      </c>
      <c r="C41" s="50" t="str">
        <f>[14]С2.1!E12</f>
        <v>V</v>
      </c>
    </row>
    <row r="42" spans="1:3" ht="25.5" x14ac:dyDescent="0.2">
      <c r="A42" s="21" t="s">
        <v>48</v>
      </c>
      <c r="B42" s="31" t="s">
        <v>49</v>
      </c>
      <c r="C42" s="50" t="str">
        <f>[14]С2.1!E13</f>
        <v>6 и менее баллов</v>
      </c>
    </row>
    <row r="43" spans="1:3" ht="25.5" x14ac:dyDescent="0.2">
      <c r="A43" s="21" t="s">
        <v>50</v>
      </c>
      <c r="B43" s="31" t="s">
        <v>233</v>
      </c>
      <c r="C43" s="50" t="str">
        <f>[14]С2.1!E14</f>
        <v>от 200 до 500</v>
      </c>
    </row>
    <row r="44" spans="1:3" ht="25.5" x14ac:dyDescent="0.2">
      <c r="A44" s="21" t="s">
        <v>52</v>
      </c>
      <c r="B44" s="31" t="s">
        <v>234</v>
      </c>
      <c r="C44" s="51" t="str">
        <f>[14]С2.1!E15</f>
        <v>нет</v>
      </c>
    </row>
    <row r="45" spans="1:3" ht="30" x14ac:dyDescent="0.2">
      <c r="A45" s="21" t="s">
        <v>54</v>
      </c>
      <c r="B45" s="31" t="s">
        <v>55</v>
      </c>
      <c r="C45" s="32">
        <f>[14]С2!F18</f>
        <v>35106.652004551666</v>
      </c>
    </row>
    <row r="46" spans="1:3" ht="30" x14ac:dyDescent="0.2">
      <c r="A46" s="21" t="s">
        <v>56</v>
      </c>
      <c r="B46" s="52" t="s">
        <v>57</v>
      </c>
      <c r="C46" s="32">
        <f>IF([14]С2!F19&gt;0,[14]С2!F19,[14]С2!F20)</f>
        <v>23441.524932855718</v>
      </c>
    </row>
    <row r="47" spans="1:3" ht="25.5" x14ac:dyDescent="0.2">
      <c r="A47" s="21" t="s">
        <v>58</v>
      </c>
      <c r="B47" s="53" t="s">
        <v>59</v>
      </c>
      <c r="C47" s="32">
        <f>[14]С2.1!E19</f>
        <v>-37</v>
      </c>
    </row>
    <row r="48" spans="1:3" ht="25.5" x14ac:dyDescent="0.2">
      <c r="A48" s="21" t="s">
        <v>60</v>
      </c>
      <c r="B48" s="53" t="s">
        <v>61</v>
      </c>
      <c r="C48" s="32" t="str">
        <f>[14]С2.1!E22</f>
        <v>нет</v>
      </c>
    </row>
    <row r="49" spans="1:3" ht="38.25" x14ac:dyDescent="0.2">
      <c r="A49" s="21" t="s">
        <v>62</v>
      </c>
      <c r="B49" s="54" t="s">
        <v>63</v>
      </c>
      <c r="C49" s="32">
        <f>[14]С2.2!E10</f>
        <v>1287</v>
      </c>
    </row>
    <row r="50" spans="1:3" ht="25.5" x14ac:dyDescent="0.2">
      <c r="A50" s="21" t="s">
        <v>64</v>
      </c>
      <c r="B50" s="55" t="s">
        <v>65</v>
      </c>
      <c r="C50" s="32">
        <f>[14]С2.2!E12</f>
        <v>5.97</v>
      </c>
    </row>
    <row r="51" spans="1:3" ht="52.5" x14ac:dyDescent="0.2">
      <c r="A51" s="21" t="s">
        <v>66</v>
      </c>
      <c r="B51" s="56" t="s">
        <v>67</v>
      </c>
      <c r="C51" s="32">
        <f>[14]С2.2!E13</f>
        <v>1</v>
      </c>
    </row>
    <row r="52" spans="1:3" ht="27.75" x14ac:dyDescent="0.2">
      <c r="A52" s="21" t="s">
        <v>68</v>
      </c>
      <c r="B52" s="55" t="s">
        <v>69</v>
      </c>
      <c r="C52" s="32">
        <f>[14]С2.2!E14</f>
        <v>12104</v>
      </c>
    </row>
    <row r="53" spans="1:3" ht="25.5" x14ac:dyDescent="0.2">
      <c r="A53" s="21" t="s">
        <v>70</v>
      </c>
      <c r="B53" s="56" t="s">
        <v>71</v>
      </c>
      <c r="C53" s="34">
        <f>[14]С2.2!E15</f>
        <v>4.8000000000000001E-2</v>
      </c>
    </row>
    <row r="54" spans="1:3" x14ac:dyDescent="0.2">
      <c r="A54" s="21" t="s">
        <v>72</v>
      </c>
      <c r="B54" s="56" t="s">
        <v>73</v>
      </c>
      <c r="C54" s="32">
        <f>[14]С2.2!E16</f>
        <v>1</v>
      </c>
    </row>
    <row r="55" spans="1:3" ht="15.75" x14ac:dyDescent="0.2">
      <c r="A55" s="21" t="s">
        <v>74</v>
      </c>
      <c r="B55" s="58" t="s">
        <v>75</v>
      </c>
      <c r="C55" s="32">
        <f>[14]С2!F21</f>
        <v>1</v>
      </c>
    </row>
    <row r="56" spans="1:3" ht="30" x14ac:dyDescent="0.2">
      <c r="A56" s="59" t="s">
        <v>76</v>
      </c>
      <c r="B56" s="31" t="s">
        <v>235</v>
      </c>
      <c r="C56" s="32">
        <f>[14]С2!F13</f>
        <v>183796.83936385796</v>
      </c>
    </row>
    <row r="57" spans="1:3" ht="30" x14ac:dyDescent="0.2">
      <c r="A57" s="59" t="s">
        <v>78</v>
      </c>
      <c r="B57" s="58" t="s">
        <v>236</v>
      </c>
      <c r="C57" s="32">
        <f>[14]С2!F14</f>
        <v>113455</v>
      </c>
    </row>
    <row r="58" spans="1:3" ht="15.75" x14ac:dyDescent="0.2">
      <c r="A58" s="59" t="s">
        <v>80</v>
      </c>
      <c r="B58" s="60" t="s">
        <v>81</v>
      </c>
      <c r="C58" s="40">
        <f>[14]С2!F15</f>
        <v>1.071</v>
      </c>
    </row>
    <row r="59" spans="1:3" ht="15.75" x14ac:dyDescent="0.2">
      <c r="A59" s="59" t="s">
        <v>82</v>
      </c>
      <c r="B59" s="60" t="s">
        <v>83</v>
      </c>
      <c r="C59" s="40">
        <f>[14]С2!F16</f>
        <v>1</v>
      </c>
    </row>
    <row r="60" spans="1:3" ht="17.25" x14ac:dyDescent="0.2">
      <c r="A60" s="59" t="s">
        <v>84</v>
      </c>
      <c r="B60" s="58" t="s">
        <v>85</v>
      </c>
      <c r="C60" s="32">
        <f>[14]С2!F17</f>
        <v>1.01</v>
      </c>
    </row>
    <row r="61" spans="1:3" s="65" customFormat="1" ht="14.25" x14ac:dyDescent="0.2">
      <c r="A61" s="59" t="s">
        <v>86</v>
      </c>
      <c r="B61" s="63" t="s">
        <v>87</v>
      </c>
      <c r="C61" s="64">
        <f>[14]С2!F33</f>
        <v>10</v>
      </c>
    </row>
    <row r="62" spans="1:3" ht="30" x14ac:dyDescent="0.2">
      <c r="A62" s="59" t="s">
        <v>88</v>
      </c>
      <c r="B62" s="66" t="s">
        <v>89</v>
      </c>
      <c r="C62" s="32">
        <f>[14]С2!F26</f>
        <v>1266.3745527115127</v>
      </c>
    </row>
    <row r="63" spans="1:3" ht="17.25" x14ac:dyDescent="0.2">
      <c r="A63" s="59" t="s">
        <v>90</v>
      </c>
      <c r="B63" s="52" t="s">
        <v>237</v>
      </c>
      <c r="C63" s="32">
        <f>[14]С2!F27</f>
        <v>0.201330388</v>
      </c>
    </row>
    <row r="64" spans="1:3" ht="17.25" x14ac:dyDescent="0.2">
      <c r="A64" s="59" t="s">
        <v>92</v>
      </c>
      <c r="B64" s="58" t="s">
        <v>238</v>
      </c>
      <c r="C64" s="64">
        <f>[14]С2!F28</f>
        <v>4200</v>
      </c>
    </row>
    <row r="65" spans="1:3" ht="42.75" x14ac:dyDescent="0.2">
      <c r="A65" s="59" t="s">
        <v>94</v>
      </c>
      <c r="B65" s="31" t="s">
        <v>239</v>
      </c>
      <c r="C65" s="32">
        <f>[14]С2!F22</f>
        <v>38698.422798410109</v>
      </c>
    </row>
    <row r="66" spans="1:3" ht="30" x14ac:dyDescent="0.2">
      <c r="A66" s="59" t="s">
        <v>96</v>
      </c>
      <c r="B66" s="60" t="s">
        <v>240</v>
      </c>
      <c r="C66" s="32">
        <f>[14]С2!F23</f>
        <v>1990</v>
      </c>
    </row>
    <row r="67" spans="1:3" ht="30" x14ac:dyDescent="0.2">
      <c r="A67" s="59" t="s">
        <v>98</v>
      </c>
      <c r="B67" s="52" t="s">
        <v>99</v>
      </c>
      <c r="C67" s="32">
        <f>[14]С2.1!E27</f>
        <v>14307.876789999998</v>
      </c>
    </row>
    <row r="68" spans="1:3" ht="38.25" x14ac:dyDescent="0.2">
      <c r="A68" s="59" t="s">
        <v>100</v>
      </c>
      <c r="B68" s="67" t="s">
        <v>101</v>
      </c>
      <c r="C68" s="51">
        <f>[14]С2.3!E21</f>
        <v>0</v>
      </c>
    </row>
    <row r="69" spans="1:3" ht="25.5" x14ac:dyDescent="0.2">
      <c r="A69" s="59" t="s">
        <v>102</v>
      </c>
      <c r="B69" s="68" t="s">
        <v>103</v>
      </c>
      <c r="C69" s="69">
        <f>[14]С2.3!E11</f>
        <v>9.89</v>
      </c>
    </row>
    <row r="70" spans="1:3" ht="25.5" x14ac:dyDescent="0.2">
      <c r="A70" s="59" t="s">
        <v>104</v>
      </c>
      <c r="B70" s="68" t="s">
        <v>105</v>
      </c>
      <c r="C70" s="64">
        <f>[14]С2.3!E13</f>
        <v>300</v>
      </c>
    </row>
    <row r="71" spans="1:3" ht="25.5" x14ac:dyDescent="0.2">
      <c r="A71" s="59" t="s">
        <v>106</v>
      </c>
      <c r="B71" s="67" t="s">
        <v>107</v>
      </c>
      <c r="C71" s="70">
        <f>IF([14]С2.3!E22&gt;0,[14]С2.3!E22,[14]С2.3!E14)</f>
        <v>61211</v>
      </c>
    </row>
    <row r="72" spans="1:3" ht="38.25" x14ac:dyDescent="0.2">
      <c r="A72" s="59" t="s">
        <v>108</v>
      </c>
      <c r="B72" s="67" t="s">
        <v>109</v>
      </c>
      <c r="C72" s="70">
        <f>IF([14]С2.3!E23&gt;0,[14]С2.3!E23,[14]С2.3!E15)</f>
        <v>45675</v>
      </c>
    </row>
    <row r="73" spans="1:3" ht="30" x14ac:dyDescent="0.2">
      <c r="A73" s="59" t="s">
        <v>110</v>
      </c>
      <c r="B73" s="52" t="s">
        <v>111</v>
      </c>
      <c r="C73" s="32">
        <f>[14]С2.1!E28</f>
        <v>9541.9567200000001</v>
      </c>
    </row>
    <row r="74" spans="1:3" ht="38.25" x14ac:dyDescent="0.2">
      <c r="A74" s="59" t="s">
        <v>112</v>
      </c>
      <c r="B74" s="67" t="s">
        <v>113</v>
      </c>
      <c r="C74" s="51">
        <f>[14]С2.3!E25</f>
        <v>0</v>
      </c>
    </row>
    <row r="75" spans="1:3" ht="25.5" x14ac:dyDescent="0.2">
      <c r="A75" s="59" t="s">
        <v>114</v>
      </c>
      <c r="B75" s="68" t="s">
        <v>115</v>
      </c>
      <c r="C75" s="69">
        <f>[14]С2.3!E12</f>
        <v>0.56000000000000005</v>
      </c>
    </row>
    <row r="76" spans="1:3" ht="25.5" x14ac:dyDescent="0.2">
      <c r="A76" s="59" t="s">
        <v>116</v>
      </c>
      <c r="B76" s="68" t="s">
        <v>105</v>
      </c>
      <c r="C76" s="64">
        <f>[14]С2.3!E13</f>
        <v>300</v>
      </c>
    </row>
    <row r="77" spans="1:3" ht="25.5" x14ac:dyDescent="0.2">
      <c r="A77" s="59" t="s">
        <v>117</v>
      </c>
      <c r="B77" s="71" t="s">
        <v>118</v>
      </c>
      <c r="C77" s="70">
        <f>IF([14]С2.3!E26&gt;0,[14]С2.3!E26,[14]С2.3!E16)</f>
        <v>65637</v>
      </c>
    </row>
    <row r="78" spans="1:3" ht="38.25" x14ac:dyDescent="0.2">
      <c r="A78" s="59" t="s">
        <v>119</v>
      </c>
      <c r="B78" s="71" t="s">
        <v>120</v>
      </c>
      <c r="C78" s="70">
        <f>IF([14]С2.3!E27&gt;0,[14]С2.3!E27,[14]С2.3!E17)</f>
        <v>31684</v>
      </c>
    </row>
    <row r="79" spans="1:3" ht="17.25" x14ac:dyDescent="0.2">
      <c r="A79" s="59" t="s">
        <v>123</v>
      </c>
      <c r="B79" s="31" t="s">
        <v>124</v>
      </c>
      <c r="C79" s="34">
        <f>[14]С2!F29</f>
        <v>9.5962865259740182E-2</v>
      </c>
    </row>
    <row r="80" spans="1:3" ht="30" x14ac:dyDescent="0.2">
      <c r="A80" s="59" t="s">
        <v>125</v>
      </c>
      <c r="B80" s="52" t="s">
        <v>126</v>
      </c>
      <c r="C80" s="72">
        <f>[14]С2!F30</f>
        <v>8.4029304029304031E-2</v>
      </c>
    </row>
    <row r="81" spans="1:3" ht="17.25" x14ac:dyDescent="0.2">
      <c r="A81" s="59" t="s">
        <v>127</v>
      </c>
      <c r="B81" s="73" t="s">
        <v>128</v>
      </c>
      <c r="C81" s="34">
        <f>[14]С2!F31</f>
        <v>0.13880000000000001</v>
      </c>
    </row>
    <row r="82" spans="1:3" s="65" customFormat="1" ht="18" thickBot="1" x14ac:dyDescent="0.25">
      <c r="A82" s="74" t="s">
        <v>129</v>
      </c>
      <c r="B82" s="75" t="s">
        <v>130</v>
      </c>
      <c r="C82" s="76">
        <f>[14]С2!F32</f>
        <v>0.12640000000000001</v>
      </c>
    </row>
    <row r="83" spans="1:3" ht="13.5" thickBot="1" x14ac:dyDescent="0.25">
      <c r="A83" s="47"/>
      <c r="B83" s="48"/>
      <c r="C83" s="14"/>
    </row>
    <row r="84" spans="1:3" s="65" customFormat="1" ht="30" customHeight="1" x14ac:dyDescent="0.2">
      <c r="A84" s="77" t="s">
        <v>131</v>
      </c>
      <c r="B84" s="145" t="s">
        <v>132</v>
      </c>
      <c r="C84" s="145"/>
    </row>
    <row r="85" spans="1:3" s="65" customFormat="1" ht="30" x14ac:dyDescent="0.2">
      <c r="A85" s="78" t="s">
        <v>133</v>
      </c>
      <c r="B85" s="31" t="s">
        <v>134</v>
      </c>
      <c r="C85" s="32">
        <f>[14]С3!F14</f>
        <v>6057.0688307111368</v>
      </c>
    </row>
    <row r="86" spans="1:3" s="65" customFormat="1" ht="42.75" x14ac:dyDescent="0.2">
      <c r="A86" s="78" t="s">
        <v>135</v>
      </c>
      <c r="B86" s="52" t="s">
        <v>136</v>
      </c>
      <c r="C86" s="79">
        <f>[14]С3!F15</f>
        <v>0.2</v>
      </c>
    </row>
    <row r="87" spans="1:3" s="65" customFormat="1" ht="14.25" x14ac:dyDescent="0.2">
      <c r="A87" s="78" t="s">
        <v>137</v>
      </c>
      <c r="B87" s="80" t="s">
        <v>138</v>
      </c>
      <c r="C87" s="64">
        <f>[14]С3!F18</f>
        <v>15</v>
      </c>
    </row>
    <row r="88" spans="1:3" s="65" customFormat="1" ht="17.25" x14ac:dyDescent="0.2">
      <c r="A88" s="78" t="s">
        <v>139</v>
      </c>
      <c r="B88" s="31" t="s">
        <v>140</v>
      </c>
      <c r="C88" s="32">
        <f>[14]С3!F19</f>
        <v>3778.1614077800232</v>
      </c>
    </row>
    <row r="89" spans="1:3" s="65" customFormat="1" ht="55.5" x14ac:dyDescent="0.2">
      <c r="A89" s="78" t="s">
        <v>141</v>
      </c>
      <c r="B89" s="52" t="s">
        <v>142</v>
      </c>
      <c r="C89" s="81">
        <f>[14]С3!F20</f>
        <v>2.1999999999999999E-2</v>
      </c>
    </row>
    <row r="90" spans="1:3" s="65" customFormat="1" ht="14.25" x14ac:dyDescent="0.2">
      <c r="A90" s="78" t="s">
        <v>143</v>
      </c>
      <c r="B90" s="58" t="s">
        <v>87</v>
      </c>
      <c r="C90" s="64">
        <f>[14]С3!F21</f>
        <v>10</v>
      </c>
    </row>
    <row r="91" spans="1:3" s="65" customFormat="1" ht="17.25" x14ac:dyDescent="0.2">
      <c r="A91" s="78" t="s">
        <v>144</v>
      </c>
      <c r="B91" s="31" t="s">
        <v>145</v>
      </c>
      <c r="C91" s="32">
        <f>[14]С3!F22</f>
        <v>3.7991236581345382</v>
      </c>
    </row>
    <row r="92" spans="1:3" s="65" customFormat="1" ht="55.5" x14ac:dyDescent="0.2">
      <c r="A92" s="78" t="s">
        <v>146</v>
      </c>
      <c r="B92" s="52" t="s">
        <v>147</v>
      </c>
      <c r="C92" s="81">
        <f>[14]С3!F23</f>
        <v>3.0000000000000001E-3</v>
      </c>
    </row>
    <row r="93" spans="1:3" s="65" customFormat="1" ht="27.75" thickBot="1" x14ac:dyDescent="0.25">
      <c r="A93" s="82" t="s">
        <v>148</v>
      </c>
      <c r="B93" s="83" t="s">
        <v>241</v>
      </c>
      <c r="C93" s="84">
        <f>[14]С3!F24</f>
        <v>1266.3745527115127</v>
      </c>
    </row>
    <row r="94" spans="1:3" ht="13.5" thickBot="1" x14ac:dyDescent="0.25">
      <c r="A94" s="47"/>
      <c r="B94" s="48"/>
      <c r="C94" s="14"/>
    </row>
    <row r="95" spans="1:3" ht="30" customHeight="1" x14ac:dyDescent="0.2">
      <c r="A95" s="85" t="s">
        <v>149</v>
      </c>
      <c r="B95" s="145" t="s">
        <v>150</v>
      </c>
      <c r="C95" s="145"/>
    </row>
    <row r="96" spans="1:3" ht="30" x14ac:dyDescent="0.2">
      <c r="A96" s="59" t="s">
        <v>151</v>
      </c>
      <c r="B96" s="31" t="s">
        <v>242</v>
      </c>
      <c r="C96" s="32">
        <f>[14]С4!F16</f>
        <v>1652.5</v>
      </c>
    </row>
    <row r="97" spans="1:3" ht="30" x14ac:dyDescent="0.2">
      <c r="A97" s="59" t="s">
        <v>153</v>
      </c>
      <c r="B97" s="58" t="s">
        <v>243</v>
      </c>
      <c r="C97" s="32">
        <f>[14]С4!F17</f>
        <v>73547</v>
      </c>
    </row>
    <row r="98" spans="1:3" ht="17.25" x14ac:dyDescent="0.2">
      <c r="A98" s="59" t="s">
        <v>155</v>
      </c>
      <c r="B98" s="58" t="s">
        <v>156</v>
      </c>
      <c r="C98" s="40">
        <f>[14]С4!F18</f>
        <v>0.02</v>
      </c>
    </row>
    <row r="99" spans="1:3" ht="30" x14ac:dyDescent="0.2">
      <c r="A99" s="59" t="s">
        <v>157</v>
      </c>
      <c r="B99" s="58" t="s">
        <v>158</v>
      </c>
      <c r="C99" s="32">
        <f>[14]С4!F19</f>
        <v>12104</v>
      </c>
    </row>
    <row r="100" spans="1:3" ht="28.5" x14ac:dyDescent="0.2">
      <c r="A100" s="59" t="s">
        <v>159</v>
      </c>
      <c r="B100" s="58" t="s">
        <v>160</v>
      </c>
      <c r="C100" s="40">
        <f>[14]С4!F20</f>
        <v>1.4999999999999999E-2</v>
      </c>
    </row>
    <row r="101" spans="1:3" ht="30" x14ac:dyDescent="0.2">
      <c r="A101" s="59" t="s">
        <v>161</v>
      </c>
      <c r="B101" s="31" t="s">
        <v>244</v>
      </c>
      <c r="C101" s="32">
        <f>[14]С4!F21</f>
        <v>1933.1949342509995</v>
      </c>
    </row>
    <row r="102" spans="1:3" ht="24" customHeight="1" x14ac:dyDescent="0.2">
      <c r="A102" s="59" t="s">
        <v>163</v>
      </c>
      <c r="B102" s="52" t="s">
        <v>164</v>
      </c>
      <c r="C102" s="33">
        <f>IF([14]С4.2!F8="да",[14]С4.2!D21,[14]С4.2!D15)</f>
        <v>0</v>
      </c>
    </row>
    <row r="103" spans="1:3" ht="68.25" x14ac:dyDescent="0.2">
      <c r="A103" s="59" t="s">
        <v>165</v>
      </c>
      <c r="B103" s="52" t="s">
        <v>166</v>
      </c>
      <c r="C103" s="32">
        <f>[14]С4!F22</f>
        <v>3.6112641666666665</v>
      </c>
    </row>
    <row r="104" spans="1:3" ht="30" x14ac:dyDescent="0.2">
      <c r="A104" s="59" t="s">
        <v>167</v>
      </c>
      <c r="B104" s="58" t="s">
        <v>245</v>
      </c>
      <c r="C104" s="32">
        <f>[14]С4!F23</f>
        <v>180</v>
      </c>
    </row>
    <row r="105" spans="1:3" ht="14.25" x14ac:dyDescent="0.2">
      <c r="A105" s="59" t="s">
        <v>169</v>
      </c>
      <c r="B105" s="52" t="s">
        <v>170</v>
      </c>
      <c r="C105" s="32">
        <f>[14]С4!F24</f>
        <v>8497.1999999999989</v>
      </c>
    </row>
    <row r="106" spans="1:3" ht="14.25" x14ac:dyDescent="0.2">
      <c r="A106" s="59" t="s">
        <v>171</v>
      </c>
      <c r="B106" s="58" t="s">
        <v>172</v>
      </c>
      <c r="C106" s="40">
        <f>[14]С4!F25</f>
        <v>0.35</v>
      </c>
    </row>
    <row r="107" spans="1:3" ht="17.25" x14ac:dyDescent="0.2">
      <c r="A107" s="59" t="s">
        <v>173</v>
      </c>
      <c r="B107" s="31" t="s">
        <v>174</v>
      </c>
      <c r="C107" s="32">
        <f>[14]С4!F26</f>
        <v>77.971800000000002</v>
      </c>
    </row>
    <row r="108" spans="1:3" ht="25.5" x14ac:dyDescent="0.2">
      <c r="A108" s="59" t="s">
        <v>175</v>
      </c>
      <c r="B108" s="52" t="s">
        <v>101</v>
      </c>
      <c r="C108" s="33">
        <f>[14]С4.3!E16</f>
        <v>0</v>
      </c>
    </row>
    <row r="109" spans="1:3" ht="25.5" x14ac:dyDescent="0.2">
      <c r="A109" s="59" t="s">
        <v>176</v>
      </c>
      <c r="B109" s="52" t="s">
        <v>177</v>
      </c>
      <c r="C109" s="32">
        <f>[14]С4.3!E17</f>
        <v>19.3</v>
      </c>
    </row>
    <row r="110" spans="1:3" ht="38.25" x14ac:dyDescent="0.2">
      <c r="A110" s="59" t="s">
        <v>178</v>
      </c>
      <c r="B110" s="52" t="s">
        <v>113</v>
      </c>
      <c r="C110" s="33">
        <f>[14]С4.3!E18</f>
        <v>0</v>
      </c>
    </row>
    <row r="111" spans="1:3" x14ac:dyDescent="0.2">
      <c r="A111" s="59" t="s">
        <v>179</v>
      </c>
      <c r="B111" s="52" t="s">
        <v>180</v>
      </c>
      <c r="C111" s="32">
        <f>[14]С4.3!E19</f>
        <v>50.424999999999997</v>
      </c>
    </row>
    <row r="112" spans="1:3" x14ac:dyDescent="0.2">
      <c r="A112" s="59" t="s">
        <v>181</v>
      </c>
      <c r="B112" s="58" t="s">
        <v>182</v>
      </c>
      <c r="C112" s="32">
        <f>[14]С4.3!E11</f>
        <v>1871</v>
      </c>
    </row>
    <row r="113" spans="1:3" x14ac:dyDescent="0.2">
      <c r="A113" s="59" t="s">
        <v>183</v>
      </c>
      <c r="B113" s="58" t="s">
        <v>184</v>
      </c>
      <c r="C113" s="51">
        <f>[14]С4.3!E12</f>
        <v>1636</v>
      </c>
    </row>
    <row r="114" spans="1:3" x14ac:dyDescent="0.2">
      <c r="A114" s="59" t="s">
        <v>185</v>
      </c>
      <c r="B114" s="58" t="s">
        <v>186</v>
      </c>
      <c r="C114" s="51">
        <f>[14]С4.3!E13</f>
        <v>204</v>
      </c>
    </row>
    <row r="115" spans="1:3" ht="30" x14ac:dyDescent="0.2">
      <c r="A115" s="59" t="s">
        <v>187</v>
      </c>
      <c r="B115" s="31" t="s">
        <v>246</v>
      </c>
      <c r="C115" s="32">
        <f>[14]С4!F27</f>
        <v>1351.1912129385403</v>
      </c>
    </row>
    <row r="116" spans="1:3" ht="25.5" x14ac:dyDescent="0.2">
      <c r="A116" s="59" t="s">
        <v>189</v>
      </c>
      <c r="B116" s="52" t="s">
        <v>247</v>
      </c>
      <c r="C116" s="32">
        <f>[14]С4!F28</f>
        <v>1037.7812695380494</v>
      </c>
    </row>
    <row r="117" spans="1:3" ht="42.75" x14ac:dyDescent="0.2">
      <c r="A117" s="59" t="s">
        <v>191</v>
      </c>
      <c r="B117" s="52" t="s">
        <v>192</v>
      </c>
      <c r="C117" s="32">
        <f>[14]С4!F29</f>
        <v>313.40994340049093</v>
      </c>
    </row>
    <row r="118" spans="1:3" ht="30" x14ac:dyDescent="0.2">
      <c r="A118" s="59" t="s">
        <v>193</v>
      </c>
      <c r="B118" s="39" t="s">
        <v>194</v>
      </c>
      <c r="C118" s="32">
        <f>[14]С4!F30</f>
        <v>1733.2116723527324</v>
      </c>
    </row>
    <row r="119" spans="1:3" ht="42.75" x14ac:dyDescent="0.2">
      <c r="A119" s="59" t="s">
        <v>248</v>
      </c>
      <c r="B119" s="89" t="s">
        <v>249</v>
      </c>
      <c r="C119" s="32">
        <f>[14]С4!F33</f>
        <v>1010.5011744884268</v>
      </c>
    </row>
    <row r="120" spans="1:3" ht="30" x14ac:dyDescent="0.2">
      <c r="A120" s="59" t="s">
        <v>250</v>
      </c>
      <c r="B120" s="121" t="s">
        <v>251</v>
      </c>
      <c r="C120" s="32">
        <f>[14]С4!F35</f>
        <v>17.040680999999999</v>
      </c>
    </row>
    <row r="121" spans="1:3" ht="14.25" x14ac:dyDescent="0.2">
      <c r="A121" s="59" t="s">
        <v>252</v>
      </c>
      <c r="B121" s="55" t="s">
        <v>253</v>
      </c>
      <c r="C121" s="32">
        <f>[14]С4!F36</f>
        <v>14319.9</v>
      </c>
    </row>
    <row r="122" spans="1:3" ht="28.5" thickBot="1" x14ac:dyDescent="0.25">
      <c r="A122" s="74" t="s">
        <v>254</v>
      </c>
      <c r="B122" s="122" t="s">
        <v>255</v>
      </c>
      <c r="C122" s="84">
        <f>[14]С4!F37</f>
        <v>1.19</v>
      </c>
    </row>
    <row r="123" spans="1:3" s="87" customFormat="1" ht="13.5" thickBot="1" x14ac:dyDescent="0.25">
      <c r="A123" s="47"/>
      <c r="B123" s="48"/>
      <c r="C123" s="14"/>
    </row>
    <row r="124" spans="1:3" s="65" customFormat="1" ht="30" customHeight="1" x14ac:dyDescent="0.2">
      <c r="A124" s="77" t="s">
        <v>195</v>
      </c>
      <c r="B124" s="145" t="s">
        <v>196</v>
      </c>
      <c r="C124" s="145"/>
    </row>
    <row r="125" spans="1:3" ht="16.5" thickBot="1" x14ac:dyDescent="0.25">
      <c r="A125" s="26" t="s">
        <v>197</v>
      </c>
      <c r="B125" s="86" t="s">
        <v>198</v>
      </c>
      <c r="C125" s="84">
        <f>[14]С5!F17</f>
        <v>0.02</v>
      </c>
    </row>
    <row r="126" spans="1:3" s="87" customFormat="1" ht="13.5" thickBot="1" x14ac:dyDescent="0.25">
      <c r="A126" s="47"/>
      <c r="B126" s="48"/>
      <c r="C126" s="14"/>
    </row>
    <row r="127" spans="1:3" ht="42.75" customHeight="1" x14ac:dyDescent="0.2">
      <c r="A127" s="85" t="s">
        <v>199</v>
      </c>
      <c r="B127" s="147" t="s">
        <v>200</v>
      </c>
      <c r="C127" s="147"/>
    </row>
    <row r="128" spans="1:3" ht="68.25" x14ac:dyDescent="0.2">
      <c r="A128" s="59" t="s">
        <v>201</v>
      </c>
      <c r="B128" s="88" t="s">
        <v>202</v>
      </c>
      <c r="C128" s="32" t="s">
        <v>256</v>
      </c>
    </row>
    <row r="129" spans="1:3" ht="42.75" hidden="1" x14ac:dyDescent="0.2">
      <c r="A129" s="59" t="s">
        <v>203</v>
      </c>
      <c r="B129" s="89" t="s">
        <v>204</v>
      </c>
      <c r="C129" s="90"/>
    </row>
    <row r="130" spans="1:3" ht="69" thickBot="1" x14ac:dyDescent="0.25">
      <c r="A130" s="74" t="s">
        <v>205</v>
      </c>
      <c r="B130" s="123" t="s">
        <v>206</v>
      </c>
      <c r="C130" s="124" t="s">
        <v>256</v>
      </c>
    </row>
    <row r="131" spans="1:3" ht="62.25" hidden="1" customHeight="1" x14ac:dyDescent="0.2">
      <c r="A131" s="125" t="s">
        <v>207</v>
      </c>
      <c r="B131" s="126" t="s">
        <v>208</v>
      </c>
      <c r="C131" s="127"/>
    </row>
    <row r="132" spans="1:3" ht="68.25" hidden="1" x14ac:dyDescent="0.2">
      <c r="A132" s="59" t="s">
        <v>209</v>
      </c>
      <c r="B132" s="89" t="s">
        <v>257</v>
      </c>
      <c r="C132" s="34"/>
    </row>
    <row r="133" spans="1:3" ht="69" hidden="1" thickBot="1" x14ac:dyDescent="0.25">
      <c r="A133" s="74" t="s">
        <v>211</v>
      </c>
      <c r="B133" s="92" t="s">
        <v>212</v>
      </c>
      <c r="C133" s="76"/>
    </row>
    <row r="134" spans="1:3" s="87" customFormat="1" ht="13.5" thickBot="1" x14ac:dyDescent="0.25">
      <c r="A134" s="47"/>
      <c r="B134" s="48"/>
      <c r="C134" s="14"/>
    </row>
    <row r="135" spans="1:3" ht="26.25" customHeight="1" x14ac:dyDescent="0.2">
      <c r="A135" s="85" t="s">
        <v>213</v>
      </c>
      <c r="B135" s="93" t="s">
        <v>214</v>
      </c>
      <c r="C135" s="94">
        <f>[14]С2!F37</f>
        <v>20.818139999999996</v>
      </c>
    </row>
    <row r="136" spans="1:3" ht="14.25" x14ac:dyDescent="0.2">
      <c r="A136" s="59" t="s">
        <v>215</v>
      </c>
      <c r="B136" s="128" t="s">
        <v>216</v>
      </c>
      <c r="C136" s="32">
        <f>[14]С2!F38</f>
        <v>7</v>
      </c>
    </row>
    <row r="137" spans="1:3" ht="17.25" x14ac:dyDescent="0.2">
      <c r="A137" s="59" t="s">
        <v>217</v>
      </c>
      <c r="B137" s="128" t="s">
        <v>218</v>
      </c>
      <c r="C137" s="32">
        <f>[14]С2!F40</f>
        <v>0.97</v>
      </c>
    </row>
    <row r="138" spans="1:3" ht="15" thickBot="1" x14ac:dyDescent="0.25">
      <c r="A138" s="74" t="s">
        <v>219</v>
      </c>
      <c r="B138" s="129" t="s">
        <v>220</v>
      </c>
      <c r="C138" s="46">
        <f>[14]С2!F42</f>
        <v>0.35</v>
      </c>
    </row>
    <row r="139" spans="1:3" s="87" customFormat="1" ht="13.5" thickBot="1" x14ac:dyDescent="0.25">
      <c r="A139" s="47"/>
      <c r="B139" s="48"/>
      <c r="C139" s="14"/>
    </row>
    <row r="140" spans="1:3" ht="30" x14ac:dyDescent="0.2">
      <c r="A140" s="85" t="s">
        <v>221</v>
      </c>
      <c r="B140" s="95" t="s">
        <v>258</v>
      </c>
      <c r="C140" s="130">
        <f>[14]С2!F35</f>
        <v>1.4976266307379205</v>
      </c>
    </row>
    <row r="141" spans="1:3" ht="22.7" customHeight="1" thickBot="1" x14ac:dyDescent="0.25">
      <c r="A141" s="74" t="s">
        <v>223</v>
      </c>
      <c r="B141" s="141" t="s">
        <v>224</v>
      </c>
      <c r="C141" s="141"/>
    </row>
    <row r="142" spans="1:3" ht="13.5" thickBot="1" x14ac:dyDescent="0.25">
      <c r="A142" s="97"/>
      <c r="B142" s="131" t="s">
        <v>0</v>
      </c>
      <c r="C142" s="132"/>
    </row>
    <row r="143" spans="1:3" x14ac:dyDescent="0.2">
      <c r="A143" s="97"/>
      <c r="B143" s="133">
        <v>2020</v>
      </c>
      <c r="C143" s="134">
        <f>[14]С2.5!$E$11</f>
        <v>-2.9000000000000026E-2</v>
      </c>
    </row>
    <row r="144" spans="1:3" x14ac:dyDescent="0.2">
      <c r="A144" s="97"/>
      <c r="B144" s="104">
        <f>B143+1</f>
        <v>2021</v>
      </c>
      <c r="C144" s="135">
        <f>[14]С2.5!$F$11</f>
        <v>0.245</v>
      </c>
    </row>
    <row r="145" spans="1:3" x14ac:dyDescent="0.2">
      <c r="A145" s="97"/>
      <c r="B145" s="104">
        <f t="shared" ref="B145:B208" si="0">B144+1</f>
        <v>2022</v>
      </c>
      <c r="C145" s="135">
        <f>[14]С2.5!$G$11</f>
        <v>0.114</v>
      </c>
    </row>
    <row r="146" spans="1:3" ht="13.5" thickBot="1" x14ac:dyDescent="0.25">
      <c r="A146" s="97"/>
      <c r="B146" s="106">
        <f t="shared" si="0"/>
        <v>2023</v>
      </c>
      <c r="C146" s="136">
        <f>[14]С2.5!$H$11</f>
        <v>2.4E-2</v>
      </c>
    </row>
    <row r="147" spans="1:3" x14ac:dyDescent="0.2">
      <c r="A147" s="97"/>
      <c r="B147" s="137">
        <f t="shared" si="0"/>
        <v>2024</v>
      </c>
      <c r="C147" s="138">
        <f>[14]С2.5!$I$11</f>
        <v>8.5999999999999993E-2</v>
      </c>
    </row>
    <row r="148" spans="1:3" hidden="1" x14ac:dyDescent="0.2">
      <c r="A148" s="97"/>
      <c r="B148" s="104">
        <f t="shared" si="0"/>
        <v>2025</v>
      </c>
      <c r="C148" s="135">
        <f>[14]С2.5!$J$11</f>
        <v>0.21215960863291</v>
      </c>
    </row>
    <row r="149" spans="1:3" hidden="1" x14ac:dyDescent="0.2">
      <c r="A149" s="97"/>
      <c r="B149" s="104">
        <f t="shared" si="0"/>
        <v>2026</v>
      </c>
      <c r="C149" s="135">
        <f>[14]С2.5!$K$11</f>
        <v>3.5813361771260002E-2</v>
      </c>
    </row>
    <row r="150" spans="1:3" hidden="1" x14ac:dyDescent="0.2">
      <c r="A150" s="97"/>
      <c r="B150" s="104">
        <f t="shared" si="0"/>
        <v>2027</v>
      </c>
      <c r="C150" s="135">
        <f>[14]С2.5!$L$11</f>
        <v>3.2682303599220003E-2</v>
      </c>
    </row>
    <row r="151" spans="1:3" hidden="1" x14ac:dyDescent="0.2">
      <c r="A151" s="97"/>
      <c r="B151" s="104">
        <f t="shared" si="0"/>
        <v>2028</v>
      </c>
      <c r="C151" s="135">
        <f>[14]С2.5!$M$11</f>
        <v>0</v>
      </c>
    </row>
    <row r="152" spans="1:3" hidden="1" x14ac:dyDescent="0.2">
      <c r="A152" s="97"/>
      <c r="B152" s="104">
        <f t="shared" si="0"/>
        <v>2029</v>
      </c>
      <c r="C152" s="135">
        <f>[14]С2.5!$N$11</f>
        <v>0</v>
      </c>
    </row>
    <row r="153" spans="1:3" hidden="1" x14ac:dyDescent="0.2">
      <c r="A153" s="97"/>
      <c r="B153" s="104">
        <f t="shared" si="0"/>
        <v>2030</v>
      </c>
      <c r="C153" s="135">
        <f>[14]С2.5!$O$11</f>
        <v>0</v>
      </c>
    </row>
    <row r="154" spans="1:3" hidden="1" x14ac:dyDescent="0.2">
      <c r="A154" s="97"/>
      <c r="B154" s="104">
        <f t="shared" si="0"/>
        <v>2031</v>
      </c>
      <c r="C154" s="135">
        <f>[14]С2.5!$P$11</f>
        <v>0</v>
      </c>
    </row>
    <row r="155" spans="1:3" hidden="1" x14ac:dyDescent="0.2">
      <c r="A155" s="87"/>
      <c r="B155" s="104">
        <f t="shared" si="0"/>
        <v>2032</v>
      </c>
      <c r="C155" s="135">
        <f>[14]С2.5!$Q$11</f>
        <v>0</v>
      </c>
    </row>
    <row r="156" spans="1:3" hidden="1" x14ac:dyDescent="0.2">
      <c r="A156" s="87"/>
      <c r="B156" s="104">
        <f t="shared" si="0"/>
        <v>2033</v>
      </c>
      <c r="C156" s="135">
        <f>[14]С2.5!$R$11</f>
        <v>0</v>
      </c>
    </row>
    <row r="157" spans="1:3" hidden="1" x14ac:dyDescent="0.2">
      <c r="B157" s="104">
        <f t="shared" si="0"/>
        <v>2034</v>
      </c>
      <c r="C157" s="135">
        <f>[14]С2.5!$S$11</f>
        <v>0</v>
      </c>
    </row>
    <row r="158" spans="1:3" hidden="1" x14ac:dyDescent="0.2">
      <c r="B158" s="104">
        <f t="shared" si="0"/>
        <v>2035</v>
      </c>
      <c r="C158" s="135">
        <f>[14]С2.5!$T$11</f>
        <v>0</v>
      </c>
    </row>
    <row r="159" spans="1:3" hidden="1" x14ac:dyDescent="0.2">
      <c r="B159" s="104">
        <f t="shared" si="0"/>
        <v>2036</v>
      </c>
      <c r="C159" s="135">
        <f>[14]С2.5!$U$11</f>
        <v>0</v>
      </c>
    </row>
    <row r="160" spans="1:3" hidden="1" x14ac:dyDescent="0.2">
      <c r="B160" s="104">
        <f t="shared" si="0"/>
        <v>2037</v>
      </c>
      <c r="C160" s="135">
        <f>[14]С2.5!$V$11</f>
        <v>0</v>
      </c>
    </row>
    <row r="161" spans="2:3" hidden="1" x14ac:dyDescent="0.2">
      <c r="B161" s="104">
        <f t="shared" si="0"/>
        <v>2038</v>
      </c>
      <c r="C161" s="135">
        <f>[14]С2.5!$W$11</f>
        <v>0</v>
      </c>
    </row>
    <row r="162" spans="2:3" hidden="1" x14ac:dyDescent="0.2">
      <c r="B162" s="104">
        <f t="shared" si="0"/>
        <v>2039</v>
      </c>
      <c r="C162" s="135">
        <f>[14]С2.5!$X$11</f>
        <v>0</v>
      </c>
    </row>
    <row r="163" spans="2:3" hidden="1" x14ac:dyDescent="0.2">
      <c r="B163" s="104">
        <f t="shared" si="0"/>
        <v>2040</v>
      </c>
      <c r="C163" s="135">
        <f>[14]С2.5!$Y$11</f>
        <v>0</v>
      </c>
    </row>
    <row r="164" spans="2:3" hidden="1" x14ac:dyDescent="0.2">
      <c r="B164" s="104">
        <f t="shared" si="0"/>
        <v>2041</v>
      </c>
      <c r="C164" s="135">
        <f>[14]С2.5!$Z$11</f>
        <v>0</v>
      </c>
    </row>
    <row r="165" spans="2:3" hidden="1" x14ac:dyDescent="0.2">
      <c r="B165" s="104">
        <f t="shared" si="0"/>
        <v>2042</v>
      </c>
      <c r="C165" s="135">
        <f>[14]С2.5!$AA$11</f>
        <v>0</v>
      </c>
    </row>
    <row r="166" spans="2:3" hidden="1" x14ac:dyDescent="0.2">
      <c r="B166" s="104">
        <f t="shared" si="0"/>
        <v>2043</v>
      </c>
      <c r="C166" s="135">
        <f>[14]С2.5!$AB$11</f>
        <v>0</v>
      </c>
    </row>
    <row r="167" spans="2:3" hidden="1" x14ac:dyDescent="0.2">
      <c r="B167" s="104">
        <f t="shared" si="0"/>
        <v>2044</v>
      </c>
      <c r="C167" s="135">
        <f>[14]С2.5!$AC$11</f>
        <v>0</v>
      </c>
    </row>
    <row r="168" spans="2:3" hidden="1" x14ac:dyDescent="0.2">
      <c r="B168" s="104">
        <f t="shared" si="0"/>
        <v>2045</v>
      </c>
      <c r="C168" s="135">
        <f>[14]С2.5!$AD$11</f>
        <v>0</v>
      </c>
    </row>
    <row r="169" spans="2:3" hidden="1" x14ac:dyDescent="0.2">
      <c r="B169" s="104">
        <f t="shared" si="0"/>
        <v>2046</v>
      </c>
      <c r="C169" s="135">
        <f>[14]С2.5!$AE$11</f>
        <v>0</v>
      </c>
    </row>
    <row r="170" spans="2:3" hidden="1" x14ac:dyDescent="0.2">
      <c r="B170" s="104">
        <f t="shared" si="0"/>
        <v>2047</v>
      </c>
      <c r="C170" s="135">
        <f>[14]С2.5!$AF$11</f>
        <v>0</v>
      </c>
    </row>
    <row r="171" spans="2:3" hidden="1" x14ac:dyDescent="0.2">
      <c r="B171" s="104">
        <f t="shared" si="0"/>
        <v>2048</v>
      </c>
      <c r="C171" s="135">
        <f>[14]С2.5!$AG$11</f>
        <v>0</v>
      </c>
    </row>
    <row r="172" spans="2:3" hidden="1" x14ac:dyDescent="0.2">
      <c r="B172" s="104">
        <f t="shared" si="0"/>
        <v>2049</v>
      </c>
      <c r="C172" s="135">
        <f>[14]С2.5!$AH$11</f>
        <v>0</v>
      </c>
    </row>
    <row r="173" spans="2:3" hidden="1" x14ac:dyDescent="0.2">
      <c r="B173" s="104">
        <f t="shared" si="0"/>
        <v>2050</v>
      </c>
      <c r="C173" s="135">
        <f>[14]С2.5!$AI$11</f>
        <v>0</v>
      </c>
    </row>
    <row r="174" spans="2:3" hidden="1" x14ac:dyDescent="0.2">
      <c r="B174" s="104">
        <f t="shared" si="0"/>
        <v>2051</v>
      </c>
      <c r="C174" s="135">
        <f>[14]С2.5!$AJ$11</f>
        <v>0</v>
      </c>
    </row>
    <row r="175" spans="2:3" hidden="1" x14ac:dyDescent="0.2">
      <c r="B175" s="104">
        <f t="shared" si="0"/>
        <v>2052</v>
      </c>
      <c r="C175" s="135">
        <f>[14]С2.5!$AK$11</f>
        <v>0</v>
      </c>
    </row>
    <row r="176" spans="2:3" hidden="1" x14ac:dyDescent="0.2">
      <c r="B176" s="104">
        <f t="shared" si="0"/>
        <v>2053</v>
      </c>
      <c r="C176" s="135">
        <f>[14]С2.5!$AL$11</f>
        <v>0</v>
      </c>
    </row>
    <row r="177" spans="2:3" hidden="1" x14ac:dyDescent="0.2">
      <c r="B177" s="104">
        <f t="shared" si="0"/>
        <v>2054</v>
      </c>
      <c r="C177" s="135">
        <f>[14]С2.5!$AM$11</f>
        <v>0</v>
      </c>
    </row>
    <row r="178" spans="2:3" hidden="1" x14ac:dyDescent="0.2">
      <c r="B178" s="104">
        <f t="shared" si="0"/>
        <v>2055</v>
      </c>
      <c r="C178" s="135">
        <f>[14]С2.5!$AN$11</f>
        <v>0</v>
      </c>
    </row>
    <row r="179" spans="2:3" hidden="1" x14ac:dyDescent="0.2">
      <c r="B179" s="104">
        <f t="shared" si="0"/>
        <v>2056</v>
      </c>
      <c r="C179" s="135">
        <f>[14]С2.5!$AO$11</f>
        <v>0</v>
      </c>
    </row>
    <row r="180" spans="2:3" hidden="1" x14ac:dyDescent="0.2">
      <c r="B180" s="104">
        <f t="shared" si="0"/>
        <v>2057</v>
      </c>
      <c r="C180" s="135">
        <f>[14]С2.5!$AP$11</f>
        <v>0</v>
      </c>
    </row>
    <row r="181" spans="2:3" hidden="1" x14ac:dyDescent="0.2">
      <c r="B181" s="104">
        <f t="shared" si="0"/>
        <v>2058</v>
      </c>
      <c r="C181" s="135">
        <f>[14]С2.5!$AQ$11</f>
        <v>0</v>
      </c>
    </row>
    <row r="182" spans="2:3" hidden="1" x14ac:dyDescent="0.2">
      <c r="B182" s="104">
        <f t="shared" si="0"/>
        <v>2059</v>
      </c>
      <c r="C182" s="135">
        <f>[14]С2.5!$AR$11</f>
        <v>0</v>
      </c>
    </row>
    <row r="183" spans="2:3" hidden="1" x14ac:dyDescent="0.2">
      <c r="B183" s="104">
        <f t="shared" si="0"/>
        <v>2060</v>
      </c>
      <c r="C183" s="135">
        <f>[14]С2.5!$AS$11</f>
        <v>0</v>
      </c>
    </row>
    <row r="184" spans="2:3" hidden="1" x14ac:dyDescent="0.2">
      <c r="B184" s="104">
        <f t="shared" si="0"/>
        <v>2061</v>
      </c>
      <c r="C184" s="135">
        <f>[14]С2.5!$AT$11</f>
        <v>0</v>
      </c>
    </row>
    <row r="185" spans="2:3" hidden="1" x14ac:dyDescent="0.2">
      <c r="B185" s="104">
        <f t="shared" si="0"/>
        <v>2062</v>
      </c>
      <c r="C185" s="135">
        <f>[14]С2.5!$AU$11</f>
        <v>0</v>
      </c>
    </row>
    <row r="186" spans="2:3" hidden="1" x14ac:dyDescent="0.2">
      <c r="B186" s="104">
        <f t="shared" si="0"/>
        <v>2063</v>
      </c>
      <c r="C186" s="135">
        <f>[14]С2.5!$AV$11</f>
        <v>0</v>
      </c>
    </row>
    <row r="187" spans="2:3" hidden="1" x14ac:dyDescent="0.2">
      <c r="B187" s="104">
        <f t="shared" si="0"/>
        <v>2064</v>
      </c>
      <c r="C187" s="135">
        <f>[14]С2.5!$AW$11</f>
        <v>0</v>
      </c>
    </row>
    <row r="188" spans="2:3" hidden="1" x14ac:dyDescent="0.2">
      <c r="B188" s="104">
        <f t="shared" si="0"/>
        <v>2065</v>
      </c>
      <c r="C188" s="135">
        <f>[14]С2.5!$AX$11</f>
        <v>0</v>
      </c>
    </row>
    <row r="189" spans="2:3" hidden="1" x14ac:dyDescent="0.2">
      <c r="B189" s="104">
        <f t="shared" si="0"/>
        <v>2066</v>
      </c>
      <c r="C189" s="135">
        <f>[14]С2.5!$AY$11</f>
        <v>0</v>
      </c>
    </row>
    <row r="190" spans="2:3" hidden="1" x14ac:dyDescent="0.2">
      <c r="B190" s="104">
        <f t="shared" si="0"/>
        <v>2067</v>
      </c>
      <c r="C190" s="135">
        <f>[14]С2.5!$AZ$11</f>
        <v>0</v>
      </c>
    </row>
    <row r="191" spans="2:3" hidden="1" x14ac:dyDescent="0.2">
      <c r="B191" s="104">
        <f t="shared" si="0"/>
        <v>2068</v>
      </c>
      <c r="C191" s="135">
        <f>[14]С2.5!$BA$11</f>
        <v>0</v>
      </c>
    </row>
    <row r="192" spans="2:3" hidden="1" x14ac:dyDescent="0.2">
      <c r="B192" s="104">
        <f t="shared" si="0"/>
        <v>2069</v>
      </c>
      <c r="C192" s="135">
        <f>[14]С2.5!$BB$11</f>
        <v>0</v>
      </c>
    </row>
    <row r="193" spans="2:3" hidden="1" x14ac:dyDescent="0.2">
      <c r="B193" s="104">
        <f t="shared" si="0"/>
        <v>2070</v>
      </c>
      <c r="C193" s="135">
        <f>[14]С2.5!$BC$11</f>
        <v>0</v>
      </c>
    </row>
    <row r="194" spans="2:3" hidden="1" x14ac:dyDescent="0.2">
      <c r="B194" s="104">
        <f t="shared" si="0"/>
        <v>2071</v>
      </c>
      <c r="C194" s="135">
        <f>[14]С2.5!$BD$11</f>
        <v>0</v>
      </c>
    </row>
    <row r="195" spans="2:3" hidden="1" x14ac:dyDescent="0.2">
      <c r="B195" s="104">
        <f t="shared" si="0"/>
        <v>2072</v>
      </c>
      <c r="C195" s="135">
        <f>[14]С2.5!$BE$11</f>
        <v>0</v>
      </c>
    </row>
    <row r="196" spans="2:3" hidden="1" x14ac:dyDescent="0.2">
      <c r="B196" s="104">
        <f t="shared" si="0"/>
        <v>2073</v>
      </c>
      <c r="C196" s="135">
        <f>[14]С2.5!$BF$11</f>
        <v>0</v>
      </c>
    </row>
    <row r="197" spans="2:3" hidden="1" x14ac:dyDescent="0.2">
      <c r="B197" s="104">
        <f t="shared" si="0"/>
        <v>2074</v>
      </c>
      <c r="C197" s="135">
        <f>[14]С2.5!$BG$11</f>
        <v>0</v>
      </c>
    </row>
    <row r="198" spans="2:3" hidden="1" x14ac:dyDescent="0.2">
      <c r="B198" s="104">
        <f t="shared" si="0"/>
        <v>2075</v>
      </c>
      <c r="C198" s="135">
        <f>[14]С2.5!$BH$11</f>
        <v>0</v>
      </c>
    </row>
    <row r="199" spans="2:3" hidden="1" x14ac:dyDescent="0.2">
      <c r="B199" s="104">
        <f t="shared" si="0"/>
        <v>2076</v>
      </c>
      <c r="C199" s="135">
        <f>[14]С2.5!$BI$11</f>
        <v>0</v>
      </c>
    </row>
    <row r="200" spans="2:3" hidden="1" x14ac:dyDescent="0.2">
      <c r="B200" s="104">
        <f t="shared" si="0"/>
        <v>2077</v>
      </c>
      <c r="C200" s="135">
        <f>[14]С2.5!$BJ$11</f>
        <v>0</v>
      </c>
    </row>
    <row r="201" spans="2:3" hidden="1" x14ac:dyDescent="0.2">
      <c r="B201" s="104">
        <f t="shared" si="0"/>
        <v>2078</v>
      </c>
      <c r="C201" s="135">
        <f>[14]С2.5!$BK$11</f>
        <v>0</v>
      </c>
    </row>
    <row r="202" spans="2:3" hidden="1" x14ac:dyDescent="0.2">
      <c r="B202" s="104">
        <f t="shared" si="0"/>
        <v>2079</v>
      </c>
      <c r="C202" s="135">
        <f>[14]С2.5!$BL$11</f>
        <v>0</v>
      </c>
    </row>
    <row r="203" spans="2:3" hidden="1" x14ac:dyDescent="0.2">
      <c r="B203" s="104">
        <f t="shared" si="0"/>
        <v>2080</v>
      </c>
      <c r="C203" s="135">
        <f>[14]С2.5!$BM$11</f>
        <v>0</v>
      </c>
    </row>
    <row r="204" spans="2:3" hidden="1" x14ac:dyDescent="0.2">
      <c r="B204" s="104">
        <f t="shared" si="0"/>
        <v>2081</v>
      </c>
      <c r="C204" s="135">
        <f>[14]С2.5!$BN$11</f>
        <v>0</v>
      </c>
    </row>
    <row r="205" spans="2:3" hidden="1" x14ac:dyDescent="0.2">
      <c r="B205" s="104">
        <f t="shared" si="0"/>
        <v>2082</v>
      </c>
      <c r="C205" s="135">
        <f>[14]С2.5!$BO$11</f>
        <v>0</v>
      </c>
    </row>
    <row r="206" spans="2:3" hidden="1" x14ac:dyDescent="0.2">
      <c r="B206" s="104">
        <f t="shared" si="0"/>
        <v>2083</v>
      </c>
      <c r="C206" s="135">
        <f>[14]С2.5!$BP$11</f>
        <v>0</v>
      </c>
    </row>
    <row r="207" spans="2:3" hidden="1" x14ac:dyDescent="0.2">
      <c r="B207" s="104">
        <f t="shared" si="0"/>
        <v>2084</v>
      </c>
      <c r="C207" s="135">
        <f>[14]С2.5!$BQ$11</f>
        <v>0</v>
      </c>
    </row>
    <row r="208" spans="2:3" hidden="1" x14ac:dyDescent="0.2">
      <c r="B208" s="104">
        <f t="shared" si="0"/>
        <v>2085</v>
      </c>
      <c r="C208" s="135">
        <f>[14]С2.5!$BR$11</f>
        <v>0</v>
      </c>
    </row>
    <row r="209" spans="2:3" hidden="1" x14ac:dyDescent="0.2">
      <c r="B209" s="104">
        <f t="shared" ref="B209:B223" si="1">B208+1</f>
        <v>2086</v>
      </c>
      <c r="C209" s="135">
        <f>[14]С2.5!$BS$11</f>
        <v>0</v>
      </c>
    </row>
    <row r="210" spans="2:3" hidden="1" x14ac:dyDescent="0.2">
      <c r="B210" s="104">
        <f t="shared" si="1"/>
        <v>2087</v>
      </c>
      <c r="C210" s="135">
        <f>[14]С2.5!$BT$11</f>
        <v>0</v>
      </c>
    </row>
    <row r="211" spans="2:3" hidden="1" x14ac:dyDescent="0.2">
      <c r="B211" s="104">
        <f t="shared" si="1"/>
        <v>2088</v>
      </c>
      <c r="C211" s="135">
        <f>[14]С2.5!$BU$11</f>
        <v>0</v>
      </c>
    </row>
    <row r="212" spans="2:3" hidden="1" x14ac:dyDescent="0.2">
      <c r="B212" s="104">
        <f t="shared" si="1"/>
        <v>2089</v>
      </c>
      <c r="C212" s="135">
        <f>[14]С2.5!$BV$11</f>
        <v>0</v>
      </c>
    </row>
    <row r="213" spans="2:3" hidden="1" x14ac:dyDescent="0.2">
      <c r="B213" s="104">
        <f t="shared" si="1"/>
        <v>2090</v>
      </c>
      <c r="C213" s="135">
        <f>[14]С2.5!$BW$11</f>
        <v>0</v>
      </c>
    </row>
    <row r="214" spans="2:3" hidden="1" x14ac:dyDescent="0.2">
      <c r="B214" s="104">
        <f t="shared" si="1"/>
        <v>2091</v>
      </c>
      <c r="C214" s="135">
        <f>[14]С2.5!$BX$11</f>
        <v>0</v>
      </c>
    </row>
    <row r="215" spans="2:3" hidden="1" x14ac:dyDescent="0.2">
      <c r="B215" s="104">
        <f t="shared" si="1"/>
        <v>2092</v>
      </c>
      <c r="C215" s="135">
        <f>[14]С2.5!$BY$11</f>
        <v>0</v>
      </c>
    </row>
    <row r="216" spans="2:3" hidden="1" x14ac:dyDescent="0.2">
      <c r="B216" s="104">
        <f t="shared" si="1"/>
        <v>2093</v>
      </c>
      <c r="C216" s="135">
        <f>[14]С2.5!$BZ$11</f>
        <v>0</v>
      </c>
    </row>
    <row r="217" spans="2:3" hidden="1" x14ac:dyDescent="0.2">
      <c r="B217" s="104">
        <f t="shared" si="1"/>
        <v>2094</v>
      </c>
      <c r="C217" s="135">
        <f>[14]С2.5!$CA$11</f>
        <v>0</v>
      </c>
    </row>
    <row r="218" spans="2:3" hidden="1" x14ac:dyDescent="0.2">
      <c r="B218" s="104">
        <f t="shared" si="1"/>
        <v>2095</v>
      </c>
      <c r="C218" s="135">
        <f>[14]С2.5!$CB$11</f>
        <v>0</v>
      </c>
    </row>
    <row r="219" spans="2:3" hidden="1" x14ac:dyDescent="0.2">
      <c r="B219" s="104">
        <f t="shared" si="1"/>
        <v>2096</v>
      </c>
      <c r="C219" s="135">
        <f>[14]С2.5!$CC$11</f>
        <v>0</v>
      </c>
    </row>
    <row r="220" spans="2:3" hidden="1" x14ac:dyDescent="0.2">
      <c r="B220" s="104">
        <f t="shared" si="1"/>
        <v>2097</v>
      </c>
      <c r="C220" s="135">
        <f>[14]С2.5!$CD$11</f>
        <v>0</v>
      </c>
    </row>
    <row r="221" spans="2:3" hidden="1" x14ac:dyDescent="0.2">
      <c r="B221" s="104">
        <f t="shared" si="1"/>
        <v>2098</v>
      </c>
      <c r="C221" s="135">
        <f>[14]С2.5!$CE$11</f>
        <v>0</v>
      </c>
    </row>
    <row r="222" spans="2:3" hidden="1" x14ac:dyDescent="0.2">
      <c r="B222" s="104">
        <f t="shared" si="1"/>
        <v>2099</v>
      </c>
      <c r="C222" s="135">
        <f>[14]С2.5!$CF$11</f>
        <v>0</v>
      </c>
    </row>
    <row r="223" spans="2:3" ht="13.5" hidden="1" thickBot="1" x14ac:dyDescent="0.25">
      <c r="B223" s="106">
        <f t="shared" si="1"/>
        <v>2100</v>
      </c>
      <c r="C223" s="136">
        <f>[14]С2.5!$CG$11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6" customWidth="1"/>
    <col min="4" max="245" width="9.140625" style="2"/>
    <col min="246" max="246" width="3.5703125" style="2" customWidth="1"/>
    <col min="247" max="247" width="96.85546875" style="2" customWidth="1"/>
    <col min="248" max="248" width="30.85546875" style="2" customWidth="1"/>
    <col min="249" max="249" width="12.5703125" style="2" customWidth="1"/>
    <col min="250" max="250" width="5.140625" style="2" customWidth="1"/>
    <col min="251" max="251" width="9.140625" style="2"/>
    <col min="252" max="252" width="4.85546875" style="2" customWidth="1"/>
    <col min="253" max="253" width="30.5703125" style="2" customWidth="1"/>
    <col min="254" max="254" width="33.85546875" style="2" customWidth="1"/>
    <col min="255" max="255" width="5.140625" style="2" customWidth="1"/>
    <col min="256" max="257" width="17.5703125" style="2" customWidth="1"/>
    <col min="258" max="501" width="9.140625" style="2"/>
    <col min="502" max="502" width="3.5703125" style="2" customWidth="1"/>
    <col min="503" max="503" width="96.85546875" style="2" customWidth="1"/>
    <col min="504" max="504" width="30.85546875" style="2" customWidth="1"/>
    <col min="505" max="505" width="12.5703125" style="2" customWidth="1"/>
    <col min="506" max="506" width="5.140625" style="2" customWidth="1"/>
    <col min="507" max="507" width="9.140625" style="2"/>
    <col min="508" max="508" width="4.85546875" style="2" customWidth="1"/>
    <col min="509" max="509" width="30.5703125" style="2" customWidth="1"/>
    <col min="510" max="510" width="33.85546875" style="2" customWidth="1"/>
    <col min="511" max="511" width="5.140625" style="2" customWidth="1"/>
    <col min="512" max="513" width="17.5703125" style="2" customWidth="1"/>
    <col min="514" max="757" width="9.140625" style="2"/>
    <col min="758" max="758" width="3.5703125" style="2" customWidth="1"/>
    <col min="759" max="759" width="96.85546875" style="2" customWidth="1"/>
    <col min="760" max="760" width="30.85546875" style="2" customWidth="1"/>
    <col min="761" max="761" width="12.5703125" style="2" customWidth="1"/>
    <col min="762" max="762" width="5.140625" style="2" customWidth="1"/>
    <col min="763" max="763" width="9.140625" style="2"/>
    <col min="764" max="764" width="4.85546875" style="2" customWidth="1"/>
    <col min="765" max="765" width="30.5703125" style="2" customWidth="1"/>
    <col min="766" max="766" width="33.85546875" style="2" customWidth="1"/>
    <col min="767" max="767" width="5.140625" style="2" customWidth="1"/>
    <col min="768" max="769" width="17.5703125" style="2" customWidth="1"/>
    <col min="770" max="1013" width="9.140625" style="2"/>
    <col min="1014" max="1014" width="3.5703125" style="2" customWidth="1"/>
    <col min="1015" max="1015" width="96.85546875" style="2" customWidth="1"/>
    <col min="1016" max="1016" width="30.85546875" style="2" customWidth="1"/>
    <col min="1017" max="1017" width="12.5703125" style="2" customWidth="1"/>
    <col min="1018" max="1018" width="5.140625" style="2" customWidth="1"/>
    <col min="1019" max="1019" width="9.140625" style="2"/>
    <col min="1020" max="1020" width="4.85546875" style="2" customWidth="1"/>
    <col min="1021" max="1021" width="30.5703125" style="2" customWidth="1"/>
    <col min="1022" max="1022" width="33.85546875" style="2" customWidth="1"/>
    <col min="1023" max="1023" width="5.140625" style="2" customWidth="1"/>
    <col min="1024" max="1025" width="17.5703125" style="2" customWidth="1"/>
    <col min="1026" max="1269" width="9.140625" style="2"/>
    <col min="1270" max="1270" width="3.5703125" style="2" customWidth="1"/>
    <col min="1271" max="1271" width="96.85546875" style="2" customWidth="1"/>
    <col min="1272" max="1272" width="30.85546875" style="2" customWidth="1"/>
    <col min="1273" max="1273" width="12.5703125" style="2" customWidth="1"/>
    <col min="1274" max="1274" width="5.140625" style="2" customWidth="1"/>
    <col min="1275" max="1275" width="9.140625" style="2"/>
    <col min="1276" max="1276" width="4.85546875" style="2" customWidth="1"/>
    <col min="1277" max="1277" width="30.5703125" style="2" customWidth="1"/>
    <col min="1278" max="1278" width="33.85546875" style="2" customWidth="1"/>
    <col min="1279" max="1279" width="5.140625" style="2" customWidth="1"/>
    <col min="1280" max="1281" width="17.5703125" style="2" customWidth="1"/>
    <col min="1282" max="1525" width="9.140625" style="2"/>
    <col min="1526" max="1526" width="3.5703125" style="2" customWidth="1"/>
    <col min="1527" max="1527" width="96.85546875" style="2" customWidth="1"/>
    <col min="1528" max="1528" width="30.85546875" style="2" customWidth="1"/>
    <col min="1529" max="1529" width="12.5703125" style="2" customWidth="1"/>
    <col min="1530" max="1530" width="5.140625" style="2" customWidth="1"/>
    <col min="1531" max="1531" width="9.140625" style="2"/>
    <col min="1532" max="1532" width="4.85546875" style="2" customWidth="1"/>
    <col min="1533" max="1533" width="30.5703125" style="2" customWidth="1"/>
    <col min="1534" max="1534" width="33.85546875" style="2" customWidth="1"/>
    <col min="1535" max="1535" width="5.140625" style="2" customWidth="1"/>
    <col min="1536" max="1537" width="17.5703125" style="2" customWidth="1"/>
    <col min="1538" max="1781" width="9.140625" style="2"/>
    <col min="1782" max="1782" width="3.5703125" style="2" customWidth="1"/>
    <col min="1783" max="1783" width="96.85546875" style="2" customWidth="1"/>
    <col min="1784" max="1784" width="30.85546875" style="2" customWidth="1"/>
    <col min="1785" max="1785" width="12.5703125" style="2" customWidth="1"/>
    <col min="1786" max="1786" width="5.140625" style="2" customWidth="1"/>
    <col min="1787" max="1787" width="9.140625" style="2"/>
    <col min="1788" max="1788" width="4.85546875" style="2" customWidth="1"/>
    <col min="1789" max="1789" width="30.5703125" style="2" customWidth="1"/>
    <col min="1790" max="1790" width="33.85546875" style="2" customWidth="1"/>
    <col min="1791" max="1791" width="5.140625" style="2" customWidth="1"/>
    <col min="1792" max="1793" width="17.5703125" style="2" customWidth="1"/>
    <col min="1794" max="2037" width="9.140625" style="2"/>
    <col min="2038" max="2038" width="3.5703125" style="2" customWidth="1"/>
    <col min="2039" max="2039" width="96.85546875" style="2" customWidth="1"/>
    <col min="2040" max="2040" width="30.85546875" style="2" customWidth="1"/>
    <col min="2041" max="2041" width="12.5703125" style="2" customWidth="1"/>
    <col min="2042" max="2042" width="5.140625" style="2" customWidth="1"/>
    <col min="2043" max="2043" width="9.140625" style="2"/>
    <col min="2044" max="2044" width="4.85546875" style="2" customWidth="1"/>
    <col min="2045" max="2045" width="30.5703125" style="2" customWidth="1"/>
    <col min="2046" max="2046" width="33.85546875" style="2" customWidth="1"/>
    <col min="2047" max="2047" width="5.140625" style="2" customWidth="1"/>
    <col min="2048" max="2049" width="17.5703125" style="2" customWidth="1"/>
    <col min="2050" max="2293" width="9.140625" style="2"/>
    <col min="2294" max="2294" width="3.5703125" style="2" customWidth="1"/>
    <col min="2295" max="2295" width="96.85546875" style="2" customWidth="1"/>
    <col min="2296" max="2296" width="30.85546875" style="2" customWidth="1"/>
    <col min="2297" max="2297" width="12.5703125" style="2" customWidth="1"/>
    <col min="2298" max="2298" width="5.140625" style="2" customWidth="1"/>
    <col min="2299" max="2299" width="9.140625" style="2"/>
    <col min="2300" max="2300" width="4.85546875" style="2" customWidth="1"/>
    <col min="2301" max="2301" width="30.5703125" style="2" customWidth="1"/>
    <col min="2302" max="2302" width="33.85546875" style="2" customWidth="1"/>
    <col min="2303" max="2303" width="5.140625" style="2" customWidth="1"/>
    <col min="2304" max="2305" width="17.5703125" style="2" customWidth="1"/>
    <col min="2306" max="2549" width="9.140625" style="2"/>
    <col min="2550" max="2550" width="3.5703125" style="2" customWidth="1"/>
    <col min="2551" max="2551" width="96.85546875" style="2" customWidth="1"/>
    <col min="2552" max="2552" width="30.85546875" style="2" customWidth="1"/>
    <col min="2553" max="2553" width="12.5703125" style="2" customWidth="1"/>
    <col min="2554" max="2554" width="5.140625" style="2" customWidth="1"/>
    <col min="2555" max="2555" width="9.140625" style="2"/>
    <col min="2556" max="2556" width="4.85546875" style="2" customWidth="1"/>
    <col min="2557" max="2557" width="30.5703125" style="2" customWidth="1"/>
    <col min="2558" max="2558" width="33.85546875" style="2" customWidth="1"/>
    <col min="2559" max="2559" width="5.140625" style="2" customWidth="1"/>
    <col min="2560" max="2561" width="17.5703125" style="2" customWidth="1"/>
    <col min="2562" max="2805" width="9.140625" style="2"/>
    <col min="2806" max="2806" width="3.5703125" style="2" customWidth="1"/>
    <col min="2807" max="2807" width="96.85546875" style="2" customWidth="1"/>
    <col min="2808" max="2808" width="30.85546875" style="2" customWidth="1"/>
    <col min="2809" max="2809" width="12.5703125" style="2" customWidth="1"/>
    <col min="2810" max="2810" width="5.140625" style="2" customWidth="1"/>
    <col min="2811" max="2811" width="9.140625" style="2"/>
    <col min="2812" max="2812" width="4.85546875" style="2" customWidth="1"/>
    <col min="2813" max="2813" width="30.5703125" style="2" customWidth="1"/>
    <col min="2814" max="2814" width="33.85546875" style="2" customWidth="1"/>
    <col min="2815" max="2815" width="5.140625" style="2" customWidth="1"/>
    <col min="2816" max="2817" width="17.5703125" style="2" customWidth="1"/>
    <col min="2818" max="3061" width="9.140625" style="2"/>
    <col min="3062" max="3062" width="3.5703125" style="2" customWidth="1"/>
    <col min="3063" max="3063" width="96.85546875" style="2" customWidth="1"/>
    <col min="3064" max="3064" width="30.85546875" style="2" customWidth="1"/>
    <col min="3065" max="3065" width="12.5703125" style="2" customWidth="1"/>
    <col min="3066" max="3066" width="5.140625" style="2" customWidth="1"/>
    <col min="3067" max="3067" width="9.140625" style="2"/>
    <col min="3068" max="3068" width="4.85546875" style="2" customWidth="1"/>
    <col min="3069" max="3069" width="30.5703125" style="2" customWidth="1"/>
    <col min="3070" max="3070" width="33.85546875" style="2" customWidth="1"/>
    <col min="3071" max="3071" width="5.140625" style="2" customWidth="1"/>
    <col min="3072" max="3073" width="17.5703125" style="2" customWidth="1"/>
    <col min="3074" max="3317" width="9.140625" style="2"/>
    <col min="3318" max="3318" width="3.5703125" style="2" customWidth="1"/>
    <col min="3319" max="3319" width="96.85546875" style="2" customWidth="1"/>
    <col min="3320" max="3320" width="30.85546875" style="2" customWidth="1"/>
    <col min="3321" max="3321" width="12.5703125" style="2" customWidth="1"/>
    <col min="3322" max="3322" width="5.140625" style="2" customWidth="1"/>
    <col min="3323" max="3323" width="9.140625" style="2"/>
    <col min="3324" max="3324" width="4.85546875" style="2" customWidth="1"/>
    <col min="3325" max="3325" width="30.5703125" style="2" customWidth="1"/>
    <col min="3326" max="3326" width="33.85546875" style="2" customWidth="1"/>
    <col min="3327" max="3327" width="5.140625" style="2" customWidth="1"/>
    <col min="3328" max="3329" width="17.5703125" style="2" customWidth="1"/>
    <col min="3330" max="3573" width="9.140625" style="2"/>
    <col min="3574" max="3574" width="3.5703125" style="2" customWidth="1"/>
    <col min="3575" max="3575" width="96.85546875" style="2" customWidth="1"/>
    <col min="3576" max="3576" width="30.85546875" style="2" customWidth="1"/>
    <col min="3577" max="3577" width="12.5703125" style="2" customWidth="1"/>
    <col min="3578" max="3578" width="5.140625" style="2" customWidth="1"/>
    <col min="3579" max="3579" width="9.140625" style="2"/>
    <col min="3580" max="3580" width="4.85546875" style="2" customWidth="1"/>
    <col min="3581" max="3581" width="30.5703125" style="2" customWidth="1"/>
    <col min="3582" max="3582" width="33.85546875" style="2" customWidth="1"/>
    <col min="3583" max="3583" width="5.140625" style="2" customWidth="1"/>
    <col min="3584" max="3585" width="17.5703125" style="2" customWidth="1"/>
    <col min="3586" max="3829" width="9.140625" style="2"/>
    <col min="3830" max="3830" width="3.5703125" style="2" customWidth="1"/>
    <col min="3831" max="3831" width="96.85546875" style="2" customWidth="1"/>
    <col min="3832" max="3832" width="30.85546875" style="2" customWidth="1"/>
    <col min="3833" max="3833" width="12.5703125" style="2" customWidth="1"/>
    <col min="3834" max="3834" width="5.140625" style="2" customWidth="1"/>
    <col min="3835" max="3835" width="9.140625" style="2"/>
    <col min="3836" max="3836" width="4.85546875" style="2" customWidth="1"/>
    <col min="3837" max="3837" width="30.5703125" style="2" customWidth="1"/>
    <col min="3838" max="3838" width="33.85546875" style="2" customWidth="1"/>
    <col min="3839" max="3839" width="5.140625" style="2" customWidth="1"/>
    <col min="3840" max="3841" width="17.5703125" style="2" customWidth="1"/>
    <col min="3842" max="4085" width="9.140625" style="2"/>
    <col min="4086" max="4086" width="3.5703125" style="2" customWidth="1"/>
    <col min="4087" max="4087" width="96.85546875" style="2" customWidth="1"/>
    <col min="4088" max="4088" width="30.85546875" style="2" customWidth="1"/>
    <col min="4089" max="4089" width="12.5703125" style="2" customWidth="1"/>
    <col min="4090" max="4090" width="5.140625" style="2" customWidth="1"/>
    <col min="4091" max="4091" width="9.140625" style="2"/>
    <col min="4092" max="4092" width="4.85546875" style="2" customWidth="1"/>
    <col min="4093" max="4093" width="30.5703125" style="2" customWidth="1"/>
    <col min="4094" max="4094" width="33.85546875" style="2" customWidth="1"/>
    <col min="4095" max="4095" width="5.140625" style="2" customWidth="1"/>
    <col min="4096" max="4097" width="17.5703125" style="2" customWidth="1"/>
    <col min="4098" max="4341" width="9.140625" style="2"/>
    <col min="4342" max="4342" width="3.5703125" style="2" customWidth="1"/>
    <col min="4343" max="4343" width="96.85546875" style="2" customWidth="1"/>
    <col min="4344" max="4344" width="30.85546875" style="2" customWidth="1"/>
    <col min="4345" max="4345" width="12.5703125" style="2" customWidth="1"/>
    <col min="4346" max="4346" width="5.140625" style="2" customWidth="1"/>
    <col min="4347" max="4347" width="9.140625" style="2"/>
    <col min="4348" max="4348" width="4.85546875" style="2" customWidth="1"/>
    <col min="4349" max="4349" width="30.5703125" style="2" customWidth="1"/>
    <col min="4350" max="4350" width="33.85546875" style="2" customWidth="1"/>
    <col min="4351" max="4351" width="5.140625" style="2" customWidth="1"/>
    <col min="4352" max="4353" width="17.5703125" style="2" customWidth="1"/>
    <col min="4354" max="4597" width="9.140625" style="2"/>
    <col min="4598" max="4598" width="3.5703125" style="2" customWidth="1"/>
    <col min="4599" max="4599" width="96.85546875" style="2" customWidth="1"/>
    <col min="4600" max="4600" width="30.85546875" style="2" customWidth="1"/>
    <col min="4601" max="4601" width="12.5703125" style="2" customWidth="1"/>
    <col min="4602" max="4602" width="5.140625" style="2" customWidth="1"/>
    <col min="4603" max="4603" width="9.140625" style="2"/>
    <col min="4604" max="4604" width="4.85546875" style="2" customWidth="1"/>
    <col min="4605" max="4605" width="30.5703125" style="2" customWidth="1"/>
    <col min="4606" max="4606" width="33.85546875" style="2" customWidth="1"/>
    <col min="4607" max="4607" width="5.140625" style="2" customWidth="1"/>
    <col min="4608" max="4609" width="17.5703125" style="2" customWidth="1"/>
    <col min="4610" max="4853" width="9.140625" style="2"/>
    <col min="4854" max="4854" width="3.5703125" style="2" customWidth="1"/>
    <col min="4855" max="4855" width="96.85546875" style="2" customWidth="1"/>
    <col min="4856" max="4856" width="30.85546875" style="2" customWidth="1"/>
    <col min="4857" max="4857" width="12.5703125" style="2" customWidth="1"/>
    <col min="4858" max="4858" width="5.140625" style="2" customWidth="1"/>
    <col min="4859" max="4859" width="9.140625" style="2"/>
    <col min="4860" max="4860" width="4.85546875" style="2" customWidth="1"/>
    <col min="4861" max="4861" width="30.5703125" style="2" customWidth="1"/>
    <col min="4862" max="4862" width="33.85546875" style="2" customWidth="1"/>
    <col min="4863" max="4863" width="5.140625" style="2" customWidth="1"/>
    <col min="4864" max="4865" width="17.5703125" style="2" customWidth="1"/>
    <col min="4866" max="5109" width="9.140625" style="2"/>
    <col min="5110" max="5110" width="3.5703125" style="2" customWidth="1"/>
    <col min="5111" max="5111" width="96.85546875" style="2" customWidth="1"/>
    <col min="5112" max="5112" width="30.85546875" style="2" customWidth="1"/>
    <col min="5113" max="5113" width="12.5703125" style="2" customWidth="1"/>
    <col min="5114" max="5114" width="5.140625" style="2" customWidth="1"/>
    <col min="5115" max="5115" width="9.140625" style="2"/>
    <col min="5116" max="5116" width="4.85546875" style="2" customWidth="1"/>
    <col min="5117" max="5117" width="30.5703125" style="2" customWidth="1"/>
    <col min="5118" max="5118" width="33.85546875" style="2" customWidth="1"/>
    <col min="5119" max="5119" width="5.140625" style="2" customWidth="1"/>
    <col min="5120" max="5121" width="17.5703125" style="2" customWidth="1"/>
    <col min="5122" max="5365" width="9.140625" style="2"/>
    <col min="5366" max="5366" width="3.5703125" style="2" customWidth="1"/>
    <col min="5367" max="5367" width="96.85546875" style="2" customWidth="1"/>
    <col min="5368" max="5368" width="30.85546875" style="2" customWidth="1"/>
    <col min="5369" max="5369" width="12.5703125" style="2" customWidth="1"/>
    <col min="5370" max="5370" width="5.140625" style="2" customWidth="1"/>
    <col min="5371" max="5371" width="9.140625" style="2"/>
    <col min="5372" max="5372" width="4.85546875" style="2" customWidth="1"/>
    <col min="5373" max="5373" width="30.5703125" style="2" customWidth="1"/>
    <col min="5374" max="5374" width="33.85546875" style="2" customWidth="1"/>
    <col min="5375" max="5375" width="5.140625" style="2" customWidth="1"/>
    <col min="5376" max="5377" width="17.5703125" style="2" customWidth="1"/>
    <col min="5378" max="5621" width="9.140625" style="2"/>
    <col min="5622" max="5622" width="3.5703125" style="2" customWidth="1"/>
    <col min="5623" max="5623" width="96.85546875" style="2" customWidth="1"/>
    <col min="5624" max="5624" width="30.85546875" style="2" customWidth="1"/>
    <col min="5625" max="5625" width="12.5703125" style="2" customWidth="1"/>
    <col min="5626" max="5626" width="5.140625" style="2" customWidth="1"/>
    <col min="5627" max="5627" width="9.140625" style="2"/>
    <col min="5628" max="5628" width="4.85546875" style="2" customWidth="1"/>
    <col min="5629" max="5629" width="30.5703125" style="2" customWidth="1"/>
    <col min="5630" max="5630" width="33.85546875" style="2" customWidth="1"/>
    <col min="5631" max="5631" width="5.140625" style="2" customWidth="1"/>
    <col min="5632" max="5633" width="17.5703125" style="2" customWidth="1"/>
    <col min="5634" max="5877" width="9.140625" style="2"/>
    <col min="5878" max="5878" width="3.5703125" style="2" customWidth="1"/>
    <col min="5879" max="5879" width="96.85546875" style="2" customWidth="1"/>
    <col min="5880" max="5880" width="30.85546875" style="2" customWidth="1"/>
    <col min="5881" max="5881" width="12.5703125" style="2" customWidth="1"/>
    <col min="5882" max="5882" width="5.140625" style="2" customWidth="1"/>
    <col min="5883" max="5883" width="9.140625" style="2"/>
    <col min="5884" max="5884" width="4.85546875" style="2" customWidth="1"/>
    <col min="5885" max="5885" width="30.5703125" style="2" customWidth="1"/>
    <col min="5886" max="5886" width="33.85546875" style="2" customWidth="1"/>
    <col min="5887" max="5887" width="5.140625" style="2" customWidth="1"/>
    <col min="5888" max="5889" width="17.5703125" style="2" customWidth="1"/>
    <col min="5890" max="6133" width="9.140625" style="2"/>
    <col min="6134" max="6134" width="3.5703125" style="2" customWidth="1"/>
    <col min="6135" max="6135" width="96.85546875" style="2" customWidth="1"/>
    <col min="6136" max="6136" width="30.85546875" style="2" customWidth="1"/>
    <col min="6137" max="6137" width="12.5703125" style="2" customWidth="1"/>
    <col min="6138" max="6138" width="5.140625" style="2" customWidth="1"/>
    <col min="6139" max="6139" width="9.140625" style="2"/>
    <col min="6140" max="6140" width="4.85546875" style="2" customWidth="1"/>
    <col min="6141" max="6141" width="30.5703125" style="2" customWidth="1"/>
    <col min="6142" max="6142" width="33.85546875" style="2" customWidth="1"/>
    <col min="6143" max="6143" width="5.140625" style="2" customWidth="1"/>
    <col min="6144" max="6145" width="17.5703125" style="2" customWidth="1"/>
    <col min="6146" max="6389" width="9.140625" style="2"/>
    <col min="6390" max="6390" width="3.5703125" style="2" customWidth="1"/>
    <col min="6391" max="6391" width="96.85546875" style="2" customWidth="1"/>
    <col min="6392" max="6392" width="30.85546875" style="2" customWidth="1"/>
    <col min="6393" max="6393" width="12.5703125" style="2" customWidth="1"/>
    <col min="6394" max="6394" width="5.140625" style="2" customWidth="1"/>
    <col min="6395" max="6395" width="9.140625" style="2"/>
    <col min="6396" max="6396" width="4.85546875" style="2" customWidth="1"/>
    <col min="6397" max="6397" width="30.5703125" style="2" customWidth="1"/>
    <col min="6398" max="6398" width="33.85546875" style="2" customWidth="1"/>
    <col min="6399" max="6399" width="5.140625" style="2" customWidth="1"/>
    <col min="6400" max="6401" width="17.5703125" style="2" customWidth="1"/>
    <col min="6402" max="6645" width="9.140625" style="2"/>
    <col min="6646" max="6646" width="3.5703125" style="2" customWidth="1"/>
    <col min="6647" max="6647" width="96.85546875" style="2" customWidth="1"/>
    <col min="6648" max="6648" width="30.85546875" style="2" customWidth="1"/>
    <col min="6649" max="6649" width="12.5703125" style="2" customWidth="1"/>
    <col min="6650" max="6650" width="5.140625" style="2" customWidth="1"/>
    <col min="6651" max="6651" width="9.140625" style="2"/>
    <col min="6652" max="6652" width="4.85546875" style="2" customWidth="1"/>
    <col min="6653" max="6653" width="30.5703125" style="2" customWidth="1"/>
    <col min="6654" max="6654" width="33.85546875" style="2" customWidth="1"/>
    <col min="6655" max="6655" width="5.140625" style="2" customWidth="1"/>
    <col min="6656" max="6657" width="17.5703125" style="2" customWidth="1"/>
    <col min="6658" max="6901" width="9.140625" style="2"/>
    <col min="6902" max="6902" width="3.5703125" style="2" customWidth="1"/>
    <col min="6903" max="6903" width="96.85546875" style="2" customWidth="1"/>
    <col min="6904" max="6904" width="30.85546875" style="2" customWidth="1"/>
    <col min="6905" max="6905" width="12.5703125" style="2" customWidth="1"/>
    <col min="6906" max="6906" width="5.140625" style="2" customWidth="1"/>
    <col min="6907" max="6907" width="9.140625" style="2"/>
    <col min="6908" max="6908" width="4.85546875" style="2" customWidth="1"/>
    <col min="6909" max="6909" width="30.5703125" style="2" customWidth="1"/>
    <col min="6910" max="6910" width="33.85546875" style="2" customWidth="1"/>
    <col min="6911" max="6911" width="5.140625" style="2" customWidth="1"/>
    <col min="6912" max="6913" width="17.5703125" style="2" customWidth="1"/>
    <col min="6914" max="7157" width="9.140625" style="2"/>
    <col min="7158" max="7158" width="3.5703125" style="2" customWidth="1"/>
    <col min="7159" max="7159" width="96.85546875" style="2" customWidth="1"/>
    <col min="7160" max="7160" width="30.85546875" style="2" customWidth="1"/>
    <col min="7161" max="7161" width="12.5703125" style="2" customWidth="1"/>
    <col min="7162" max="7162" width="5.140625" style="2" customWidth="1"/>
    <col min="7163" max="7163" width="9.140625" style="2"/>
    <col min="7164" max="7164" width="4.85546875" style="2" customWidth="1"/>
    <col min="7165" max="7165" width="30.5703125" style="2" customWidth="1"/>
    <col min="7166" max="7166" width="33.85546875" style="2" customWidth="1"/>
    <col min="7167" max="7167" width="5.140625" style="2" customWidth="1"/>
    <col min="7168" max="7169" width="17.5703125" style="2" customWidth="1"/>
    <col min="7170" max="7413" width="9.140625" style="2"/>
    <col min="7414" max="7414" width="3.5703125" style="2" customWidth="1"/>
    <col min="7415" max="7415" width="96.85546875" style="2" customWidth="1"/>
    <col min="7416" max="7416" width="30.85546875" style="2" customWidth="1"/>
    <col min="7417" max="7417" width="12.5703125" style="2" customWidth="1"/>
    <col min="7418" max="7418" width="5.140625" style="2" customWidth="1"/>
    <col min="7419" max="7419" width="9.140625" style="2"/>
    <col min="7420" max="7420" width="4.85546875" style="2" customWidth="1"/>
    <col min="7421" max="7421" width="30.5703125" style="2" customWidth="1"/>
    <col min="7422" max="7422" width="33.85546875" style="2" customWidth="1"/>
    <col min="7423" max="7423" width="5.140625" style="2" customWidth="1"/>
    <col min="7424" max="7425" width="17.5703125" style="2" customWidth="1"/>
    <col min="7426" max="7669" width="9.140625" style="2"/>
    <col min="7670" max="7670" width="3.5703125" style="2" customWidth="1"/>
    <col min="7671" max="7671" width="96.85546875" style="2" customWidth="1"/>
    <col min="7672" max="7672" width="30.85546875" style="2" customWidth="1"/>
    <col min="7673" max="7673" width="12.5703125" style="2" customWidth="1"/>
    <col min="7674" max="7674" width="5.140625" style="2" customWidth="1"/>
    <col min="7675" max="7675" width="9.140625" style="2"/>
    <col min="7676" max="7676" width="4.85546875" style="2" customWidth="1"/>
    <col min="7677" max="7677" width="30.5703125" style="2" customWidth="1"/>
    <col min="7678" max="7678" width="33.85546875" style="2" customWidth="1"/>
    <col min="7679" max="7679" width="5.140625" style="2" customWidth="1"/>
    <col min="7680" max="7681" width="17.5703125" style="2" customWidth="1"/>
    <col min="7682" max="7925" width="9.140625" style="2"/>
    <col min="7926" max="7926" width="3.5703125" style="2" customWidth="1"/>
    <col min="7927" max="7927" width="96.85546875" style="2" customWidth="1"/>
    <col min="7928" max="7928" width="30.85546875" style="2" customWidth="1"/>
    <col min="7929" max="7929" width="12.5703125" style="2" customWidth="1"/>
    <col min="7930" max="7930" width="5.140625" style="2" customWidth="1"/>
    <col min="7931" max="7931" width="9.140625" style="2"/>
    <col min="7932" max="7932" width="4.85546875" style="2" customWidth="1"/>
    <col min="7933" max="7933" width="30.5703125" style="2" customWidth="1"/>
    <col min="7934" max="7934" width="33.85546875" style="2" customWidth="1"/>
    <col min="7935" max="7935" width="5.140625" style="2" customWidth="1"/>
    <col min="7936" max="7937" width="17.5703125" style="2" customWidth="1"/>
    <col min="7938" max="8181" width="9.140625" style="2"/>
    <col min="8182" max="8182" width="3.5703125" style="2" customWidth="1"/>
    <col min="8183" max="8183" width="96.85546875" style="2" customWidth="1"/>
    <col min="8184" max="8184" width="30.85546875" style="2" customWidth="1"/>
    <col min="8185" max="8185" width="12.5703125" style="2" customWidth="1"/>
    <col min="8186" max="8186" width="5.140625" style="2" customWidth="1"/>
    <col min="8187" max="8187" width="9.140625" style="2"/>
    <col min="8188" max="8188" width="4.85546875" style="2" customWidth="1"/>
    <col min="8189" max="8189" width="30.5703125" style="2" customWidth="1"/>
    <col min="8190" max="8190" width="33.85546875" style="2" customWidth="1"/>
    <col min="8191" max="8191" width="5.140625" style="2" customWidth="1"/>
    <col min="8192" max="8193" width="17.5703125" style="2" customWidth="1"/>
    <col min="8194" max="8437" width="9.140625" style="2"/>
    <col min="8438" max="8438" width="3.5703125" style="2" customWidth="1"/>
    <col min="8439" max="8439" width="96.85546875" style="2" customWidth="1"/>
    <col min="8440" max="8440" width="30.85546875" style="2" customWidth="1"/>
    <col min="8441" max="8441" width="12.5703125" style="2" customWidth="1"/>
    <col min="8442" max="8442" width="5.140625" style="2" customWidth="1"/>
    <col min="8443" max="8443" width="9.140625" style="2"/>
    <col min="8444" max="8444" width="4.85546875" style="2" customWidth="1"/>
    <col min="8445" max="8445" width="30.5703125" style="2" customWidth="1"/>
    <col min="8446" max="8446" width="33.85546875" style="2" customWidth="1"/>
    <col min="8447" max="8447" width="5.140625" style="2" customWidth="1"/>
    <col min="8448" max="8449" width="17.5703125" style="2" customWidth="1"/>
    <col min="8450" max="8693" width="9.140625" style="2"/>
    <col min="8694" max="8694" width="3.5703125" style="2" customWidth="1"/>
    <col min="8695" max="8695" width="96.85546875" style="2" customWidth="1"/>
    <col min="8696" max="8696" width="30.85546875" style="2" customWidth="1"/>
    <col min="8697" max="8697" width="12.5703125" style="2" customWidth="1"/>
    <col min="8698" max="8698" width="5.140625" style="2" customWidth="1"/>
    <col min="8699" max="8699" width="9.140625" style="2"/>
    <col min="8700" max="8700" width="4.85546875" style="2" customWidth="1"/>
    <col min="8701" max="8701" width="30.5703125" style="2" customWidth="1"/>
    <col min="8702" max="8702" width="33.85546875" style="2" customWidth="1"/>
    <col min="8703" max="8703" width="5.140625" style="2" customWidth="1"/>
    <col min="8704" max="8705" width="17.5703125" style="2" customWidth="1"/>
    <col min="8706" max="8949" width="9.140625" style="2"/>
    <col min="8950" max="8950" width="3.5703125" style="2" customWidth="1"/>
    <col min="8951" max="8951" width="96.85546875" style="2" customWidth="1"/>
    <col min="8952" max="8952" width="30.85546875" style="2" customWidth="1"/>
    <col min="8953" max="8953" width="12.5703125" style="2" customWidth="1"/>
    <col min="8954" max="8954" width="5.140625" style="2" customWidth="1"/>
    <col min="8955" max="8955" width="9.140625" style="2"/>
    <col min="8956" max="8956" width="4.85546875" style="2" customWidth="1"/>
    <col min="8957" max="8957" width="30.5703125" style="2" customWidth="1"/>
    <col min="8958" max="8958" width="33.85546875" style="2" customWidth="1"/>
    <col min="8959" max="8959" width="5.140625" style="2" customWidth="1"/>
    <col min="8960" max="8961" width="17.5703125" style="2" customWidth="1"/>
    <col min="8962" max="9205" width="9.140625" style="2"/>
    <col min="9206" max="9206" width="3.5703125" style="2" customWidth="1"/>
    <col min="9207" max="9207" width="96.85546875" style="2" customWidth="1"/>
    <col min="9208" max="9208" width="30.85546875" style="2" customWidth="1"/>
    <col min="9209" max="9209" width="12.5703125" style="2" customWidth="1"/>
    <col min="9210" max="9210" width="5.140625" style="2" customWidth="1"/>
    <col min="9211" max="9211" width="9.140625" style="2"/>
    <col min="9212" max="9212" width="4.85546875" style="2" customWidth="1"/>
    <col min="9213" max="9213" width="30.5703125" style="2" customWidth="1"/>
    <col min="9214" max="9214" width="33.85546875" style="2" customWidth="1"/>
    <col min="9215" max="9215" width="5.140625" style="2" customWidth="1"/>
    <col min="9216" max="9217" width="17.5703125" style="2" customWidth="1"/>
    <col min="9218" max="9461" width="9.140625" style="2"/>
    <col min="9462" max="9462" width="3.5703125" style="2" customWidth="1"/>
    <col min="9463" max="9463" width="96.85546875" style="2" customWidth="1"/>
    <col min="9464" max="9464" width="30.85546875" style="2" customWidth="1"/>
    <col min="9465" max="9465" width="12.5703125" style="2" customWidth="1"/>
    <col min="9466" max="9466" width="5.140625" style="2" customWidth="1"/>
    <col min="9467" max="9467" width="9.140625" style="2"/>
    <col min="9468" max="9468" width="4.85546875" style="2" customWidth="1"/>
    <col min="9469" max="9469" width="30.5703125" style="2" customWidth="1"/>
    <col min="9470" max="9470" width="33.85546875" style="2" customWidth="1"/>
    <col min="9471" max="9471" width="5.140625" style="2" customWidth="1"/>
    <col min="9472" max="9473" width="17.5703125" style="2" customWidth="1"/>
    <col min="9474" max="9717" width="9.140625" style="2"/>
    <col min="9718" max="9718" width="3.5703125" style="2" customWidth="1"/>
    <col min="9719" max="9719" width="96.85546875" style="2" customWidth="1"/>
    <col min="9720" max="9720" width="30.85546875" style="2" customWidth="1"/>
    <col min="9721" max="9721" width="12.5703125" style="2" customWidth="1"/>
    <col min="9722" max="9722" width="5.140625" style="2" customWidth="1"/>
    <col min="9723" max="9723" width="9.140625" style="2"/>
    <col min="9724" max="9724" width="4.85546875" style="2" customWidth="1"/>
    <col min="9725" max="9725" width="30.5703125" style="2" customWidth="1"/>
    <col min="9726" max="9726" width="33.85546875" style="2" customWidth="1"/>
    <col min="9727" max="9727" width="5.140625" style="2" customWidth="1"/>
    <col min="9728" max="9729" width="17.5703125" style="2" customWidth="1"/>
    <col min="9730" max="9973" width="9.140625" style="2"/>
    <col min="9974" max="9974" width="3.5703125" style="2" customWidth="1"/>
    <col min="9975" max="9975" width="96.85546875" style="2" customWidth="1"/>
    <col min="9976" max="9976" width="30.85546875" style="2" customWidth="1"/>
    <col min="9977" max="9977" width="12.5703125" style="2" customWidth="1"/>
    <col min="9978" max="9978" width="5.140625" style="2" customWidth="1"/>
    <col min="9979" max="9979" width="9.140625" style="2"/>
    <col min="9980" max="9980" width="4.85546875" style="2" customWidth="1"/>
    <col min="9981" max="9981" width="30.5703125" style="2" customWidth="1"/>
    <col min="9982" max="9982" width="33.85546875" style="2" customWidth="1"/>
    <col min="9983" max="9983" width="5.140625" style="2" customWidth="1"/>
    <col min="9984" max="9985" width="17.5703125" style="2" customWidth="1"/>
    <col min="9986" max="10229" width="9.140625" style="2"/>
    <col min="10230" max="10230" width="3.5703125" style="2" customWidth="1"/>
    <col min="10231" max="10231" width="96.85546875" style="2" customWidth="1"/>
    <col min="10232" max="10232" width="30.85546875" style="2" customWidth="1"/>
    <col min="10233" max="10233" width="12.5703125" style="2" customWidth="1"/>
    <col min="10234" max="10234" width="5.140625" style="2" customWidth="1"/>
    <col min="10235" max="10235" width="9.140625" style="2"/>
    <col min="10236" max="10236" width="4.85546875" style="2" customWidth="1"/>
    <col min="10237" max="10237" width="30.5703125" style="2" customWidth="1"/>
    <col min="10238" max="10238" width="33.85546875" style="2" customWidth="1"/>
    <col min="10239" max="10239" width="5.140625" style="2" customWidth="1"/>
    <col min="10240" max="10241" width="17.5703125" style="2" customWidth="1"/>
    <col min="10242" max="10485" width="9.140625" style="2"/>
    <col min="10486" max="10486" width="3.5703125" style="2" customWidth="1"/>
    <col min="10487" max="10487" width="96.85546875" style="2" customWidth="1"/>
    <col min="10488" max="10488" width="30.85546875" style="2" customWidth="1"/>
    <col min="10489" max="10489" width="12.5703125" style="2" customWidth="1"/>
    <col min="10490" max="10490" width="5.140625" style="2" customWidth="1"/>
    <col min="10491" max="10491" width="9.140625" style="2"/>
    <col min="10492" max="10492" width="4.85546875" style="2" customWidth="1"/>
    <col min="10493" max="10493" width="30.5703125" style="2" customWidth="1"/>
    <col min="10494" max="10494" width="33.85546875" style="2" customWidth="1"/>
    <col min="10495" max="10495" width="5.140625" style="2" customWidth="1"/>
    <col min="10496" max="10497" width="17.5703125" style="2" customWidth="1"/>
    <col min="10498" max="10741" width="9.140625" style="2"/>
    <col min="10742" max="10742" width="3.5703125" style="2" customWidth="1"/>
    <col min="10743" max="10743" width="96.85546875" style="2" customWidth="1"/>
    <col min="10744" max="10744" width="30.85546875" style="2" customWidth="1"/>
    <col min="10745" max="10745" width="12.5703125" style="2" customWidth="1"/>
    <col min="10746" max="10746" width="5.140625" style="2" customWidth="1"/>
    <col min="10747" max="10747" width="9.140625" style="2"/>
    <col min="10748" max="10748" width="4.85546875" style="2" customWidth="1"/>
    <col min="10749" max="10749" width="30.5703125" style="2" customWidth="1"/>
    <col min="10750" max="10750" width="33.85546875" style="2" customWidth="1"/>
    <col min="10751" max="10751" width="5.140625" style="2" customWidth="1"/>
    <col min="10752" max="10753" width="17.5703125" style="2" customWidth="1"/>
    <col min="10754" max="10997" width="9.140625" style="2"/>
    <col min="10998" max="10998" width="3.5703125" style="2" customWidth="1"/>
    <col min="10999" max="10999" width="96.85546875" style="2" customWidth="1"/>
    <col min="11000" max="11000" width="30.85546875" style="2" customWidth="1"/>
    <col min="11001" max="11001" width="12.5703125" style="2" customWidth="1"/>
    <col min="11002" max="11002" width="5.140625" style="2" customWidth="1"/>
    <col min="11003" max="11003" width="9.140625" style="2"/>
    <col min="11004" max="11004" width="4.85546875" style="2" customWidth="1"/>
    <col min="11005" max="11005" width="30.5703125" style="2" customWidth="1"/>
    <col min="11006" max="11006" width="33.85546875" style="2" customWidth="1"/>
    <col min="11007" max="11007" width="5.140625" style="2" customWidth="1"/>
    <col min="11008" max="11009" width="17.5703125" style="2" customWidth="1"/>
    <col min="11010" max="11253" width="9.140625" style="2"/>
    <col min="11254" max="11254" width="3.5703125" style="2" customWidth="1"/>
    <col min="11255" max="11255" width="96.85546875" style="2" customWidth="1"/>
    <col min="11256" max="11256" width="30.85546875" style="2" customWidth="1"/>
    <col min="11257" max="11257" width="12.5703125" style="2" customWidth="1"/>
    <col min="11258" max="11258" width="5.140625" style="2" customWidth="1"/>
    <col min="11259" max="11259" width="9.140625" style="2"/>
    <col min="11260" max="11260" width="4.85546875" style="2" customWidth="1"/>
    <col min="11261" max="11261" width="30.5703125" style="2" customWidth="1"/>
    <col min="11262" max="11262" width="33.85546875" style="2" customWidth="1"/>
    <col min="11263" max="11263" width="5.140625" style="2" customWidth="1"/>
    <col min="11264" max="11265" width="17.5703125" style="2" customWidth="1"/>
    <col min="11266" max="11509" width="9.140625" style="2"/>
    <col min="11510" max="11510" width="3.5703125" style="2" customWidth="1"/>
    <col min="11511" max="11511" width="96.85546875" style="2" customWidth="1"/>
    <col min="11512" max="11512" width="30.85546875" style="2" customWidth="1"/>
    <col min="11513" max="11513" width="12.5703125" style="2" customWidth="1"/>
    <col min="11514" max="11514" width="5.140625" style="2" customWidth="1"/>
    <col min="11515" max="11515" width="9.140625" style="2"/>
    <col min="11516" max="11516" width="4.85546875" style="2" customWidth="1"/>
    <col min="11517" max="11517" width="30.5703125" style="2" customWidth="1"/>
    <col min="11518" max="11518" width="33.85546875" style="2" customWidth="1"/>
    <col min="11519" max="11519" width="5.140625" style="2" customWidth="1"/>
    <col min="11520" max="11521" width="17.5703125" style="2" customWidth="1"/>
    <col min="11522" max="11765" width="9.140625" style="2"/>
    <col min="11766" max="11766" width="3.5703125" style="2" customWidth="1"/>
    <col min="11767" max="11767" width="96.85546875" style="2" customWidth="1"/>
    <col min="11768" max="11768" width="30.85546875" style="2" customWidth="1"/>
    <col min="11769" max="11769" width="12.5703125" style="2" customWidth="1"/>
    <col min="11770" max="11770" width="5.140625" style="2" customWidth="1"/>
    <col min="11771" max="11771" width="9.140625" style="2"/>
    <col min="11772" max="11772" width="4.85546875" style="2" customWidth="1"/>
    <col min="11773" max="11773" width="30.5703125" style="2" customWidth="1"/>
    <col min="11774" max="11774" width="33.85546875" style="2" customWidth="1"/>
    <col min="11775" max="11775" width="5.140625" style="2" customWidth="1"/>
    <col min="11776" max="11777" width="17.5703125" style="2" customWidth="1"/>
    <col min="11778" max="12021" width="9.140625" style="2"/>
    <col min="12022" max="12022" width="3.5703125" style="2" customWidth="1"/>
    <col min="12023" max="12023" width="96.85546875" style="2" customWidth="1"/>
    <col min="12024" max="12024" width="30.85546875" style="2" customWidth="1"/>
    <col min="12025" max="12025" width="12.5703125" style="2" customWidth="1"/>
    <col min="12026" max="12026" width="5.140625" style="2" customWidth="1"/>
    <col min="12027" max="12027" width="9.140625" style="2"/>
    <col min="12028" max="12028" width="4.85546875" style="2" customWidth="1"/>
    <col min="12029" max="12029" width="30.5703125" style="2" customWidth="1"/>
    <col min="12030" max="12030" width="33.85546875" style="2" customWidth="1"/>
    <col min="12031" max="12031" width="5.140625" style="2" customWidth="1"/>
    <col min="12032" max="12033" width="17.5703125" style="2" customWidth="1"/>
    <col min="12034" max="12277" width="9.140625" style="2"/>
    <col min="12278" max="12278" width="3.5703125" style="2" customWidth="1"/>
    <col min="12279" max="12279" width="96.85546875" style="2" customWidth="1"/>
    <col min="12280" max="12280" width="30.85546875" style="2" customWidth="1"/>
    <col min="12281" max="12281" width="12.5703125" style="2" customWidth="1"/>
    <col min="12282" max="12282" width="5.140625" style="2" customWidth="1"/>
    <col min="12283" max="12283" width="9.140625" style="2"/>
    <col min="12284" max="12284" width="4.85546875" style="2" customWidth="1"/>
    <col min="12285" max="12285" width="30.5703125" style="2" customWidth="1"/>
    <col min="12286" max="12286" width="33.85546875" style="2" customWidth="1"/>
    <col min="12287" max="12287" width="5.140625" style="2" customWidth="1"/>
    <col min="12288" max="12289" width="17.5703125" style="2" customWidth="1"/>
    <col min="12290" max="12533" width="9.140625" style="2"/>
    <col min="12534" max="12534" width="3.5703125" style="2" customWidth="1"/>
    <col min="12535" max="12535" width="96.85546875" style="2" customWidth="1"/>
    <col min="12536" max="12536" width="30.85546875" style="2" customWidth="1"/>
    <col min="12537" max="12537" width="12.5703125" style="2" customWidth="1"/>
    <col min="12538" max="12538" width="5.140625" style="2" customWidth="1"/>
    <col min="12539" max="12539" width="9.140625" style="2"/>
    <col min="12540" max="12540" width="4.85546875" style="2" customWidth="1"/>
    <col min="12541" max="12541" width="30.5703125" style="2" customWidth="1"/>
    <col min="12542" max="12542" width="33.85546875" style="2" customWidth="1"/>
    <col min="12543" max="12543" width="5.140625" style="2" customWidth="1"/>
    <col min="12544" max="12545" width="17.5703125" style="2" customWidth="1"/>
    <col min="12546" max="12789" width="9.140625" style="2"/>
    <col min="12790" max="12790" width="3.5703125" style="2" customWidth="1"/>
    <col min="12791" max="12791" width="96.85546875" style="2" customWidth="1"/>
    <col min="12792" max="12792" width="30.85546875" style="2" customWidth="1"/>
    <col min="12793" max="12793" width="12.5703125" style="2" customWidth="1"/>
    <col min="12794" max="12794" width="5.140625" style="2" customWidth="1"/>
    <col min="12795" max="12795" width="9.140625" style="2"/>
    <col min="12796" max="12796" width="4.85546875" style="2" customWidth="1"/>
    <col min="12797" max="12797" width="30.5703125" style="2" customWidth="1"/>
    <col min="12798" max="12798" width="33.85546875" style="2" customWidth="1"/>
    <col min="12799" max="12799" width="5.140625" style="2" customWidth="1"/>
    <col min="12800" max="12801" width="17.5703125" style="2" customWidth="1"/>
    <col min="12802" max="13045" width="9.140625" style="2"/>
    <col min="13046" max="13046" width="3.5703125" style="2" customWidth="1"/>
    <col min="13047" max="13047" width="96.85546875" style="2" customWidth="1"/>
    <col min="13048" max="13048" width="30.85546875" style="2" customWidth="1"/>
    <col min="13049" max="13049" width="12.5703125" style="2" customWidth="1"/>
    <col min="13050" max="13050" width="5.140625" style="2" customWidth="1"/>
    <col min="13051" max="13051" width="9.140625" style="2"/>
    <col min="13052" max="13052" width="4.85546875" style="2" customWidth="1"/>
    <col min="13053" max="13053" width="30.5703125" style="2" customWidth="1"/>
    <col min="13054" max="13054" width="33.85546875" style="2" customWidth="1"/>
    <col min="13055" max="13055" width="5.140625" style="2" customWidth="1"/>
    <col min="13056" max="13057" width="17.5703125" style="2" customWidth="1"/>
    <col min="13058" max="13301" width="9.140625" style="2"/>
    <col min="13302" max="13302" width="3.5703125" style="2" customWidth="1"/>
    <col min="13303" max="13303" width="96.85546875" style="2" customWidth="1"/>
    <col min="13304" max="13304" width="30.85546875" style="2" customWidth="1"/>
    <col min="13305" max="13305" width="12.5703125" style="2" customWidth="1"/>
    <col min="13306" max="13306" width="5.140625" style="2" customWidth="1"/>
    <col min="13307" max="13307" width="9.140625" style="2"/>
    <col min="13308" max="13308" width="4.85546875" style="2" customWidth="1"/>
    <col min="13309" max="13309" width="30.5703125" style="2" customWidth="1"/>
    <col min="13310" max="13310" width="33.85546875" style="2" customWidth="1"/>
    <col min="13311" max="13311" width="5.140625" style="2" customWidth="1"/>
    <col min="13312" max="13313" width="17.5703125" style="2" customWidth="1"/>
    <col min="13314" max="13557" width="9.140625" style="2"/>
    <col min="13558" max="13558" width="3.5703125" style="2" customWidth="1"/>
    <col min="13559" max="13559" width="96.85546875" style="2" customWidth="1"/>
    <col min="13560" max="13560" width="30.85546875" style="2" customWidth="1"/>
    <col min="13561" max="13561" width="12.5703125" style="2" customWidth="1"/>
    <col min="13562" max="13562" width="5.140625" style="2" customWidth="1"/>
    <col min="13563" max="13563" width="9.140625" style="2"/>
    <col min="13564" max="13564" width="4.85546875" style="2" customWidth="1"/>
    <col min="13565" max="13565" width="30.5703125" style="2" customWidth="1"/>
    <col min="13566" max="13566" width="33.85546875" style="2" customWidth="1"/>
    <col min="13567" max="13567" width="5.140625" style="2" customWidth="1"/>
    <col min="13568" max="13569" width="17.5703125" style="2" customWidth="1"/>
    <col min="13570" max="13813" width="9.140625" style="2"/>
    <col min="13814" max="13814" width="3.5703125" style="2" customWidth="1"/>
    <col min="13815" max="13815" width="96.85546875" style="2" customWidth="1"/>
    <col min="13816" max="13816" width="30.85546875" style="2" customWidth="1"/>
    <col min="13817" max="13817" width="12.5703125" style="2" customWidth="1"/>
    <col min="13818" max="13818" width="5.140625" style="2" customWidth="1"/>
    <col min="13819" max="13819" width="9.140625" style="2"/>
    <col min="13820" max="13820" width="4.85546875" style="2" customWidth="1"/>
    <col min="13821" max="13821" width="30.5703125" style="2" customWidth="1"/>
    <col min="13822" max="13822" width="33.85546875" style="2" customWidth="1"/>
    <col min="13823" max="13823" width="5.140625" style="2" customWidth="1"/>
    <col min="13824" max="13825" width="17.5703125" style="2" customWidth="1"/>
    <col min="13826" max="14069" width="9.140625" style="2"/>
    <col min="14070" max="14070" width="3.5703125" style="2" customWidth="1"/>
    <col min="14071" max="14071" width="96.85546875" style="2" customWidth="1"/>
    <col min="14072" max="14072" width="30.85546875" style="2" customWidth="1"/>
    <col min="14073" max="14073" width="12.5703125" style="2" customWidth="1"/>
    <col min="14074" max="14074" width="5.140625" style="2" customWidth="1"/>
    <col min="14075" max="14075" width="9.140625" style="2"/>
    <col min="14076" max="14076" width="4.85546875" style="2" customWidth="1"/>
    <col min="14077" max="14077" width="30.5703125" style="2" customWidth="1"/>
    <col min="14078" max="14078" width="33.85546875" style="2" customWidth="1"/>
    <col min="14079" max="14079" width="5.140625" style="2" customWidth="1"/>
    <col min="14080" max="14081" width="17.5703125" style="2" customWidth="1"/>
    <col min="14082" max="14325" width="9.140625" style="2"/>
    <col min="14326" max="14326" width="3.5703125" style="2" customWidth="1"/>
    <col min="14327" max="14327" width="96.85546875" style="2" customWidth="1"/>
    <col min="14328" max="14328" width="30.85546875" style="2" customWidth="1"/>
    <col min="14329" max="14329" width="12.5703125" style="2" customWidth="1"/>
    <col min="14330" max="14330" width="5.140625" style="2" customWidth="1"/>
    <col min="14331" max="14331" width="9.140625" style="2"/>
    <col min="14332" max="14332" width="4.85546875" style="2" customWidth="1"/>
    <col min="14333" max="14333" width="30.5703125" style="2" customWidth="1"/>
    <col min="14334" max="14334" width="33.85546875" style="2" customWidth="1"/>
    <col min="14335" max="14335" width="5.140625" style="2" customWidth="1"/>
    <col min="14336" max="14337" width="17.5703125" style="2" customWidth="1"/>
    <col min="14338" max="14581" width="9.140625" style="2"/>
    <col min="14582" max="14582" width="3.5703125" style="2" customWidth="1"/>
    <col min="14583" max="14583" width="96.85546875" style="2" customWidth="1"/>
    <col min="14584" max="14584" width="30.85546875" style="2" customWidth="1"/>
    <col min="14585" max="14585" width="12.5703125" style="2" customWidth="1"/>
    <col min="14586" max="14586" width="5.140625" style="2" customWidth="1"/>
    <col min="14587" max="14587" width="9.140625" style="2"/>
    <col min="14588" max="14588" width="4.85546875" style="2" customWidth="1"/>
    <col min="14589" max="14589" width="30.5703125" style="2" customWidth="1"/>
    <col min="14590" max="14590" width="33.85546875" style="2" customWidth="1"/>
    <col min="14591" max="14591" width="5.140625" style="2" customWidth="1"/>
    <col min="14592" max="14593" width="17.5703125" style="2" customWidth="1"/>
    <col min="14594" max="14837" width="9.140625" style="2"/>
    <col min="14838" max="14838" width="3.5703125" style="2" customWidth="1"/>
    <col min="14839" max="14839" width="96.85546875" style="2" customWidth="1"/>
    <col min="14840" max="14840" width="30.85546875" style="2" customWidth="1"/>
    <col min="14841" max="14841" width="12.5703125" style="2" customWidth="1"/>
    <col min="14842" max="14842" width="5.140625" style="2" customWidth="1"/>
    <col min="14843" max="14843" width="9.140625" style="2"/>
    <col min="14844" max="14844" width="4.85546875" style="2" customWidth="1"/>
    <col min="14845" max="14845" width="30.5703125" style="2" customWidth="1"/>
    <col min="14846" max="14846" width="33.85546875" style="2" customWidth="1"/>
    <col min="14847" max="14847" width="5.140625" style="2" customWidth="1"/>
    <col min="14848" max="14849" width="17.5703125" style="2" customWidth="1"/>
    <col min="14850" max="15093" width="9.140625" style="2"/>
    <col min="15094" max="15094" width="3.5703125" style="2" customWidth="1"/>
    <col min="15095" max="15095" width="96.85546875" style="2" customWidth="1"/>
    <col min="15096" max="15096" width="30.85546875" style="2" customWidth="1"/>
    <col min="15097" max="15097" width="12.5703125" style="2" customWidth="1"/>
    <col min="15098" max="15098" width="5.140625" style="2" customWidth="1"/>
    <col min="15099" max="15099" width="9.140625" style="2"/>
    <col min="15100" max="15100" width="4.85546875" style="2" customWidth="1"/>
    <col min="15101" max="15101" width="30.5703125" style="2" customWidth="1"/>
    <col min="15102" max="15102" width="33.85546875" style="2" customWidth="1"/>
    <col min="15103" max="15103" width="5.140625" style="2" customWidth="1"/>
    <col min="15104" max="15105" width="17.5703125" style="2" customWidth="1"/>
    <col min="15106" max="15349" width="9.140625" style="2"/>
    <col min="15350" max="15350" width="3.5703125" style="2" customWidth="1"/>
    <col min="15351" max="15351" width="96.85546875" style="2" customWidth="1"/>
    <col min="15352" max="15352" width="30.85546875" style="2" customWidth="1"/>
    <col min="15353" max="15353" width="12.5703125" style="2" customWidth="1"/>
    <col min="15354" max="15354" width="5.140625" style="2" customWidth="1"/>
    <col min="15355" max="15355" width="9.140625" style="2"/>
    <col min="15356" max="15356" width="4.85546875" style="2" customWidth="1"/>
    <col min="15357" max="15357" width="30.5703125" style="2" customWidth="1"/>
    <col min="15358" max="15358" width="33.85546875" style="2" customWidth="1"/>
    <col min="15359" max="15359" width="5.140625" style="2" customWidth="1"/>
    <col min="15360" max="15361" width="17.5703125" style="2" customWidth="1"/>
    <col min="15362" max="15605" width="9.140625" style="2"/>
    <col min="15606" max="15606" width="3.5703125" style="2" customWidth="1"/>
    <col min="15607" max="15607" width="96.85546875" style="2" customWidth="1"/>
    <col min="15608" max="15608" width="30.85546875" style="2" customWidth="1"/>
    <col min="15609" max="15609" width="12.5703125" style="2" customWidth="1"/>
    <col min="15610" max="15610" width="5.140625" style="2" customWidth="1"/>
    <col min="15611" max="15611" width="9.140625" style="2"/>
    <col min="15612" max="15612" width="4.85546875" style="2" customWidth="1"/>
    <col min="15613" max="15613" width="30.5703125" style="2" customWidth="1"/>
    <col min="15614" max="15614" width="33.85546875" style="2" customWidth="1"/>
    <col min="15615" max="15615" width="5.140625" style="2" customWidth="1"/>
    <col min="15616" max="15617" width="17.5703125" style="2" customWidth="1"/>
    <col min="15618" max="15861" width="9.140625" style="2"/>
    <col min="15862" max="15862" width="3.5703125" style="2" customWidth="1"/>
    <col min="15863" max="15863" width="96.85546875" style="2" customWidth="1"/>
    <col min="15864" max="15864" width="30.85546875" style="2" customWidth="1"/>
    <col min="15865" max="15865" width="12.5703125" style="2" customWidth="1"/>
    <col min="15866" max="15866" width="5.140625" style="2" customWidth="1"/>
    <col min="15867" max="15867" width="9.140625" style="2"/>
    <col min="15868" max="15868" width="4.85546875" style="2" customWidth="1"/>
    <col min="15869" max="15869" width="30.5703125" style="2" customWidth="1"/>
    <col min="15870" max="15870" width="33.85546875" style="2" customWidth="1"/>
    <col min="15871" max="15871" width="5.140625" style="2" customWidth="1"/>
    <col min="15872" max="15873" width="17.5703125" style="2" customWidth="1"/>
    <col min="15874" max="16117" width="9.140625" style="2"/>
    <col min="16118" max="16118" width="3.5703125" style="2" customWidth="1"/>
    <col min="16119" max="16119" width="96.85546875" style="2" customWidth="1"/>
    <col min="16120" max="16120" width="30.85546875" style="2" customWidth="1"/>
    <col min="16121" max="16121" width="12.5703125" style="2" customWidth="1"/>
    <col min="16122" max="16122" width="5.140625" style="2" customWidth="1"/>
    <col min="16123" max="16123" width="9.140625" style="2"/>
    <col min="16124" max="16124" width="4.85546875" style="2" customWidth="1"/>
    <col min="16125" max="16125" width="30.5703125" style="2" customWidth="1"/>
    <col min="16126" max="16126" width="33.85546875" style="2" customWidth="1"/>
    <col min="16127" max="16127" width="5.140625" style="2" customWidth="1"/>
    <col min="16128" max="16129" width="17.5703125" style="2" customWidth="1"/>
    <col min="16130" max="16384" width="9.140625" style="2"/>
  </cols>
  <sheetData>
    <row r="1" spans="1:3" ht="48" customHeight="1" x14ac:dyDescent="0.2">
      <c r="A1" s="111"/>
      <c r="B1" s="143" t="s">
        <v>225</v>
      </c>
      <c r="C1" s="143"/>
    </row>
    <row r="2" spans="1:3" x14ac:dyDescent="0.2">
      <c r="A2" s="1"/>
      <c r="B2" s="3" t="s">
        <v>2</v>
      </c>
      <c r="C2" s="4">
        <v>45317</v>
      </c>
    </row>
    <row r="3" spans="1:3" x14ac:dyDescent="0.2">
      <c r="A3" s="1"/>
      <c r="B3" s="112" t="s">
        <v>3</v>
      </c>
    </row>
    <row r="4" spans="1:3" ht="25.5" x14ac:dyDescent="0.2">
      <c r="A4" s="7"/>
      <c r="B4" s="8" t="str">
        <f>[15]И1!D13</f>
        <v>Субъект Российской Федерации</v>
      </c>
      <c r="C4" s="9" t="str">
        <f>[15]И1!E13</f>
        <v>Новосибирская область</v>
      </c>
    </row>
    <row r="5" spans="1:3" ht="38.25" x14ac:dyDescent="0.2">
      <c r="A5" s="7"/>
      <c r="B5" s="8" t="str">
        <f>[15]И1!D14</f>
        <v>Тип муниципального образования (выберите из списка)</v>
      </c>
      <c r="C5" s="9" t="str">
        <f>[15]И1!E14</f>
        <v>поселок Петровский, Ордынский муниципальный район</v>
      </c>
    </row>
    <row r="6" spans="1:3" x14ac:dyDescent="0.2">
      <c r="A6" s="7"/>
      <c r="B6" s="8" t="str">
        <f>IF([15]И1!E15="","",[15]И1!D15)</f>
        <v/>
      </c>
      <c r="C6" s="9" t="str">
        <f>IF([15]И1!E15="","",[15]И1!E15)</f>
        <v/>
      </c>
    </row>
    <row r="7" spans="1:3" x14ac:dyDescent="0.2">
      <c r="A7" s="7"/>
      <c r="B7" s="8" t="str">
        <f>[15]И1!D16</f>
        <v>Код ОКТМО</v>
      </c>
      <c r="C7" s="10" t="str">
        <f>[15]И1!E16</f>
        <v>50642419101</v>
      </c>
    </row>
    <row r="8" spans="1:3" x14ac:dyDescent="0.2">
      <c r="A8" s="7"/>
      <c r="B8" s="11" t="str">
        <f>[15]И1!D17</f>
        <v>Система теплоснабжения</v>
      </c>
      <c r="C8" s="12">
        <f>[15]И1!E17</f>
        <v>0</v>
      </c>
    </row>
    <row r="9" spans="1:3" x14ac:dyDescent="0.2">
      <c r="A9" s="7"/>
      <c r="B9" s="8" t="str">
        <f>[15]И1!D8</f>
        <v>Период регулирования (i)-й</v>
      </c>
      <c r="C9" s="13">
        <f>[15]И1!E8</f>
        <v>2024</v>
      </c>
    </row>
    <row r="10" spans="1:3" x14ac:dyDescent="0.2">
      <c r="A10" s="7"/>
      <c r="B10" s="8" t="str">
        <f>[15]И1!D9</f>
        <v>Период регулирования (i-1)-й</v>
      </c>
      <c r="C10" s="13">
        <f>[15]И1!E9</f>
        <v>2023</v>
      </c>
    </row>
    <row r="11" spans="1:3" x14ac:dyDescent="0.2">
      <c r="A11" s="7"/>
      <c r="B11" s="8" t="str">
        <f>[15]И1!D10</f>
        <v>Период регулирования (i-2)-й</v>
      </c>
      <c r="C11" s="13">
        <f>[15]И1!E10</f>
        <v>2022</v>
      </c>
    </row>
    <row r="12" spans="1:3" x14ac:dyDescent="0.2">
      <c r="A12" s="7"/>
      <c r="B12" s="8" t="str">
        <f>[15]И1!D11</f>
        <v>Базовый год (б)</v>
      </c>
      <c r="C12" s="13">
        <f>[15]И1!E11</f>
        <v>2019</v>
      </c>
    </row>
    <row r="13" spans="1:3" ht="38.25" x14ac:dyDescent="0.2">
      <c r="A13" s="7"/>
      <c r="B13" s="8" t="str">
        <f>[15]И1!D18</f>
        <v>Вид топлива, использование которого преобладает в системе теплоснабжения</v>
      </c>
      <c r="C13" s="14" t="str">
        <f>[15]С1.1!E13</f>
        <v>уголь (вид угля не указан в топливном балансе)</v>
      </c>
    </row>
    <row r="14" spans="1:3" ht="31.7" customHeight="1" thickBot="1" x14ac:dyDescent="0.25">
      <c r="A14" s="146" t="s">
        <v>4</v>
      </c>
      <c r="B14" s="146"/>
      <c r="C14" s="146"/>
    </row>
    <row r="15" spans="1:3" x14ac:dyDescent="0.2">
      <c r="A15" s="15" t="s">
        <v>5</v>
      </c>
      <c r="B15" s="113" t="s">
        <v>6</v>
      </c>
      <c r="C15" s="114" t="s">
        <v>7</v>
      </c>
    </row>
    <row r="16" spans="1:3" x14ac:dyDescent="0.2">
      <c r="A16" s="18">
        <v>1</v>
      </c>
      <c r="B16" s="115">
        <v>2</v>
      </c>
      <c r="C16" s="116">
        <v>3</v>
      </c>
    </row>
    <row r="17" spans="1:3" x14ac:dyDescent="0.2">
      <c r="A17" s="21">
        <v>1</v>
      </c>
      <c r="B17" s="22" t="s">
        <v>8</v>
      </c>
      <c r="C17" s="23">
        <f>SUM(C18:C22)</f>
        <v>3658.3158518462883</v>
      </c>
    </row>
    <row r="18" spans="1:3" ht="42.75" x14ac:dyDescent="0.2">
      <c r="A18" s="21" t="s">
        <v>9</v>
      </c>
      <c r="B18" s="24" t="s">
        <v>10</v>
      </c>
      <c r="C18" s="25">
        <f>[15]С1!F12</f>
        <v>681.72722270675411</v>
      </c>
    </row>
    <row r="19" spans="1:3" ht="42.75" x14ac:dyDescent="0.2">
      <c r="A19" s="21" t="s">
        <v>11</v>
      </c>
      <c r="B19" s="24" t="s">
        <v>12</v>
      </c>
      <c r="C19" s="25">
        <f>[15]С2!F12</f>
        <v>1988.7336845318171</v>
      </c>
    </row>
    <row r="20" spans="1:3" ht="30" x14ac:dyDescent="0.2">
      <c r="A20" s="21" t="s">
        <v>13</v>
      </c>
      <c r="B20" s="24" t="s">
        <v>14</v>
      </c>
      <c r="C20" s="25">
        <f>[15]С3!F12</f>
        <v>472.61808029676507</v>
      </c>
    </row>
    <row r="21" spans="1:3" ht="42.75" x14ac:dyDescent="0.2">
      <c r="A21" s="21" t="s">
        <v>15</v>
      </c>
      <c r="B21" s="24" t="s">
        <v>226</v>
      </c>
      <c r="C21" s="25">
        <f>[15]С4!F12</f>
        <v>443.50518094141711</v>
      </c>
    </row>
    <row r="22" spans="1:3" ht="30" x14ac:dyDescent="0.2">
      <c r="A22" s="21" t="s">
        <v>17</v>
      </c>
      <c r="B22" s="24" t="s">
        <v>227</v>
      </c>
      <c r="C22" s="25">
        <f>[15]С5!F12</f>
        <v>71.731683369535062</v>
      </c>
    </row>
    <row r="23" spans="1:3" ht="43.5" thickBot="1" x14ac:dyDescent="0.25">
      <c r="A23" s="26" t="s">
        <v>19</v>
      </c>
      <c r="B23" s="140" t="s">
        <v>228</v>
      </c>
      <c r="C23" s="27" t="str">
        <f>[15]С6!F12</f>
        <v>-</v>
      </c>
    </row>
    <row r="24" spans="1:3" ht="13.5" thickBot="1" x14ac:dyDescent="0.25">
      <c r="A24" s="1"/>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229</v>
      </c>
      <c r="C28" s="32">
        <f>[15]С1.1!E16</f>
        <v>5100</v>
      </c>
    </row>
    <row r="29" spans="1:3" ht="42.75" x14ac:dyDescent="0.2">
      <c r="A29" s="21" t="s">
        <v>11</v>
      </c>
      <c r="B29" s="31" t="s">
        <v>230</v>
      </c>
      <c r="C29" s="32">
        <f>[15]С1.1!E27</f>
        <v>3063.03</v>
      </c>
    </row>
    <row r="30" spans="1:3" ht="17.25" x14ac:dyDescent="0.2">
      <c r="A30" s="21" t="s">
        <v>13</v>
      </c>
      <c r="B30" s="31" t="s">
        <v>30</v>
      </c>
      <c r="C30" s="34">
        <f>[15]С1.1!E19</f>
        <v>-0.19900000000000001</v>
      </c>
    </row>
    <row r="31" spans="1:3" ht="17.25" x14ac:dyDescent="0.2">
      <c r="A31" s="21" t="s">
        <v>15</v>
      </c>
      <c r="B31" s="31" t="s">
        <v>31</v>
      </c>
      <c r="C31" s="34">
        <f>[15]С1.1!E20</f>
        <v>5.7000000000000002E-2</v>
      </c>
    </row>
    <row r="32" spans="1:3" ht="30" x14ac:dyDescent="0.2">
      <c r="A32" s="21" t="s">
        <v>17</v>
      </c>
      <c r="B32" s="35" t="s">
        <v>231</v>
      </c>
      <c r="C32" s="117">
        <f>[15]С1!F13</f>
        <v>176.4</v>
      </c>
    </row>
    <row r="33" spans="1:3" x14ac:dyDescent="0.2">
      <c r="A33" s="21" t="s">
        <v>19</v>
      </c>
      <c r="B33" s="35" t="s">
        <v>33</v>
      </c>
      <c r="C33" s="37">
        <f>[15]С1!F16</f>
        <v>7000</v>
      </c>
    </row>
    <row r="34" spans="1:3" ht="14.25" x14ac:dyDescent="0.2">
      <c r="A34" s="21" t="s">
        <v>34</v>
      </c>
      <c r="B34" s="39" t="s">
        <v>232</v>
      </c>
      <c r="C34" s="40">
        <f>[15]С1!F17</f>
        <v>0.72857142857142854</v>
      </c>
    </row>
    <row r="35" spans="1:3" ht="15.75" x14ac:dyDescent="0.2">
      <c r="A35" s="118" t="s">
        <v>36</v>
      </c>
      <c r="B35" s="42" t="s">
        <v>37</v>
      </c>
      <c r="C35" s="40">
        <f>[15]С1!F20</f>
        <v>21.588411179999994</v>
      </c>
    </row>
    <row r="36" spans="1:3" ht="15.75" x14ac:dyDescent="0.2">
      <c r="A36" s="118" t="s">
        <v>38</v>
      </c>
      <c r="B36" s="43" t="s">
        <v>39</v>
      </c>
      <c r="C36" s="40">
        <f>[15]С1!F21</f>
        <v>20.818139999999996</v>
      </c>
    </row>
    <row r="37" spans="1:3" ht="14.25" x14ac:dyDescent="0.2">
      <c r="A37" s="118" t="s">
        <v>40</v>
      </c>
      <c r="B37" s="44" t="s">
        <v>41</v>
      </c>
      <c r="C37" s="40">
        <f>[15]С1!F22</f>
        <v>1.0369999999999999</v>
      </c>
    </row>
    <row r="38" spans="1:3" ht="53.25" thickBot="1" x14ac:dyDescent="0.25">
      <c r="A38" s="26" t="s">
        <v>42</v>
      </c>
      <c r="B38" s="45" t="s">
        <v>43</v>
      </c>
      <c r="C38" s="46">
        <f>[15]С1!F23</f>
        <v>1.0469999999999999</v>
      </c>
    </row>
    <row r="39" spans="1:3" ht="13.5" thickBot="1" x14ac:dyDescent="0.25">
      <c r="A39" s="47"/>
      <c r="B39" s="119"/>
      <c r="C39" s="120"/>
    </row>
    <row r="40" spans="1:3" ht="30" customHeight="1" x14ac:dyDescent="0.2">
      <c r="A40" s="49" t="s">
        <v>44</v>
      </c>
      <c r="B40" s="145" t="s">
        <v>45</v>
      </c>
      <c r="C40" s="145"/>
    </row>
    <row r="41" spans="1:3" ht="25.5" x14ac:dyDescent="0.2">
      <c r="A41" s="21" t="s">
        <v>46</v>
      </c>
      <c r="B41" s="35" t="s">
        <v>47</v>
      </c>
      <c r="C41" s="50" t="str">
        <f>[15]С2.1!E12</f>
        <v>V</v>
      </c>
    </row>
    <row r="42" spans="1:3" ht="25.5" x14ac:dyDescent="0.2">
      <c r="A42" s="21" t="s">
        <v>48</v>
      </c>
      <c r="B42" s="31" t="s">
        <v>49</v>
      </c>
      <c r="C42" s="50" t="str">
        <f>[15]С2.1!E13</f>
        <v>6 и менее баллов</v>
      </c>
    </row>
    <row r="43" spans="1:3" ht="25.5" x14ac:dyDescent="0.2">
      <c r="A43" s="21" t="s">
        <v>50</v>
      </c>
      <c r="B43" s="31" t="s">
        <v>233</v>
      </c>
      <c r="C43" s="50" t="str">
        <f>[15]С2.1!E14</f>
        <v>от 200 до 500</v>
      </c>
    </row>
    <row r="44" spans="1:3" ht="25.5" x14ac:dyDescent="0.2">
      <c r="A44" s="21" t="s">
        <v>52</v>
      </c>
      <c r="B44" s="31" t="s">
        <v>234</v>
      </c>
      <c r="C44" s="51" t="str">
        <f>[15]С2.1!E15</f>
        <v>нет</v>
      </c>
    </row>
    <row r="45" spans="1:3" ht="30" x14ac:dyDescent="0.2">
      <c r="A45" s="21" t="s">
        <v>54</v>
      </c>
      <c r="B45" s="31" t="s">
        <v>55</v>
      </c>
      <c r="C45" s="32">
        <f>[15]С2!F18</f>
        <v>35106.652004551666</v>
      </c>
    </row>
    <row r="46" spans="1:3" ht="30" x14ac:dyDescent="0.2">
      <c r="A46" s="21" t="s">
        <v>56</v>
      </c>
      <c r="B46" s="52" t="s">
        <v>57</v>
      </c>
      <c r="C46" s="32">
        <f>IF([15]С2!F19&gt;0,[15]С2!F19,[15]С2!F20)</f>
        <v>23441.524932855718</v>
      </c>
    </row>
    <row r="47" spans="1:3" ht="25.5" x14ac:dyDescent="0.2">
      <c r="A47" s="21" t="s">
        <v>58</v>
      </c>
      <c r="B47" s="53" t="s">
        <v>59</v>
      </c>
      <c r="C47" s="32">
        <f>[15]С2.1!E19</f>
        <v>-37</v>
      </c>
    </row>
    <row r="48" spans="1:3" ht="25.5" x14ac:dyDescent="0.2">
      <c r="A48" s="21" t="s">
        <v>60</v>
      </c>
      <c r="B48" s="53" t="s">
        <v>61</v>
      </c>
      <c r="C48" s="32" t="str">
        <f>[15]С2.1!E22</f>
        <v>нет</v>
      </c>
    </row>
    <row r="49" spans="1:3" ht="38.25" x14ac:dyDescent="0.2">
      <c r="A49" s="21" t="s">
        <v>62</v>
      </c>
      <c r="B49" s="54" t="s">
        <v>63</v>
      </c>
      <c r="C49" s="32">
        <f>[15]С2.2!E10</f>
        <v>1287</v>
      </c>
    </row>
    <row r="50" spans="1:3" ht="25.5" x14ac:dyDescent="0.2">
      <c r="A50" s="21" t="s">
        <v>64</v>
      </c>
      <c r="B50" s="55" t="s">
        <v>65</v>
      </c>
      <c r="C50" s="32">
        <f>[15]С2.2!E12</f>
        <v>5.97</v>
      </c>
    </row>
    <row r="51" spans="1:3" ht="52.5" x14ac:dyDescent="0.2">
      <c r="A51" s="21" t="s">
        <v>66</v>
      </c>
      <c r="B51" s="56" t="s">
        <v>67</v>
      </c>
      <c r="C51" s="32">
        <f>[15]С2.2!E13</f>
        <v>1</v>
      </c>
    </row>
    <row r="52" spans="1:3" ht="27.75" x14ac:dyDescent="0.2">
      <c r="A52" s="21" t="s">
        <v>68</v>
      </c>
      <c r="B52" s="55" t="s">
        <v>69</v>
      </c>
      <c r="C52" s="32">
        <f>[15]С2.2!E14</f>
        <v>12104</v>
      </c>
    </row>
    <row r="53" spans="1:3" ht="25.5" x14ac:dyDescent="0.2">
      <c r="A53" s="21" t="s">
        <v>70</v>
      </c>
      <c r="B53" s="56" t="s">
        <v>71</v>
      </c>
      <c r="C53" s="34">
        <f>[15]С2.2!E15</f>
        <v>4.8000000000000001E-2</v>
      </c>
    </row>
    <row r="54" spans="1:3" x14ac:dyDescent="0.2">
      <c r="A54" s="21" t="s">
        <v>72</v>
      </c>
      <c r="B54" s="56" t="s">
        <v>73</v>
      </c>
      <c r="C54" s="32">
        <f>[15]С2.2!E16</f>
        <v>1</v>
      </c>
    </row>
    <row r="55" spans="1:3" ht="15.75" x14ac:dyDescent="0.2">
      <c r="A55" s="21" t="s">
        <v>74</v>
      </c>
      <c r="B55" s="58" t="s">
        <v>75</v>
      </c>
      <c r="C55" s="32">
        <f>[15]С2!F21</f>
        <v>1</v>
      </c>
    </row>
    <row r="56" spans="1:3" ht="30" x14ac:dyDescent="0.2">
      <c r="A56" s="59" t="s">
        <v>76</v>
      </c>
      <c r="B56" s="31" t="s">
        <v>235</v>
      </c>
      <c r="C56" s="32">
        <f>[15]С2!F13</f>
        <v>183796.83936385796</v>
      </c>
    </row>
    <row r="57" spans="1:3" ht="30" x14ac:dyDescent="0.2">
      <c r="A57" s="59" t="s">
        <v>78</v>
      </c>
      <c r="B57" s="58" t="s">
        <v>236</v>
      </c>
      <c r="C57" s="32">
        <f>[15]С2!F14</f>
        <v>113455</v>
      </c>
    </row>
    <row r="58" spans="1:3" ht="15.75" x14ac:dyDescent="0.2">
      <c r="A58" s="59" t="s">
        <v>80</v>
      </c>
      <c r="B58" s="60" t="s">
        <v>81</v>
      </c>
      <c r="C58" s="40">
        <f>[15]С2!F15</f>
        <v>1.071</v>
      </c>
    </row>
    <row r="59" spans="1:3" ht="15.75" x14ac:dyDescent="0.2">
      <c r="A59" s="59" t="s">
        <v>82</v>
      </c>
      <c r="B59" s="60" t="s">
        <v>83</v>
      </c>
      <c r="C59" s="40">
        <f>[15]С2!F16</f>
        <v>1</v>
      </c>
    </row>
    <row r="60" spans="1:3" ht="17.25" x14ac:dyDescent="0.2">
      <c r="A60" s="59" t="s">
        <v>84</v>
      </c>
      <c r="B60" s="58" t="s">
        <v>85</v>
      </c>
      <c r="C60" s="32">
        <f>[15]С2!F17</f>
        <v>1.01</v>
      </c>
    </row>
    <row r="61" spans="1:3" s="65" customFormat="1" ht="14.25" x14ac:dyDescent="0.2">
      <c r="A61" s="59" t="s">
        <v>86</v>
      </c>
      <c r="B61" s="63" t="s">
        <v>87</v>
      </c>
      <c r="C61" s="64">
        <f>[15]С2!F33</f>
        <v>10</v>
      </c>
    </row>
    <row r="62" spans="1:3" ht="30" x14ac:dyDescent="0.2">
      <c r="A62" s="59" t="s">
        <v>88</v>
      </c>
      <c r="B62" s="66" t="s">
        <v>89</v>
      </c>
      <c r="C62" s="32">
        <f>[15]С2!F26</f>
        <v>1266.3745527115127</v>
      </c>
    </row>
    <row r="63" spans="1:3" ht="17.25" x14ac:dyDescent="0.2">
      <c r="A63" s="59" t="s">
        <v>90</v>
      </c>
      <c r="B63" s="52" t="s">
        <v>237</v>
      </c>
      <c r="C63" s="32">
        <f>[15]С2!F27</f>
        <v>0.201330388</v>
      </c>
    </row>
    <row r="64" spans="1:3" ht="17.25" x14ac:dyDescent="0.2">
      <c r="A64" s="59" t="s">
        <v>92</v>
      </c>
      <c r="B64" s="58" t="s">
        <v>238</v>
      </c>
      <c r="C64" s="64">
        <f>[15]С2!F28</f>
        <v>4200</v>
      </c>
    </row>
    <row r="65" spans="1:3" ht="42.75" x14ac:dyDescent="0.2">
      <c r="A65" s="59" t="s">
        <v>94</v>
      </c>
      <c r="B65" s="31" t="s">
        <v>239</v>
      </c>
      <c r="C65" s="32">
        <f>[15]С2!F22</f>
        <v>38698.422798410109</v>
      </c>
    </row>
    <row r="66" spans="1:3" ht="30" x14ac:dyDescent="0.2">
      <c r="A66" s="59" t="s">
        <v>96</v>
      </c>
      <c r="B66" s="60" t="s">
        <v>240</v>
      </c>
      <c r="C66" s="32">
        <f>[15]С2!F23</f>
        <v>1990</v>
      </c>
    </row>
    <row r="67" spans="1:3" ht="30" x14ac:dyDescent="0.2">
      <c r="A67" s="59" t="s">
        <v>98</v>
      </c>
      <c r="B67" s="52" t="s">
        <v>99</v>
      </c>
      <c r="C67" s="32">
        <f>[15]С2.1!E27</f>
        <v>14307.876789999998</v>
      </c>
    </row>
    <row r="68" spans="1:3" ht="38.25" x14ac:dyDescent="0.2">
      <c r="A68" s="59" t="s">
        <v>100</v>
      </c>
      <c r="B68" s="67" t="s">
        <v>101</v>
      </c>
      <c r="C68" s="51">
        <f>[15]С2.3!E21</f>
        <v>0</v>
      </c>
    </row>
    <row r="69" spans="1:3" ht="25.5" x14ac:dyDescent="0.2">
      <c r="A69" s="59" t="s">
        <v>102</v>
      </c>
      <c r="B69" s="68" t="s">
        <v>103</v>
      </c>
      <c r="C69" s="69">
        <f>[15]С2.3!E11</f>
        <v>9.89</v>
      </c>
    </row>
    <row r="70" spans="1:3" ht="25.5" x14ac:dyDescent="0.2">
      <c r="A70" s="59" t="s">
        <v>104</v>
      </c>
      <c r="B70" s="68" t="s">
        <v>105</v>
      </c>
      <c r="C70" s="64">
        <f>[15]С2.3!E13</f>
        <v>300</v>
      </c>
    </row>
    <row r="71" spans="1:3" ht="25.5" x14ac:dyDescent="0.2">
      <c r="A71" s="59" t="s">
        <v>106</v>
      </c>
      <c r="B71" s="67" t="s">
        <v>107</v>
      </c>
      <c r="C71" s="70">
        <f>IF([15]С2.3!E22&gt;0,[15]С2.3!E22,[15]С2.3!E14)</f>
        <v>61211</v>
      </c>
    </row>
    <row r="72" spans="1:3" ht="38.25" x14ac:dyDescent="0.2">
      <c r="A72" s="59" t="s">
        <v>108</v>
      </c>
      <c r="B72" s="67" t="s">
        <v>109</v>
      </c>
      <c r="C72" s="70">
        <f>IF([15]С2.3!E23&gt;0,[15]С2.3!E23,[15]С2.3!E15)</f>
        <v>45675</v>
      </c>
    </row>
    <row r="73" spans="1:3" ht="30" x14ac:dyDescent="0.2">
      <c r="A73" s="59" t="s">
        <v>110</v>
      </c>
      <c r="B73" s="52" t="s">
        <v>111</v>
      </c>
      <c r="C73" s="32">
        <f>[15]С2.1!E28</f>
        <v>9541.9567200000001</v>
      </c>
    </row>
    <row r="74" spans="1:3" ht="38.25" x14ac:dyDescent="0.2">
      <c r="A74" s="59" t="s">
        <v>112</v>
      </c>
      <c r="B74" s="67" t="s">
        <v>113</v>
      </c>
      <c r="C74" s="51">
        <f>[15]С2.3!E25</f>
        <v>0</v>
      </c>
    </row>
    <row r="75" spans="1:3" ht="25.5" x14ac:dyDescent="0.2">
      <c r="A75" s="59" t="s">
        <v>114</v>
      </c>
      <c r="B75" s="68" t="s">
        <v>115</v>
      </c>
      <c r="C75" s="69">
        <f>[15]С2.3!E12</f>
        <v>0.56000000000000005</v>
      </c>
    </row>
    <row r="76" spans="1:3" ht="25.5" x14ac:dyDescent="0.2">
      <c r="A76" s="59" t="s">
        <v>116</v>
      </c>
      <c r="B76" s="68" t="s">
        <v>105</v>
      </c>
      <c r="C76" s="64">
        <f>[15]С2.3!E13</f>
        <v>300</v>
      </c>
    </row>
    <row r="77" spans="1:3" ht="25.5" x14ac:dyDescent="0.2">
      <c r="A77" s="59" t="s">
        <v>117</v>
      </c>
      <c r="B77" s="71" t="s">
        <v>118</v>
      </c>
      <c r="C77" s="70">
        <f>IF([15]С2.3!E26&gt;0,[15]С2.3!E26,[15]С2.3!E16)</f>
        <v>65637</v>
      </c>
    </row>
    <row r="78" spans="1:3" ht="38.25" x14ac:dyDescent="0.2">
      <c r="A78" s="59" t="s">
        <v>119</v>
      </c>
      <c r="B78" s="71" t="s">
        <v>120</v>
      </c>
      <c r="C78" s="70">
        <f>IF([15]С2.3!E27&gt;0,[15]С2.3!E27,[15]С2.3!E17)</f>
        <v>31684</v>
      </c>
    </row>
    <row r="79" spans="1:3" ht="17.25" x14ac:dyDescent="0.2">
      <c r="A79" s="59" t="s">
        <v>123</v>
      </c>
      <c r="B79" s="31" t="s">
        <v>124</v>
      </c>
      <c r="C79" s="34">
        <f>[15]С2!F29</f>
        <v>9.5962865259740182E-2</v>
      </c>
    </row>
    <row r="80" spans="1:3" ht="30" x14ac:dyDescent="0.2">
      <c r="A80" s="59" t="s">
        <v>125</v>
      </c>
      <c r="B80" s="52" t="s">
        <v>126</v>
      </c>
      <c r="C80" s="72">
        <f>[15]С2!F30</f>
        <v>8.4029304029304031E-2</v>
      </c>
    </row>
    <row r="81" spans="1:3" ht="17.25" x14ac:dyDescent="0.2">
      <c r="A81" s="59" t="s">
        <v>127</v>
      </c>
      <c r="B81" s="73" t="s">
        <v>128</v>
      </c>
      <c r="C81" s="34">
        <f>[15]С2!F31</f>
        <v>0.13880000000000001</v>
      </c>
    </row>
    <row r="82" spans="1:3" s="65" customFormat="1" ht="18" thickBot="1" x14ac:dyDescent="0.25">
      <c r="A82" s="74" t="s">
        <v>129</v>
      </c>
      <c r="B82" s="75" t="s">
        <v>130</v>
      </c>
      <c r="C82" s="76">
        <f>[15]С2!F32</f>
        <v>0.12640000000000001</v>
      </c>
    </row>
    <row r="83" spans="1:3" ht="13.5" thickBot="1" x14ac:dyDescent="0.25">
      <c r="A83" s="47"/>
      <c r="B83" s="48"/>
      <c r="C83" s="14"/>
    </row>
    <row r="84" spans="1:3" s="65" customFormat="1" ht="30" customHeight="1" x14ac:dyDescent="0.2">
      <c r="A84" s="77" t="s">
        <v>131</v>
      </c>
      <c r="B84" s="145" t="s">
        <v>132</v>
      </c>
      <c r="C84" s="145"/>
    </row>
    <row r="85" spans="1:3" s="65" customFormat="1" ht="30" x14ac:dyDescent="0.2">
      <c r="A85" s="78" t="s">
        <v>133</v>
      </c>
      <c r="B85" s="31" t="s">
        <v>134</v>
      </c>
      <c r="C85" s="32">
        <f>[15]С3!F14</f>
        <v>6057.0688307111368</v>
      </c>
    </row>
    <row r="86" spans="1:3" s="65" customFormat="1" ht="42.75" x14ac:dyDescent="0.2">
      <c r="A86" s="78" t="s">
        <v>135</v>
      </c>
      <c r="B86" s="52" t="s">
        <v>136</v>
      </c>
      <c r="C86" s="79">
        <f>[15]С3!F15</f>
        <v>0.2</v>
      </c>
    </row>
    <row r="87" spans="1:3" s="65" customFormat="1" ht="14.25" x14ac:dyDescent="0.2">
      <c r="A87" s="78" t="s">
        <v>137</v>
      </c>
      <c r="B87" s="80" t="s">
        <v>138</v>
      </c>
      <c r="C87" s="64">
        <f>[15]С3!F18</f>
        <v>15</v>
      </c>
    </row>
    <row r="88" spans="1:3" s="65" customFormat="1" ht="17.25" x14ac:dyDescent="0.2">
      <c r="A88" s="78" t="s">
        <v>139</v>
      </c>
      <c r="B88" s="31" t="s">
        <v>140</v>
      </c>
      <c r="C88" s="32">
        <f>[15]С3!F19</f>
        <v>3778.1614077800232</v>
      </c>
    </row>
    <row r="89" spans="1:3" s="65" customFormat="1" ht="55.5" x14ac:dyDescent="0.2">
      <c r="A89" s="78" t="s">
        <v>141</v>
      </c>
      <c r="B89" s="52" t="s">
        <v>142</v>
      </c>
      <c r="C89" s="81">
        <f>[15]С3!F20</f>
        <v>2.1999999999999999E-2</v>
      </c>
    </row>
    <row r="90" spans="1:3" s="65" customFormat="1" ht="14.25" x14ac:dyDescent="0.2">
      <c r="A90" s="78" t="s">
        <v>143</v>
      </c>
      <c r="B90" s="58" t="s">
        <v>87</v>
      </c>
      <c r="C90" s="64">
        <f>[15]С3!F21</f>
        <v>10</v>
      </c>
    </row>
    <row r="91" spans="1:3" s="65" customFormat="1" ht="17.25" x14ac:dyDescent="0.2">
      <c r="A91" s="78" t="s">
        <v>144</v>
      </c>
      <c r="B91" s="31" t="s">
        <v>145</v>
      </c>
      <c r="C91" s="32">
        <f>[15]С3!F22</f>
        <v>3.7991236581345382</v>
      </c>
    </row>
    <row r="92" spans="1:3" s="65" customFormat="1" ht="55.5" x14ac:dyDescent="0.2">
      <c r="A92" s="78" t="s">
        <v>146</v>
      </c>
      <c r="B92" s="52" t="s">
        <v>147</v>
      </c>
      <c r="C92" s="81">
        <f>[15]С3!F23</f>
        <v>3.0000000000000001E-3</v>
      </c>
    </row>
    <row r="93" spans="1:3" s="65" customFormat="1" ht="27.75" thickBot="1" x14ac:dyDescent="0.25">
      <c r="A93" s="82" t="s">
        <v>148</v>
      </c>
      <c r="B93" s="83" t="s">
        <v>241</v>
      </c>
      <c r="C93" s="84">
        <f>[15]С3!F24</f>
        <v>1266.3745527115127</v>
      </c>
    </row>
    <row r="94" spans="1:3" ht="13.5" thickBot="1" x14ac:dyDescent="0.25">
      <c r="A94" s="47"/>
      <c r="B94" s="48"/>
      <c r="C94" s="14"/>
    </row>
    <row r="95" spans="1:3" ht="30" customHeight="1" x14ac:dyDescent="0.2">
      <c r="A95" s="85" t="s">
        <v>149</v>
      </c>
      <c r="B95" s="145" t="s">
        <v>150</v>
      </c>
      <c r="C95" s="145"/>
    </row>
    <row r="96" spans="1:3" ht="30" x14ac:dyDescent="0.2">
      <c r="A96" s="59" t="s">
        <v>151</v>
      </c>
      <c r="B96" s="31" t="s">
        <v>242</v>
      </c>
      <c r="C96" s="32">
        <f>[15]С4!F16</f>
        <v>1652.5</v>
      </c>
    </row>
    <row r="97" spans="1:3" ht="30" x14ac:dyDescent="0.2">
      <c r="A97" s="59" t="s">
        <v>153</v>
      </c>
      <c r="B97" s="58" t="s">
        <v>243</v>
      </c>
      <c r="C97" s="32">
        <f>[15]С4!F17</f>
        <v>73547</v>
      </c>
    </row>
    <row r="98" spans="1:3" ht="17.25" x14ac:dyDescent="0.2">
      <c r="A98" s="59" t="s">
        <v>155</v>
      </c>
      <c r="B98" s="58" t="s">
        <v>156</v>
      </c>
      <c r="C98" s="40">
        <f>[15]С4!F18</f>
        <v>0.02</v>
      </c>
    </row>
    <row r="99" spans="1:3" ht="30" x14ac:dyDescent="0.2">
      <c r="A99" s="59" t="s">
        <v>157</v>
      </c>
      <c r="B99" s="58" t="s">
        <v>158</v>
      </c>
      <c r="C99" s="32">
        <f>[15]С4!F19</f>
        <v>12104</v>
      </c>
    </row>
    <row r="100" spans="1:3" ht="28.5" x14ac:dyDescent="0.2">
      <c r="A100" s="59" t="s">
        <v>159</v>
      </c>
      <c r="B100" s="58" t="s">
        <v>160</v>
      </c>
      <c r="C100" s="40">
        <f>[15]С4!F20</f>
        <v>1.4999999999999999E-2</v>
      </c>
    </row>
    <row r="101" spans="1:3" ht="30" x14ac:dyDescent="0.2">
      <c r="A101" s="59" t="s">
        <v>161</v>
      </c>
      <c r="B101" s="31" t="s">
        <v>244</v>
      </c>
      <c r="C101" s="32">
        <f>[15]С4!F21</f>
        <v>1933.1949342509995</v>
      </c>
    </row>
    <row r="102" spans="1:3" ht="24" customHeight="1" x14ac:dyDescent="0.2">
      <c r="A102" s="59" t="s">
        <v>163</v>
      </c>
      <c r="B102" s="52" t="s">
        <v>164</v>
      </c>
      <c r="C102" s="33">
        <f>IF([15]С4.2!F8="да",[15]С4.2!D21,[15]С4.2!D15)</f>
        <v>0</v>
      </c>
    </row>
    <row r="103" spans="1:3" ht="68.25" x14ac:dyDescent="0.2">
      <c r="A103" s="59" t="s">
        <v>165</v>
      </c>
      <c r="B103" s="52" t="s">
        <v>166</v>
      </c>
      <c r="C103" s="32">
        <f>[15]С4!F22</f>
        <v>3.6112641666666665</v>
      </c>
    </row>
    <row r="104" spans="1:3" ht="30" x14ac:dyDescent="0.2">
      <c r="A104" s="59" t="s">
        <v>167</v>
      </c>
      <c r="B104" s="58" t="s">
        <v>245</v>
      </c>
      <c r="C104" s="32">
        <f>[15]С4!F23</f>
        <v>180</v>
      </c>
    </row>
    <row r="105" spans="1:3" ht="14.25" x14ac:dyDescent="0.2">
      <c r="A105" s="59" t="s">
        <v>169</v>
      </c>
      <c r="B105" s="52" t="s">
        <v>170</v>
      </c>
      <c r="C105" s="32">
        <f>[15]С4!F24</f>
        <v>8497.1999999999989</v>
      </c>
    </row>
    <row r="106" spans="1:3" ht="14.25" x14ac:dyDescent="0.2">
      <c r="A106" s="59" t="s">
        <v>171</v>
      </c>
      <c r="B106" s="58" t="s">
        <v>172</v>
      </c>
      <c r="C106" s="40">
        <f>[15]С4!F25</f>
        <v>0.35</v>
      </c>
    </row>
    <row r="107" spans="1:3" ht="17.25" x14ac:dyDescent="0.2">
      <c r="A107" s="59" t="s">
        <v>173</v>
      </c>
      <c r="B107" s="31" t="s">
        <v>174</v>
      </c>
      <c r="C107" s="32">
        <f>[15]С4!F26</f>
        <v>71.20329000000001</v>
      </c>
    </row>
    <row r="108" spans="1:3" ht="25.5" x14ac:dyDescent="0.2">
      <c r="A108" s="59" t="s">
        <v>175</v>
      </c>
      <c r="B108" s="52" t="s">
        <v>101</v>
      </c>
      <c r="C108" s="33">
        <f>[15]С4.3!E16</f>
        <v>0</v>
      </c>
    </row>
    <row r="109" spans="1:3" ht="25.5" x14ac:dyDescent="0.2">
      <c r="A109" s="59" t="s">
        <v>176</v>
      </c>
      <c r="B109" s="52" t="s">
        <v>177</v>
      </c>
      <c r="C109" s="32">
        <f>[15]С4.3!E17</f>
        <v>17.37</v>
      </c>
    </row>
    <row r="110" spans="1:3" ht="38.25" x14ac:dyDescent="0.2">
      <c r="A110" s="59" t="s">
        <v>178</v>
      </c>
      <c r="B110" s="52" t="s">
        <v>113</v>
      </c>
      <c r="C110" s="33">
        <f>[15]С4.3!E18</f>
        <v>0</v>
      </c>
    </row>
    <row r="111" spans="1:3" x14ac:dyDescent="0.2">
      <c r="A111" s="59" t="s">
        <v>179</v>
      </c>
      <c r="B111" s="52" t="s">
        <v>180</v>
      </c>
      <c r="C111" s="32">
        <f>[15]С4.3!E19</f>
        <v>50.424999999999997</v>
      </c>
    </row>
    <row r="112" spans="1:3" x14ac:dyDescent="0.2">
      <c r="A112" s="59" t="s">
        <v>181</v>
      </c>
      <c r="B112" s="58" t="s">
        <v>182</v>
      </c>
      <c r="C112" s="32">
        <f>[15]С4.3!E11</f>
        <v>1871</v>
      </c>
    </row>
    <row r="113" spans="1:3" x14ac:dyDescent="0.2">
      <c r="A113" s="59" t="s">
        <v>183</v>
      </c>
      <c r="B113" s="58" t="s">
        <v>184</v>
      </c>
      <c r="C113" s="51">
        <f>[15]С4.3!E12</f>
        <v>1636</v>
      </c>
    </row>
    <row r="114" spans="1:3" x14ac:dyDescent="0.2">
      <c r="A114" s="59" t="s">
        <v>185</v>
      </c>
      <c r="B114" s="58" t="s">
        <v>186</v>
      </c>
      <c r="C114" s="51">
        <f>[15]С4.3!E13</f>
        <v>204</v>
      </c>
    </row>
    <row r="115" spans="1:3" ht="30" x14ac:dyDescent="0.2">
      <c r="A115" s="59" t="s">
        <v>187</v>
      </c>
      <c r="B115" s="31" t="s">
        <v>246</v>
      </c>
      <c r="C115" s="32">
        <f>[15]С4!F27</f>
        <v>1351.1912129385403</v>
      </c>
    </row>
    <row r="116" spans="1:3" ht="25.5" x14ac:dyDescent="0.2">
      <c r="A116" s="59" t="s">
        <v>189</v>
      </c>
      <c r="B116" s="52" t="s">
        <v>247</v>
      </c>
      <c r="C116" s="32">
        <f>[15]С4!F28</f>
        <v>1037.7812695380494</v>
      </c>
    </row>
    <row r="117" spans="1:3" ht="42.75" x14ac:dyDescent="0.2">
      <c r="A117" s="59" t="s">
        <v>191</v>
      </c>
      <c r="B117" s="52" t="s">
        <v>192</v>
      </c>
      <c r="C117" s="32">
        <f>[15]С4!F29</f>
        <v>313.40994340049093</v>
      </c>
    </row>
    <row r="118" spans="1:3" ht="30" x14ac:dyDescent="0.2">
      <c r="A118" s="59" t="s">
        <v>193</v>
      </c>
      <c r="B118" s="39" t="s">
        <v>194</v>
      </c>
      <c r="C118" s="32">
        <f>[15]С4!F30</f>
        <v>1732.7048373114117</v>
      </c>
    </row>
    <row r="119" spans="1:3" ht="42.75" x14ac:dyDescent="0.2">
      <c r="A119" s="59" t="s">
        <v>248</v>
      </c>
      <c r="B119" s="89" t="s">
        <v>249</v>
      </c>
      <c r="C119" s="32">
        <f>[15]С4!F33</f>
        <v>1010.5011744884268</v>
      </c>
    </row>
    <row r="120" spans="1:3" ht="30" x14ac:dyDescent="0.2">
      <c r="A120" s="59" t="s">
        <v>250</v>
      </c>
      <c r="B120" s="121" t="s">
        <v>251</v>
      </c>
      <c r="C120" s="32">
        <f>[15]С4!F35</f>
        <v>17.040680999999999</v>
      </c>
    </row>
    <row r="121" spans="1:3" ht="14.25" x14ac:dyDescent="0.2">
      <c r="A121" s="59" t="s">
        <v>252</v>
      </c>
      <c r="B121" s="55" t="s">
        <v>253</v>
      </c>
      <c r="C121" s="32">
        <f>[15]С4!F36</f>
        <v>14319.9</v>
      </c>
    </row>
    <row r="122" spans="1:3" ht="28.5" thickBot="1" x14ac:dyDescent="0.25">
      <c r="A122" s="74" t="s">
        <v>254</v>
      </c>
      <c r="B122" s="122" t="s">
        <v>255</v>
      </c>
      <c r="C122" s="84">
        <f>[15]С4!F37</f>
        <v>1.19</v>
      </c>
    </row>
    <row r="123" spans="1:3" s="87" customFormat="1" ht="13.5" thickBot="1" x14ac:dyDescent="0.25">
      <c r="A123" s="47"/>
      <c r="B123" s="48"/>
      <c r="C123" s="14"/>
    </row>
    <row r="124" spans="1:3" s="65" customFormat="1" ht="30" customHeight="1" x14ac:dyDescent="0.2">
      <c r="A124" s="77" t="s">
        <v>195</v>
      </c>
      <c r="B124" s="145" t="s">
        <v>196</v>
      </c>
      <c r="C124" s="145"/>
    </row>
    <row r="125" spans="1:3" ht="16.5" thickBot="1" x14ac:dyDescent="0.25">
      <c r="A125" s="26" t="s">
        <v>197</v>
      </c>
      <c r="B125" s="86" t="s">
        <v>198</v>
      </c>
      <c r="C125" s="84">
        <f>[15]С5!F17</f>
        <v>0.02</v>
      </c>
    </row>
    <row r="126" spans="1:3" s="87" customFormat="1" ht="13.5" thickBot="1" x14ac:dyDescent="0.25">
      <c r="A126" s="47"/>
      <c r="B126" s="48"/>
      <c r="C126" s="14"/>
    </row>
    <row r="127" spans="1:3" ht="42.75" customHeight="1" x14ac:dyDescent="0.2">
      <c r="A127" s="85" t="s">
        <v>199</v>
      </c>
      <c r="B127" s="147" t="s">
        <v>200</v>
      </c>
      <c r="C127" s="147"/>
    </row>
    <row r="128" spans="1:3" ht="68.25" x14ac:dyDescent="0.2">
      <c r="A128" s="59" t="s">
        <v>201</v>
      </c>
      <c r="B128" s="88" t="s">
        <v>202</v>
      </c>
      <c r="C128" s="32" t="s">
        <v>256</v>
      </c>
    </row>
    <row r="129" spans="1:3" ht="42.75" hidden="1" x14ac:dyDescent="0.2">
      <c r="A129" s="59" t="s">
        <v>203</v>
      </c>
      <c r="B129" s="89" t="s">
        <v>204</v>
      </c>
      <c r="C129" s="90"/>
    </row>
    <row r="130" spans="1:3" ht="69" thickBot="1" x14ac:dyDescent="0.25">
      <c r="A130" s="74" t="s">
        <v>205</v>
      </c>
      <c r="B130" s="123" t="s">
        <v>206</v>
      </c>
      <c r="C130" s="124" t="s">
        <v>256</v>
      </c>
    </row>
    <row r="131" spans="1:3" ht="62.25" hidden="1" customHeight="1" x14ac:dyDescent="0.2">
      <c r="A131" s="125" t="s">
        <v>207</v>
      </c>
      <c r="B131" s="126" t="s">
        <v>208</v>
      </c>
      <c r="C131" s="127"/>
    </row>
    <row r="132" spans="1:3" ht="68.25" hidden="1" x14ac:dyDescent="0.2">
      <c r="A132" s="59" t="s">
        <v>209</v>
      </c>
      <c r="B132" s="89" t="s">
        <v>257</v>
      </c>
      <c r="C132" s="34"/>
    </row>
    <row r="133" spans="1:3" ht="69" hidden="1" thickBot="1" x14ac:dyDescent="0.25">
      <c r="A133" s="74" t="s">
        <v>211</v>
      </c>
      <c r="B133" s="92" t="s">
        <v>212</v>
      </c>
      <c r="C133" s="76"/>
    </row>
    <row r="134" spans="1:3" s="87" customFormat="1" ht="13.5" thickBot="1" x14ac:dyDescent="0.25">
      <c r="A134" s="47"/>
      <c r="B134" s="48"/>
      <c r="C134" s="14"/>
    </row>
    <row r="135" spans="1:3" ht="26.25" customHeight="1" x14ac:dyDescent="0.2">
      <c r="A135" s="85" t="s">
        <v>213</v>
      </c>
      <c r="B135" s="93" t="s">
        <v>214</v>
      </c>
      <c r="C135" s="94">
        <f>[15]С2!F37</f>
        <v>20.818139999999996</v>
      </c>
    </row>
    <row r="136" spans="1:3" ht="14.25" x14ac:dyDescent="0.2">
      <c r="A136" s="59" t="s">
        <v>215</v>
      </c>
      <c r="B136" s="128" t="s">
        <v>216</v>
      </c>
      <c r="C136" s="32">
        <f>[15]С2!F38</f>
        <v>7</v>
      </c>
    </row>
    <row r="137" spans="1:3" ht="17.25" x14ac:dyDescent="0.2">
      <c r="A137" s="59" t="s">
        <v>217</v>
      </c>
      <c r="B137" s="128" t="s">
        <v>218</v>
      </c>
      <c r="C137" s="32">
        <f>[15]С2!F40</f>
        <v>0.97</v>
      </c>
    </row>
    <row r="138" spans="1:3" ht="15" thickBot="1" x14ac:dyDescent="0.25">
      <c r="A138" s="74" t="s">
        <v>219</v>
      </c>
      <c r="B138" s="129" t="s">
        <v>220</v>
      </c>
      <c r="C138" s="46">
        <f>[15]С2!F42</f>
        <v>0.35</v>
      </c>
    </row>
    <row r="139" spans="1:3" s="87" customFormat="1" ht="13.5" thickBot="1" x14ac:dyDescent="0.25">
      <c r="A139" s="47"/>
      <c r="B139" s="48"/>
      <c r="C139" s="14"/>
    </row>
    <row r="140" spans="1:3" ht="30" x14ac:dyDescent="0.2">
      <c r="A140" s="85" t="s">
        <v>221</v>
      </c>
      <c r="B140" s="95" t="s">
        <v>258</v>
      </c>
      <c r="C140" s="130">
        <f>[15]С2!F35</f>
        <v>1.4976266307379205</v>
      </c>
    </row>
    <row r="141" spans="1:3" ht="22.7" customHeight="1" thickBot="1" x14ac:dyDescent="0.25">
      <c r="A141" s="74" t="s">
        <v>223</v>
      </c>
      <c r="B141" s="141" t="s">
        <v>224</v>
      </c>
      <c r="C141" s="141"/>
    </row>
    <row r="142" spans="1:3" ht="13.5" thickBot="1" x14ac:dyDescent="0.25">
      <c r="A142" s="97"/>
      <c r="B142" s="131" t="s">
        <v>0</v>
      </c>
      <c r="C142" s="132"/>
    </row>
    <row r="143" spans="1:3" x14ac:dyDescent="0.2">
      <c r="A143" s="97"/>
      <c r="B143" s="133">
        <v>2020</v>
      </c>
      <c r="C143" s="134">
        <f>[15]С2.5!$E$11</f>
        <v>-2.9000000000000026E-2</v>
      </c>
    </row>
    <row r="144" spans="1:3" x14ac:dyDescent="0.2">
      <c r="A144" s="97"/>
      <c r="B144" s="104">
        <f>B143+1</f>
        <v>2021</v>
      </c>
      <c r="C144" s="135">
        <f>[15]С2.5!$F$11</f>
        <v>0.245</v>
      </c>
    </row>
    <row r="145" spans="1:3" x14ac:dyDescent="0.2">
      <c r="A145" s="97"/>
      <c r="B145" s="104">
        <f t="shared" ref="B145:B208" si="0">B144+1</f>
        <v>2022</v>
      </c>
      <c r="C145" s="135">
        <f>[15]С2.5!$G$11</f>
        <v>0.114</v>
      </c>
    </row>
    <row r="146" spans="1:3" ht="13.5" thickBot="1" x14ac:dyDescent="0.25">
      <c r="A146" s="97"/>
      <c r="B146" s="106">
        <f t="shared" si="0"/>
        <v>2023</v>
      </c>
      <c r="C146" s="136">
        <f>[15]С2.5!$H$11</f>
        <v>2.4E-2</v>
      </c>
    </row>
    <row r="147" spans="1:3" x14ac:dyDescent="0.2">
      <c r="A147" s="97"/>
      <c r="B147" s="137">
        <f t="shared" si="0"/>
        <v>2024</v>
      </c>
      <c r="C147" s="138">
        <f>[15]С2.5!$I$11</f>
        <v>8.5999999999999993E-2</v>
      </c>
    </row>
    <row r="148" spans="1:3" hidden="1" x14ac:dyDescent="0.2">
      <c r="A148" s="97"/>
      <c r="B148" s="104">
        <f t="shared" si="0"/>
        <v>2025</v>
      </c>
      <c r="C148" s="135">
        <f>[15]С2.5!$J$11</f>
        <v>0.21215960863291</v>
      </c>
    </row>
    <row r="149" spans="1:3" hidden="1" x14ac:dyDescent="0.2">
      <c r="A149" s="97"/>
      <c r="B149" s="104">
        <f t="shared" si="0"/>
        <v>2026</v>
      </c>
      <c r="C149" s="135">
        <f>[15]С2.5!$K$11</f>
        <v>3.5813361771260002E-2</v>
      </c>
    </row>
    <row r="150" spans="1:3" hidden="1" x14ac:dyDescent="0.2">
      <c r="A150" s="97"/>
      <c r="B150" s="104">
        <f t="shared" si="0"/>
        <v>2027</v>
      </c>
      <c r="C150" s="135">
        <f>[15]С2.5!$L$11</f>
        <v>3.2682303599220003E-2</v>
      </c>
    </row>
    <row r="151" spans="1:3" hidden="1" x14ac:dyDescent="0.2">
      <c r="A151" s="97"/>
      <c r="B151" s="104">
        <f t="shared" si="0"/>
        <v>2028</v>
      </c>
      <c r="C151" s="135">
        <f>[15]С2.5!$M$11</f>
        <v>0</v>
      </c>
    </row>
    <row r="152" spans="1:3" hidden="1" x14ac:dyDescent="0.2">
      <c r="A152" s="97"/>
      <c r="B152" s="104">
        <f t="shared" si="0"/>
        <v>2029</v>
      </c>
      <c r="C152" s="135">
        <f>[15]С2.5!$N$11</f>
        <v>0</v>
      </c>
    </row>
    <row r="153" spans="1:3" hidden="1" x14ac:dyDescent="0.2">
      <c r="A153" s="97"/>
      <c r="B153" s="104">
        <f t="shared" si="0"/>
        <v>2030</v>
      </c>
      <c r="C153" s="135">
        <f>[15]С2.5!$O$11</f>
        <v>0</v>
      </c>
    </row>
    <row r="154" spans="1:3" hidden="1" x14ac:dyDescent="0.2">
      <c r="A154" s="97"/>
      <c r="B154" s="104">
        <f t="shared" si="0"/>
        <v>2031</v>
      </c>
      <c r="C154" s="135">
        <f>[15]С2.5!$P$11</f>
        <v>0</v>
      </c>
    </row>
    <row r="155" spans="1:3" hidden="1" x14ac:dyDescent="0.2">
      <c r="A155" s="87"/>
      <c r="B155" s="104">
        <f t="shared" si="0"/>
        <v>2032</v>
      </c>
      <c r="C155" s="135">
        <f>[15]С2.5!$Q$11</f>
        <v>0</v>
      </c>
    </row>
    <row r="156" spans="1:3" hidden="1" x14ac:dyDescent="0.2">
      <c r="A156" s="87"/>
      <c r="B156" s="104">
        <f t="shared" si="0"/>
        <v>2033</v>
      </c>
      <c r="C156" s="135">
        <f>[15]С2.5!$R$11</f>
        <v>0</v>
      </c>
    </row>
    <row r="157" spans="1:3" hidden="1" x14ac:dyDescent="0.2">
      <c r="B157" s="104">
        <f t="shared" si="0"/>
        <v>2034</v>
      </c>
      <c r="C157" s="135">
        <f>[15]С2.5!$S$11</f>
        <v>0</v>
      </c>
    </row>
    <row r="158" spans="1:3" hidden="1" x14ac:dyDescent="0.2">
      <c r="B158" s="104">
        <f t="shared" si="0"/>
        <v>2035</v>
      </c>
      <c r="C158" s="135">
        <f>[15]С2.5!$T$11</f>
        <v>0</v>
      </c>
    </row>
    <row r="159" spans="1:3" hidden="1" x14ac:dyDescent="0.2">
      <c r="B159" s="104">
        <f t="shared" si="0"/>
        <v>2036</v>
      </c>
      <c r="C159" s="135">
        <f>[15]С2.5!$U$11</f>
        <v>0</v>
      </c>
    </row>
    <row r="160" spans="1:3" hidden="1" x14ac:dyDescent="0.2">
      <c r="B160" s="104">
        <f t="shared" si="0"/>
        <v>2037</v>
      </c>
      <c r="C160" s="135">
        <f>[15]С2.5!$V$11</f>
        <v>0</v>
      </c>
    </row>
    <row r="161" spans="2:3" hidden="1" x14ac:dyDescent="0.2">
      <c r="B161" s="104">
        <f t="shared" si="0"/>
        <v>2038</v>
      </c>
      <c r="C161" s="135">
        <f>[15]С2.5!$W$11</f>
        <v>0</v>
      </c>
    </row>
    <row r="162" spans="2:3" hidden="1" x14ac:dyDescent="0.2">
      <c r="B162" s="104">
        <f t="shared" si="0"/>
        <v>2039</v>
      </c>
      <c r="C162" s="135">
        <f>[15]С2.5!$X$11</f>
        <v>0</v>
      </c>
    </row>
    <row r="163" spans="2:3" hidden="1" x14ac:dyDescent="0.2">
      <c r="B163" s="104">
        <f t="shared" si="0"/>
        <v>2040</v>
      </c>
      <c r="C163" s="135">
        <f>[15]С2.5!$Y$11</f>
        <v>0</v>
      </c>
    </row>
    <row r="164" spans="2:3" hidden="1" x14ac:dyDescent="0.2">
      <c r="B164" s="104">
        <f t="shared" si="0"/>
        <v>2041</v>
      </c>
      <c r="C164" s="135">
        <f>[15]С2.5!$Z$11</f>
        <v>0</v>
      </c>
    </row>
    <row r="165" spans="2:3" hidden="1" x14ac:dyDescent="0.2">
      <c r="B165" s="104">
        <f t="shared" si="0"/>
        <v>2042</v>
      </c>
      <c r="C165" s="135">
        <f>[15]С2.5!$AA$11</f>
        <v>0</v>
      </c>
    </row>
    <row r="166" spans="2:3" hidden="1" x14ac:dyDescent="0.2">
      <c r="B166" s="104">
        <f t="shared" si="0"/>
        <v>2043</v>
      </c>
      <c r="C166" s="135">
        <f>[15]С2.5!$AB$11</f>
        <v>0</v>
      </c>
    </row>
    <row r="167" spans="2:3" hidden="1" x14ac:dyDescent="0.2">
      <c r="B167" s="104">
        <f t="shared" si="0"/>
        <v>2044</v>
      </c>
      <c r="C167" s="135">
        <f>[15]С2.5!$AC$11</f>
        <v>0</v>
      </c>
    </row>
    <row r="168" spans="2:3" hidden="1" x14ac:dyDescent="0.2">
      <c r="B168" s="104">
        <f t="shared" si="0"/>
        <v>2045</v>
      </c>
      <c r="C168" s="135">
        <f>[15]С2.5!$AD$11</f>
        <v>0</v>
      </c>
    </row>
    <row r="169" spans="2:3" hidden="1" x14ac:dyDescent="0.2">
      <c r="B169" s="104">
        <f t="shared" si="0"/>
        <v>2046</v>
      </c>
      <c r="C169" s="135">
        <f>[15]С2.5!$AE$11</f>
        <v>0</v>
      </c>
    </row>
    <row r="170" spans="2:3" hidden="1" x14ac:dyDescent="0.2">
      <c r="B170" s="104">
        <f t="shared" si="0"/>
        <v>2047</v>
      </c>
      <c r="C170" s="135">
        <f>[15]С2.5!$AF$11</f>
        <v>0</v>
      </c>
    </row>
    <row r="171" spans="2:3" hidden="1" x14ac:dyDescent="0.2">
      <c r="B171" s="104">
        <f t="shared" si="0"/>
        <v>2048</v>
      </c>
      <c r="C171" s="135">
        <f>[15]С2.5!$AG$11</f>
        <v>0</v>
      </c>
    </row>
    <row r="172" spans="2:3" hidden="1" x14ac:dyDescent="0.2">
      <c r="B172" s="104">
        <f t="shared" si="0"/>
        <v>2049</v>
      </c>
      <c r="C172" s="135">
        <f>[15]С2.5!$AH$11</f>
        <v>0</v>
      </c>
    </row>
    <row r="173" spans="2:3" hidden="1" x14ac:dyDescent="0.2">
      <c r="B173" s="104">
        <f t="shared" si="0"/>
        <v>2050</v>
      </c>
      <c r="C173" s="135">
        <f>[15]С2.5!$AI$11</f>
        <v>0</v>
      </c>
    </row>
    <row r="174" spans="2:3" hidden="1" x14ac:dyDescent="0.2">
      <c r="B174" s="104">
        <f t="shared" si="0"/>
        <v>2051</v>
      </c>
      <c r="C174" s="135">
        <f>[15]С2.5!$AJ$11</f>
        <v>0</v>
      </c>
    </row>
    <row r="175" spans="2:3" hidden="1" x14ac:dyDescent="0.2">
      <c r="B175" s="104">
        <f t="shared" si="0"/>
        <v>2052</v>
      </c>
      <c r="C175" s="135">
        <f>[15]С2.5!$AK$11</f>
        <v>0</v>
      </c>
    </row>
    <row r="176" spans="2:3" hidden="1" x14ac:dyDescent="0.2">
      <c r="B176" s="104">
        <f t="shared" si="0"/>
        <v>2053</v>
      </c>
      <c r="C176" s="135">
        <f>[15]С2.5!$AL$11</f>
        <v>0</v>
      </c>
    </row>
    <row r="177" spans="2:3" hidden="1" x14ac:dyDescent="0.2">
      <c r="B177" s="104">
        <f t="shared" si="0"/>
        <v>2054</v>
      </c>
      <c r="C177" s="135">
        <f>[15]С2.5!$AM$11</f>
        <v>0</v>
      </c>
    </row>
    <row r="178" spans="2:3" hidden="1" x14ac:dyDescent="0.2">
      <c r="B178" s="104">
        <f t="shared" si="0"/>
        <v>2055</v>
      </c>
      <c r="C178" s="135">
        <f>[15]С2.5!$AN$11</f>
        <v>0</v>
      </c>
    </row>
    <row r="179" spans="2:3" hidden="1" x14ac:dyDescent="0.2">
      <c r="B179" s="104">
        <f t="shared" si="0"/>
        <v>2056</v>
      </c>
      <c r="C179" s="135">
        <f>[15]С2.5!$AO$11</f>
        <v>0</v>
      </c>
    </row>
    <row r="180" spans="2:3" hidden="1" x14ac:dyDescent="0.2">
      <c r="B180" s="104">
        <f t="shared" si="0"/>
        <v>2057</v>
      </c>
      <c r="C180" s="135">
        <f>[15]С2.5!$AP$11</f>
        <v>0</v>
      </c>
    </row>
    <row r="181" spans="2:3" hidden="1" x14ac:dyDescent="0.2">
      <c r="B181" s="104">
        <f t="shared" si="0"/>
        <v>2058</v>
      </c>
      <c r="C181" s="135">
        <f>[15]С2.5!$AQ$11</f>
        <v>0</v>
      </c>
    </row>
    <row r="182" spans="2:3" hidden="1" x14ac:dyDescent="0.2">
      <c r="B182" s="104">
        <f t="shared" si="0"/>
        <v>2059</v>
      </c>
      <c r="C182" s="135">
        <f>[15]С2.5!$AR$11</f>
        <v>0</v>
      </c>
    </row>
    <row r="183" spans="2:3" hidden="1" x14ac:dyDescent="0.2">
      <c r="B183" s="104">
        <f t="shared" si="0"/>
        <v>2060</v>
      </c>
      <c r="C183" s="135">
        <f>[15]С2.5!$AS$11</f>
        <v>0</v>
      </c>
    </row>
    <row r="184" spans="2:3" hidden="1" x14ac:dyDescent="0.2">
      <c r="B184" s="104">
        <f t="shared" si="0"/>
        <v>2061</v>
      </c>
      <c r="C184" s="135">
        <f>[15]С2.5!$AT$11</f>
        <v>0</v>
      </c>
    </row>
    <row r="185" spans="2:3" hidden="1" x14ac:dyDescent="0.2">
      <c r="B185" s="104">
        <f t="shared" si="0"/>
        <v>2062</v>
      </c>
      <c r="C185" s="135">
        <f>[15]С2.5!$AU$11</f>
        <v>0</v>
      </c>
    </row>
    <row r="186" spans="2:3" hidden="1" x14ac:dyDescent="0.2">
      <c r="B186" s="104">
        <f t="shared" si="0"/>
        <v>2063</v>
      </c>
      <c r="C186" s="135">
        <f>[15]С2.5!$AV$11</f>
        <v>0</v>
      </c>
    </row>
    <row r="187" spans="2:3" hidden="1" x14ac:dyDescent="0.2">
      <c r="B187" s="104">
        <f t="shared" si="0"/>
        <v>2064</v>
      </c>
      <c r="C187" s="135">
        <f>[15]С2.5!$AW$11</f>
        <v>0</v>
      </c>
    </row>
    <row r="188" spans="2:3" hidden="1" x14ac:dyDescent="0.2">
      <c r="B188" s="104">
        <f t="shared" si="0"/>
        <v>2065</v>
      </c>
      <c r="C188" s="135">
        <f>[15]С2.5!$AX$11</f>
        <v>0</v>
      </c>
    </row>
    <row r="189" spans="2:3" hidden="1" x14ac:dyDescent="0.2">
      <c r="B189" s="104">
        <f t="shared" si="0"/>
        <v>2066</v>
      </c>
      <c r="C189" s="135">
        <f>[15]С2.5!$AY$11</f>
        <v>0</v>
      </c>
    </row>
    <row r="190" spans="2:3" hidden="1" x14ac:dyDescent="0.2">
      <c r="B190" s="104">
        <f t="shared" si="0"/>
        <v>2067</v>
      </c>
      <c r="C190" s="135">
        <f>[15]С2.5!$AZ$11</f>
        <v>0</v>
      </c>
    </row>
    <row r="191" spans="2:3" hidden="1" x14ac:dyDescent="0.2">
      <c r="B191" s="104">
        <f t="shared" si="0"/>
        <v>2068</v>
      </c>
      <c r="C191" s="135">
        <f>[15]С2.5!$BA$11</f>
        <v>0</v>
      </c>
    </row>
    <row r="192" spans="2:3" hidden="1" x14ac:dyDescent="0.2">
      <c r="B192" s="104">
        <f t="shared" si="0"/>
        <v>2069</v>
      </c>
      <c r="C192" s="135">
        <f>[15]С2.5!$BB$11</f>
        <v>0</v>
      </c>
    </row>
    <row r="193" spans="2:3" hidden="1" x14ac:dyDescent="0.2">
      <c r="B193" s="104">
        <f t="shared" si="0"/>
        <v>2070</v>
      </c>
      <c r="C193" s="135">
        <f>[15]С2.5!$BC$11</f>
        <v>0</v>
      </c>
    </row>
    <row r="194" spans="2:3" hidden="1" x14ac:dyDescent="0.2">
      <c r="B194" s="104">
        <f t="shared" si="0"/>
        <v>2071</v>
      </c>
      <c r="C194" s="135">
        <f>[15]С2.5!$BD$11</f>
        <v>0</v>
      </c>
    </row>
    <row r="195" spans="2:3" hidden="1" x14ac:dyDescent="0.2">
      <c r="B195" s="104">
        <f t="shared" si="0"/>
        <v>2072</v>
      </c>
      <c r="C195" s="135">
        <f>[15]С2.5!$BE$11</f>
        <v>0</v>
      </c>
    </row>
    <row r="196" spans="2:3" hidden="1" x14ac:dyDescent="0.2">
      <c r="B196" s="104">
        <f t="shared" si="0"/>
        <v>2073</v>
      </c>
      <c r="C196" s="135">
        <f>[15]С2.5!$BF$11</f>
        <v>0</v>
      </c>
    </row>
    <row r="197" spans="2:3" hidden="1" x14ac:dyDescent="0.2">
      <c r="B197" s="104">
        <f t="shared" si="0"/>
        <v>2074</v>
      </c>
      <c r="C197" s="135">
        <f>[15]С2.5!$BG$11</f>
        <v>0</v>
      </c>
    </row>
    <row r="198" spans="2:3" hidden="1" x14ac:dyDescent="0.2">
      <c r="B198" s="104">
        <f t="shared" si="0"/>
        <v>2075</v>
      </c>
      <c r="C198" s="135">
        <f>[15]С2.5!$BH$11</f>
        <v>0</v>
      </c>
    </row>
    <row r="199" spans="2:3" hidden="1" x14ac:dyDescent="0.2">
      <c r="B199" s="104">
        <f t="shared" si="0"/>
        <v>2076</v>
      </c>
      <c r="C199" s="135">
        <f>[15]С2.5!$BI$11</f>
        <v>0</v>
      </c>
    </row>
    <row r="200" spans="2:3" hidden="1" x14ac:dyDescent="0.2">
      <c r="B200" s="104">
        <f t="shared" si="0"/>
        <v>2077</v>
      </c>
      <c r="C200" s="135">
        <f>[15]С2.5!$BJ$11</f>
        <v>0</v>
      </c>
    </row>
    <row r="201" spans="2:3" hidden="1" x14ac:dyDescent="0.2">
      <c r="B201" s="104">
        <f t="shared" si="0"/>
        <v>2078</v>
      </c>
      <c r="C201" s="135">
        <f>[15]С2.5!$BK$11</f>
        <v>0</v>
      </c>
    </row>
    <row r="202" spans="2:3" hidden="1" x14ac:dyDescent="0.2">
      <c r="B202" s="104">
        <f t="shared" si="0"/>
        <v>2079</v>
      </c>
      <c r="C202" s="135">
        <f>[15]С2.5!$BL$11</f>
        <v>0</v>
      </c>
    </row>
    <row r="203" spans="2:3" hidden="1" x14ac:dyDescent="0.2">
      <c r="B203" s="104">
        <f t="shared" si="0"/>
        <v>2080</v>
      </c>
      <c r="C203" s="135">
        <f>[15]С2.5!$BM$11</f>
        <v>0</v>
      </c>
    </row>
    <row r="204" spans="2:3" hidden="1" x14ac:dyDescent="0.2">
      <c r="B204" s="104">
        <f t="shared" si="0"/>
        <v>2081</v>
      </c>
      <c r="C204" s="135">
        <f>[15]С2.5!$BN$11</f>
        <v>0</v>
      </c>
    </row>
    <row r="205" spans="2:3" hidden="1" x14ac:dyDescent="0.2">
      <c r="B205" s="104">
        <f t="shared" si="0"/>
        <v>2082</v>
      </c>
      <c r="C205" s="135">
        <f>[15]С2.5!$BO$11</f>
        <v>0</v>
      </c>
    </row>
    <row r="206" spans="2:3" hidden="1" x14ac:dyDescent="0.2">
      <c r="B206" s="104">
        <f t="shared" si="0"/>
        <v>2083</v>
      </c>
      <c r="C206" s="135">
        <f>[15]С2.5!$BP$11</f>
        <v>0</v>
      </c>
    </row>
    <row r="207" spans="2:3" hidden="1" x14ac:dyDescent="0.2">
      <c r="B207" s="104">
        <f t="shared" si="0"/>
        <v>2084</v>
      </c>
      <c r="C207" s="135">
        <f>[15]С2.5!$BQ$11</f>
        <v>0</v>
      </c>
    </row>
    <row r="208" spans="2:3" hidden="1" x14ac:dyDescent="0.2">
      <c r="B208" s="104">
        <f t="shared" si="0"/>
        <v>2085</v>
      </c>
      <c r="C208" s="135">
        <f>[15]С2.5!$BR$11</f>
        <v>0</v>
      </c>
    </row>
    <row r="209" spans="2:3" hidden="1" x14ac:dyDescent="0.2">
      <c r="B209" s="104">
        <f t="shared" ref="B209:B223" si="1">B208+1</f>
        <v>2086</v>
      </c>
      <c r="C209" s="135">
        <f>[15]С2.5!$BS$11</f>
        <v>0</v>
      </c>
    </row>
    <row r="210" spans="2:3" hidden="1" x14ac:dyDescent="0.2">
      <c r="B210" s="104">
        <f t="shared" si="1"/>
        <v>2087</v>
      </c>
      <c r="C210" s="135">
        <f>[15]С2.5!$BT$11</f>
        <v>0</v>
      </c>
    </row>
    <row r="211" spans="2:3" hidden="1" x14ac:dyDescent="0.2">
      <c r="B211" s="104">
        <f t="shared" si="1"/>
        <v>2088</v>
      </c>
      <c r="C211" s="135">
        <f>[15]С2.5!$BU$11</f>
        <v>0</v>
      </c>
    </row>
    <row r="212" spans="2:3" hidden="1" x14ac:dyDescent="0.2">
      <c r="B212" s="104">
        <f t="shared" si="1"/>
        <v>2089</v>
      </c>
      <c r="C212" s="135">
        <f>[15]С2.5!$BV$11</f>
        <v>0</v>
      </c>
    </row>
    <row r="213" spans="2:3" hidden="1" x14ac:dyDescent="0.2">
      <c r="B213" s="104">
        <f t="shared" si="1"/>
        <v>2090</v>
      </c>
      <c r="C213" s="135">
        <f>[15]С2.5!$BW$11</f>
        <v>0</v>
      </c>
    </row>
    <row r="214" spans="2:3" hidden="1" x14ac:dyDescent="0.2">
      <c r="B214" s="104">
        <f t="shared" si="1"/>
        <v>2091</v>
      </c>
      <c r="C214" s="135">
        <f>[15]С2.5!$BX$11</f>
        <v>0</v>
      </c>
    </row>
    <row r="215" spans="2:3" hidden="1" x14ac:dyDescent="0.2">
      <c r="B215" s="104">
        <f t="shared" si="1"/>
        <v>2092</v>
      </c>
      <c r="C215" s="135">
        <f>[15]С2.5!$BY$11</f>
        <v>0</v>
      </c>
    </row>
    <row r="216" spans="2:3" hidden="1" x14ac:dyDescent="0.2">
      <c r="B216" s="104">
        <f t="shared" si="1"/>
        <v>2093</v>
      </c>
      <c r="C216" s="135">
        <f>[15]С2.5!$BZ$11</f>
        <v>0</v>
      </c>
    </row>
    <row r="217" spans="2:3" hidden="1" x14ac:dyDescent="0.2">
      <c r="B217" s="104">
        <f t="shared" si="1"/>
        <v>2094</v>
      </c>
      <c r="C217" s="135">
        <f>[15]С2.5!$CA$11</f>
        <v>0</v>
      </c>
    </row>
    <row r="218" spans="2:3" hidden="1" x14ac:dyDescent="0.2">
      <c r="B218" s="104">
        <f t="shared" si="1"/>
        <v>2095</v>
      </c>
      <c r="C218" s="135">
        <f>[15]С2.5!$CB$11</f>
        <v>0</v>
      </c>
    </row>
    <row r="219" spans="2:3" hidden="1" x14ac:dyDescent="0.2">
      <c r="B219" s="104">
        <f t="shared" si="1"/>
        <v>2096</v>
      </c>
      <c r="C219" s="135">
        <f>[15]С2.5!$CC$11</f>
        <v>0</v>
      </c>
    </row>
    <row r="220" spans="2:3" hidden="1" x14ac:dyDescent="0.2">
      <c r="B220" s="104">
        <f t="shared" si="1"/>
        <v>2097</v>
      </c>
      <c r="C220" s="135">
        <f>[15]С2.5!$CD$11</f>
        <v>0</v>
      </c>
    </row>
    <row r="221" spans="2:3" hidden="1" x14ac:dyDescent="0.2">
      <c r="B221" s="104">
        <f t="shared" si="1"/>
        <v>2098</v>
      </c>
      <c r="C221" s="135">
        <f>[15]С2.5!$CE$11</f>
        <v>0</v>
      </c>
    </row>
    <row r="222" spans="2:3" hidden="1" x14ac:dyDescent="0.2">
      <c r="B222" s="104">
        <f t="shared" si="1"/>
        <v>2099</v>
      </c>
      <c r="C222" s="135">
        <f>[15]С2.5!$CF$11</f>
        <v>0</v>
      </c>
    </row>
    <row r="223" spans="2:3" ht="13.5" hidden="1" thickBot="1" x14ac:dyDescent="0.25">
      <c r="B223" s="106">
        <f t="shared" si="1"/>
        <v>2100</v>
      </c>
      <c r="C223" s="136">
        <f>[15]С2.5!$CG$11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6" customWidth="1"/>
    <col min="4" max="244" width="9.140625" style="2"/>
    <col min="245" max="245" width="3.5703125" style="2" customWidth="1"/>
    <col min="246" max="246" width="96.85546875" style="2" customWidth="1"/>
    <col min="247" max="247" width="30.85546875" style="2" customWidth="1"/>
    <col min="248" max="248" width="12.5703125" style="2" customWidth="1"/>
    <col min="249" max="249" width="5.140625" style="2" customWidth="1"/>
    <col min="250" max="250" width="9.140625" style="2"/>
    <col min="251" max="251" width="4.85546875" style="2" customWidth="1"/>
    <col min="252" max="252" width="30.5703125" style="2" customWidth="1"/>
    <col min="253" max="253" width="33.85546875" style="2" customWidth="1"/>
    <col min="254" max="254" width="5.140625" style="2" customWidth="1"/>
    <col min="255" max="256" width="17.5703125" style="2" customWidth="1"/>
    <col min="257" max="500" width="9.140625" style="2"/>
    <col min="501" max="501" width="3.5703125" style="2" customWidth="1"/>
    <col min="502" max="502" width="96.85546875" style="2" customWidth="1"/>
    <col min="503" max="503" width="30.85546875" style="2" customWidth="1"/>
    <col min="504" max="504" width="12.5703125" style="2" customWidth="1"/>
    <col min="505" max="505" width="5.140625" style="2" customWidth="1"/>
    <col min="506" max="506" width="9.140625" style="2"/>
    <col min="507" max="507" width="4.85546875" style="2" customWidth="1"/>
    <col min="508" max="508" width="30.5703125" style="2" customWidth="1"/>
    <col min="509" max="509" width="33.85546875" style="2" customWidth="1"/>
    <col min="510" max="510" width="5.140625" style="2" customWidth="1"/>
    <col min="511" max="512" width="17.5703125" style="2" customWidth="1"/>
    <col min="513" max="756" width="9.140625" style="2"/>
    <col min="757" max="757" width="3.5703125" style="2" customWidth="1"/>
    <col min="758" max="758" width="96.85546875" style="2" customWidth="1"/>
    <col min="759" max="759" width="30.85546875" style="2" customWidth="1"/>
    <col min="760" max="760" width="12.5703125" style="2" customWidth="1"/>
    <col min="761" max="761" width="5.140625" style="2" customWidth="1"/>
    <col min="762" max="762" width="9.140625" style="2"/>
    <col min="763" max="763" width="4.85546875" style="2" customWidth="1"/>
    <col min="764" max="764" width="30.5703125" style="2" customWidth="1"/>
    <col min="765" max="765" width="33.85546875" style="2" customWidth="1"/>
    <col min="766" max="766" width="5.140625" style="2" customWidth="1"/>
    <col min="767" max="768" width="17.5703125" style="2" customWidth="1"/>
    <col min="769" max="1012" width="9.140625" style="2"/>
    <col min="1013" max="1013" width="3.5703125" style="2" customWidth="1"/>
    <col min="1014" max="1014" width="96.85546875" style="2" customWidth="1"/>
    <col min="1015" max="1015" width="30.85546875" style="2" customWidth="1"/>
    <col min="1016" max="1016" width="12.5703125" style="2" customWidth="1"/>
    <col min="1017" max="1017" width="5.140625" style="2" customWidth="1"/>
    <col min="1018" max="1018" width="9.140625" style="2"/>
    <col min="1019" max="1019" width="4.85546875" style="2" customWidth="1"/>
    <col min="1020" max="1020" width="30.5703125" style="2" customWidth="1"/>
    <col min="1021" max="1021" width="33.85546875" style="2" customWidth="1"/>
    <col min="1022" max="1022" width="5.140625" style="2" customWidth="1"/>
    <col min="1023" max="1024" width="17.5703125" style="2" customWidth="1"/>
    <col min="1025" max="1268" width="9.140625" style="2"/>
    <col min="1269" max="1269" width="3.5703125" style="2" customWidth="1"/>
    <col min="1270" max="1270" width="96.85546875" style="2" customWidth="1"/>
    <col min="1271" max="1271" width="30.85546875" style="2" customWidth="1"/>
    <col min="1272" max="1272" width="12.5703125" style="2" customWidth="1"/>
    <col min="1273" max="1273" width="5.140625" style="2" customWidth="1"/>
    <col min="1274" max="1274" width="9.140625" style="2"/>
    <col min="1275" max="1275" width="4.85546875" style="2" customWidth="1"/>
    <col min="1276" max="1276" width="30.5703125" style="2" customWidth="1"/>
    <col min="1277" max="1277" width="33.85546875" style="2" customWidth="1"/>
    <col min="1278" max="1278" width="5.140625" style="2" customWidth="1"/>
    <col min="1279" max="1280" width="17.5703125" style="2" customWidth="1"/>
    <col min="1281" max="1524" width="9.140625" style="2"/>
    <col min="1525" max="1525" width="3.5703125" style="2" customWidth="1"/>
    <col min="1526" max="1526" width="96.85546875" style="2" customWidth="1"/>
    <col min="1527" max="1527" width="30.85546875" style="2" customWidth="1"/>
    <col min="1528" max="1528" width="12.5703125" style="2" customWidth="1"/>
    <col min="1529" max="1529" width="5.140625" style="2" customWidth="1"/>
    <col min="1530" max="1530" width="9.140625" style="2"/>
    <col min="1531" max="1531" width="4.85546875" style="2" customWidth="1"/>
    <col min="1532" max="1532" width="30.5703125" style="2" customWidth="1"/>
    <col min="1533" max="1533" width="33.85546875" style="2" customWidth="1"/>
    <col min="1534" max="1534" width="5.140625" style="2" customWidth="1"/>
    <col min="1535" max="1536" width="17.5703125" style="2" customWidth="1"/>
    <col min="1537" max="1780" width="9.140625" style="2"/>
    <col min="1781" max="1781" width="3.5703125" style="2" customWidth="1"/>
    <col min="1782" max="1782" width="96.85546875" style="2" customWidth="1"/>
    <col min="1783" max="1783" width="30.85546875" style="2" customWidth="1"/>
    <col min="1784" max="1784" width="12.5703125" style="2" customWidth="1"/>
    <col min="1785" max="1785" width="5.140625" style="2" customWidth="1"/>
    <col min="1786" max="1786" width="9.140625" style="2"/>
    <col min="1787" max="1787" width="4.85546875" style="2" customWidth="1"/>
    <col min="1788" max="1788" width="30.5703125" style="2" customWidth="1"/>
    <col min="1789" max="1789" width="33.85546875" style="2" customWidth="1"/>
    <col min="1790" max="1790" width="5.140625" style="2" customWidth="1"/>
    <col min="1791" max="1792" width="17.5703125" style="2" customWidth="1"/>
    <col min="1793" max="2036" width="9.140625" style="2"/>
    <col min="2037" max="2037" width="3.5703125" style="2" customWidth="1"/>
    <col min="2038" max="2038" width="96.85546875" style="2" customWidth="1"/>
    <col min="2039" max="2039" width="30.85546875" style="2" customWidth="1"/>
    <col min="2040" max="2040" width="12.5703125" style="2" customWidth="1"/>
    <col min="2041" max="2041" width="5.140625" style="2" customWidth="1"/>
    <col min="2042" max="2042" width="9.140625" style="2"/>
    <col min="2043" max="2043" width="4.85546875" style="2" customWidth="1"/>
    <col min="2044" max="2044" width="30.5703125" style="2" customWidth="1"/>
    <col min="2045" max="2045" width="33.85546875" style="2" customWidth="1"/>
    <col min="2046" max="2046" width="5.140625" style="2" customWidth="1"/>
    <col min="2047" max="2048" width="17.5703125" style="2" customWidth="1"/>
    <col min="2049" max="2292" width="9.140625" style="2"/>
    <col min="2293" max="2293" width="3.5703125" style="2" customWidth="1"/>
    <col min="2294" max="2294" width="96.85546875" style="2" customWidth="1"/>
    <col min="2295" max="2295" width="30.85546875" style="2" customWidth="1"/>
    <col min="2296" max="2296" width="12.5703125" style="2" customWidth="1"/>
    <col min="2297" max="2297" width="5.140625" style="2" customWidth="1"/>
    <col min="2298" max="2298" width="9.140625" style="2"/>
    <col min="2299" max="2299" width="4.85546875" style="2" customWidth="1"/>
    <col min="2300" max="2300" width="30.5703125" style="2" customWidth="1"/>
    <col min="2301" max="2301" width="33.85546875" style="2" customWidth="1"/>
    <col min="2302" max="2302" width="5.140625" style="2" customWidth="1"/>
    <col min="2303" max="2304" width="17.5703125" style="2" customWidth="1"/>
    <col min="2305" max="2548" width="9.140625" style="2"/>
    <col min="2549" max="2549" width="3.5703125" style="2" customWidth="1"/>
    <col min="2550" max="2550" width="96.85546875" style="2" customWidth="1"/>
    <col min="2551" max="2551" width="30.85546875" style="2" customWidth="1"/>
    <col min="2552" max="2552" width="12.5703125" style="2" customWidth="1"/>
    <col min="2553" max="2553" width="5.140625" style="2" customWidth="1"/>
    <col min="2554" max="2554" width="9.140625" style="2"/>
    <col min="2555" max="2555" width="4.85546875" style="2" customWidth="1"/>
    <col min="2556" max="2556" width="30.5703125" style="2" customWidth="1"/>
    <col min="2557" max="2557" width="33.85546875" style="2" customWidth="1"/>
    <col min="2558" max="2558" width="5.140625" style="2" customWidth="1"/>
    <col min="2559" max="2560" width="17.5703125" style="2" customWidth="1"/>
    <col min="2561" max="2804" width="9.140625" style="2"/>
    <col min="2805" max="2805" width="3.5703125" style="2" customWidth="1"/>
    <col min="2806" max="2806" width="96.85546875" style="2" customWidth="1"/>
    <col min="2807" max="2807" width="30.85546875" style="2" customWidth="1"/>
    <col min="2808" max="2808" width="12.5703125" style="2" customWidth="1"/>
    <col min="2809" max="2809" width="5.140625" style="2" customWidth="1"/>
    <col min="2810" max="2810" width="9.140625" style="2"/>
    <col min="2811" max="2811" width="4.85546875" style="2" customWidth="1"/>
    <col min="2812" max="2812" width="30.5703125" style="2" customWidth="1"/>
    <col min="2813" max="2813" width="33.85546875" style="2" customWidth="1"/>
    <col min="2814" max="2814" width="5.140625" style="2" customWidth="1"/>
    <col min="2815" max="2816" width="17.5703125" style="2" customWidth="1"/>
    <col min="2817" max="3060" width="9.140625" style="2"/>
    <col min="3061" max="3061" width="3.5703125" style="2" customWidth="1"/>
    <col min="3062" max="3062" width="96.85546875" style="2" customWidth="1"/>
    <col min="3063" max="3063" width="30.85546875" style="2" customWidth="1"/>
    <col min="3064" max="3064" width="12.5703125" style="2" customWidth="1"/>
    <col min="3065" max="3065" width="5.140625" style="2" customWidth="1"/>
    <col min="3066" max="3066" width="9.140625" style="2"/>
    <col min="3067" max="3067" width="4.85546875" style="2" customWidth="1"/>
    <col min="3068" max="3068" width="30.5703125" style="2" customWidth="1"/>
    <col min="3069" max="3069" width="33.85546875" style="2" customWidth="1"/>
    <col min="3070" max="3070" width="5.140625" style="2" customWidth="1"/>
    <col min="3071" max="3072" width="17.5703125" style="2" customWidth="1"/>
    <col min="3073" max="3316" width="9.140625" style="2"/>
    <col min="3317" max="3317" width="3.5703125" style="2" customWidth="1"/>
    <col min="3318" max="3318" width="96.85546875" style="2" customWidth="1"/>
    <col min="3319" max="3319" width="30.85546875" style="2" customWidth="1"/>
    <col min="3320" max="3320" width="12.5703125" style="2" customWidth="1"/>
    <col min="3321" max="3321" width="5.140625" style="2" customWidth="1"/>
    <col min="3322" max="3322" width="9.140625" style="2"/>
    <col min="3323" max="3323" width="4.85546875" style="2" customWidth="1"/>
    <col min="3324" max="3324" width="30.5703125" style="2" customWidth="1"/>
    <col min="3325" max="3325" width="33.85546875" style="2" customWidth="1"/>
    <col min="3326" max="3326" width="5.140625" style="2" customWidth="1"/>
    <col min="3327" max="3328" width="17.5703125" style="2" customWidth="1"/>
    <col min="3329" max="3572" width="9.140625" style="2"/>
    <col min="3573" max="3573" width="3.5703125" style="2" customWidth="1"/>
    <col min="3574" max="3574" width="96.85546875" style="2" customWidth="1"/>
    <col min="3575" max="3575" width="30.85546875" style="2" customWidth="1"/>
    <col min="3576" max="3576" width="12.5703125" style="2" customWidth="1"/>
    <col min="3577" max="3577" width="5.140625" style="2" customWidth="1"/>
    <col min="3578" max="3578" width="9.140625" style="2"/>
    <col min="3579" max="3579" width="4.85546875" style="2" customWidth="1"/>
    <col min="3580" max="3580" width="30.5703125" style="2" customWidth="1"/>
    <col min="3581" max="3581" width="33.85546875" style="2" customWidth="1"/>
    <col min="3582" max="3582" width="5.140625" style="2" customWidth="1"/>
    <col min="3583" max="3584" width="17.5703125" style="2" customWidth="1"/>
    <col min="3585" max="3828" width="9.140625" style="2"/>
    <col min="3829" max="3829" width="3.5703125" style="2" customWidth="1"/>
    <col min="3830" max="3830" width="96.85546875" style="2" customWidth="1"/>
    <col min="3831" max="3831" width="30.85546875" style="2" customWidth="1"/>
    <col min="3832" max="3832" width="12.5703125" style="2" customWidth="1"/>
    <col min="3833" max="3833" width="5.140625" style="2" customWidth="1"/>
    <col min="3834" max="3834" width="9.140625" style="2"/>
    <col min="3835" max="3835" width="4.85546875" style="2" customWidth="1"/>
    <col min="3836" max="3836" width="30.5703125" style="2" customWidth="1"/>
    <col min="3837" max="3837" width="33.85546875" style="2" customWidth="1"/>
    <col min="3838" max="3838" width="5.140625" style="2" customWidth="1"/>
    <col min="3839" max="3840" width="17.5703125" style="2" customWidth="1"/>
    <col min="3841" max="4084" width="9.140625" style="2"/>
    <col min="4085" max="4085" width="3.5703125" style="2" customWidth="1"/>
    <col min="4086" max="4086" width="96.85546875" style="2" customWidth="1"/>
    <col min="4087" max="4087" width="30.85546875" style="2" customWidth="1"/>
    <col min="4088" max="4088" width="12.5703125" style="2" customWidth="1"/>
    <col min="4089" max="4089" width="5.140625" style="2" customWidth="1"/>
    <col min="4090" max="4090" width="9.140625" style="2"/>
    <col min="4091" max="4091" width="4.85546875" style="2" customWidth="1"/>
    <col min="4092" max="4092" width="30.5703125" style="2" customWidth="1"/>
    <col min="4093" max="4093" width="33.85546875" style="2" customWidth="1"/>
    <col min="4094" max="4094" width="5.140625" style="2" customWidth="1"/>
    <col min="4095" max="4096" width="17.5703125" style="2" customWidth="1"/>
    <col min="4097" max="4340" width="9.140625" style="2"/>
    <col min="4341" max="4341" width="3.5703125" style="2" customWidth="1"/>
    <col min="4342" max="4342" width="96.85546875" style="2" customWidth="1"/>
    <col min="4343" max="4343" width="30.85546875" style="2" customWidth="1"/>
    <col min="4344" max="4344" width="12.5703125" style="2" customWidth="1"/>
    <col min="4345" max="4345" width="5.140625" style="2" customWidth="1"/>
    <col min="4346" max="4346" width="9.140625" style="2"/>
    <col min="4347" max="4347" width="4.85546875" style="2" customWidth="1"/>
    <col min="4348" max="4348" width="30.5703125" style="2" customWidth="1"/>
    <col min="4349" max="4349" width="33.85546875" style="2" customWidth="1"/>
    <col min="4350" max="4350" width="5.140625" style="2" customWidth="1"/>
    <col min="4351" max="4352" width="17.5703125" style="2" customWidth="1"/>
    <col min="4353" max="4596" width="9.140625" style="2"/>
    <col min="4597" max="4597" width="3.5703125" style="2" customWidth="1"/>
    <col min="4598" max="4598" width="96.85546875" style="2" customWidth="1"/>
    <col min="4599" max="4599" width="30.85546875" style="2" customWidth="1"/>
    <col min="4600" max="4600" width="12.5703125" style="2" customWidth="1"/>
    <col min="4601" max="4601" width="5.140625" style="2" customWidth="1"/>
    <col min="4602" max="4602" width="9.140625" style="2"/>
    <col min="4603" max="4603" width="4.85546875" style="2" customWidth="1"/>
    <col min="4604" max="4604" width="30.5703125" style="2" customWidth="1"/>
    <col min="4605" max="4605" width="33.85546875" style="2" customWidth="1"/>
    <col min="4606" max="4606" width="5.140625" style="2" customWidth="1"/>
    <col min="4607" max="4608" width="17.5703125" style="2" customWidth="1"/>
    <col min="4609" max="4852" width="9.140625" style="2"/>
    <col min="4853" max="4853" width="3.5703125" style="2" customWidth="1"/>
    <col min="4854" max="4854" width="96.85546875" style="2" customWidth="1"/>
    <col min="4855" max="4855" width="30.85546875" style="2" customWidth="1"/>
    <col min="4856" max="4856" width="12.5703125" style="2" customWidth="1"/>
    <col min="4857" max="4857" width="5.140625" style="2" customWidth="1"/>
    <col min="4858" max="4858" width="9.140625" style="2"/>
    <col min="4859" max="4859" width="4.85546875" style="2" customWidth="1"/>
    <col min="4860" max="4860" width="30.5703125" style="2" customWidth="1"/>
    <col min="4861" max="4861" width="33.85546875" style="2" customWidth="1"/>
    <col min="4862" max="4862" width="5.140625" style="2" customWidth="1"/>
    <col min="4863" max="4864" width="17.5703125" style="2" customWidth="1"/>
    <col min="4865" max="5108" width="9.140625" style="2"/>
    <col min="5109" max="5109" width="3.5703125" style="2" customWidth="1"/>
    <col min="5110" max="5110" width="96.85546875" style="2" customWidth="1"/>
    <col min="5111" max="5111" width="30.85546875" style="2" customWidth="1"/>
    <col min="5112" max="5112" width="12.5703125" style="2" customWidth="1"/>
    <col min="5113" max="5113" width="5.140625" style="2" customWidth="1"/>
    <col min="5114" max="5114" width="9.140625" style="2"/>
    <col min="5115" max="5115" width="4.85546875" style="2" customWidth="1"/>
    <col min="5116" max="5116" width="30.5703125" style="2" customWidth="1"/>
    <col min="5117" max="5117" width="33.85546875" style="2" customWidth="1"/>
    <col min="5118" max="5118" width="5.140625" style="2" customWidth="1"/>
    <col min="5119" max="5120" width="17.5703125" style="2" customWidth="1"/>
    <col min="5121" max="5364" width="9.140625" style="2"/>
    <col min="5365" max="5365" width="3.5703125" style="2" customWidth="1"/>
    <col min="5366" max="5366" width="96.85546875" style="2" customWidth="1"/>
    <col min="5367" max="5367" width="30.85546875" style="2" customWidth="1"/>
    <col min="5368" max="5368" width="12.5703125" style="2" customWidth="1"/>
    <col min="5369" max="5369" width="5.140625" style="2" customWidth="1"/>
    <col min="5370" max="5370" width="9.140625" style="2"/>
    <col min="5371" max="5371" width="4.85546875" style="2" customWidth="1"/>
    <col min="5372" max="5372" width="30.5703125" style="2" customWidth="1"/>
    <col min="5373" max="5373" width="33.85546875" style="2" customWidth="1"/>
    <col min="5374" max="5374" width="5.140625" style="2" customWidth="1"/>
    <col min="5375" max="5376" width="17.5703125" style="2" customWidth="1"/>
    <col min="5377" max="5620" width="9.140625" style="2"/>
    <col min="5621" max="5621" width="3.5703125" style="2" customWidth="1"/>
    <col min="5622" max="5622" width="96.85546875" style="2" customWidth="1"/>
    <col min="5623" max="5623" width="30.85546875" style="2" customWidth="1"/>
    <col min="5624" max="5624" width="12.5703125" style="2" customWidth="1"/>
    <col min="5625" max="5625" width="5.140625" style="2" customWidth="1"/>
    <col min="5626" max="5626" width="9.140625" style="2"/>
    <col min="5627" max="5627" width="4.85546875" style="2" customWidth="1"/>
    <col min="5628" max="5628" width="30.5703125" style="2" customWidth="1"/>
    <col min="5629" max="5629" width="33.85546875" style="2" customWidth="1"/>
    <col min="5630" max="5630" width="5.140625" style="2" customWidth="1"/>
    <col min="5631" max="5632" width="17.5703125" style="2" customWidth="1"/>
    <col min="5633" max="5876" width="9.140625" style="2"/>
    <col min="5877" max="5877" width="3.5703125" style="2" customWidth="1"/>
    <col min="5878" max="5878" width="96.85546875" style="2" customWidth="1"/>
    <col min="5879" max="5879" width="30.85546875" style="2" customWidth="1"/>
    <col min="5880" max="5880" width="12.5703125" style="2" customWidth="1"/>
    <col min="5881" max="5881" width="5.140625" style="2" customWidth="1"/>
    <col min="5882" max="5882" width="9.140625" style="2"/>
    <col min="5883" max="5883" width="4.85546875" style="2" customWidth="1"/>
    <col min="5884" max="5884" width="30.5703125" style="2" customWidth="1"/>
    <col min="5885" max="5885" width="33.85546875" style="2" customWidth="1"/>
    <col min="5886" max="5886" width="5.140625" style="2" customWidth="1"/>
    <col min="5887" max="5888" width="17.5703125" style="2" customWidth="1"/>
    <col min="5889" max="6132" width="9.140625" style="2"/>
    <col min="6133" max="6133" width="3.5703125" style="2" customWidth="1"/>
    <col min="6134" max="6134" width="96.85546875" style="2" customWidth="1"/>
    <col min="6135" max="6135" width="30.85546875" style="2" customWidth="1"/>
    <col min="6136" max="6136" width="12.5703125" style="2" customWidth="1"/>
    <col min="6137" max="6137" width="5.140625" style="2" customWidth="1"/>
    <col min="6138" max="6138" width="9.140625" style="2"/>
    <col min="6139" max="6139" width="4.85546875" style="2" customWidth="1"/>
    <col min="6140" max="6140" width="30.5703125" style="2" customWidth="1"/>
    <col min="6141" max="6141" width="33.85546875" style="2" customWidth="1"/>
    <col min="6142" max="6142" width="5.140625" style="2" customWidth="1"/>
    <col min="6143" max="6144" width="17.5703125" style="2" customWidth="1"/>
    <col min="6145" max="6388" width="9.140625" style="2"/>
    <col min="6389" max="6389" width="3.5703125" style="2" customWidth="1"/>
    <col min="6390" max="6390" width="96.85546875" style="2" customWidth="1"/>
    <col min="6391" max="6391" width="30.85546875" style="2" customWidth="1"/>
    <col min="6392" max="6392" width="12.5703125" style="2" customWidth="1"/>
    <col min="6393" max="6393" width="5.140625" style="2" customWidth="1"/>
    <col min="6394" max="6394" width="9.140625" style="2"/>
    <col min="6395" max="6395" width="4.85546875" style="2" customWidth="1"/>
    <col min="6396" max="6396" width="30.5703125" style="2" customWidth="1"/>
    <col min="6397" max="6397" width="33.85546875" style="2" customWidth="1"/>
    <col min="6398" max="6398" width="5.140625" style="2" customWidth="1"/>
    <col min="6399" max="6400" width="17.5703125" style="2" customWidth="1"/>
    <col min="6401" max="6644" width="9.140625" style="2"/>
    <col min="6645" max="6645" width="3.5703125" style="2" customWidth="1"/>
    <col min="6646" max="6646" width="96.85546875" style="2" customWidth="1"/>
    <col min="6647" max="6647" width="30.85546875" style="2" customWidth="1"/>
    <col min="6648" max="6648" width="12.5703125" style="2" customWidth="1"/>
    <col min="6649" max="6649" width="5.140625" style="2" customWidth="1"/>
    <col min="6650" max="6650" width="9.140625" style="2"/>
    <col min="6651" max="6651" width="4.85546875" style="2" customWidth="1"/>
    <col min="6652" max="6652" width="30.5703125" style="2" customWidth="1"/>
    <col min="6653" max="6653" width="33.85546875" style="2" customWidth="1"/>
    <col min="6654" max="6654" width="5.140625" style="2" customWidth="1"/>
    <col min="6655" max="6656" width="17.5703125" style="2" customWidth="1"/>
    <col min="6657" max="6900" width="9.140625" style="2"/>
    <col min="6901" max="6901" width="3.5703125" style="2" customWidth="1"/>
    <col min="6902" max="6902" width="96.85546875" style="2" customWidth="1"/>
    <col min="6903" max="6903" width="30.85546875" style="2" customWidth="1"/>
    <col min="6904" max="6904" width="12.5703125" style="2" customWidth="1"/>
    <col min="6905" max="6905" width="5.140625" style="2" customWidth="1"/>
    <col min="6906" max="6906" width="9.140625" style="2"/>
    <col min="6907" max="6907" width="4.85546875" style="2" customWidth="1"/>
    <col min="6908" max="6908" width="30.5703125" style="2" customWidth="1"/>
    <col min="6909" max="6909" width="33.85546875" style="2" customWidth="1"/>
    <col min="6910" max="6910" width="5.140625" style="2" customWidth="1"/>
    <col min="6911" max="6912" width="17.5703125" style="2" customWidth="1"/>
    <col min="6913" max="7156" width="9.140625" style="2"/>
    <col min="7157" max="7157" width="3.5703125" style="2" customWidth="1"/>
    <col min="7158" max="7158" width="96.85546875" style="2" customWidth="1"/>
    <col min="7159" max="7159" width="30.85546875" style="2" customWidth="1"/>
    <col min="7160" max="7160" width="12.5703125" style="2" customWidth="1"/>
    <col min="7161" max="7161" width="5.140625" style="2" customWidth="1"/>
    <col min="7162" max="7162" width="9.140625" style="2"/>
    <col min="7163" max="7163" width="4.85546875" style="2" customWidth="1"/>
    <col min="7164" max="7164" width="30.5703125" style="2" customWidth="1"/>
    <col min="7165" max="7165" width="33.85546875" style="2" customWidth="1"/>
    <col min="7166" max="7166" width="5.140625" style="2" customWidth="1"/>
    <col min="7167" max="7168" width="17.5703125" style="2" customWidth="1"/>
    <col min="7169" max="7412" width="9.140625" style="2"/>
    <col min="7413" max="7413" width="3.5703125" style="2" customWidth="1"/>
    <col min="7414" max="7414" width="96.85546875" style="2" customWidth="1"/>
    <col min="7415" max="7415" width="30.85546875" style="2" customWidth="1"/>
    <col min="7416" max="7416" width="12.5703125" style="2" customWidth="1"/>
    <col min="7417" max="7417" width="5.140625" style="2" customWidth="1"/>
    <col min="7418" max="7418" width="9.140625" style="2"/>
    <col min="7419" max="7419" width="4.85546875" style="2" customWidth="1"/>
    <col min="7420" max="7420" width="30.5703125" style="2" customWidth="1"/>
    <col min="7421" max="7421" width="33.85546875" style="2" customWidth="1"/>
    <col min="7422" max="7422" width="5.140625" style="2" customWidth="1"/>
    <col min="7423" max="7424" width="17.5703125" style="2" customWidth="1"/>
    <col min="7425" max="7668" width="9.140625" style="2"/>
    <col min="7669" max="7669" width="3.5703125" style="2" customWidth="1"/>
    <col min="7670" max="7670" width="96.85546875" style="2" customWidth="1"/>
    <col min="7671" max="7671" width="30.85546875" style="2" customWidth="1"/>
    <col min="7672" max="7672" width="12.5703125" style="2" customWidth="1"/>
    <col min="7673" max="7673" width="5.140625" style="2" customWidth="1"/>
    <col min="7674" max="7674" width="9.140625" style="2"/>
    <col min="7675" max="7675" width="4.85546875" style="2" customWidth="1"/>
    <col min="7676" max="7676" width="30.5703125" style="2" customWidth="1"/>
    <col min="7677" max="7677" width="33.85546875" style="2" customWidth="1"/>
    <col min="7678" max="7678" width="5.140625" style="2" customWidth="1"/>
    <col min="7679" max="7680" width="17.5703125" style="2" customWidth="1"/>
    <col min="7681" max="7924" width="9.140625" style="2"/>
    <col min="7925" max="7925" width="3.5703125" style="2" customWidth="1"/>
    <col min="7926" max="7926" width="96.85546875" style="2" customWidth="1"/>
    <col min="7927" max="7927" width="30.85546875" style="2" customWidth="1"/>
    <col min="7928" max="7928" width="12.5703125" style="2" customWidth="1"/>
    <col min="7929" max="7929" width="5.140625" style="2" customWidth="1"/>
    <col min="7930" max="7930" width="9.140625" style="2"/>
    <col min="7931" max="7931" width="4.85546875" style="2" customWidth="1"/>
    <col min="7932" max="7932" width="30.5703125" style="2" customWidth="1"/>
    <col min="7933" max="7933" width="33.85546875" style="2" customWidth="1"/>
    <col min="7934" max="7934" width="5.140625" style="2" customWidth="1"/>
    <col min="7935" max="7936" width="17.5703125" style="2" customWidth="1"/>
    <col min="7937" max="8180" width="9.140625" style="2"/>
    <col min="8181" max="8181" width="3.5703125" style="2" customWidth="1"/>
    <col min="8182" max="8182" width="96.85546875" style="2" customWidth="1"/>
    <col min="8183" max="8183" width="30.85546875" style="2" customWidth="1"/>
    <col min="8184" max="8184" width="12.5703125" style="2" customWidth="1"/>
    <col min="8185" max="8185" width="5.140625" style="2" customWidth="1"/>
    <col min="8186" max="8186" width="9.140625" style="2"/>
    <col min="8187" max="8187" width="4.85546875" style="2" customWidth="1"/>
    <col min="8188" max="8188" width="30.5703125" style="2" customWidth="1"/>
    <col min="8189" max="8189" width="33.85546875" style="2" customWidth="1"/>
    <col min="8190" max="8190" width="5.140625" style="2" customWidth="1"/>
    <col min="8191" max="8192" width="17.5703125" style="2" customWidth="1"/>
    <col min="8193" max="8436" width="9.140625" style="2"/>
    <col min="8437" max="8437" width="3.5703125" style="2" customWidth="1"/>
    <col min="8438" max="8438" width="96.85546875" style="2" customWidth="1"/>
    <col min="8439" max="8439" width="30.85546875" style="2" customWidth="1"/>
    <col min="8440" max="8440" width="12.5703125" style="2" customWidth="1"/>
    <col min="8441" max="8441" width="5.140625" style="2" customWidth="1"/>
    <col min="8442" max="8442" width="9.140625" style="2"/>
    <col min="8443" max="8443" width="4.85546875" style="2" customWidth="1"/>
    <col min="8444" max="8444" width="30.5703125" style="2" customWidth="1"/>
    <col min="8445" max="8445" width="33.85546875" style="2" customWidth="1"/>
    <col min="8446" max="8446" width="5.140625" style="2" customWidth="1"/>
    <col min="8447" max="8448" width="17.5703125" style="2" customWidth="1"/>
    <col min="8449" max="8692" width="9.140625" style="2"/>
    <col min="8693" max="8693" width="3.5703125" style="2" customWidth="1"/>
    <col min="8694" max="8694" width="96.85546875" style="2" customWidth="1"/>
    <col min="8695" max="8695" width="30.85546875" style="2" customWidth="1"/>
    <col min="8696" max="8696" width="12.5703125" style="2" customWidth="1"/>
    <col min="8697" max="8697" width="5.140625" style="2" customWidth="1"/>
    <col min="8698" max="8698" width="9.140625" style="2"/>
    <col min="8699" max="8699" width="4.85546875" style="2" customWidth="1"/>
    <col min="8700" max="8700" width="30.5703125" style="2" customWidth="1"/>
    <col min="8701" max="8701" width="33.85546875" style="2" customWidth="1"/>
    <col min="8702" max="8702" width="5.140625" style="2" customWidth="1"/>
    <col min="8703" max="8704" width="17.5703125" style="2" customWidth="1"/>
    <col min="8705" max="8948" width="9.140625" style="2"/>
    <col min="8949" max="8949" width="3.5703125" style="2" customWidth="1"/>
    <col min="8950" max="8950" width="96.85546875" style="2" customWidth="1"/>
    <col min="8951" max="8951" width="30.85546875" style="2" customWidth="1"/>
    <col min="8952" max="8952" width="12.5703125" style="2" customWidth="1"/>
    <col min="8953" max="8953" width="5.140625" style="2" customWidth="1"/>
    <col min="8954" max="8954" width="9.140625" style="2"/>
    <col min="8955" max="8955" width="4.85546875" style="2" customWidth="1"/>
    <col min="8956" max="8956" width="30.5703125" style="2" customWidth="1"/>
    <col min="8957" max="8957" width="33.85546875" style="2" customWidth="1"/>
    <col min="8958" max="8958" width="5.140625" style="2" customWidth="1"/>
    <col min="8959" max="8960" width="17.5703125" style="2" customWidth="1"/>
    <col min="8961" max="9204" width="9.140625" style="2"/>
    <col min="9205" max="9205" width="3.5703125" style="2" customWidth="1"/>
    <col min="9206" max="9206" width="96.85546875" style="2" customWidth="1"/>
    <col min="9207" max="9207" width="30.85546875" style="2" customWidth="1"/>
    <col min="9208" max="9208" width="12.5703125" style="2" customWidth="1"/>
    <col min="9209" max="9209" width="5.140625" style="2" customWidth="1"/>
    <col min="9210" max="9210" width="9.140625" style="2"/>
    <col min="9211" max="9211" width="4.85546875" style="2" customWidth="1"/>
    <col min="9212" max="9212" width="30.5703125" style="2" customWidth="1"/>
    <col min="9213" max="9213" width="33.85546875" style="2" customWidth="1"/>
    <col min="9214" max="9214" width="5.140625" style="2" customWidth="1"/>
    <col min="9215" max="9216" width="17.5703125" style="2" customWidth="1"/>
    <col min="9217" max="9460" width="9.140625" style="2"/>
    <col min="9461" max="9461" width="3.5703125" style="2" customWidth="1"/>
    <col min="9462" max="9462" width="96.85546875" style="2" customWidth="1"/>
    <col min="9463" max="9463" width="30.85546875" style="2" customWidth="1"/>
    <col min="9464" max="9464" width="12.5703125" style="2" customWidth="1"/>
    <col min="9465" max="9465" width="5.140625" style="2" customWidth="1"/>
    <col min="9466" max="9466" width="9.140625" style="2"/>
    <col min="9467" max="9467" width="4.85546875" style="2" customWidth="1"/>
    <col min="9468" max="9468" width="30.5703125" style="2" customWidth="1"/>
    <col min="9469" max="9469" width="33.85546875" style="2" customWidth="1"/>
    <col min="9470" max="9470" width="5.140625" style="2" customWidth="1"/>
    <col min="9471" max="9472" width="17.5703125" style="2" customWidth="1"/>
    <col min="9473" max="9716" width="9.140625" style="2"/>
    <col min="9717" max="9717" width="3.5703125" style="2" customWidth="1"/>
    <col min="9718" max="9718" width="96.85546875" style="2" customWidth="1"/>
    <col min="9719" max="9719" width="30.85546875" style="2" customWidth="1"/>
    <col min="9720" max="9720" width="12.5703125" style="2" customWidth="1"/>
    <col min="9721" max="9721" width="5.140625" style="2" customWidth="1"/>
    <col min="9722" max="9722" width="9.140625" style="2"/>
    <col min="9723" max="9723" width="4.85546875" style="2" customWidth="1"/>
    <col min="9724" max="9724" width="30.5703125" style="2" customWidth="1"/>
    <col min="9725" max="9725" width="33.85546875" style="2" customWidth="1"/>
    <col min="9726" max="9726" width="5.140625" style="2" customWidth="1"/>
    <col min="9727" max="9728" width="17.5703125" style="2" customWidth="1"/>
    <col min="9729" max="9972" width="9.140625" style="2"/>
    <col min="9973" max="9973" width="3.5703125" style="2" customWidth="1"/>
    <col min="9974" max="9974" width="96.85546875" style="2" customWidth="1"/>
    <col min="9975" max="9975" width="30.85546875" style="2" customWidth="1"/>
    <col min="9976" max="9976" width="12.5703125" style="2" customWidth="1"/>
    <col min="9977" max="9977" width="5.140625" style="2" customWidth="1"/>
    <col min="9978" max="9978" width="9.140625" style="2"/>
    <col min="9979" max="9979" width="4.85546875" style="2" customWidth="1"/>
    <col min="9980" max="9980" width="30.5703125" style="2" customWidth="1"/>
    <col min="9981" max="9981" width="33.85546875" style="2" customWidth="1"/>
    <col min="9982" max="9982" width="5.140625" style="2" customWidth="1"/>
    <col min="9983" max="9984" width="17.5703125" style="2" customWidth="1"/>
    <col min="9985" max="10228" width="9.140625" style="2"/>
    <col min="10229" max="10229" width="3.5703125" style="2" customWidth="1"/>
    <col min="10230" max="10230" width="96.85546875" style="2" customWidth="1"/>
    <col min="10231" max="10231" width="30.85546875" style="2" customWidth="1"/>
    <col min="10232" max="10232" width="12.5703125" style="2" customWidth="1"/>
    <col min="10233" max="10233" width="5.140625" style="2" customWidth="1"/>
    <col min="10234" max="10234" width="9.140625" style="2"/>
    <col min="10235" max="10235" width="4.85546875" style="2" customWidth="1"/>
    <col min="10236" max="10236" width="30.5703125" style="2" customWidth="1"/>
    <col min="10237" max="10237" width="33.85546875" style="2" customWidth="1"/>
    <col min="10238" max="10238" width="5.140625" style="2" customWidth="1"/>
    <col min="10239" max="10240" width="17.5703125" style="2" customWidth="1"/>
    <col min="10241" max="10484" width="9.140625" style="2"/>
    <col min="10485" max="10485" width="3.5703125" style="2" customWidth="1"/>
    <col min="10486" max="10486" width="96.85546875" style="2" customWidth="1"/>
    <col min="10487" max="10487" width="30.85546875" style="2" customWidth="1"/>
    <col min="10488" max="10488" width="12.5703125" style="2" customWidth="1"/>
    <col min="10489" max="10489" width="5.140625" style="2" customWidth="1"/>
    <col min="10490" max="10490" width="9.140625" style="2"/>
    <col min="10491" max="10491" width="4.85546875" style="2" customWidth="1"/>
    <col min="10492" max="10492" width="30.5703125" style="2" customWidth="1"/>
    <col min="10493" max="10493" width="33.85546875" style="2" customWidth="1"/>
    <col min="10494" max="10494" width="5.140625" style="2" customWidth="1"/>
    <col min="10495" max="10496" width="17.5703125" style="2" customWidth="1"/>
    <col min="10497" max="10740" width="9.140625" style="2"/>
    <col min="10741" max="10741" width="3.5703125" style="2" customWidth="1"/>
    <col min="10742" max="10742" width="96.85546875" style="2" customWidth="1"/>
    <col min="10743" max="10743" width="30.85546875" style="2" customWidth="1"/>
    <col min="10744" max="10744" width="12.5703125" style="2" customWidth="1"/>
    <col min="10745" max="10745" width="5.140625" style="2" customWidth="1"/>
    <col min="10746" max="10746" width="9.140625" style="2"/>
    <col min="10747" max="10747" width="4.85546875" style="2" customWidth="1"/>
    <col min="10748" max="10748" width="30.5703125" style="2" customWidth="1"/>
    <col min="10749" max="10749" width="33.85546875" style="2" customWidth="1"/>
    <col min="10750" max="10750" width="5.140625" style="2" customWidth="1"/>
    <col min="10751" max="10752" width="17.5703125" style="2" customWidth="1"/>
    <col min="10753" max="10996" width="9.140625" style="2"/>
    <col min="10997" max="10997" width="3.5703125" style="2" customWidth="1"/>
    <col min="10998" max="10998" width="96.85546875" style="2" customWidth="1"/>
    <col min="10999" max="10999" width="30.85546875" style="2" customWidth="1"/>
    <col min="11000" max="11000" width="12.5703125" style="2" customWidth="1"/>
    <col min="11001" max="11001" width="5.140625" style="2" customWidth="1"/>
    <col min="11002" max="11002" width="9.140625" style="2"/>
    <col min="11003" max="11003" width="4.85546875" style="2" customWidth="1"/>
    <col min="11004" max="11004" width="30.5703125" style="2" customWidth="1"/>
    <col min="11005" max="11005" width="33.85546875" style="2" customWidth="1"/>
    <col min="11006" max="11006" width="5.140625" style="2" customWidth="1"/>
    <col min="11007" max="11008" width="17.5703125" style="2" customWidth="1"/>
    <col min="11009" max="11252" width="9.140625" style="2"/>
    <col min="11253" max="11253" width="3.5703125" style="2" customWidth="1"/>
    <col min="11254" max="11254" width="96.85546875" style="2" customWidth="1"/>
    <col min="11255" max="11255" width="30.85546875" style="2" customWidth="1"/>
    <col min="11256" max="11256" width="12.5703125" style="2" customWidth="1"/>
    <col min="11257" max="11257" width="5.140625" style="2" customWidth="1"/>
    <col min="11258" max="11258" width="9.140625" style="2"/>
    <col min="11259" max="11259" width="4.85546875" style="2" customWidth="1"/>
    <col min="11260" max="11260" width="30.5703125" style="2" customWidth="1"/>
    <col min="11261" max="11261" width="33.85546875" style="2" customWidth="1"/>
    <col min="11262" max="11262" width="5.140625" style="2" customWidth="1"/>
    <col min="11263" max="11264" width="17.5703125" style="2" customWidth="1"/>
    <col min="11265" max="11508" width="9.140625" style="2"/>
    <col min="11509" max="11509" width="3.5703125" style="2" customWidth="1"/>
    <col min="11510" max="11510" width="96.85546875" style="2" customWidth="1"/>
    <col min="11511" max="11511" width="30.85546875" style="2" customWidth="1"/>
    <col min="11512" max="11512" width="12.5703125" style="2" customWidth="1"/>
    <col min="11513" max="11513" width="5.140625" style="2" customWidth="1"/>
    <col min="11514" max="11514" width="9.140625" style="2"/>
    <col min="11515" max="11515" width="4.85546875" style="2" customWidth="1"/>
    <col min="11516" max="11516" width="30.5703125" style="2" customWidth="1"/>
    <col min="11517" max="11517" width="33.85546875" style="2" customWidth="1"/>
    <col min="11518" max="11518" width="5.140625" style="2" customWidth="1"/>
    <col min="11519" max="11520" width="17.5703125" style="2" customWidth="1"/>
    <col min="11521" max="11764" width="9.140625" style="2"/>
    <col min="11765" max="11765" width="3.5703125" style="2" customWidth="1"/>
    <col min="11766" max="11766" width="96.85546875" style="2" customWidth="1"/>
    <col min="11767" max="11767" width="30.85546875" style="2" customWidth="1"/>
    <col min="11768" max="11768" width="12.5703125" style="2" customWidth="1"/>
    <col min="11769" max="11769" width="5.140625" style="2" customWidth="1"/>
    <col min="11770" max="11770" width="9.140625" style="2"/>
    <col min="11771" max="11771" width="4.85546875" style="2" customWidth="1"/>
    <col min="11772" max="11772" width="30.5703125" style="2" customWidth="1"/>
    <col min="11773" max="11773" width="33.85546875" style="2" customWidth="1"/>
    <col min="11774" max="11774" width="5.140625" style="2" customWidth="1"/>
    <col min="11775" max="11776" width="17.5703125" style="2" customWidth="1"/>
    <col min="11777" max="12020" width="9.140625" style="2"/>
    <col min="12021" max="12021" width="3.5703125" style="2" customWidth="1"/>
    <col min="12022" max="12022" width="96.85546875" style="2" customWidth="1"/>
    <col min="12023" max="12023" width="30.85546875" style="2" customWidth="1"/>
    <col min="12024" max="12024" width="12.5703125" style="2" customWidth="1"/>
    <col min="12025" max="12025" width="5.140625" style="2" customWidth="1"/>
    <col min="12026" max="12026" width="9.140625" style="2"/>
    <col min="12027" max="12027" width="4.85546875" style="2" customWidth="1"/>
    <col min="12028" max="12028" width="30.5703125" style="2" customWidth="1"/>
    <col min="12029" max="12029" width="33.85546875" style="2" customWidth="1"/>
    <col min="12030" max="12030" width="5.140625" style="2" customWidth="1"/>
    <col min="12031" max="12032" width="17.5703125" style="2" customWidth="1"/>
    <col min="12033" max="12276" width="9.140625" style="2"/>
    <col min="12277" max="12277" width="3.5703125" style="2" customWidth="1"/>
    <col min="12278" max="12278" width="96.85546875" style="2" customWidth="1"/>
    <col min="12279" max="12279" width="30.85546875" style="2" customWidth="1"/>
    <col min="12280" max="12280" width="12.5703125" style="2" customWidth="1"/>
    <col min="12281" max="12281" width="5.140625" style="2" customWidth="1"/>
    <col min="12282" max="12282" width="9.140625" style="2"/>
    <col min="12283" max="12283" width="4.85546875" style="2" customWidth="1"/>
    <col min="12284" max="12284" width="30.5703125" style="2" customWidth="1"/>
    <col min="12285" max="12285" width="33.85546875" style="2" customWidth="1"/>
    <col min="12286" max="12286" width="5.140625" style="2" customWidth="1"/>
    <col min="12287" max="12288" width="17.5703125" style="2" customWidth="1"/>
    <col min="12289" max="12532" width="9.140625" style="2"/>
    <col min="12533" max="12533" width="3.5703125" style="2" customWidth="1"/>
    <col min="12534" max="12534" width="96.85546875" style="2" customWidth="1"/>
    <col min="12535" max="12535" width="30.85546875" style="2" customWidth="1"/>
    <col min="12536" max="12536" width="12.5703125" style="2" customWidth="1"/>
    <col min="12537" max="12537" width="5.140625" style="2" customWidth="1"/>
    <col min="12538" max="12538" width="9.140625" style="2"/>
    <col min="12539" max="12539" width="4.85546875" style="2" customWidth="1"/>
    <col min="12540" max="12540" width="30.5703125" style="2" customWidth="1"/>
    <col min="12541" max="12541" width="33.85546875" style="2" customWidth="1"/>
    <col min="12542" max="12542" width="5.140625" style="2" customWidth="1"/>
    <col min="12543" max="12544" width="17.5703125" style="2" customWidth="1"/>
    <col min="12545" max="12788" width="9.140625" style="2"/>
    <col min="12789" max="12789" width="3.5703125" style="2" customWidth="1"/>
    <col min="12790" max="12790" width="96.85546875" style="2" customWidth="1"/>
    <col min="12791" max="12791" width="30.85546875" style="2" customWidth="1"/>
    <col min="12792" max="12792" width="12.5703125" style="2" customWidth="1"/>
    <col min="12793" max="12793" width="5.140625" style="2" customWidth="1"/>
    <col min="12794" max="12794" width="9.140625" style="2"/>
    <col min="12795" max="12795" width="4.85546875" style="2" customWidth="1"/>
    <col min="12796" max="12796" width="30.5703125" style="2" customWidth="1"/>
    <col min="12797" max="12797" width="33.85546875" style="2" customWidth="1"/>
    <col min="12798" max="12798" width="5.140625" style="2" customWidth="1"/>
    <col min="12799" max="12800" width="17.5703125" style="2" customWidth="1"/>
    <col min="12801" max="13044" width="9.140625" style="2"/>
    <col min="13045" max="13045" width="3.5703125" style="2" customWidth="1"/>
    <col min="13046" max="13046" width="96.85546875" style="2" customWidth="1"/>
    <col min="13047" max="13047" width="30.85546875" style="2" customWidth="1"/>
    <col min="13048" max="13048" width="12.5703125" style="2" customWidth="1"/>
    <col min="13049" max="13049" width="5.140625" style="2" customWidth="1"/>
    <col min="13050" max="13050" width="9.140625" style="2"/>
    <col min="13051" max="13051" width="4.85546875" style="2" customWidth="1"/>
    <col min="13052" max="13052" width="30.5703125" style="2" customWidth="1"/>
    <col min="13053" max="13053" width="33.85546875" style="2" customWidth="1"/>
    <col min="13054" max="13054" width="5.140625" style="2" customWidth="1"/>
    <col min="13055" max="13056" width="17.5703125" style="2" customWidth="1"/>
    <col min="13057" max="13300" width="9.140625" style="2"/>
    <col min="13301" max="13301" width="3.5703125" style="2" customWidth="1"/>
    <col min="13302" max="13302" width="96.85546875" style="2" customWidth="1"/>
    <col min="13303" max="13303" width="30.85546875" style="2" customWidth="1"/>
    <col min="13304" max="13304" width="12.5703125" style="2" customWidth="1"/>
    <col min="13305" max="13305" width="5.140625" style="2" customWidth="1"/>
    <col min="13306" max="13306" width="9.140625" style="2"/>
    <col min="13307" max="13307" width="4.85546875" style="2" customWidth="1"/>
    <col min="13308" max="13308" width="30.5703125" style="2" customWidth="1"/>
    <col min="13309" max="13309" width="33.85546875" style="2" customWidth="1"/>
    <col min="13310" max="13310" width="5.140625" style="2" customWidth="1"/>
    <col min="13311" max="13312" width="17.5703125" style="2" customWidth="1"/>
    <col min="13313" max="13556" width="9.140625" style="2"/>
    <col min="13557" max="13557" width="3.5703125" style="2" customWidth="1"/>
    <col min="13558" max="13558" width="96.85546875" style="2" customWidth="1"/>
    <col min="13559" max="13559" width="30.85546875" style="2" customWidth="1"/>
    <col min="13560" max="13560" width="12.5703125" style="2" customWidth="1"/>
    <col min="13561" max="13561" width="5.140625" style="2" customWidth="1"/>
    <col min="13562" max="13562" width="9.140625" style="2"/>
    <col min="13563" max="13563" width="4.85546875" style="2" customWidth="1"/>
    <col min="13564" max="13564" width="30.5703125" style="2" customWidth="1"/>
    <col min="13565" max="13565" width="33.85546875" style="2" customWidth="1"/>
    <col min="13566" max="13566" width="5.140625" style="2" customWidth="1"/>
    <col min="13567" max="13568" width="17.5703125" style="2" customWidth="1"/>
    <col min="13569" max="13812" width="9.140625" style="2"/>
    <col min="13813" max="13813" width="3.5703125" style="2" customWidth="1"/>
    <col min="13814" max="13814" width="96.85546875" style="2" customWidth="1"/>
    <col min="13815" max="13815" width="30.85546875" style="2" customWidth="1"/>
    <col min="13816" max="13816" width="12.5703125" style="2" customWidth="1"/>
    <col min="13817" max="13817" width="5.140625" style="2" customWidth="1"/>
    <col min="13818" max="13818" width="9.140625" style="2"/>
    <col min="13819" max="13819" width="4.85546875" style="2" customWidth="1"/>
    <col min="13820" max="13820" width="30.5703125" style="2" customWidth="1"/>
    <col min="13821" max="13821" width="33.85546875" style="2" customWidth="1"/>
    <col min="13822" max="13822" width="5.140625" style="2" customWidth="1"/>
    <col min="13823" max="13824" width="17.5703125" style="2" customWidth="1"/>
    <col min="13825" max="14068" width="9.140625" style="2"/>
    <col min="14069" max="14069" width="3.5703125" style="2" customWidth="1"/>
    <col min="14070" max="14070" width="96.85546875" style="2" customWidth="1"/>
    <col min="14071" max="14071" width="30.85546875" style="2" customWidth="1"/>
    <col min="14072" max="14072" width="12.5703125" style="2" customWidth="1"/>
    <col min="14073" max="14073" width="5.140625" style="2" customWidth="1"/>
    <col min="14074" max="14074" width="9.140625" style="2"/>
    <col min="14075" max="14075" width="4.85546875" style="2" customWidth="1"/>
    <col min="14076" max="14076" width="30.5703125" style="2" customWidth="1"/>
    <col min="14077" max="14077" width="33.85546875" style="2" customWidth="1"/>
    <col min="14078" max="14078" width="5.140625" style="2" customWidth="1"/>
    <col min="14079" max="14080" width="17.5703125" style="2" customWidth="1"/>
    <col min="14081" max="14324" width="9.140625" style="2"/>
    <col min="14325" max="14325" width="3.5703125" style="2" customWidth="1"/>
    <col min="14326" max="14326" width="96.85546875" style="2" customWidth="1"/>
    <col min="14327" max="14327" width="30.85546875" style="2" customWidth="1"/>
    <col min="14328" max="14328" width="12.5703125" style="2" customWidth="1"/>
    <col min="14329" max="14329" width="5.140625" style="2" customWidth="1"/>
    <col min="14330" max="14330" width="9.140625" style="2"/>
    <col min="14331" max="14331" width="4.85546875" style="2" customWidth="1"/>
    <col min="14332" max="14332" width="30.5703125" style="2" customWidth="1"/>
    <col min="14333" max="14333" width="33.85546875" style="2" customWidth="1"/>
    <col min="14334" max="14334" width="5.140625" style="2" customWidth="1"/>
    <col min="14335" max="14336" width="17.5703125" style="2" customWidth="1"/>
    <col min="14337" max="14580" width="9.140625" style="2"/>
    <col min="14581" max="14581" width="3.5703125" style="2" customWidth="1"/>
    <col min="14582" max="14582" width="96.85546875" style="2" customWidth="1"/>
    <col min="14583" max="14583" width="30.85546875" style="2" customWidth="1"/>
    <col min="14584" max="14584" width="12.5703125" style="2" customWidth="1"/>
    <col min="14585" max="14585" width="5.140625" style="2" customWidth="1"/>
    <col min="14586" max="14586" width="9.140625" style="2"/>
    <col min="14587" max="14587" width="4.85546875" style="2" customWidth="1"/>
    <col min="14588" max="14588" width="30.5703125" style="2" customWidth="1"/>
    <col min="14589" max="14589" width="33.85546875" style="2" customWidth="1"/>
    <col min="14590" max="14590" width="5.140625" style="2" customWidth="1"/>
    <col min="14591" max="14592" width="17.5703125" style="2" customWidth="1"/>
    <col min="14593" max="14836" width="9.140625" style="2"/>
    <col min="14837" max="14837" width="3.5703125" style="2" customWidth="1"/>
    <col min="14838" max="14838" width="96.85546875" style="2" customWidth="1"/>
    <col min="14839" max="14839" width="30.85546875" style="2" customWidth="1"/>
    <col min="14840" max="14840" width="12.5703125" style="2" customWidth="1"/>
    <col min="14841" max="14841" width="5.140625" style="2" customWidth="1"/>
    <col min="14842" max="14842" width="9.140625" style="2"/>
    <col min="14843" max="14843" width="4.85546875" style="2" customWidth="1"/>
    <col min="14844" max="14844" width="30.5703125" style="2" customWidth="1"/>
    <col min="14845" max="14845" width="33.85546875" style="2" customWidth="1"/>
    <col min="14846" max="14846" width="5.140625" style="2" customWidth="1"/>
    <col min="14847" max="14848" width="17.5703125" style="2" customWidth="1"/>
    <col min="14849" max="15092" width="9.140625" style="2"/>
    <col min="15093" max="15093" width="3.5703125" style="2" customWidth="1"/>
    <col min="15094" max="15094" width="96.85546875" style="2" customWidth="1"/>
    <col min="15095" max="15095" width="30.85546875" style="2" customWidth="1"/>
    <col min="15096" max="15096" width="12.5703125" style="2" customWidth="1"/>
    <col min="15097" max="15097" width="5.140625" style="2" customWidth="1"/>
    <col min="15098" max="15098" width="9.140625" style="2"/>
    <col min="15099" max="15099" width="4.85546875" style="2" customWidth="1"/>
    <col min="15100" max="15100" width="30.5703125" style="2" customWidth="1"/>
    <col min="15101" max="15101" width="33.85546875" style="2" customWidth="1"/>
    <col min="15102" max="15102" width="5.140625" style="2" customWidth="1"/>
    <col min="15103" max="15104" width="17.5703125" style="2" customWidth="1"/>
    <col min="15105" max="15348" width="9.140625" style="2"/>
    <col min="15349" max="15349" width="3.5703125" style="2" customWidth="1"/>
    <col min="15350" max="15350" width="96.85546875" style="2" customWidth="1"/>
    <col min="15351" max="15351" width="30.85546875" style="2" customWidth="1"/>
    <col min="15352" max="15352" width="12.5703125" style="2" customWidth="1"/>
    <col min="15353" max="15353" width="5.140625" style="2" customWidth="1"/>
    <col min="15354" max="15354" width="9.140625" style="2"/>
    <col min="15355" max="15355" width="4.85546875" style="2" customWidth="1"/>
    <col min="15356" max="15356" width="30.5703125" style="2" customWidth="1"/>
    <col min="15357" max="15357" width="33.85546875" style="2" customWidth="1"/>
    <col min="15358" max="15358" width="5.140625" style="2" customWidth="1"/>
    <col min="15359" max="15360" width="17.5703125" style="2" customWidth="1"/>
    <col min="15361" max="15604" width="9.140625" style="2"/>
    <col min="15605" max="15605" width="3.5703125" style="2" customWidth="1"/>
    <col min="15606" max="15606" width="96.85546875" style="2" customWidth="1"/>
    <col min="15607" max="15607" width="30.85546875" style="2" customWidth="1"/>
    <col min="15608" max="15608" width="12.5703125" style="2" customWidth="1"/>
    <col min="15609" max="15609" width="5.140625" style="2" customWidth="1"/>
    <col min="15610" max="15610" width="9.140625" style="2"/>
    <col min="15611" max="15611" width="4.85546875" style="2" customWidth="1"/>
    <col min="15612" max="15612" width="30.5703125" style="2" customWidth="1"/>
    <col min="15613" max="15613" width="33.85546875" style="2" customWidth="1"/>
    <col min="15614" max="15614" width="5.140625" style="2" customWidth="1"/>
    <col min="15615" max="15616" width="17.5703125" style="2" customWidth="1"/>
    <col min="15617" max="15860" width="9.140625" style="2"/>
    <col min="15861" max="15861" width="3.5703125" style="2" customWidth="1"/>
    <col min="15862" max="15862" width="96.85546875" style="2" customWidth="1"/>
    <col min="15863" max="15863" width="30.85546875" style="2" customWidth="1"/>
    <col min="15864" max="15864" width="12.5703125" style="2" customWidth="1"/>
    <col min="15865" max="15865" width="5.140625" style="2" customWidth="1"/>
    <col min="15866" max="15866" width="9.140625" style="2"/>
    <col min="15867" max="15867" width="4.85546875" style="2" customWidth="1"/>
    <col min="15868" max="15868" width="30.5703125" style="2" customWidth="1"/>
    <col min="15869" max="15869" width="33.85546875" style="2" customWidth="1"/>
    <col min="15870" max="15870" width="5.140625" style="2" customWidth="1"/>
    <col min="15871" max="15872" width="17.5703125" style="2" customWidth="1"/>
    <col min="15873" max="16116" width="9.140625" style="2"/>
    <col min="16117" max="16117" width="3.5703125" style="2" customWidth="1"/>
    <col min="16118" max="16118" width="96.85546875" style="2" customWidth="1"/>
    <col min="16119" max="16119" width="30.85546875" style="2" customWidth="1"/>
    <col min="16120" max="16120" width="12.5703125" style="2" customWidth="1"/>
    <col min="16121" max="16121" width="5.140625" style="2" customWidth="1"/>
    <col min="16122" max="16122" width="9.140625" style="2"/>
    <col min="16123" max="16123" width="4.85546875" style="2" customWidth="1"/>
    <col min="16124" max="16124" width="30.5703125" style="2" customWidth="1"/>
    <col min="16125" max="16125" width="33.85546875" style="2" customWidth="1"/>
    <col min="16126" max="16126" width="5.140625" style="2" customWidth="1"/>
    <col min="16127" max="16128" width="17.5703125" style="2" customWidth="1"/>
    <col min="16129" max="16384" width="9.140625" style="2"/>
  </cols>
  <sheetData>
    <row r="1" spans="1:3" ht="48" customHeight="1" x14ac:dyDescent="0.2">
      <c r="A1" s="111"/>
      <c r="B1" s="143" t="s">
        <v>225</v>
      </c>
      <c r="C1" s="143"/>
    </row>
    <row r="2" spans="1:3" x14ac:dyDescent="0.2">
      <c r="A2" s="1"/>
      <c r="B2" s="3" t="s">
        <v>2</v>
      </c>
      <c r="C2" s="4">
        <v>45317</v>
      </c>
    </row>
    <row r="3" spans="1:3" x14ac:dyDescent="0.2">
      <c r="A3" s="1"/>
      <c r="B3" s="112" t="s">
        <v>3</v>
      </c>
    </row>
    <row r="4" spans="1:3" ht="25.5" x14ac:dyDescent="0.2">
      <c r="A4" s="7"/>
      <c r="B4" s="8" t="str">
        <f>[16]И1!D13</f>
        <v>Субъект Российской Федерации</v>
      </c>
      <c r="C4" s="9" t="str">
        <f>[16]И1!E13</f>
        <v>Новосибирская область</v>
      </c>
    </row>
    <row r="5" spans="1:3" ht="38.25" x14ac:dyDescent="0.2">
      <c r="A5" s="7"/>
      <c r="B5" s="8" t="str">
        <f>[16]И1!D14</f>
        <v>Тип муниципального образования (выберите из списка)</v>
      </c>
      <c r="C5" s="9" t="str">
        <f>[16]И1!E14</f>
        <v>поселок Пролетарский, Ордынский муниципальный район</v>
      </c>
    </row>
    <row r="6" spans="1:3" x14ac:dyDescent="0.2">
      <c r="A6" s="7"/>
      <c r="B6" s="8" t="str">
        <f>IF([16]И1!E15="","",[16]И1!D15)</f>
        <v/>
      </c>
      <c r="C6" s="9" t="str">
        <f>IF([16]И1!E15="","",[16]И1!E15)</f>
        <v/>
      </c>
    </row>
    <row r="7" spans="1:3" x14ac:dyDescent="0.2">
      <c r="A7" s="7"/>
      <c r="B7" s="8" t="str">
        <f>[16]И1!D16</f>
        <v>Код ОКТМО</v>
      </c>
      <c r="C7" s="10" t="str">
        <f>[16]И1!E16</f>
        <v>50642422101</v>
      </c>
    </row>
    <row r="8" spans="1:3" x14ac:dyDescent="0.2">
      <c r="A8" s="7"/>
      <c r="B8" s="11" t="str">
        <f>[16]И1!D17</f>
        <v>Система теплоснабжения</v>
      </c>
      <c r="C8" s="12">
        <f>[16]И1!E17</f>
        <v>0</v>
      </c>
    </row>
    <row r="9" spans="1:3" x14ac:dyDescent="0.2">
      <c r="A9" s="7"/>
      <c r="B9" s="8" t="str">
        <f>[16]И1!D8</f>
        <v>Период регулирования (i)-й</v>
      </c>
      <c r="C9" s="13">
        <f>[16]И1!E8</f>
        <v>2024</v>
      </c>
    </row>
    <row r="10" spans="1:3" x14ac:dyDescent="0.2">
      <c r="A10" s="7"/>
      <c r="B10" s="8" t="str">
        <f>[16]И1!D9</f>
        <v>Период регулирования (i-1)-й</v>
      </c>
      <c r="C10" s="13">
        <f>[16]И1!E9</f>
        <v>2023</v>
      </c>
    </row>
    <row r="11" spans="1:3" x14ac:dyDescent="0.2">
      <c r="A11" s="7"/>
      <c r="B11" s="8" t="str">
        <f>[16]И1!D10</f>
        <v>Период регулирования (i-2)-й</v>
      </c>
      <c r="C11" s="13">
        <f>[16]И1!E10</f>
        <v>2022</v>
      </c>
    </row>
    <row r="12" spans="1:3" x14ac:dyDescent="0.2">
      <c r="A12" s="7"/>
      <c r="B12" s="8" t="str">
        <f>[16]И1!D11</f>
        <v>Базовый год (б)</v>
      </c>
      <c r="C12" s="13">
        <f>[16]И1!E11</f>
        <v>2019</v>
      </c>
    </row>
    <row r="13" spans="1:3" ht="38.25" x14ac:dyDescent="0.2">
      <c r="A13" s="7"/>
      <c r="B13" s="8" t="str">
        <f>[16]И1!D18</f>
        <v>Вид топлива, использование которого преобладает в системе теплоснабжения</v>
      </c>
      <c r="C13" s="14" t="str">
        <f>[16]С1.1!E13</f>
        <v>уголь (вид угля не указан в топливном балансе)</v>
      </c>
    </row>
    <row r="14" spans="1:3" ht="31.7" customHeight="1" thickBot="1" x14ac:dyDescent="0.25">
      <c r="A14" s="146" t="s">
        <v>4</v>
      </c>
      <c r="B14" s="146"/>
      <c r="C14" s="146"/>
    </row>
    <row r="15" spans="1:3" x14ac:dyDescent="0.2">
      <c r="A15" s="15" t="s">
        <v>5</v>
      </c>
      <c r="B15" s="113" t="s">
        <v>6</v>
      </c>
      <c r="C15" s="114" t="s">
        <v>7</v>
      </c>
    </row>
    <row r="16" spans="1:3" x14ac:dyDescent="0.2">
      <c r="A16" s="18">
        <v>1</v>
      </c>
      <c r="B16" s="115">
        <v>2</v>
      </c>
      <c r="C16" s="116">
        <v>3</v>
      </c>
    </row>
    <row r="17" spans="1:3" x14ac:dyDescent="0.2">
      <c r="A17" s="21">
        <v>1</v>
      </c>
      <c r="B17" s="22" t="s">
        <v>8</v>
      </c>
      <c r="C17" s="23">
        <f>SUM(C18:C22)</f>
        <v>3657.7484298586583</v>
      </c>
    </row>
    <row r="18" spans="1:3" ht="42.75" x14ac:dyDescent="0.2">
      <c r="A18" s="21" t="s">
        <v>9</v>
      </c>
      <c r="B18" s="24" t="s">
        <v>10</v>
      </c>
      <c r="C18" s="25">
        <f>[16]С1!F12</f>
        <v>681.72722270675411</v>
      </c>
    </row>
    <row r="19" spans="1:3" ht="42.75" x14ac:dyDescent="0.2">
      <c r="A19" s="21" t="s">
        <v>11</v>
      </c>
      <c r="B19" s="24" t="s">
        <v>12</v>
      </c>
      <c r="C19" s="25">
        <f>[16]С2!F12</f>
        <v>1988.7336845318171</v>
      </c>
    </row>
    <row r="20" spans="1:3" ht="30" x14ac:dyDescent="0.2">
      <c r="A20" s="21" t="s">
        <v>13</v>
      </c>
      <c r="B20" s="24" t="s">
        <v>14</v>
      </c>
      <c r="C20" s="25">
        <f>[16]С3!F12</f>
        <v>472.61808029676507</v>
      </c>
    </row>
    <row r="21" spans="1:3" ht="42.75" x14ac:dyDescent="0.2">
      <c r="A21" s="21" t="s">
        <v>15</v>
      </c>
      <c r="B21" s="24" t="s">
        <v>226</v>
      </c>
      <c r="C21" s="25">
        <f>[16]С4!F12</f>
        <v>442.94888487511309</v>
      </c>
    </row>
    <row r="22" spans="1:3" ht="30" x14ac:dyDescent="0.2">
      <c r="A22" s="21" t="s">
        <v>17</v>
      </c>
      <c r="B22" s="24" t="s">
        <v>227</v>
      </c>
      <c r="C22" s="25">
        <f>[16]С5!F12</f>
        <v>71.720557448208979</v>
      </c>
    </row>
    <row r="23" spans="1:3" ht="43.5" thickBot="1" x14ac:dyDescent="0.25">
      <c r="A23" s="26" t="s">
        <v>19</v>
      </c>
      <c r="B23" s="140" t="s">
        <v>228</v>
      </c>
      <c r="C23" s="27" t="str">
        <f>[16]С6!F12</f>
        <v>-</v>
      </c>
    </row>
    <row r="24" spans="1:3" ht="13.5" thickBot="1" x14ac:dyDescent="0.25">
      <c r="A24" s="1"/>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229</v>
      </c>
      <c r="C28" s="32">
        <f>[16]С1.1!E16</f>
        <v>5100</v>
      </c>
    </row>
    <row r="29" spans="1:3" ht="42.75" x14ac:dyDescent="0.2">
      <c r="A29" s="21" t="s">
        <v>11</v>
      </c>
      <c r="B29" s="31" t="s">
        <v>230</v>
      </c>
      <c r="C29" s="32">
        <f>[16]С1.1!E27</f>
        <v>3063.03</v>
      </c>
    </row>
    <row r="30" spans="1:3" ht="17.25" x14ac:dyDescent="0.2">
      <c r="A30" s="21" t="s">
        <v>13</v>
      </c>
      <c r="B30" s="31" t="s">
        <v>30</v>
      </c>
      <c r="C30" s="34">
        <f>[16]С1.1!E19</f>
        <v>-0.19900000000000001</v>
      </c>
    </row>
    <row r="31" spans="1:3" ht="17.25" x14ac:dyDescent="0.2">
      <c r="A31" s="21" t="s">
        <v>15</v>
      </c>
      <c r="B31" s="31" t="s">
        <v>31</v>
      </c>
      <c r="C31" s="34">
        <f>[16]С1.1!E20</f>
        <v>5.7000000000000002E-2</v>
      </c>
    </row>
    <row r="32" spans="1:3" ht="30" x14ac:dyDescent="0.2">
      <c r="A32" s="21" t="s">
        <v>17</v>
      </c>
      <c r="B32" s="35" t="s">
        <v>231</v>
      </c>
      <c r="C32" s="117">
        <f>[16]С1!F13</f>
        <v>176.4</v>
      </c>
    </row>
    <row r="33" spans="1:3" x14ac:dyDescent="0.2">
      <c r="A33" s="21" t="s">
        <v>19</v>
      </c>
      <c r="B33" s="35" t="s">
        <v>33</v>
      </c>
      <c r="C33" s="37">
        <f>[16]С1!F16</f>
        <v>7000</v>
      </c>
    </row>
    <row r="34" spans="1:3" ht="14.25" x14ac:dyDescent="0.2">
      <c r="A34" s="21" t="s">
        <v>34</v>
      </c>
      <c r="B34" s="39" t="s">
        <v>232</v>
      </c>
      <c r="C34" s="40">
        <f>[16]С1!F17</f>
        <v>0.72857142857142854</v>
      </c>
    </row>
    <row r="35" spans="1:3" ht="15.75" x14ac:dyDescent="0.2">
      <c r="A35" s="118" t="s">
        <v>36</v>
      </c>
      <c r="B35" s="42" t="s">
        <v>37</v>
      </c>
      <c r="C35" s="40">
        <f>[16]С1!F20</f>
        <v>21.588411179999994</v>
      </c>
    </row>
    <row r="36" spans="1:3" ht="15.75" x14ac:dyDescent="0.2">
      <c r="A36" s="118" t="s">
        <v>38</v>
      </c>
      <c r="B36" s="43" t="s">
        <v>39</v>
      </c>
      <c r="C36" s="40">
        <f>[16]С1!F21</f>
        <v>20.818139999999996</v>
      </c>
    </row>
    <row r="37" spans="1:3" ht="14.25" x14ac:dyDescent="0.2">
      <c r="A37" s="118" t="s">
        <v>40</v>
      </c>
      <c r="B37" s="44" t="s">
        <v>41</v>
      </c>
      <c r="C37" s="40">
        <f>[16]С1!F22</f>
        <v>1.0369999999999999</v>
      </c>
    </row>
    <row r="38" spans="1:3" ht="53.25" thickBot="1" x14ac:dyDescent="0.25">
      <c r="A38" s="26" t="s">
        <v>42</v>
      </c>
      <c r="B38" s="45" t="s">
        <v>43</v>
      </c>
      <c r="C38" s="46">
        <f>[16]С1!F23</f>
        <v>1.0469999999999999</v>
      </c>
    </row>
    <row r="39" spans="1:3" ht="13.5" thickBot="1" x14ac:dyDescent="0.25">
      <c r="A39" s="47"/>
      <c r="B39" s="119"/>
      <c r="C39" s="120"/>
    </row>
    <row r="40" spans="1:3" ht="30" customHeight="1" x14ac:dyDescent="0.2">
      <c r="A40" s="49" t="s">
        <v>44</v>
      </c>
      <c r="B40" s="145" t="s">
        <v>45</v>
      </c>
      <c r="C40" s="145"/>
    </row>
    <row r="41" spans="1:3" ht="25.5" x14ac:dyDescent="0.2">
      <c r="A41" s="21" t="s">
        <v>46</v>
      </c>
      <c r="B41" s="35" t="s">
        <v>47</v>
      </c>
      <c r="C41" s="50" t="str">
        <f>[16]С2.1!E12</f>
        <v>V</v>
      </c>
    </row>
    <row r="42" spans="1:3" ht="25.5" x14ac:dyDescent="0.2">
      <c r="A42" s="21" t="s">
        <v>48</v>
      </c>
      <c r="B42" s="31" t="s">
        <v>49</v>
      </c>
      <c r="C42" s="50" t="str">
        <f>[16]С2.1!E13</f>
        <v>6 и менее баллов</v>
      </c>
    </row>
    <row r="43" spans="1:3" ht="25.5" x14ac:dyDescent="0.2">
      <c r="A43" s="21" t="s">
        <v>50</v>
      </c>
      <c r="B43" s="31" t="s">
        <v>233</v>
      </c>
      <c r="C43" s="50" t="str">
        <f>[16]С2.1!E14</f>
        <v>от 200 до 500</v>
      </c>
    </row>
    <row r="44" spans="1:3" ht="25.5" x14ac:dyDescent="0.2">
      <c r="A44" s="21" t="s">
        <v>52</v>
      </c>
      <c r="B44" s="31" t="s">
        <v>234</v>
      </c>
      <c r="C44" s="51" t="str">
        <f>[16]С2.1!E15</f>
        <v>нет</v>
      </c>
    </row>
    <row r="45" spans="1:3" ht="30" x14ac:dyDescent="0.2">
      <c r="A45" s="21" t="s">
        <v>54</v>
      </c>
      <c r="B45" s="31" t="s">
        <v>55</v>
      </c>
      <c r="C45" s="32">
        <f>[16]С2!F18</f>
        <v>35106.652004551666</v>
      </c>
    </row>
    <row r="46" spans="1:3" ht="30" x14ac:dyDescent="0.2">
      <c r="A46" s="21" t="s">
        <v>56</v>
      </c>
      <c r="B46" s="52" t="s">
        <v>57</v>
      </c>
      <c r="C46" s="32">
        <f>IF([16]С2!F19&gt;0,[16]С2!F19,[16]С2!F20)</f>
        <v>23441.524932855718</v>
      </c>
    </row>
    <row r="47" spans="1:3" ht="25.5" x14ac:dyDescent="0.2">
      <c r="A47" s="21" t="s">
        <v>58</v>
      </c>
      <c r="B47" s="53" t="s">
        <v>59</v>
      </c>
      <c r="C47" s="32">
        <f>[16]С2.1!E19</f>
        <v>-37</v>
      </c>
    </row>
    <row r="48" spans="1:3" ht="25.5" x14ac:dyDescent="0.2">
      <c r="A48" s="21" t="s">
        <v>60</v>
      </c>
      <c r="B48" s="53" t="s">
        <v>61</v>
      </c>
      <c r="C48" s="32" t="str">
        <f>[16]С2.1!E22</f>
        <v>нет</v>
      </c>
    </row>
    <row r="49" spans="1:3" ht="38.25" x14ac:dyDescent="0.2">
      <c r="A49" s="21" t="s">
        <v>62</v>
      </c>
      <c r="B49" s="54" t="s">
        <v>63</v>
      </c>
      <c r="C49" s="32">
        <f>[16]С2.2!E10</f>
        <v>1287</v>
      </c>
    </row>
    <row r="50" spans="1:3" ht="25.5" x14ac:dyDescent="0.2">
      <c r="A50" s="21" t="s">
        <v>64</v>
      </c>
      <c r="B50" s="55" t="s">
        <v>65</v>
      </c>
      <c r="C50" s="32">
        <f>[16]С2.2!E12</f>
        <v>5.97</v>
      </c>
    </row>
    <row r="51" spans="1:3" ht="52.5" x14ac:dyDescent="0.2">
      <c r="A51" s="21" t="s">
        <v>66</v>
      </c>
      <c r="B51" s="56" t="s">
        <v>67</v>
      </c>
      <c r="C51" s="32">
        <f>[16]С2.2!E13</f>
        <v>1</v>
      </c>
    </row>
    <row r="52" spans="1:3" ht="27.75" x14ac:dyDescent="0.2">
      <c r="A52" s="21" t="s">
        <v>68</v>
      </c>
      <c r="B52" s="55" t="s">
        <v>69</v>
      </c>
      <c r="C52" s="32">
        <f>[16]С2.2!E14</f>
        <v>12104</v>
      </c>
    </row>
    <row r="53" spans="1:3" ht="25.5" x14ac:dyDescent="0.2">
      <c r="A53" s="21" t="s">
        <v>70</v>
      </c>
      <c r="B53" s="56" t="s">
        <v>71</v>
      </c>
      <c r="C53" s="34">
        <f>[16]С2.2!E15</f>
        <v>4.8000000000000001E-2</v>
      </c>
    </row>
    <row r="54" spans="1:3" x14ac:dyDescent="0.2">
      <c r="A54" s="21" t="s">
        <v>72</v>
      </c>
      <c r="B54" s="56" t="s">
        <v>73</v>
      </c>
      <c r="C54" s="32">
        <f>[16]С2.2!E16</f>
        <v>1</v>
      </c>
    </row>
    <row r="55" spans="1:3" ht="15.75" x14ac:dyDescent="0.2">
      <c r="A55" s="21" t="s">
        <v>74</v>
      </c>
      <c r="B55" s="58" t="s">
        <v>75</v>
      </c>
      <c r="C55" s="32">
        <f>[16]С2!F21</f>
        <v>1</v>
      </c>
    </row>
    <row r="56" spans="1:3" ht="30" x14ac:dyDescent="0.2">
      <c r="A56" s="59" t="s">
        <v>76</v>
      </c>
      <c r="B56" s="31" t="s">
        <v>235</v>
      </c>
      <c r="C56" s="32">
        <f>[16]С2!F13</f>
        <v>183796.83936385796</v>
      </c>
    </row>
    <row r="57" spans="1:3" ht="30" x14ac:dyDescent="0.2">
      <c r="A57" s="59" t="s">
        <v>78</v>
      </c>
      <c r="B57" s="58" t="s">
        <v>236</v>
      </c>
      <c r="C57" s="32">
        <f>[16]С2!F14</f>
        <v>113455</v>
      </c>
    </row>
    <row r="58" spans="1:3" ht="15.75" x14ac:dyDescent="0.2">
      <c r="A58" s="59" t="s">
        <v>80</v>
      </c>
      <c r="B58" s="60" t="s">
        <v>81</v>
      </c>
      <c r="C58" s="40">
        <f>[16]С2!F15</f>
        <v>1.071</v>
      </c>
    </row>
    <row r="59" spans="1:3" ht="15.75" x14ac:dyDescent="0.2">
      <c r="A59" s="59" t="s">
        <v>82</v>
      </c>
      <c r="B59" s="60" t="s">
        <v>83</v>
      </c>
      <c r="C59" s="40">
        <f>[16]С2!F16</f>
        <v>1</v>
      </c>
    </row>
    <row r="60" spans="1:3" ht="17.25" x14ac:dyDescent="0.2">
      <c r="A60" s="59" t="s">
        <v>84</v>
      </c>
      <c r="B60" s="58" t="s">
        <v>85</v>
      </c>
      <c r="C60" s="32">
        <f>[16]С2!F17</f>
        <v>1.01</v>
      </c>
    </row>
    <row r="61" spans="1:3" s="65" customFormat="1" ht="14.25" x14ac:dyDescent="0.2">
      <c r="A61" s="59" t="s">
        <v>86</v>
      </c>
      <c r="B61" s="63" t="s">
        <v>87</v>
      </c>
      <c r="C61" s="64">
        <f>[16]С2!F33</f>
        <v>10</v>
      </c>
    </row>
    <row r="62" spans="1:3" ht="30" x14ac:dyDescent="0.2">
      <c r="A62" s="59" t="s">
        <v>88</v>
      </c>
      <c r="B62" s="66" t="s">
        <v>89</v>
      </c>
      <c r="C62" s="32">
        <f>[16]С2!F26</f>
        <v>1266.3745527115127</v>
      </c>
    </row>
    <row r="63" spans="1:3" ht="17.25" x14ac:dyDescent="0.2">
      <c r="A63" s="59" t="s">
        <v>90</v>
      </c>
      <c r="B63" s="52" t="s">
        <v>237</v>
      </c>
      <c r="C63" s="32">
        <f>[16]С2!F27</f>
        <v>0.201330388</v>
      </c>
    </row>
    <row r="64" spans="1:3" ht="17.25" x14ac:dyDescent="0.2">
      <c r="A64" s="59" t="s">
        <v>92</v>
      </c>
      <c r="B64" s="58" t="s">
        <v>238</v>
      </c>
      <c r="C64" s="64">
        <f>[16]С2!F28</f>
        <v>4200</v>
      </c>
    </row>
    <row r="65" spans="1:3" ht="42.75" x14ac:dyDescent="0.2">
      <c r="A65" s="59" t="s">
        <v>94</v>
      </c>
      <c r="B65" s="31" t="s">
        <v>239</v>
      </c>
      <c r="C65" s="32">
        <f>[16]С2!F22</f>
        <v>38698.422798410109</v>
      </c>
    </row>
    <row r="66" spans="1:3" ht="30" x14ac:dyDescent="0.2">
      <c r="A66" s="59" t="s">
        <v>96</v>
      </c>
      <c r="B66" s="60" t="s">
        <v>240</v>
      </c>
      <c r="C66" s="32">
        <f>[16]С2!F23</f>
        <v>1990</v>
      </c>
    </row>
    <row r="67" spans="1:3" ht="30" x14ac:dyDescent="0.2">
      <c r="A67" s="59" t="s">
        <v>98</v>
      </c>
      <c r="B67" s="52" t="s">
        <v>99</v>
      </c>
      <c r="C67" s="32">
        <f>[16]С2.1!E27</f>
        <v>14307.876789999998</v>
      </c>
    </row>
    <row r="68" spans="1:3" ht="38.25" x14ac:dyDescent="0.2">
      <c r="A68" s="59" t="s">
        <v>100</v>
      </c>
      <c r="B68" s="67" t="s">
        <v>101</v>
      </c>
      <c r="C68" s="51">
        <f>[16]С2.3!E21</f>
        <v>0</v>
      </c>
    </row>
    <row r="69" spans="1:3" ht="25.5" x14ac:dyDescent="0.2">
      <c r="A69" s="59" t="s">
        <v>102</v>
      </c>
      <c r="B69" s="68" t="s">
        <v>103</v>
      </c>
      <c r="C69" s="69">
        <f>[16]С2.3!E11</f>
        <v>9.89</v>
      </c>
    </row>
    <row r="70" spans="1:3" ht="25.5" x14ac:dyDescent="0.2">
      <c r="A70" s="59" t="s">
        <v>104</v>
      </c>
      <c r="B70" s="68" t="s">
        <v>105</v>
      </c>
      <c r="C70" s="64">
        <f>[16]С2.3!E13</f>
        <v>300</v>
      </c>
    </row>
    <row r="71" spans="1:3" ht="25.5" x14ac:dyDescent="0.2">
      <c r="A71" s="59" t="s">
        <v>106</v>
      </c>
      <c r="B71" s="67" t="s">
        <v>107</v>
      </c>
      <c r="C71" s="70">
        <f>IF([16]С2.3!E22&gt;0,[16]С2.3!E22,[16]С2.3!E14)</f>
        <v>61211</v>
      </c>
    </row>
    <row r="72" spans="1:3" ht="38.25" x14ac:dyDescent="0.2">
      <c r="A72" s="59" t="s">
        <v>108</v>
      </c>
      <c r="B72" s="67" t="s">
        <v>109</v>
      </c>
      <c r="C72" s="70">
        <f>IF([16]С2.3!E23&gt;0,[16]С2.3!E23,[16]С2.3!E15)</f>
        <v>45675</v>
      </c>
    </row>
    <row r="73" spans="1:3" ht="30" x14ac:dyDescent="0.2">
      <c r="A73" s="59" t="s">
        <v>110</v>
      </c>
      <c r="B73" s="52" t="s">
        <v>111</v>
      </c>
      <c r="C73" s="32">
        <f>[16]С2.1!E28</f>
        <v>9541.9567200000001</v>
      </c>
    </row>
    <row r="74" spans="1:3" ht="38.25" x14ac:dyDescent="0.2">
      <c r="A74" s="59" t="s">
        <v>112</v>
      </c>
      <c r="B74" s="67" t="s">
        <v>113</v>
      </c>
      <c r="C74" s="51">
        <f>[16]С2.3!E25</f>
        <v>0</v>
      </c>
    </row>
    <row r="75" spans="1:3" ht="25.5" x14ac:dyDescent="0.2">
      <c r="A75" s="59" t="s">
        <v>114</v>
      </c>
      <c r="B75" s="68" t="s">
        <v>115</v>
      </c>
      <c r="C75" s="69">
        <f>[16]С2.3!E12</f>
        <v>0.56000000000000005</v>
      </c>
    </row>
    <row r="76" spans="1:3" ht="25.5" x14ac:dyDescent="0.2">
      <c r="A76" s="59" t="s">
        <v>116</v>
      </c>
      <c r="B76" s="68" t="s">
        <v>105</v>
      </c>
      <c r="C76" s="64">
        <f>[16]С2.3!E13</f>
        <v>300</v>
      </c>
    </row>
    <row r="77" spans="1:3" ht="25.5" x14ac:dyDescent="0.2">
      <c r="A77" s="59" t="s">
        <v>117</v>
      </c>
      <c r="B77" s="71" t="s">
        <v>118</v>
      </c>
      <c r="C77" s="70">
        <f>IF([16]С2.3!E26&gt;0,[16]С2.3!E26,[16]С2.3!E16)</f>
        <v>65637</v>
      </c>
    </row>
    <row r="78" spans="1:3" ht="38.25" x14ac:dyDescent="0.2">
      <c r="A78" s="59" t="s">
        <v>119</v>
      </c>
      <c r="B78" s="71" t="s">
        <v>120</v>
      </c>
      <c r="C78" s="70">
        <f>IF([16]С2.3!E27&gt;0,[16]С2.3!E27,[16]С2.3!E17)</f>
        <v>31684</v>
      </c>
    </row>
    <row r="79" spans="1:3" ht="17.25" x14ac:dyDescent="0.2">
      <c r="A79" s="59" t="s">
        <v>123</v>
      </c>
      <c r="B79" s="31" t="s">
        <v>124</v>
      </c>
      <c r="C79" s="34">
        <f>[16]С2!F29</f>
        <v>9.5962865259740182E-2</v>
      </c>
    </row>
    <row r="80" spans="1:3" ht="30" x14ac:dyDescent="0.2">
      <c r="A80" s="59" t="s">
        <v>125</v>
      </c>
      <c r="B80" s="52" t="s">
        <v>126</v>
      </c>
      <c r="C80" s="72">
        <f>[16]С2!F30</f>
        <v>8.4029304029304031E-2</v>
      </c>
    </row>
    <row r="81" spans="1:3" ht="17.25" x14ac:dyDescent="0.2">
      <c r="A81" s="59" t="s">
        <v>127</v>
      </c>
      <c r="B81" s="73" t="s">
        <v>128</v>
      </c>
      <c r="C81" s="34">
        <f>[16]С2!F31</f>
        <v>0.13880000000000001</v>
      </c>
    </row>
    <row r="82" spans="1:3" s="65" customFormat="1" ht="18" thickBot="1" x14ac:dyDescent="0.25">
      <c r="A82" s="74" t="s">
        <v>129</v>
      </c>
      <c r="B82" s="75" t="s">
        <v>130</v>
      </c>
      <c r="C82" s="76">
        <f>[16]С2!F32</f>
        <v>0.12640000000000001</v>
      </c>
    </row>
    <row r="83" spans="1:3" ht="13.5" thickBot="1" x14ac:dyDescent="0.25">
      <c r="A83" s="47"/>
      <c r="B83" s="48"/>
      <c r="C83" s="14"/>
    </row>
    <row r="84" spans="1:3" s="65" customFormat="1" ht="30" customHeight="1" x14ac:dyDescent="0.2">
      <c r="A84" s="77" t="s">
        <v>131</v>
      </c>
      <c r="B84" s="145" t="s">
        <v>132</v>
      </c>
      <c r="C84" s="145"/>
    </row>
    <row r="85" spans="1:3" s="65" customFormat="1" ht="30" x14ac:dyDescent="0.2">
      <c r="A85" s="78" t="s">
        <v>133</v>
      </c>
      <c r="B85" s="31" t="s">
        <v>134</v>
      </c>
      <c r="C85" s="32">
        <f>[16]С3!F14</f>
        <v>6057.0688307111368</v>
      </c>
    </row>
    <row r="86" spans="1:3" s="65" customFormat="1" ht="42.75" x14ac:dyDescent="0.2">
      <c r="A86" s="78" t="s">
        <v>135</v>
      </c>
      <c r="B86" s="52" t="s">
        <v>136</v>
      </c>
      <c r="C86" s="79">
        <f>[16]С3!F15</f>
        <v>0.2</v>
      </c>
    </row>
    <row r="87" spans="1:3" s="65" customFormat="1" ht="14.25" x14ac:dyDescent="0.2">
      <c r="A87" s="78" t="s">
        <v>137</v>
      </c>
      <c r="B87" s="80" t="s">
        <v>138</v>
      </c>
      <c r="C87" s="64">
        <f>[16]С3!F18</f>
        <v>15</v>
      </c>
    </row>
    <row r="88" spans="1:3" s="65" customFormat="1" ht="17.25" x14ac:dyDescent="0.2">
      <c r="A88" s="78" t="s">
        <v>139</v>
      </c>
      <c r="B88" s="31" t="s">
        <v>140</v>
      </c>
      <c r="C88" s="32">
        <f>[16]С3!F19</f>
        <v>3778.1614077800232</v>
      </c>
    </row>
    <row r="89" spans="1:3" s="65" customFormat="1" ht="55.5" x14ac:dyDescent="0.2">
      <c r="A89" s="78" t="s">
        <v>141</v>
      </c>
      <c r="B89" s="52" t="s">
        <v>142</v>
      </c>
      <c r="C89" s="81">
        <f>[16]С3!F20</f>
        <v>2.1999999999999999E-2</v>
      </c>
    </row>
    <row r="90" spans="1:3" s="65" customFormat="1" ht="14.25" x14ac:dyDescent="0.2">
      <c r="A90" s="78" t="s">
        <v>143</v>
      </c>
      <c r="B90" s="58" t="s">
        <v>87</v>
      </c>
      <c r="C90" s="64">
        <f>[16]С3!F21</f>
        <v>10</v>
      </c>
    </row>
    <row r="91" spans="1:3" s="65" customFormat="1" ht="17.25" x14ac:dyDescent="0.2">
      <c r="A91" s="78" t="s">
        <v>144</v>
      </c>
      <c r="B91" s="31" t="s">
        <v>145</v>
      </c>
      <c r="C91" s="32">
        <f>[16]С3!F22</f>
        <v>3.7991236581345382</v>
      </c>
    </row>
    <row r="92" spans="1:3" s="65" customFormat="1" ht="55.5" x14ac:dyDescent="0.2">
      <c r="A92" s="78" t="s">
        <v>146</v>
      </c>
      <c r="B92" s="52" t="s">
        <v>147</v>
      </c>
      <c r="C92" s="81">
        <f>[16]С3!F23</f>
        <v>3.0000000000000001E-3</v>
      </c>
    </row>
    <row r="93" spans="1:3" s="65" customFormat="1" ht="27.75" thickBot="1" x14ac:dyDescent="0.25">
      <c r="A93" s="82" t="s">
        <v>148</v>
      </c>
      <c r="B93" s="83" t="s">
        <v>241</v>
      </c>
      <c r="C93" s="84">
        <f>[16]С3!F24</f>
        <v>1266.3745527115127</v>
      </c>
    </row>
    <row r="94" spans="1:3" ht="13.5" thickBot="1" x14ac:dyDescent="0.25">
      <c r="A94" s="47"/>
      <c r="B94" s="48"/>
      <c r="C94" s="14"/>
    </row>
    <row r="95" spans="1:3" ht="30" customHeight="1" x14ac:dyDescent="0.2">
      <c r="A95" s="85" t="s">
        <v>149</v>
      </c>
      <c r="B95" s="145" t="s">
        <v>150</v>
      </c>
      <c r="C95" s="145"/>
    </row>
    <row r="96" spans="1:3" ht="30" x14ac:dyDescent="0.2">
      <c r="A96" s="59" t="s">
        <v>151</v>
      </c>
      <c r="B96" s="31" t="s">
        <v>242</v>
      </c>
      <c r="C96" s="32">
        <f>[16]С4!F16</f>
        <v>1652.5</v>
      </c>
    </row>
    <row r="97" spans="1:3" ht="30" x14ac:dyDescent="0.2">
      <c r="A97" s="59" t="s">
        <v>153</v>
      </c>
      <c r="B97" s="58" t="s">
        <v>243</v>
      </c>
      <c r="C97" s="32">
        <f>[16]С4!F17</f>
        <v>73547</v>
      </c>
    </row>
    <row r="98" spans="1:3" ht="17.25" x14ac:dyDescent="0.2">
      <c r="A98" s="59" t="s">
        <v>155</v>
      </c>
      <c r="B98" s="58" t="s">
        <v>156</v>
      </c>
      <c r="C98" s="40">
        <f>[16]С4!F18</f>
        <v>0.02</v>
      </c>
    </row>
    <row r="99" spans="1:3" ht="30" x14ac:dyDescent="0.2">
      <c r="A99" s="59" t="s">
        <v>157</v>
      </c>
      <c r="B99" s="58" t="s">
        <v>158</v>
      </c>
      <c r="C99" s="32">
        <f>[16]С4!F19</f>
        <v>12104</v>
      </c>
    </row>
    <row r="100" spans="1:3" ht="28.5" x14ac:dyDescent="0.2">
      <c r="A100" s="59" t="s">
        <v>159</v>
      </c>
      <c r="B100" s="58" t="s">
        <v>160</v>
      </c>
      <c r="C100" s="40">
        <f>[16]С4!F20</f>
        <v>1.4999999999999999E-2</v>
      </c>
    </row>
    <row r="101" spans="1:3" ht="30" x14ac:dyDescent="0.2">
      <c r="A101" s="59" t="s">
        <v>161</v>
      </c>
      <c r="B101" s="31" t="s">
        <v>244</v>
      </c>
      <c r="C101" s="32">
        <f>[16]С4!F21</f>
        <v>1933.1949342509995</v>
      </c>
    </row>
    <row r="102" spans="1:3" ht="24" customHeight="1" x14ac:dyDescent="0.2">
      <c r="A102" s="59" t="s">
        <v>163</v>
      </c>
      <c r="B102" s="52" t="s">
        <v>164</v>
      </c>
      <c r="C102" s="33">
        <f>IF([16]С4.2!F8="да",[16]С4.2!D21,[16]С4.2!D15)</f>
        <v>0</v>
      </c>
    </row>
    <row r="103" spans="1:3" ht="68.25" x14ac:dyDescent="0.2">
      <c r="A103" s="59" t="s">
        <v>165</v>
      </c>
      <c r="B103" s="52" t="s">
        <v>166</v>
      </c>
      <c r="C103" s="32">
        <f>[16]С4!F22</f>
        <v>3.6112641666666665</v>
      </c>
    </row>
    <row r="104" spans="1:3" ht="30" x14ac:dyDescent="0.2">
      <c r="A104" s="59" t="s">
        <v>167</v>
      </c>
      <c r="B104" s="58" t="s">
        <v>245</v>
      </c>
      <c r="C104" s="32">
        <f>[16]С4!F23</f>
        <v>180</v>
      </c>
    </row>
    <row r="105" spans="1:3" ht="14.25" x14ac:dyDescent="0.2">
      <c r="A105" s="59" t="s">
        <v>169</v>
      </c>
      <c r="B105" s="52" t="s">
        <v>170</v>
      </c>
      <c r="C105" s="32">
        <f>[16]С4!F24</f>
        <v>8497.1999999999989</v>
      </c>
    </row>
    <row r="106" spans="1:3" ht="14.25" x14ac:dyDescent="0.2">
      <c r="A106" s="59" t="s">
        <v>171</v>
      </c>
      <c r="B106" s="58" t="s">
        <v>172</v>
      </c>
      <c r="C106" s="40">
        <f>[16]С4!F25</f>
        <v>0.35</v>
      </c>
    </row>
    <row r="107" spans="1:3" ht="17.25" x14ac:dyDescent="0.2">
      <c r="A107" s="59" t="s">
        <v>173</v>
      </c>
      <c r="B107" s="31" t="s">
        <v>174</v>
      </c>
      <c r="C107" s="32">
        <f>[16]С4!F26</f>
        <v>63.838589999999996</v>
      </c>
    </row>
    <row r="108" spans="1:3" ht="25.5" x14ac:dyDescent="0.2">
      <c r="A108" s="59" t="s">
        <v>175</v>
      </c>
      <c r="B108" s="52" t="s">
        <v>101</v>
      </c>
      <c r="C108" s="33">
        <f>[16]С4.3!E16</f>
        <v>0</v>
      </c>
    </row>
    <row r="109" spans="1:3" ht="25.5" x14ac:dyDescent="0.2">
      <c r="A109" s="59" t="s">
        <v>176</v>
      </c>
      <c r="B109" s="52" t="s">
        <v>177</v>
      </c>
      <c r="C109" s="32">
        <f>[16]С4.3!E17</f>
        <v>15.27</v>
      </c>
    </row>
    <row r="110" spans="1:3" ht="38.25" x14ac:dyDescent="0.2">
      <c r="A110" s="59" t="s">
        <v>178</v>
      </c>
      <c r="B110" s="52" t="s">
        <v>113</v>
      </c>
      <c r="C110" s="33">
        <f>[16]С4.3!E18</f>
        <v>0</v>
      </c>
    </row>
    <row r="111" spans="1:3" x14ac:dyDescent="0.2">
      <c r="A111" s="59" t="s">
        <v>179</v>
      </c>
      <c r="B111" s="52" t="s">
        <v>180</v>
      </c>
      <c r="C111" s="32">
        <f>[16]С4.3!E19</f>
        <v>50.424999999999997</v>
      </c>
    </row>
    <row r="112" spans="1:3" x14ac:dyDescent="0.2">
      <c r="A112" s="59" t="s">
        <v>181</v>
      </c>
      <c r="B112" s="58" t="s">
        <v>182</v>
      </c>
      <c r="C112" s="32">
        <f>[16]С4.3!E11</f>
        <v>1871</v>
      </c>
    </row>
    <row r="113" spans="1:3" x14ac:dyDescent="0.2">
      <c r="A113" s="59" t="s">
        <v>183</v>
      </c>
      <c r="B113" s="58" t="s">
        <v>184</v>
      </c>
      <c r="C113" s="51">
        <f>[16]С4.3!E12</f>
        <v>1636</v>
      </c>
    </row>
    <row r="114" spans="1:3" x14ac:dyDescent="0.2">
      <c r="A114" s="59" t="s">
        <v>185</v>
      </c>
      <c r="B114" s="58" t="s">
        <v>186</v>
      </c>
      <c r="C114" s="51">
        <f>[16]С4.3!E13</f>
        <v>204</v>
      </c>
    </row>
    <row r="115" spans="1:3" ht="30" x14ac:dyDescent="0.2">
      <c r="A115" s="59" t="s">
        <v>187</v>
      </c>
      <c r="B115" s="31" t="s">
        <v>246</v>
      </c>
      <c r="C115" s="32">
        <f>[16]С4!F27</f>
        <v>1351.1912129385403</v>
      </c>
    </row>
    <row r="116" spans="1:3" ht="25.5" x14ac:dyDescent="0.2">
      <c r="A116" s="59" t="s">
        <v>189</v>
      </c>
      <c r="B116" s="52" t="s">
        <v>247</v>
      </c>
      <c r="C116" s="32">
        <f>[16]С4!F28</f>
        <v>1037.7812695380494</v>
      </c>
    </row>
    <row r="117" spans="1:3" ht="42.75" x14ac:dyDescent="0.2">
      <c r="A117" s="59" t="s">
        <v>191</v>
      </c>
      <c r="B117" s="52" t="s">
        <v>192</v>
      </c>
      <c r="C117" s="32">
        <f>[16]С4!F29</f>
        <v>313.40994340049093</v>
      </c>
    </row>
    <row r="118" spans="1:3" ht="30" x14ac:dyDescent="0.2">
      <c r="A118" s="59" t="s">
        <v>193</v>
      </c>
      <c r="B118" s="39" t="s">
        <v>194</v>
      </c>
      <c r="C118" s="32">
        <f>[16]С4!F30</f>
        <v>1732.1533587690419</v>
      </c>
    </row>
    <row r="119" spans="1:3" ht="42.75" x14ac:dyDescent="0.2">
      <c r="A119" s="59" t="s">
        <v>248</v>
      </c>
      <c r="B119" s="89" t="s">
        <v>249</v>
      </c>
      <c r="C119" s="32">
        <f>[16]С4!F33</f>
        <v>1010.5011744884268</v>
      </c>
    </row>
    <row r="120" spans="1:3" ht="30" x14ac:dyDescent="0.2">
      <c r="A120" s="59" t="s">
        <v>250</v>
      </c>
      <c r="B120" s="121" t="s">
        <v>251</v>
      </c>
      <c r="C120" s="32">
        <f>[16]С4!F35</f>
        <v>17.040680999999999</v>
      </c>
    </row>
    <row r="121" spans="1:3" ht="14.25" x14ac:dyDescent="0.2">
      <c r="A121" s="59" t="s">
        <v>252</v>
      </c>
      <c r="B121" s="55" t="s">
        <v>253</v>
      </c>
      <c r="C121" s="32">
        <f>[16]С4!F36</f>
        <v>14319.9</v>
      </c>
    </row>
    <row r="122" spans="1:3" ht="28.5" thickBot="1" x14ac:dyDescent="0.25">
      <c r="A122" s="74" t="s">
        <v>254</v>
      </c>
      <c r="B122" s="122" t="s">
        <v>255</v>
      </c>
      <c r="C122" s="84">
        <f>[16]С4!F37</f>
        <v>1.19</v>
      </c>
    </row>
    <row r="123" spans="1:3" s="87" customFormat="1" ht="13.5" thickBot="1" x14ac:dyDescent="0.25">
      <c r="A123" s="47"/>
      <c r="B123" s="48"/>
      <c r="C123" s="14"/>
    </row>
    <row r="124" spans="1:3" s="65" customFormat="1" ht="30" customHeight="1" x14ac:dyDescent="0.2">
      <c r="A124" s="77" t="s">
        <v>195</v>
      </c>
      <c r="B124" s="145" t="s">
        <v>196</v>
      </c>
      <c r="C124" s="145"/>
    </row>
    <row r="125" spans="1:3" ht="16.5" thickBot="1" x14ac:dyDescent="0.25">
      <c r="A125" s="26" t="s">
        <v>197</v>
      </c>
      <c r="B125" s="86" t="s">
        <v>198</v>
      </c>
      <c r="C125" s="84">
        <f>[16]С5!F17</f>
        <v>0.02</v>
      </c>
    </row>
    <row r="126" spans="1:3" s="87" customFormat="1" ht="13.5" thickBot="1" x14ac:dyDescent="0.25">
      <c r="A126" s="47"/>
      <c r="B126" s="48"/>
      <c r="C126" s="14"/>
    </row>
    <row r="127" spans="1:3" ht="42.75" customHeight="1" x14ac:dyDescent="0.2">
      <c r="A127" s="85" t="s">
        <v>199</v>
      </c>
      <c r="B127" s="147" t="s">
        <v>200</v>
      </c>
      <c r="C127" s="147"/>
    </row>
    <row r="128" spans="1:3" ht="68.25" x14ac:dyDescent="0.2">
      <c r="A128" s="59" t="s">
        <v>201</v>
      </c>
      <c r="B128" s="88" t="s">
        <v>202</v>
      </c>
      <c r="C128" s="32" t="s">
        <v>256</v>
      </c>
    </row>
    <row r="129" spans="1:3" ht="42.75" hidden="1" x14ac:dyDescent="0.2">
      <c r="A129" s="59" t="s">
        <v>203</v>
      </c>
      <c r="B129" s="89" t="s">
        <v>204</v>
      </c>
      <c r="C129" s="90"/>
    </row>
    <row r="130" spans="1:3" ht="69" thickBot="1" x14ac:dyDescent="0.25">
      <c r="A130" s="74" t="s">
        <v>205</v>
      </c>
      <c r="B130" s="123" t="s">
        <v>206</v>
      </c>
      <c r="C130" s="124" t="s">
        <v>256</v>
      </c>
    </row>
    <row r="131" spans="1:3" ht="62.25" hidden="1" customHeight="1" x14ac:dyDescent="0.2">
      <c r="A131" s="125" t="s">
        <v>207</v>
      </c>
      <c r="B131" s="126" t="s">
        <v>208</v>
      </c>
      <c r="C131" s="127"/>
    </row>
    <row r="132" spans="1:3" ht="68.25" hidden="1" x14ac:dyDescent="0.2">
      <c r="A132" s="59" t="s">
        <v>209</v>
      </c>
      <c r="B132" s="89" t="s">
        <v>257</v>
      </c>
      <c r="C132" s="34"/>
    </row>
    <row r="133" spans="1:3" ht="69" hidden="1" thickBot="1" x14ac:dyDescent="0.25">
      <c r="A133" s="74" t="s">
        <v>211</v>
      </c>
      <c r="B133" s="92" t="s">
        <v>212</v>
      </c>
      <c r="C133" s="76"/>
    </row>
    <row r="134" spans="1:3" s="87" customFormat="1" ht="13.5" thickBot="1" x14ac:dyDescent="0.25">
      <c r="A134" s="47"/>
      <c r="B134" s="48"/>
      <c r="C134" s="14"/>
    </row>
    <row r="135" spans="1:3" ht="26.25" customHeight="1" x14ac:dyDescent="0.2">
      <c r="A135" s="85" t="s">
        <v>213</v>
      </c>
      <c r="B135" s="93" t="s">
        <v>214</v>
      </c>
      <c r="C135" s="94">
        <f>[16]С2!F37</f>
        <v>20.818139999999996</v>
      </c>
    </row>
    <row r="136" spans="1:3" ht="14.25" x14ac:dyDescent="0.2">
      <c r="A136" s="59" t="s">
        <v>215</v>
      </c>
      <c r="B136" s="128" t="s">
        <v>216</v>
      </c>
      <c r="C136" s="32">
        <f>[16]С2!F38</f>
        <v>7</v>
      </c>
    </row>
    <row r="137" spans="1:3" ht="17.25" x14ac:dyDescent="0.2">
      <c r="A137" s="59" t="s">
        <v>217</v>
      </c>
      <c r="B137" s="128" t="s">
        <v>218</v>
      </c>
      <c r="C137" s="32">
        <f>[16]С2!F40</f>
        <v>0.97</v>
      </c>
    </row>
    <row r="138" spans="1:3" ht="15" thickBot="1" x14ac:dyDescent="0.25">
      <c r="A138" s="74" t="s">
        <v>219</v>
      </c>
      <c r="B138" s="129" t="s">
        <v>220</v>
      </c>
      <c r="C138" s="46">
        <f>[16]С2!F42</f>
        <v>0.35</v>
      </c>
    </row>
    <row r="139" spans="1:3" s="87" customFormat="1" ht="13.5" thickBot="1" x14ac:dyDescent="0.25">
      <c r="A139" s="47"/>
      <c r="B139" s="48"/>
      <c r="C139" s="14"/>
    </row>
    <row r="140" spans="1:3" ht="30" x14ac:dyDescent="0.2">
      <c r="A140" s="85" t="s">
        <v>221</v>
      </c>
      <c r="B140" s="95" t="s">
        <v>258</v>
      </c>
      <c r="C140" s="130">
        <f>[16]С2!F35</f>
        <v>1.4976266307379205</v>
      </c>
    </row>
    <row r="141" spans="1:3" ht="22.7" customHeight="1" thickBot="1" x14ac:dyDescent="0.25">
      <c r="A141" s="74" t="s">
        <v>223</v>
      </c>
      <c r="B141" s="141" t="s">
        <v>224</v>
      </c>
      <c r="C141" s="141"/>
    </row>
    <row r="142" spans="1:3" ht="13.5" thickBot="1" x14ac:dyDescent="0.25">
      <c r="A142" s="97"/>
      <c r="B142" s="131" t="s">
        <v>0</v>
      </c>
      <c r="C142" s="132"/>
    </row>
    <row r="143" spans="1:3" x14ac:dyDescent="0.2">
      <c r="A143" s="97"/>
      <c r="B143" s="133">
        <v>2020</v>
      </c>
      <c r="C143" s="134">
        <f>[16]С2.5!$E$11</f>
        <v>-2.9000000000000026E-2</v>
      </c>
    </row>
    <row r="144" spans="1:3" x14ac:dyDescent="0.2">
      <c r="A144" s="97"/>
      <c r="B144" s="104">
        <f>B143+1</f>
        <v>2021</v>
      </c>
      <c r="C144" s="135">
        <f>[16]С2.5!$F$11</f>
        <v>0.245</v>
      </c>
    </row>
    <row r="145" spans="1:3" x14ac:dyDescent="0.2">
      <c r="A145" s="97"/>
      <c r="B145" s="104">
        <f t="shared" ref="B145:B208" si="0">B144+1</f>
        <v>2022</v>
      </c>
      <c r="C145" s="135">
        <f>[16]С2.5!$G$11</f>
        <v>0.114</v>
      </c>
    </row>
    <row r="146" spans="1:3" ht="13.5" thickBot="1" x14ac:dyDescent="0.25">
      <c r="A146" s="97"/>
      <c r="B146" s="106">
        <f t="shared" si="0"/>
        <v>2023</v>
      </c>
      <c r="C146" s="136">
        <f>[16]С2.5!$H$11</f>
        <v>2.4E-2</v>
      </c>
    </row>
    <row r="147" spans="1:3" x14ac:dyDescent="0.2">
      <c r="A147" s="97"/>
      <c r="B147" s="137">
        <f t="shared" si="0"/>
        <v>2024</v>
      </c>
      <c r="C147" s="138">
        <f>[16]С2.5!$I$11</f>
        <v>8.5999999999999993E-2</v>
      </c>
    </row>
    <row r="148" spans="1:3" hidden="1" x14ac:dyDescent="0.2">
      <c r="A148" s="97"/>
      <c r="B148" s="104">
        <f t="shared" si="0"/>
        <v>2025</v>
      </c>
      <c r="C148" s="135">
        <f>[16]С2.5!$J$11</f>
        <v>0.21215960863291</v>
      </c>
    </row>
    <row r="149" spans="1:3" hidden="1" x14ac:dyDescent="0.2">
      <c r="A149" s="97"/>
      <c r="B149" s="104">
        <f t="shared" si="0"/>
        <v>2026</v>
      </c>
      <c r="C149" s="135">
        <f>[16]С2.5!$K$11</f>
        <v>3.5813361771260002E-2</v>
      </c>
    </row>
    <row r="150" spans="1:3" hidden="1" x14ac:dyDescent="0.2">
      <c r="A150" s="97"/>
      <c r="B150" s="104">
        <f t="shared" si="0"/>
        <v>2027</v>
      </c>
      <c r="C150" s="135">
        <f>[16]С2.5!$L$11</f>
        <v>3.2682303599220003E-2</v>
      </c>
    </row>
    <row r="151" spans="1:3" hidden="1" x14ac:dyDescent="0.2">
      <c r="A151" s="97"/>
      <c r="B151" s="104">
        <f t="shared" si="0"/>
        <v>2028</v>
      </c>
      <c r="C151" s="135">
        <f>[16]С2.5!$M$11</f>
        <v>0</v>
      </c>
    </row>
    <row r="152" spans="1:3" hidden="1" x14ac:dyDescent="0.2">
      <c r="A152" s="97"/>
      <c r="B152" s="104">
        <f t="shared" si="0"/>
        <v>2029</v>
      </c>
      <c r="C152" s="135">
        <f>[16]С2.5!$N$11</f>
        <v>0</v>
      </c>
    </row>
    <row r="153" spans="1:3" hidden="1" x14ac:dyDescent="0.2">
      <c r="A153" s="97"/>
      <c r="B153" s="104">
        <f t="shared" si="0"/>
        <v>2030</v>
      </c>
      <c r="C153" s="135">
        <f>[16]С2.5!$O$11</f>
        <v>0</v>
      </c>
    </row>
    <row r="154" spans="1:3" hidden="1" x14ac:dyDescent="0.2">
      <c r="A154" s="97"/>
      <c r="B154" s="104">
        <f t="shared" si="0"/>
        <v>2031</v>
      </c>
      <c r="C154" s="135">
        <f>[16]С2.5!$P$11</f>
        <v>0</v>
      </c>
    </row>
    <row r="155" spans="1:3" hidden="1" x14ac:dyDescent="0.2">
      <c r="A155" s="87"/>
      <c r="B155" s="104">
        <f t="shared" si="0"/>
        <v>2032</v>
      </c>
      <c r="C155" s="135">
        <f>[16]С2.5!$Q$11</f>
        <v>0</v>
      </c>
    </row>
    <row r="156" spans="1:3" hidden="1" x14ac:dyDescent="0.2">
      <c r="A156" s="87"/>
      <c r="B156" s="104">
        <f t="shared" si="0"/>
        <v>2033</v>
      </c>
      <c r="C156" s="135">
        <f>[16]С2.5!$R$11</f>
        <v>0</v>
      </c>
    </row>
    <row r="157" spans="1:3" hidden="1" x14ac:dyDescent="0.2">
      <c r="B157" s="104">
        <f t="shared" si="0"/>
        <v>2034</v>
      </c>
      <c r="C157" s="135">
        <f>[16]С2.5!$S$11</f>
        <v>0</v>
      </c>
    </row>
    <row r="158" spans="1:3" hidden="1" x14ac:dyDescent="0.2">
      <c r="B158" s="104">
        <f t="shared" si="0"/>
        <v>2035</v>
      </c>
      <c r="C158" s="135">
        <f>[16]С2.5!$T$11</f>
        <v>0</v>
      </c>
    </row>
    <row r="159" spans="1:3" hidden="1" x14ac:dyDescent="0.2">
      <c r="B159" s="104">
        <f t="shared" si="0"/>
        <v>2036</v>
      </c>
      <c r="C159" s="135">
        <f>[16]С2.5!$U$11</f>
        <v>0</v>
      </c>
    </row>
    <row r="160" spans="1:3" hidden="1" x14ac:dyDescent="0.2">
      <c r="B160" s="104">
        <f t="shared" si="0"/>
        <v>2037</v>
      </c>
      <c r="C160" s="135">
        <f>[16]С2.5!$V$11</f>
        <v>0</v>
      </c>
    </row>
    <row r="161" spans="2:3" hidden="1" x14ac:dyDescent="0.2">
      <c r="B161" s="104">
        <f t="shared" si="0"/>
        <v>2038</v>
      </c>
      <c r="C161" s="135">
        <f>[16]С2.5!$W$11</f>
        <v>0</v>
      </c>
    </row>
    <row r="162" spans="2:3" hidden="1" x14ac:dyDescent="0.2">
      <c r="B162" s="104">
        <f t="shared" si="0"/>
        <v>2039</v>
      </c>
      <c r="C162" s="135">
        <f>[16]С2.5!$X$11</f>
        <v>0</v>
      </c>
    </row>
    <row r="163" spans="2:3" hidden="1" x14ac:dyDescent="0.2">
      <c r="B163" s="104">
        <f t="shared" si="0"/>
        <v>2040</v>
      </c>
      <c r="C163" s="135">
        <f>[16]С2.5!$Y$11</f>
        <v>0</v>
      </c>
    </row>
    <row r="164" spans="2:3" hidden="1" x14ac:dyDescent="0.2">
      <c r="B164" s="104">
        <f t="shared" si="0"/>
        <v>2041</v>
      </c>
      <c r="C164" s="135">
        <f>[16]С2.5!$Z$11</f>
        <v>0</v>
      </c>
    </row>
    <row r="165" spans="2:3" hidden="1" x14ac:dyDescent="0.2">
      <c r="B165" s="104">
        <f t="shared" si="0"/>
        <v>2042</v>
      </c>
      <c r="C165" s="135">
        <f>[16]С2.5!$AA$11</f>
        <v>0</v>
      </c>
    </row>
    <row r="166" spans="2:3" hidden="1" x14ac:dyDescent="0.2">
      <c r="B166" s="104">
        <f t="shared" si="0"/>
        <v>2043</v>
      </c>
      <c r="C166" s="135">
        <f>[16]С2.5!$AB$11</f>
        <v>0</v>
      </c>
    </row>
    <row r="167" spans="2:3" hidden="1" x14ac:dyDescent="0.2">
      <c r="B167" s="104">
        <f t="shared" si="0"/>
        <v>2044</v>
      </c>
      <c r="C167" s="135">
        <f>[16]С2.5!$AC$11</f>
        <v>0</v>
      </c>
    </row>
    <row r="168" spans="2:3" hidden="1" x14ac:dyDescent="0.2">
      <c r="B168" s="104">
        <f t="shared" si="0"/>
        <v>2045</v>
      </c>
      <c r="C168" s="135">
        <f>[16]С2.5!$AD$11</f>
        <v>0</v>
      </c>
    </row>
    <row r="169" spans="2:3" hidden="1" x14ac:dyDescent="0.2">
      <c r="B169" s="104">
        <f t="shared" si="0"/>
        <v>2046</v>
      </c>
      <c r="C169" s="135">
        <f>[16]С2.5!$AE$11</f>
        <v>0</v>
      </c>
    </row>
    <row r="170" spans="2:3" hidden="1" x14ac:dyDescent="0.2">
      <c r="B170" s="104">
        <f t="shared" si="0"/>
        <v>2047</v>
      </c>
      <c r="C170" s="135">
        <f>[16]С2.5!$AF$11</f>
        <v>0</v>
      </c>
    </row>
    <row r="171" spans="2:3" hidden="1" x14ac:dyDescent="0.2">
      <c r="B171" s="104">
        <f t="shared" si="0"/>
        <v>2048</v>
      </c>
      <c r="C171" s="135">
        <f>[16]С2.5!$AG$11</f>
        <v>0</v>
      </c>
    </row>
    <row r="172" spans="2:3" hidden="1" x14ac:dyDescent="0.2">
      <c r="B172" s="104">
        <f t="shared" si="0"/>
        <v>2049</v>
      </c>
      <c r="C172" s="135">
        <f>[16]С2.5!$AH$11</f>
        <v>0</v>
      </c>
    </row>
    <row r="173" spans="2:3" hidden="1" x14ac:dyDescent="0.2">
      <c r="B173" s="104">
        <f t="shared" si="0"/>
        <v>2050</v>
      </c>
      <c r="C173" s="135">
        <f>[16]С2.5!$AI$11</f>
        <v>0</v>
      </c>
    </row>
    <row r="174" spans="2:3" hidden="1" x14ac:dyDescent="0.2">
      <c r="B174" s="104">
        <f t="shared" si="0"/>
        <v>2051</v>
      </c>
      <c r="C174" s="135">
        <f>[16]С2.5!$AJ$11</f>
        <v>0</v>
      </c>
    </row>
    <row r="175" spans="2:3" hidden="1" x14ac:dyDescent="0.2">
      <c r="B175" s="104">
        <f t="shared" si="0"/>
        <v>2052</v>
      </c>
      <c r="C175" s="135">
        <f>[16]С2.5!$AK$11</f>
        <v>0</v>
      </c>
    </row>
    <row r="176" spans="2:3" hidden="1" x14ac:dyDescent="0.2">
      <c r="B176" s="104">
        <f t="shared" si="0"/>
        <v>2053</v>
      </c>
      <c r="C176" s="135">
        <f>[16]С2.5!$AL$11</f>
        <v>0</v>
      </c>
    </row>
    <row r="177" spans="2:3" hidden="1" x14ac:dyDescent="0.2">
      <c r="B177" s="104">
        <f t="shared" si="0"/>
        <v>2054</v>
      </c>
      <c r="C177" s="135">
        <f>[16]С2.5!$AM$11</f>
        <v>0</v>
      </c>
    </row>
    <row r="178" spans="2:3" hidden="1" x14ac:dyDescent="0.2">
      <c r="B178" s="104">
        <f t="shared" si="0"/>
        <v>2055</v>
      </c>
      <c r="C178" s="135">
        <f>[16]С2.5!$AN$11</f>
        <v>0</v>
      </c>
    </row>
    <row r="179" spans="2:3" hidden="1" x14ac:dyDescent="0.2">
      <c r="B179" s="104">
        <f t="shared" si="0"/>
        <v>2056</v>
      </c>
      <c r="C179" s="135">
        <f>[16]С2.5!$AO$11</f>
        <v>0</v>
      </c>
    </row>
    <row r="180" spans="2:3" hidden="1" x14ac:dyDescent="0.2">
      <c r="B180" s="104">
        <f t="shared" si="0"/>
        <v>2057</v>
      </c>
      <c r="C180" s="135">
        <f>[16]С2.5!$AP$11</f>
        <v>0</v>
      </c>
    </row>
    <row r="181" spans="2:3" hidden="1" x14ac:dyDescent="0.2">
      <c r="B181" s="104">
        <f t="shared" si="0"/>
        <v>2058</v>
      </c>
      <c r="C181" s="135">
        <f>[16]С2.5!$AQ$11</f>
        <v>0</v>
      </c>
    </row>
    <row r="182" spans="2:3" hidden="1" x14ac:dyDescent="0.2">
      <c r="B182" s="104">
        <f t="shared" si="0"/>
        <v>2059</v>
      </c>
      <c r="C182" s="135">
        <f>[16]С2.5!$AR$11</f>
        <v>0</v>
      </c>
    </row>
    <row r="183" spans="2:3" hidden="1" x14ac:dyDescent="0.2">
      <c r="B183" s="104">
        <f t="shared" si="0"/>
        <v>2060</v>
      </c>
      <c r="C183" s="135">
        <f>[16]С2.5!$AS$11</f>
        <v>0</v>
      </c>
    </row>
    <row r="184" spans="2:3" hidden="1" x14ac:dyDescent="0.2">
      <c r="B184" s="104">
        <f t="shared" si="0"/>
        <v>2061</v>
      </c>
      <c r="C184" s="135">
        <f>[16]С2.5!$AT$11</f>
        <v>0</v>
      </c>
    </row>
    <row r="185" spans="2:3" hidden="1" x14ac:dyDescent="0.2">
      <c r="B185" s="104">
        <f t="shared" si="0"/>
        <v>2062</v>
      </c>
      <c r="C185" s="135">
        <f>[16]С2.5!$AU$11</f>
        <v>0</v>
      </c>
    </row>
    <row r="186" spans="2:3" hidden="1" x14ac:dyDescent="0.2">
      <c r="B186" s="104">
        <f t="shared" si="0"/>
        <v>2063</v>
      </c>
      <c r="C186" s="135">
        <f>[16]С2.5!$AV$11</f>
        <v>0</v>
      </c>
    </row>
    <row r="187" spans="2:3" hidden="1" x14ac:dyDescent="0.2">
      <c r="B187" s="104">
        <f t="shared" si="0"/>
        <v>2064</v>
      </c>
      <c r="C187" s="135">
        <f>[16]С2.5!$AW$11</f>
        <v>0</v>
      </c>
    </row>
    <row r="188" spans="2:3" hidden="1" x14ac:dyDescent="0.2">
      <c r="B188" s="104">
        <f t="shared" si="0"/>
        <v>2065</v>
      </c>
      <c r="C188" s="135">
        <f>[16]С2.5!$AX$11</f>
        <v>0</v>
      </c>
    </row>
    <row r="189" spans="2:3" hidden="1" x14ac:dyDescent="0.2">
      <c r="B189" s="104">
        <f t="shared" si="0"/>
        <v>2066</v>
      </c>
      <c r="C189" s="135">
        <f>[16]С2.5!$AY$11</f>
        <v>0</v>
      </c>
    </row>
    <row r="190" spans="2:3" hidden="1" x14ac:dyDescent="0.2">
      <c r="B190" s="104">
        <f t="shared" si="0"/>
        <v>2067</v>
      </c>
      <c r="C190" s="135">
        <f>[16]С2.5!$AZ$11</f>
        <v>0</v>
      </c>
    </row>
    <row r="191" spans="2:3" hidden="1" x14ac:dyDescent="0.2">
      <c r="B191" s="104">
        <f t="shared" si="0"/>
        <v>2068</v>
      </c>
      <c r="C191" s="135">
        <f>[16]С2.5!$BA$11</f>
        <v>0</v>
      </c>
    </row>
    <row r="192" spans="2:3" hidden="1" x14ac:dyDescent="0.2">
      <c r="B192" s="104">
        <f t="shared" si="0"/>
        <v>2069</v>
      </c>
      <c r="C192" s="135">
        <f>[16]С2.5!$BB$11</f>
        <v>0</v>
      </c>
    </row>
    <row r="193" spans="2:3" hidden="1" x14ac:dyDescent="0.2">
      <c r="B193" s="104">
        <f t="shared" si="0"/>
        <v>2070</v>
      </c>
      <c r="C193" s="135">
        <f>[16]С2.5!$BC$11</f>
        <v>0</v>
      </c>
    </row>
    <row r="194" spans="2:3" hidden="1" x14ac:dyDescent="0.2">
      <c r="B194" s="104">
        <f t="shared" si="0"/>
        <v>2071</v>
      </c>
      <c r="C194" s="135">
        <f>[16]С2.5!$BD$11</f>
        <v>0</v>
      </c>
    </row>
    <row r="195" spans="2:3" hidden="1" x14ac:dyDescent="0.2">
      <c r="B195" s="104">
        <f t="shared" si="0"/>
        <v>2072</v>
      </c>
      <c r="C195" s="135">
        <f>[16]С2.5!$BE$11</f>
        <v>0</v>
      </c>
    </row>
    <row r="196" spans="2:3" hidden="1" x14ac:dyDescent="0.2">
      <c r="B196" s="104">
        <f t="shared" si="0"/>
        <v>2073</v>
      </c>
      <c r="C196" s="135">
        <f>[16]С2.5!$BF$11</f>
        <v>0</v>
      </c>
    </row>
    <row r="197" spans="2:3" hidden="1" x14ac:dyDescent="0.2">
      <c r="B197" s="104">
        <f t="shared" si="0"/>
        <v>2074</v>
      </c>
      <c r="C197" s="135">
        <f>[16]С2.5!$BG$11</f>
        <v>0</v>
      </c>
    </row>
    <row r="198" spans="2:3" hidden="1" x14ac:dyDescent="0.2">
      <c r="B198" s="104">
        <f t="shared" si="0"/>
        <v>2075</v>
      </c>
      <c r="C198" s="135">
        <f>[16]С2.5!$BH$11</f>
        <v>0</v>
      </c>
    </row>
    <row r="199" spans="2:3" hidden="1" x14ac:dyDescent="0.2">
      <c r="B199" s="104">
        <f t="shared" si="0"/>
        <v>2076</v>
      </c>
      <c r="C199" s="135">
        <f>[16]С2.5!$BI$11</f>
        <v>0</v>
      </c>
    </row>
    <row r="200" spans="2:3" hidden="1" x14ac:dyDescent="0.2">
      <c r="B200" s="104">
        <f t="shared" si="0"/>
        <v>2077</v>
      </c>
      <c r="C200" s="135">
        <f>[16]С2.5!$BJ$11</f>
        <v>0</v>
      </c>
    </row>
    <row r="201" spans="2:3" hidden="1" x14ac:dyDescent="0.2">
      <c r="B201" s="104">
        <f t="shared" si="0"/>
        <v>2078</v>
      </c>
      <c r="C201" s="135">
        <f>[16]С2.5!$BK$11</f>
        <v>0</v>
      </c>
    </row>
    <row r="202" spans="2:3" hidden="1" x14ac:dyDescent="0.2">
      <c r="B202" s="104">
        <f t="shared" si="0"/>
        <v>2079</v>
      </c>
      <c r="C202" s="135">
        <f>[16]С2.5!$BL$11</f>
        <v>0</v>
      </c>
    </row>
    <row r="203" spans="2:3" hidden="1" x14ac:dyDescent="0.2">
      <c r="B203" s="104">
        <f t="shared" si="0"/>
        <v>2080</v>
      </c>
      <c r="C203" s="135">
        <f>[16]С2.5!$BM$11</f>
        <v>0</v>
      </c>
    </row>
    <row r="204" spans="2:3" hidden="1" x14ac:dyDescent="0.2">
      <c r="B204" s="104">
        <f t="shared" si="0"/>
        <v>2081</v>
      </c>
      <c r="C204" s="135">
        <f>[16]С2.5!$BN$11</f>
        <v>0</v>
      </c>
    </row>
    <row r="205" spans="2:3" hidden="1" x14ac:dyDescent="0.2">
      <c r="B205" s="104">
        <f t="shared" si="0"/>
        <v>2082</v>
      </c>
      <c r="C205" s="135">
        <f>[16]С2.5!$BO$11</f>
        <v>0</v>
      </c>
    </row>
    <row r="206" spans="2:3" hidden="1" x14ac:dyDescent="0.2">
      <c r="B206" s="104">
        <f t="shared" si="0"/>
        <v>2083</v>
      </c>
      <c r="C206" s="135">
        <f>[16]С2.5!$BP$11</f>
        <v>0</v>
      </c>
    </row>
    <row r="207" spans="2:3" hidden="1" x14ac:dyDescent="0.2">
      <c r="B207" s="104">
        <f t="shared" si="0"/>
        <v>2084</v>
      </c>
      <c r="C207" s="135">
        <f>[16]С2.5!$BQ$11</f>
        <v>0</v>
      </c>
    </row>
    <row r="208" spans="2:3" hidden="1" x14ac:dyDescent="0.2">
      <c r="B208" s="104">
        <f t="shared" si="0"/>
        <v>2085</v>
      </c>
      <c r="C208" s="135">
        <f>[16]С2.5!$BR$11</f>
        <v>0</v>
      </c>
    </row>
    <row r="209" spans="2:3" hidden="1" x14ac:dyDescent="0.2">
      <c r="B209" s="104">
        <f t="shared" ref="B209:B223" si="1">B208+1</f>
        <v>2086</v>
      </c>
      <c r="C209" s="135">
        <f>[16]С2.5!$BS$11</f>
        <v>0</v>
      </c>
    </row>
    <row r="210" spans="2:3" hidden="1" x14ac:dyDescent="0.2">
      <c r="B210" s="104">
        <f t="shared" si="1"/>
        <v>2087</v>
      </c>
      <c r="C210" s="135">
        <f>[16]С2.5!$BT$11</f>
        <v>0</v>
      </c>
    </row>
    <row r="211" spans="2:3" hidden="1" x14ac:dyDescent="0.2">
      <c r="B211" s="104">
        <f t="shared" si="1"/>
        <v>2088</v>
      </c>
      <c r="C211" s="135">
        <f>[16]С2.5!$BU$11</f>
        <v>0</v>
      </c>
    </row>
    <row r="212" spans="2:3" hidden="1" x14ac:dyDescent="0.2">
      <c r="B212" s="104">
        <f t="shared" si="1"/>
        <v>2089</v>
      </c>
      <c r="C212" s="135">
        <f>[16]С2.5!$BV$11</f>
        <v>0</v>
      </c>
    </row>
    <row r="213" spans="2:3" hidden="1" x14ac:dyDescent="0.2">
      <c r="B213" s="104">
        <f t="shared" si="1"/>
        <v>2090</v>
      </c>
      <c r="C213" s="135">
        <f>[16]С2.5!$BW$11</f>
        <v>0</v>
      </c>
    </row>
    <row r="214" spans="2:3" hidden="1" x14ac:dyDescent="0.2">
      <c r="B214" s="104">
        <f t="shared" si="1"/>
        <v>2091</v>
      </c>
      <c r="C214" s="135">
        <f>[16]С2.5!$BX$11</f>
        <v>0</v>
      </c>
    </row>
    <row r="215" spans="2:3" hidden="1" x14ac:dyDescent="0.2">
      <c r="B215" s="104">
        <f t="shared" si="1"/>
        <v>2092</v>
      </c>
      <c r="C215" s="135">
        <f>[16]С2.5!$BY$11</f>
        <v>0</v>
      </c>
    </row>
    <row r="216" spans="2:3" hidden="1" x14ac:dyDescent="0.2">
      <c r="B216" s="104">
        <f t="shared" si="1"/>
        <v>2093</v>
      </c>
      <c r="C216" s="135">
        <f>[16]С2.5!$BZ$11</f>
        <v>0</v>
      </c>
    </row>
    <row r="217" spans="2:3" hidden="1" x14ac:dyDescent="0.2">
      <c r="B217" s="104">
        <f t="shared" si="1"/>
        <v>2094</v>
      </c>
      <c r="C217" s="135">
        <f>[16]С2.5!$CA$11</f>
        <v>0</v>
      </c>
    </row>
    <row r="218" spans="2:3" hidden="1" x14ac:dyDescent="0.2">
      <c r="B218" s="104">
        <f t="shared" si="1"/>
        <v>2095</v>
      </c>
      <c r="C218" s="135">
        <f>[16]С2.5!$CB$11</f>
        <v>0</v>
      </c>
    </row>
    <row r="219" spans="2:3" hidden="1" x14ac:dyDescent="0.2">
      <c r="B219" s="104">
        <f t="shared" si="1"/>
        <v>2096</v>
      </c>
      <c r="C219" s="135">
        <f>[16]С2.5!$CC$11</f>
        <v>0</v>
      </c>
    </row>
    <row r="220" spans="2:3" hidden="1" x14ac:dyDescent="0.2">
      <c r="B220" s="104">
        <f t="shared" si="1"/>
        <v>2097</v>
      </c>
      <c r="C220" s="135">
        <f>[16]С2.5!$CD$11</f>
        <v>0</v>
      </c>
    </row>
    <row r="221" spans="2:3" hidden="1" x14ac:dyDescent="0.2">
      <c r="B221" s="104">
        <f t="shared" si="1"/>
        <v>2098</v>
      </c>
      <c r="C221" s="135">
        <f>[16]С2.5!$CE$11</f>
        <v>0</v>
      </c>
    </row>
    <row r="222" spans="2:3" hidden="1" x14ac:dyDescent="0.2">
      <c r="B222" s="104">
        <f t="shared" si="1"/>
        <v>2099</v>
      </c>
      <c r="C222" s="135">
        <f>[16]С2.5!$CF$11</f>
        <v>0</v>
      </c>
    </row>
    <row r="223" spans="2:3" ht="13.5" hidden="1" thickBot="1" x14ac:dyDescent="0.25">
      <c r="B223" s="106">
        <f t="shared" si="1"/>
        <v>2100</v>
      </c>
      <c r="C223" s="136">
        <f>[16]С2.5!$CG$11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6" customWidth="1"/>
    <col min="4" max="245" width="9.140625" style="2"/>
    <col min="246" max="246" width="3.5703125" style="2" customWidth="1"/>
    <col min="247" max="247" width="96.85546875" style="2" customWidth="1"/>
    <col min="248" max="248" width="30.85546875" style="2" customWidth="1"/>
    <col min="249" max="249" width="12.5703125" style="2" customWidth="1"/>
    <col min="250" max="250" width="5.140625" style="2" customWidth="1"/>
    <col min="251" max="251" width="9.140625" style="2"/>
    <col min="252" max="252" width="4.85546875" style="2" customWidth="1"/>
    <col min="253" max="253" width="30.5703125" style="2" customWidth="1"/>
    <col min="254" max="254" width="33.85546875" style="2" customWidth="1"/>
    <col min="255" max="255" width="5.140625" style="2" customWidth="1"/>
    <col min="256" max="257" width="17.5703125" style="2" customWidth="1"/>
    <col min="258" max="501" width="9.140625" style="2"/>
    <col min="502" max="502" width="3.5703125" style="2" customWidth="1"/>
    <col min="503" max="503" width="96.85546875" style="2" customWidth="1"/>
    <col min="504" max="504" width="30.85546875" style="2" customWidth="1"/>
    <col min="505" max="505" width="12.5703125" style="2" customWidth="1"/>
    <col min="506" max="506" width="5.140625" style="2" customWidth="1"/>
    <col min="507" max="507" width="9.140625" style="2"/>
    <col min="508" max="508" width="4.85546875" style="2" customWidth="1"/>
    <col min="509" max="509" width="30.5703125" style="2" customWidth="1"/>
    <col min="510" max="510" width="33.85546875" style="2" customWidth="1"/>
    <col min="511" max="511" width="5.140625" style="2" customWidth="1"/>
    <col min="512" max="513" width="17.5703125" style="2" customWidth="1"/>
    <col min="514" max="757" width="9.140625" style="2"/>
    <col min="758" max="758" width="3.5703125" style="2" customWidth="1"/>
    <col min="759" max="759" width="96.85546875" style="2" customWidth="1"/>
    <col min="760" max="760" width="30.85546875" style="2" customWidth="1"/>
    <col min="761" max="761" width="12.5703125" style="2" customWidth="1"/>
    <col min="762" max="762" width="5.140625" style="2" customWidth="1"/>
    <col min="763" max="763" width="9.140625" style="2"/>
    <col min="764" max="764" width="4.85546875" style="2" customWidth="1"/>
    <col min="765" max="765" width="30.5703125" style="2" customWidth="1"/>
    <col min="766" max="766" width="33.85546875" style="2" customWidth="1"/>
    <col min="767" max="767" width="5.140625" style="2" customWidth="1"/>
    <col min="768" max="769" width="17.5703125" style="2" customWidth="1"/>
    <col min="770" max="1013" width="9.140625" style="2"/>
    <col min="1014" max="1014" width="3.5703125" style="2" customWidth="1"/>
    <col min="1015" max="1015" width="96.85546875" style="2" customWidth="1"/>
    <col min="1016" max="1016" width="30.85546875" style="2" customWidth="1"/>
    <col min="1017" max="1017" width="12.5703125" style="2" customWidth="1"/>
    <col min="1018" max="1018" width="5.140625" style="2" customWidth="1"/>
    <col min="1019" max="1019" width="9.140625" style="2"/>
    <col min="1020" max="1020" width="4.85546875" style="2" customWidth="1"/>
    <col min="1021" max="1021" width="30.5703125" style="2" customWidth="1"/>
    <col min="1022" max="1022" width="33.85546875" style="2" customWidth="1"/>
    <col min="1023" max="1023" width="5.140625" style="2" customWidth="1"/>
    <col min="1024" max="1025" width="17.5703125" style="2" customWidth="1"/>
    <col min="1026" max="1269" width="9.140625" style="2"/>
    <col min="1270" max="1270" width="3.5703125" style="2" customWidth="1"/>
    <col min="1271" max="1271" width="96.85546875" style="2" customWidth="1"/>
    <col min="1272" max="1272" width="30.85546875" style="2" customWidth="1"/>
    <col min="1273" max="1273" width="12.5703125" style="2" customWidth="1"/>
    <col min="1274" max="1274" width="5.140625" style="2" customWidth="1"/>
    <col min="1275" max="1275" width="9.140625" style="2"/>
    <col min="1276" max="1276" width="4.85546875" style="2" customWidth="1"/>
    <col min="1277" max="1277" width="30.5703125" style="2" customWidth="1"/>
    <col min="1278" max="1278" width="33.85546875" style="2" customWidth="1"/>
    <col min="1279" max="1279" width="5.140625" style="2" customWidth="1"/>
    <col min="1280" max="1281" width="17.5703125" style="2" customWidth="1"/>
    <col min="1282" max="1525" width="9.140625" style="2"/>
    <col min="1526" max="1526" width="3.5703125" style="2" customWidth="1"/>
    <col min="1527" max="1527" width="96.85546875" style="2" customWidth="1"/>
    <col min="1528" max="1528" width="30.85546875" style="2" customWidth="1"/>
    <col min="1529" max="1529" width="12.5703125" style="2" customWidth="1"/>
    <col min="1530" max="1530" width="5.140625" style="2" customWidth="1"/>
    <col min="1531" max="1531" width="9.140625" style="2"/>
    <col min="1532" max="1532" width="4.85546875" style="2" customWidth="1"/>
    <col min="1533" max="1533" width="30.5703125" style="2" customWidth="1"/>
    <col min="1534" max="1534" width="33.85546875" style="2" customWidth="1"/>
    <col min="1535" max="1535" width="5.140625" style="2" customWidth="1"/>
    <col min="1536" max="1537" width="17.5703125" style="2" customWidth="1"/>
    <col min="1538" max="1781" width="9.140625" style="2"/>
    <col min="1782" max="1782" width="3.5703125" style="2" customWidth="1"/>
    <col min="1783" max="1783" width="96.85546875" style="2" customWidth="1"/>
    <col min="1784" max="1784" width="30.85546875" style="2" customWidth="1"/>
    <col min="1785" max="1785" width="12.5703125" style="2" customWidth="1"/>
    <col min="1786" max="1786" width="5.140625" style="2" customWidth="1"/>
    <col min="1787" max="1787" width="9.140625" style="2"/>
    <col min="1788" max="1788" width="4.85546875" style="2" customWidth="1"/>
    <col min="1789" max="1789" width="30.5703125" style="2" customWidth="1"/>
    <col min="1790" max="1790" width="33.85546875" style="2" customWidth="1"/>
    <col min="1791" max="1791" width="5.140625" style="2" customWidth="1"/>
    <col min="1792" max="1793" width="17.5703125" style="2" customWidth="1"/>
    <col min="1794" max="2037" width="9.140625" style="2"/>
    <col min="2038" max="2038" width="3.5703125" style="2" customWidth="1"/>
    <col min="2039" max="2039" width="96.85546875" style="2" customWidth="1"/>
    <col min="2040" max="2040" width="30.85546875" style="2" customWidth="1"/>
    <col min="2041" max="2041" width="12.5703125" style="2" customWidth="1"/>
    <col min="2042" max="2042" width="5.140625" style="2" customWidth="1"/>
    <col min="2043" max="2043" width="9.140625" style="2"/>
    <col min="2044" max="2044" width="4.85546875" style="2" customWidth="1"/>
    <col min="2045" max="2045" width="30.5703125" style="2" customWidth="1"/>
    <col min="2046" max="2046" width="33.85546875" style="2" customWidth="1"/>
    <col min="2047" max="2047" width="5.140625" style="2" customWidth="1"/>
    <col min="2048" max="2049" width="17.5703125" style="2" customWidth="1"/>
    <col min="2050" max="2293" width="9.140625" style="2"/>
    <col min="2294" max="2294" width="3.5703125" style="2" customWidth="1"/>
    <col min="2295" max="2295" width="96.85546875" style="2" customWidth="1"/>
    <col min="2296" max="2296" width="30.85546875" style="2" customWidth="1"/>
    <col min="2297" max="2297" width="12.5703125" style="2" customWidth="1"/>
    <col min="2298" max="2298" width="5.140625" style="2" customWidth="1"/>
    <col min="2299" max="2299" width="9.140625" style="2"/>
    <col min="2300" max="2300" width="4.85546875" style="2" customWidth="1"/>
    <col min="2301" max="2301" width="30.5703125" style="2" customWidth="1"/>
    <col min="2302" max="2302" width="33.85546875" style="2" customWidth="1"/>
    <col min="2303" max="2303" width="5.140625" style="2" customWidth="1"/>
    <col min="2304" max="2305" width="17.5703125" style="2" customWidth="1"/>
    <col min="2306" max="2549" width="9.140625" style="2"/>
    <col min="2550" max="2550" width="3.5703125" style="2" customWidth="1"/>
    <col min="2551" max="2551" width="96.85546875" style="2" customWidth="1"/>
    <col min="2552" max="2552" width="30.85546875" style="2" customWidth="1"/>
    <col min="2553" max="2553" width="12.5703125" style="2" customWidth="1"/>
    <col min="2554" max="2554" width="5.140625" style="2" customWidth="1"/>
    <col min="2555" max="2555" width="9.140625" style="2"/>
    <col min="2556" max="2556" width="4.85546875" style="2" customWidth="1"/>
    <col min="2557" max="2557" width="30.5703125" style="2" customWidth="1"/>
    <col min="2558" max="2558" width="33.85546875" style="2" customWidth="1"/>
    <col min="2559" max="2559" width="5.140625" style="2" customWidth="1"/>
    <col min="2560" max="2561" width="17.5703125" style="2" customWidth="1"/>
    <col min="2562" max="2805" width="9.140625" style="2"/>
    <col min="2806" max="2806" width="3.5703125" style="2" customWidth="1"/>
    <col min="2807" max="2807" width="96.85546875" style="2" customWidth="1"/>
    <col min="2808" max="2808" width="30.85546875" style="2" customWidth="1"/>
    <col min="2809" max="2809" width="12.5703125" style="2" customWidth="1"/>
    <col min="2810" max="2810" width="5.140625" style="2" customWidth="1"/>
    <col min="2811" max="2811" width="9.140625" style="2"/>
    <col min="2812" max="2812" width="4.85546875" style="2" customWidth="1"/>
    <col min="2813" max="2813" width="30.5703125" style="2" customWidth="1"/>
    <col min="2814" max="2814" width="33.85546875" style="2" customWidth="1"/>
    <col min="2815" max="2815" width="5.140625" style="2" customWidth="1"/>
    <col min="2816" max="2817" width="17.5703125" style="2" customWidth="1"/>
    <col min="2818" max="3061" width="9.140625" style="2"/>
    <col min="3062" max="3062" width="3.5703125" style="2" customWidth="1"/>
    <col min="3063" max="3063" width="96.85546875" style="2" customWidth="1"/>
    <col min="3064" max="3064" width="30.85546875" style="2" customWidth="1"/>
    <col min="3065" max="3065" width="12.5703125" style="2" customWidth="1"/>
    <col min="3066" max="3066" width="5.140625" style="2" customWidth="1"/>
    <col min="3067" max="3067" width="9.140625" style="2"/>
    <col min="3068" max="3068" width="4.85546875" style="2" customWidth="1"/>
    <col min="3069" max="3069" width="30.5703125" style="2" customWidth="1"/>
    <col min="3070" max="3070" width="33.85546875" style="2" customWidth="1"/>
    <col min="3071" max="3071" width="5.140625" style="2" customWidth="1"/>
    <col min="3072" max="3073" width="17.5703125" style="2" customWidth="1"/>
    <col min="3074" max="3317" width="9.140625" style="2"/>
    <col min="3318" max="3318" width="3.5703125" style="2" customWidth="1"/>
    <col min="3319" max="3319" width="96.85546875" style="2" customWidth="1"/>
    <col min="3320" max="3320" width="30.85546875" style="2" customWidth="1"/>
    <col min="3321" max="3321" width="12.5703125" style="2" customWidth="1"/>
    <col min="3322" max="3322" width="5.140625" style="2" customWidth="1"/>
    <col min="3323" max="3323" width="9.140625" style="2"/>
    <col min="3324" max="3324" width="4.85546875" style="2" customWidth="1"/>
    <col min="3325" max="3325" width="30.5703125" style="2" customWidth="1"/>
    <col min="3326" max="3326" width="33.85546875" style="2" customWidth="1"/>
    <col min="3327" max="3327" width="5.140625" style="2" customWidth="1"/>
    <col min="3328" max="3329" width="17.5703125" style="2" customWidth="1"/>
    <col min="3330" max="3573" width="9.140625" style="2"/>
    <col min="3574" max="3574" width="3.5703125" style="2" customWidth="1"/>
    <col min="3575" max="3575" width="96.85546875" style="2" customWidth="1"/>
    <col min="3576" max="3576" width="30.85546875" style="2" customWidth="1"/>
    <col min="3577" max="3577" width="12.5703125" style="2" customWidth="1"/>
    <col min="3578" max="3578" width="5.140625" style="2" customWidth="1"/>
    <col min="3579" max="3579" width="9.140625" style="2"/>
    <col min="3580" max="3580" width="4.85546875" style="2" customWidth="1"/>
    <col min="3581" max="3581" width="30.5703125" style="2" customWidth="1"/>
    <col min="3582" max="3582" width="33.85546875" style="2" customWidth="1"/>
    <col min="3583" max="3583" width="5.140625" style="2" customWidth="1"/>
    <col min="3584" max="3585" width="17.5703125" style="2" customWidth="1"/>
    <col min="3586" max="3829" width="9.140625" style="2"/>
    <col min="3830" max="3830" width="3.5703125" style="2" customWidth="1"/>
    <col min="3831" max="3831" width="96.85546875" style="2" customWidth="1"/>
    <col min="3832" max="3832" width="30.85546875" style="2" customWidth="1"/>
    <col min="3833" max="3833" width="12.5703125" style="2" customWidth="1"/>
    <col min="3834" max="3834" width="5.140625" style="2" customWidth="1"/>
    <col min="3835" max="3835" width="9.140625" style="2"/>
    <col min="3836" max="3836" width="4.85546875" style="2" customWidth="1"/>
    <col min="3837" max="3837" width="30.5703125" style="2" customWidth="1"/>
    <col min="3838" max="3838" width="33.85546875" style="2" customWidth="1"/>
    <col min="3839" max="3839" width="5.140625" style="2" customWidth="1"/>
    <col min="3840" max="3841" width="17.5703125" style="2" customWidth="1"/>
    <col min="3842" max="4085" width="9.140625" style="2"/>
    <col min="4086" max="4086" width="3.5703125" style="2" customWidth="1"/>
    <col min="4087" max="4087" width="96.85546875" style="2" customWidth="1"/>
    <col min="4088" max="4088" width="30.85546875" style="2" customWidth="1"/>
    <col min="4089" max="4089" width="12.5703125" style="2" customWidth="1"/>
    <col min="4090" max="4090" width="5.140625" style="2" customWidth="1"/>
    <col min="4091" max="4091" width="9.140625" style="2"/>
    <col min="4092" max="4092" width="4.85546875" style="2" customWidth="1"/>
    <col min="4093" max="4093" width="30.5703125" style="2" customWidth="1"/>
    <col min="4094" max="4094" width="33.85546875" style="2" customWidth="1"/>
    <col min="4095" max="4095" width="5.140625" style="2" customWidth="1"/>
    <col min="4096" max="4097" width="17.5703125" style="2" customWidth="1"/>
    <col min="4098" max="4341" width="9.140625" style="2"/>
    <col min="4342" max="4342" width="3.5703125" style="2" customWidth="1"/>
    <col min="4343" max="4343" width="96.85546875" style="2" customWidth="1"/>
    <col min="4344" max="4344" width="30.85546875" style="2" customWidth="1"/>
    <col min="4345" max="4345" width="12.5703125" style="2" customWidth="1"/>
    <col min="4346" max="4346" width="5.140625" style="2" customWidth="1"/>
    <col min="4347" max="4347" width="9.140625" style="2"/>
    <col min="4348" max="4348" width="4.85546875" style="2" customWidth="1"/>
    <col min="4349" max="4349" width="30.5703125" style="2" customWidth="1"/>
    <col min="4350" max="4350" width="33.85546875" style="2" customWidth="1"/>
    <col min="4351" max="4351" width="5.140625" style="2" customWidth="1"/>
    <col min="4352" max="4353" width="17.5703125" style="2" customWidth="1"/>
    <col min="4354" max="4597" width="9.140625" style="2"/>
    <col min="4598" max="4598" width="3.5703125" style="2" customWidth="1"/>
    <col min="4599" max="4599" width="96.85546875" style="2" customWidth="1"/>
    <col min="4600" max="4600" width="30.85546875" style="2" customWidth="1"/>
    <col min="4601" max="4601" width="12.5703125" style="2" customWidth="1"/>
    <col min="4602" max="4602" width="5.140625" style="2" customWidth="1"/>
    <col min="4603" max="4603" width="9.140625" style="2"/>
    <col min="4604" max="4604" width="4.85546875" style="2" customWidth="1"/>
    <col min="4605" max="4605" width="30.5703125" style="2" customWidth="1"/>
    <col min="4606" max="4606" width="33.85546875" style="2" customWidth="1"/>
    <col min="4607" max="4607" width="5.140625" style="2" customWidth="1"/>
    <col min="4608" max="4609" width="17.5703125" style="2" customWidth="1"/>
    <col min="4610" max="4853" width="9.140625" style="2"/>
    <col min="4854" max="4854" width="3.5703125" style="2" customWidth="1"/>
    <col min="4855" max="4855" width="96.85546875" style="2" customWidth="1"/>
    <col min="4856" max="4856" width="30.85546875" style="2" customWidth="1"/>
    <col min="4857" max="4857" width="12.5703125" style="2" customWidth="1"/>
    <col min="4858" max="4858" width="5.140625" style="2" customWidth="1"/>
    <col min="4859" max="4859" width="9.140625" style="2"/>
    <col min="4860" max="4860" width="4.85546875" style="2" customWidth="1"/>
    <col min="4861" max="4861" width="30.5703125" style="2" customWidth="1"/>
    <col min="4862" max="4862" width="33.85546875" style="2" customWidth="1"/>
    <col min="4863" max="4863" width="5.140625" style="2" customWidth="1"/>
    <col min="4864" max="4865" width="17.5703125" style="2" customWidth="1"/>
    <col min="4866" max="5109" width="9.140625" style="2"/>
    <col min="5110" max="5110" width="3.5703125" style="2" customWidth="1"/>
    <col min="5111" max="5111" width="96.85546875" style="2" customWidth="1"/>
    <col min="5112" max="5112" width="30.85546875" style="2" customWidth="1"/>
    <col min="5113" max="5113" width="12.5703125" style="2" customWidth="1"/>
    <col min="5114" max="5114" width="5.140625" style="2" customWidth="1"/>
    <col min="5115" max="5115" width="9.140625" style="2"/>
    <col min="5116" max="5116" width="4.85546875" style="2" customWidth="1"/>
    <col min="5117" max="5117" width="30.5703125" style="2" customWidth="1"/>
    <col min="5118" max="5118" width="33.85546875" style="2" customWidth="1"/>
    <col min="5119" max="5119" width="5.140625" style="2" customWidth="1"/>
    <col min="5120" max="5121" width="17.5703125" style="2" customWidth="1"/>
    <col min="5122" max="5365" width="9.140625" style="2"/>
    <col min="5366" max="5366" width="3.5703125" style="2" customWidth="1"/>
    <col min="5367" max="5367" width="96.85546875" style="2" customWidth="1"/>
    <col min="5368" max="5368" width="30.85546875" style="2" customWidth="1"/>
    <col min="5369" max="5369" width="12.5703125" style="2" customWidth="1"/>
    <col min="5370" max="5370" width="5.140625" style="2" customWidth="1"/>
    <col min="5371" max="5371" width="9.140625" style="2"/>
    <col min="5372" max="5372" width="4.85546875" style="2" customWidth="1"/>
    <col min="5373" max="5373" width="30.5703125" style="2" customWidth="1"/>
    <col min="5374" max="5374" width="33.85546875" style="2" customWidth="1"/>
    <col min="5375" max="5375" width="5.140625" style="2" customWidth="1"/>
    <col min="5376" max="5377" width="17.5703125" style="2" customWidth="1"/>
    <col min="5378" max="5621" width="9.140625" style="2"/>
    <col min="5622" max="5622" width="3.5703125" style="2" customWidth="1"/>
    <col min="5623" max="5623" width="96.85546875" style="2" customWidth="1"/>
    <col min="5624" max="5624" width="30.85546875" style="2" customWidth="1"/>
    <col min="5625" max="5625" width="12.5703125" style="2" customWidth="1"/>
    <col min="5626" max="5626" width="5.140625" style="2" customWidth="1"/>
    <col min="5627" max="5627" width="9.140625" style="2"/>
    <col min="5628" max="5628" width="4.85546875" style="2" customWidth="1"/>
    <col min="5629" max="5629" width="30.5703125" style="2" customWidth="1"/>
    <col min="5630" max="5630" width="33.85546875" style="2" customWidth="1"/>
    <col min="5631" max="5631" width="5.140625" style="2" customWidth="1"/>
    <col min="5632" max="5633" width="17.5703125" style="2" customWidth="1"/>
    <col min="5634" max="5877" width="9.140625" style="2"/>
    <col min="5878" max="5878" width="3.5703125" style="2" customWidth="1"/>
    <col min="5879" max="5879" width="96.85546875" style="2" customWidth="1"/>
    <col min="5880" max="5880" width="30.85546875" style="2" customWidth="1"/>
    <col min="5881" max="5881" width="12.5703125" style="2" customWidth="1"/>
    <col min="5882" max="5882" width="5.140625" style="2" customWidth="1"/>
    <col min="5883" max="5883" width="9.140625" style="2"/>
    <col min="5884" max="5884" width="4.85546875" style="2" customWidth="1"/>
    <col min="5885" max="5885" width="30.5703125" style="2" customWidth="1"/>
    <col min="5886" max="5886" width="33.85546875" style="2" customWidth="1"/>
    <col min="5887" max="5887" width="5.140625" style="2" customWidth="1"/>
    <col min="5888" max="5889" width="17.5703125" style="2" customWidth="1"/>
    <col min="5890" max="6133" width="9.140625" style="2"/>
    <col min="6134" max="6134" width="3.5703125" style="2" customWidth="1"/>
    <col min="6135" max="6135" width="96.85546875" style="2" customWidth="1"/>
    <col min="6136" max="6136" width="30.85546875" style="2" customWidth="1"/>
    <col min="6137" max="6137" width="12.5703125" style="2" customWidth="1"/>
    <col min="6138" max="6138" width="5.140625" style="2" customWidth="1"/>
    <col min="6139" max="6139" width="9.140625" style="2"/>
    <col min="6140" max="6140" width="4.85546875" style="2" customWidth="1"/>
    <col min="6141" max="6141" width="30.5703125" style="2" customWidth="1"/>
    <col min="6142" max="6142" width="33.85546875" style="2" customWidth="1"/>
    <col min="6143" max="6143" width="5.140625" style="2" customWidth="1"/>
    <col min="6144" max="6145" width="17.5703125" style="2" customWidth="1"/>
    <col min="6146" max="6389" width="9.140625" style="2"/>
    <col min="6390" max="6390" width="3.5703125" style="2" customWidth="1"/>
    <col min="6391" max="6391" width="96.85546875" style="2" customWidth="1"/>
    <col min="6392" max="6392" width="30.85546875" style="2" customWidth="1"/>
    <col min="6393" max="6393" width="12.5703125" style="2" customWidth="1"/>
    <col min="6394" max="6394" width="5.140625" style="2" customWidth="1"/>
    <col min="6395" max="6395" width="9.140625" style="2"/>
    <col min="6396" max="6396" width="4.85546875" style="2" customWidth="1"/>
    <col min="6397" max="6397" width="30.5703125" style="2" customWidth="1"/>
    <col min="6398" max="6398" width="33.85546875" style="2" customWidth="1"/>
    <col min="6399" max="6399" width="5.140625" style="2" customWidth="1"/>
    <col min="6400" max="6401" width="17.5703125" style="2" customWidth="1"/>
    <col min="6402" max="6645" width="9.140625" style="2"/>
    <col min="6646" max="6646" width="3.5703125" style="2" customWidth="1"/>
    <col min="6647" max="6647" width="96.85546875" style="2" customWidth="1"/>
    <col min="6648" max="6648" width="30.85546875" style="2" customWidth="1"/>
    <col min="6649" max="6649" width="12.5703125" style="2" customWidth="1"/>
    <col min="6650" max="6650" width="5.140625" style="2" customWidth="1"/>
    <col min="6651" max="6651" width="9.140625" style="2"/>
    <col min="6652" max="6652" width="4.85546875" style="2" customWidth="1"/>
    <col min="6653" max="6653" width="30.5703125" style="2" customWidth="1"/>
    <col min="6654" max="6654" width="33.85546875" style="2" customWidth="1"/>
    <col min="6655" max="6655" width="5.140625" style="2" customWidth="1"/>
    <col min="6656" max="6657" width="17.5703125" style="2" customWidth="1"/>
    <col min="6658" max="6901" width="9.140625" style="2"/>
    <col min="6902" max="6902" width="3.5703125" style="2" customWidth="1"/>
    <col min="6903" max="6903" width="96.85546875" style="2" customWidth="1"/>
    <col min="6904" max="6904" width="30.85546875" style="2" customWidth="1"/>
    <col min="6905" max="6905" width="12.5703125" style="2" customWidth="1"/>
    <col min="6906" max="6906" width="5.140625" style="2" customWidth="1"/>
    <col min="6907" max="6907" width="9.140625" style="2"/>
    <col min="6908" max="6908" width="4.85546875" style="2" customWidth="1"/>
    <col min="6909" max="6909" width="30.5703125" style="2" customWidth="1"/>
    <col min="6910" max="6910" width="33.85546875" style="2" customWidth="1"/>
    <col min="6911" max="6911" width="5.140625" style="2" customWidth="1"/>
    <col min="6912" max="6913" width="17.5703125" style="2" customWidth="1"/>
    <col min="6914" max="7157" width="9.140625" style="2"/>
    <col min="7158" max="7158" width="3.5703125" style="2" customWidth="1"/>
    <col min="7159" max="7159" width="96.85546875" style="2" customWidth="1"/>
    <col min="7160" max="7160" width="30.85546875" style="2" customWidth="1"/>
    <col min="7161" max="7161" width="12.5703125" style="2" customWidth="1"/>
    <col min="7162" max="7162" width="5.140625" style="2" customWidth="1"/>
    <col min="7163" max="7163" width="9.140625" style="2"/>
    <col min="7164" max="7164" width="4.85546875" style="2" customWidth="1"/>
    <col min="7165" max="7165" width="30.5703125" style="2" customWidth="1"/>
    <col min="7166" max="7166" width="33.85546875" style="2" customWidth="1"/>
    <col min="7167" max="7167" width="5.140625" style="2" customWidth="1"/>
    <col min="7168" max="7169" width="17.5703125" style="2" customWidth="1"/>
    <col min="7170" max="7413" width="9.140625" style="2"/>
    <col min="7414" max="7414" width="3.5703125" style="2" customWidth="1"/>
    <col min="7415" max="7415" width="96.85546875" style="2" customWidth="1"/>
    <col min="7416" max="7416" width="30.85546875" style="2" customWidth="1"/>
    <col min="7417" max="7417" width="12.5703125" style="2" customWidth="1"/>
    <col min="7418" max="7418" width="5.140625" style="2" customWidth="1"/>
    <col min="7419" max="7419" width="9.140625" style="2"/>
    <col min="7420" max="7420" width="4.85546875" style="2" customWidth="1"/>
    <col min="7421" max="7421" width="30.5703125" style="2" customWidth="1"/>
    <col min="7422" max="7422" width="33.85546875" style="2" customWidth="1"/>
    <col min="7423" max="7423" width="5.140625" style="2" customWidth="1"/>
    <col min="7424" max="7425" width="17.5703125" style="2" customWidth="1"/>
    <col min="7426" max="7669" width="9.140625" style="2"/>
    <col min="7670" max="7670" width="3.5703125" style="2" customWidth="1"/>
    <col min="7671" max="7671" width="96.85546875" style="2" customWidth="1"/>
    <col min="7672" max="7672" width="30.85546875" style="2" customWidth="1"/>
    <col min="7673" max="7673" width="12.5703125" style="2" customWidth="1"/>
    <col min="7674" max="7674" width="5.140625" style="2" customWidth="1"/>
    <col min="7675" max="7675" width="9.140625" style="2"/>
    <col min="7676" max="7676" width="4.85546875" style="2" customWidth="1"/>
    <col min="7677" max="7677" width="30.5703125" style="2" customWidth="1"/>
    <col min="7678" max="7678" width="33.85546875" style="2" customWidth="1"/>
    <col min="7679" max="7679" width="5.140625" style="2" customWidth="1"/>
    <col min="7680" max="7681" width="17.5703125" style="2" customWidth="1"/>
    <col min="7682" max="7925" width="9.140625" style="2"/>
    <col min="7926" max="7926" width="3.5703125" style="2" customWidth="1"/>
    <col min="7927" max="7927" width="96.85546875" style="2" customWidth="1"/>
    <col min="7928" max="7928" width="30.85546875" style="2" customWidth="1"/>
    <col min="7929" max="7929" width="12.5703125" style="2" customWidth="1"/>
    <col min="7930" max="7930" width="5.140625" style="2" customWidth="1"/>
    <col min="7931" max="7931" width="9.140625" style="2"/>
    <col min="7932" max="7932" width="4.85546875" style="2" customWidth="1"/>
    <col min="7933" max="7933" width="30.5703125" style="2" customWidth="1"/>
    <col min="7934" max="7934" width="33.85546875" style="2" customWidth="1"/>
    <col min="7935" max="7935" width="5.140625" style="2" customWidth="1"/>
    <col min="7936" max="7937" width="17.5703125" style="2" customWidth="1"/>
    <col min="7938" max="8181" width="9.140625" style="2"/>
    <col min="8182" max="8182" width="3.5703125" style="2" customWidth="1"/>
    <col min="8183" max="8183" width="96.85546875" style="2" customWidth="1"/>
    <col min="8184" max="8184" width="30.85546875" style="2" customWidth="1"/>
    <col min="8185" max="8185" width="12.5703125" style="2" customWidth="1"/>
    <col min="8186" max="8186" width="5.140625" style="2" customWidth="1"/>
    <col min="8187" max="8187" width="9.140625" style="2"/>
    <col min="8188" max="8188" width="4.85546875" style="2" customWidth="1"/>
    <col min="8189" max="8189" width="30.5703125" style="2" customWidth="1"/>
    <col min="8190" max="8190" width="33.85546875" style="2" customWidth="1"/>
    <col min="8191" max="8191" width="5.140625" style="2" customWidth="1"/>
    <col min="8192" max="8193" width="17.5703125" style="2" customWidth="1"/>
    <col min="8194" max="8437" width="9.140625" style="2"/>
    <col min="8438" max="8438" width="3.5703125" style="2" customWidth="1"/>
    <col min="8439" max="8439" width="96.85546875" style="2" customWidth="1"/>
    <col min="8440" max="8440" width="30.85546875" style="2" customWidth="1"/>
    <col min="8441" max="8441" width="12.5703125" style="2" customWidth="1"/>
    <col min="8442" max="8442" width="5.140625" style="2" customWidth="1"/>
    <col min="8443" max="8443" width="9.140625" style="2"/>
    <col min="8444" max="8444" width="4.85546875" style="2" customWidth="1"/>
    <col min="8445" max="8445" width="30.5703125" style="2" customWidth="1"/>
    <col min="8446" max="8446" width="33.85546875" style="2" customWidth="1"/>
    <col min="8447" max="8447" width="5.140625" style="2" customWidth="1"/>
    <col min="8448" max="8449" width="17.5703125" style="2" customWidth="1"/>
    <col min="8450" max="8693" width="9.140625" style="2"/>
    <col min="8694" max="8694" width="3.5703125" style="2" customWidth="1"/>
    <col min="8695" max="8695" width="96.85546875" style="2" customWidth="1"/>
    <col min="8696" max="8696" width="30.85546875" style="2" customWidth="1"/>
    <col min="8697" max="8697" width="12.5703125" style="2" customWidth="1"/>
    <col min="8698" max="8698" width="5.140625" style="2" customWidth="1"/>
    <col min="8699" max="8699" width="9.140625" style="2"/>
    <col min="8700" max="8700" width="4.85546875" style="2" customWidth="1"/>
    <col min="8701" max="8701" width="30.5703125" style="2" customWidth="1"/>
    <col min="8702" max="8702" width="33.85546875" style="2" customWidth="1"/>
    <col min="8703" max="8703" width="5.140625" style="2" customWidth="1"/>
    <col min="8704" max="8705" width="17.5703125" style="2" customWidth="1"/>
    <col min="8706" max="8949" width="9.140625" style="2"/>
    <col min="8950" max="8950" width="3.5703125" style="2" customWidth="1"/>
    <col min="8951" max="8951" width="96.85546875" style="2" customWidth="1"/>
    <col min="8952" max="8952" width="30.85546875" style="2" customWidth="1"/>
    <col min="8953" max="8953" width="12.5703125" style="2" customWidth="1"/>
    <col min="8954" max="8954" width="5.140625" style="2" customWidth="1"/>
    <col min="8955" max="8955" width="9.140625" style="2"/>
    <col min="8956" max="8956" width="4.85546875" style="2" customWidth="1"/>
    <col min="8957" max="8957" width="30.5703125" style="2" customWidth="1"/>
    <col min="8958" max="8958" width="33.85546875" style="2" customWidth="1"/>
    <col min="8959" max="8959" width="5.140625" style="2" customWidth="1"/>
    <col min="8960" max="8961" width="17.5703125" style="2" customWidth="1"/>
    <col min="8962" max="9205" width="9.140625" style="2"/>
    <col min="9206" max="9206" width="3.5703125" style="2" customWidth="1"/>
    <col min="9207" max="9207" width="96.85546875" style="2" customWidth="1"/>
    <col min="9208" max="9208" width="30.85546875" style="2" customWidth="1"/>
    <col min="9209" max="9209" width="12.5703125" style="2" customWidth="1"/>
    <col min="9210" max="9210" width="5.140625" style="2" customWidth="1"/>
    <col min="9211" max="9211" width="9.140625" style="2"/>
    <col min="9212" max="9212" width="4.85546875" style="2" customWidth="1"/>
    <col min="9213" max="9213" width="30.5703125" style="2" customWidth="1"/>
    <col min="9214" max="9214" width="33.85546875" style="2" customWidth="1"/>
    <col min="9215" max="9215" width="5.140625" style="2" customWidth="1"/>
    <col min="9216" max="9217" width="17.5703125" style="2" customWidth="1"/>
    <col min="9218" max="9461" width="9.140625" style="2"/>
    <col min="9462" max="9462" width="3.5703125" style="2" customWidth="1"/>
    <col min="9463" max="9463" width="96.85546875" style="2" customWidth="1"/>
    <col min="9464" max="9464" width="30.85546875" style="2" customWidth="1"/>
    <col min="9465" max="9465" width="12.5703125" style="2" customWidth="1"/>
    <col min="9466" max="9466" width="5.140625" style="2" customWidth="1"/>
    <col min="9467" max="9467" width="9.140625" style="2"/>
    <col min="9468" max="9468" width="4.85546875" style="2" customWidth="1"/>
    <col min="9469" max="9469" width="30.5703125" style="2" customWidth="1"/>
    <col min="9470" max="9470" width="33.85546875" style="2" customWidth="1"/>
    <col min="9471" max="9471" width="5.140625" style="2" customWidth="1"/>
    <col min="9472" max="9473" width="17.5703125" style="2" customWidth="1"/>
    <col min="9474" max="9717" width="9.140625" style="2"/>
    <col min="9718" max="9718" width="3.5703125" style="2" customWidth="1"/>
    <col min="9719" max="9719" width="96.85546875" style="2" customWidth="1"/>
    <col min="9720" max="9720" width="30.85546875" style="2" customWidth="1"/>
    <col min="9721" max="9721" width="12.5703125" style="2" customWidth="1"/>
    <col min="9722" max="9722" width="5.140625" style="2" customWidth="1"/>
    <col min="9723" max="9723" width="9.140625" style="2"/>
    <col min="9724" max="9724" width="4.85546875" style="2" customWidth="1"/>
    <col min="9725" max="9725" width="30.5703125" style="2" customWidth="1"/>
    <col min="9726" max="9726" width="33.85546875" style="2" customWidth="1"/>
    <col min="9727" max="9727" width="5.140625" style="2" customWidth="1"/>
    <col min="9728" max="9729" width="17.5703125" style="2" customWidth="1"/>
    <col min="9730" max="9973" width="9.140625" style="2"/>
    <col min="9974" max="9974" width="3.5703125" style="2" customWidth="1"/>
    <col min="9975" max="9975" width="96.85546875" style="2" customWidth="1"/>
    <col min="9976" max="9976" width="30.85546875" style="2" customWidth="1"/>
    <col min="9977" max="9977" width="12.5703125" style="2" customWidth="1"/>
    <col min="9978" max="9978" width="5.140625" style="2" customWidth="1"/>
    <col min="9979" max="9979" width="9.140625" style="2"/>
    <col min="9980" max="9980" width="4.85546875" style="2" customWidth="1"/>
    <col min="9981" max="9981" width="30.5703125" style="2" customWidth="1"/>
    <col min="9982" max="9982" width="33.85546875" style="2" customWidth="1"/>
    <col min="9983" max="9983" width="5.140625" style="2" customWidth="1"/>
    <col min="9984" max="9985" width="17.5703125" style="2" customWidth="1"/>
    <col min="9986" max="10229" width="9.140625" style="2"/>
    <col min="10230" max="10230" width="3.5703125" style="2" customWidth="1"/>
    <col min="10231" max="10231" width="96.85546875" style="2" customWidth="1"/>
    <col min="10232" max="10232" width="30.85546875" style="2" customWidth="1"/>
    <col min="10233" max="10233" width="12.5703125" style="2" customWidth="1"/>
    <col min="10234" max="10234" width="5.140625" style="2" customWidth="1"/>
    <col min="10235" max="10235" width="9.140625" style="2"/>
    <col min="10236" max="10236" width="4.85546875" style="2" customWidth="1"/>
    <col min="10237" max="10237" width="30.5703125" style="2" customWidth="1"/>
    <col min="10238" max="10238" width="33.85546875" style="2" customWidth="1"/>
    <col min="10239" max="10239" width="5.140625" style="2" customWidth="1"/>
    <col min="10240" max="10241" width="17.5703125" style="2" customWidth="1"/>
    <col min="10242" max="10485" width="9.140625" style="2"/>
    <col min="10486" max="10486" width="3.5703125" style="2" customWidth="1"/>
    <col min="10487" max="10487" width="96.85546875" style="2" customWidth="1"/>
    <col min="10488" max="10488" width="30.85546875" style="2" customWidth="1"/>
    <col min="10489" max="10489" width="12.5703125" style="2" customWidth="1"/>
    <col min="10490" max="10490" width="5.140625" style="2" customWidth="1"/>
    <col min="10491" max="10491" width="9.140625" style="2"/>
    <col min="10492" max="10492" width="4.85546875" style="2" customWidth="1"/>
    <col min="10493" max="10493" width="30.5703125" style="2" customWidth="1"/>
    <col min="10494" max="10494" width="33.85546875" style="2" customWidth="1"/>
    <col min="10495" max="10495" width="5.140625" style="2" customWidth="1"/>
    <col min="10496" max="10497" width="17.5703125" style="2" customWidth="1"/>
    <col min="10498" max="10741" width="9.140625" style="2"/>
    <col min="10742" max="10742" width="3.5703125" style="2" customWidth="1"/>
    <col min="10743" max="10743" width="96.85546875" style="2" customWidth="1"/>
    <col min="10744" max="10744" width="30.85546875" style="2" customWidth="1"/>
    <col min="10745" max="10745" width="12.5703125" style="2" customWidth="1"/>
    <col min="10746" max="10746" width="5.140625" style="2" customWidth="1"/>
    <col min="10747" max="10747" width="9.140625" style="2"/>
    <col min="10748" max="10748" width="4.85546875" style="2" customWidth="1"/>
    <col min="10749" max="10749" width="30.5703125" style="2" customWidth="1"/>
    <col min="10750" max="10750" width="33.85546875" style="2" customWidth="1"/>
    <col min="10751" max="10751" width="5.140625" style="2" customWidth="1"/>
    <col min="10752" max="10753" width="17.5703125" style="2" customWidth="1"/>
    <col min="10754" max="10997" width="9.140625" style="2"/>
    <col min="10998" max="10998" width="3.5703125" style="2" customWidth="1"/>
    <col min="10999" max="10999" width="96.85546875" style="2" customWidth="1"/>
    <col min="11000" max="11000" width="30.85546875" style="2" customWidth="1"/>
    <col min="11001" max="11001" width="12.5703125" style="2" customWidth="1"/>
    <col min="11002" max="11002" width="5.140625" style="2" customWidth="1"/>
    <col min="11003" max="11003" width="9.140625" style="2"/>
    <col min="11004" max="11004" width="4.85546875" style="2" customWidth="1"/>
    <col min="11005" max="11005" width="30.5703125" style="2" customWidth="1"/>
    <col min="11006" max="11006" width="33.85546875" style="2" customWidth="1"/>
    <col min="11007" max="11007" width="5.140625" style="2" customWidth="1"/>
    <col min="11008" max="11009" width="17.5703125" style="2" customWidth="1"/>
    <col min="11010" max="11253" width="9.140625" style="2"/>
    <col min="11254" max="11254" width="3.5703125" style="2" customWidth="1"/>
    <col min="11255" max="11255" width="96.85546875" style="2" customWidth="1"/>
    <col min="11256" max="11256" width="30.85546875" style="2" customWidth="1"/>
    <col min="11257" max="11257" width="12.5703125" style="2" customWidth="1"/>
    <col min="11258" max="11258" width="5.140625" style="2" customWidth="1"/>
    <col min="11259" max="11259" width="9.140625" style="2"/>
    <col min="11260" max="11260" width="4.85546875" style="2" customWidth="1"/>
    <col min="11261" max="11261" width="30.5703125" style="2" customWidth="1"/>
    <col min="11262" max="11262" width="33.85546875" style="2" customWidth="1"/>
    <col min="11263" max="11263" width="5.140625" style="2" customWidth="1"/>
    <col min="11264" max="11265" width="17.5703125" style="2" customWidth="1"/>
    <col min="11266" max="11509" width="9.140625" style="2"/>
    <col min="11510" max="11510" width="3.5703125" style="2" customWidth="1"/>
    <col min="11511" max="11511" width="96.85546875" style="2" customWidth="1"/>
    <col min="11512" max="11512" width="30.85546875" style="2" customWidth="1"/>
    <col min="11513" max="11513" width="12.5703125" style="2" customWidth="1"/>
    <col min="11514" max="11514" width="5.140625" style="2" customWidth="1"/>
    <col min="11515" max="11515" width="9.140625" style="2"/>
    <col min="11516" max="11516" width="4.85546875" style="2" customWidth="1"/>
    <col min="11517" max="11517" width="30.5703125" style="2" customWidth="1"/>
    <col min="11518" max="11518" width="33.85546875" style="2" customWidth="1"/>
    <col min="11519" max="11519" width="5.140625" style="2" customWidth="1"/>
    <col min="11520" max="11521" width="17.5703125" style="2" customWidth="1"/>
    <col min="11522" max="11765" width="9.140625" style="2"/>
    <col min="11766" max="11766" width="3.5703125" style="2" customWidth="1"/>
    <col min="11767" max="11767" width="96.85546875" style="2" customWidth="1"/>
    <col min="11768" max="11768" width="30.85546875" style="2" customWidth="1"/>
    <col min="11769" max="11769" width="12.5703125" style="2" customWidth="1"/>
    <col min="11770" max="11770" width="5.140625" style="2" customWidth="1"/>
    <col min="11771" max="11771" width="9.140625" style="2"/>
    <col min="11772" max="11772" width="4.85546875" style="2" customWidth="1"/>
    <col min="11773" max="11773" width="30.5703125" style="2" customWidth="1"/>
    <col min="11774" max="11774" width="33.85546875" style="2" customWidth="1"/>
    <col min="11775" max="11775" width="5.140625" style="2" customWidth="1"/>
    <col min="11776" max="11777" width="17.5703125" style="2" customWidth="1"/>
    <col min="11778" max="12021" width="9.140625" style="2"/>
    <col min="12022" max="12022" width="3.5703125" style="2" customWidth="1"/>
    <col min="12023" max="12023" width="96.85546875" style="2" customWidth="1"/>
    <col min="12024" max="12024" width="30.85546875" style="2" customWidth="1"/>
    <col min="12025" max="12025" width="12.5703125" style="2" customWidth="1"/>
    <col min="12026" max="12026" width="5.140625" style="2" customWidth="1"/>
    <col min="12027" max="12027" width="9.140625" style="2"/>
    <col min="12028" max="12028" width="4.85546875" style="2" customWidth="1"/>
    <col min="12029" max="12029" width="30.5703125" style="2" customWidth="1"/>
    <col min="12030" max="12030" width="33.85546875" style="2" customWidth="1"/>
    <col min="12031" max="12031" width="5.140625" style="2" customWidth="1"/>
    <col min="12032" max="12033" width="17.5703125" style="2" customWidth="1"/>
    <col min="12034" max="12277" width="9.140625" style="2"/>
    <col min="12278" max="12278" width="3.5703125" style="2" customWidth="1"/>
    <col min="12279" max="12279" width="96.85546875" style="2" customWidth="1"/>
    <col min="12280" max="12280" width="30.85546875" style="2" customWidth="1"/>
    <col min="12281" max="12281" width="12.5703125" style="2" customWidth="1"/>
    <col min="12282" max="12282" width="5.140625" style="2" customWidth="1"/>
    <col min="12283" max="12283" width="9.140625" style="2"/>
    <col min="12284" max="12284" width="4.85546875" style="2" customWidth="1"/>
    <col min="12285" max="12285" width="30.5703125" style="2" customWidth="1"/>
    <col min="12286" max="12286" width="33.85546875" style="2" customWidth="1"/>
    <col min="12287" max="12287" width="5.140625" style="2" customWidth="1"/>
    <col min="12288" max="12289" width="17.5703125" style="2" customWidth="1"/>
    <col min="12290" max="12533" width="9.140625" style="2"/>
    <col min="12534" max="12534" width="3.5703125" style="2" customWidth="1"/>
    <col min="12535" max="12535" width="96.85546875" style="2" customWidth="1"/>
    <col min="12536" max="12536" width="30.85546875" style="2" customWidth="1"/>
    <col min="12537" max="12537" width="12.5703125" style="2" customWidth="1"/>
    <col min="12538" max="12538" width="5.140625" style="2" customWidth="1"/>
    <col min="12539" max="12539" width="9.140625" style="2"/>
    <col min="12540" max="12540" width="4.85546875" style="2" customWidth="1"/>
    <col min="12541" max="12541" width="30.5703125" style="2" customWidth="1"/>
    <col min="12542" max="12542" width="33.85546875" style="2" customWidth="1"/>
    <col min="12543" max="12543" width="5.140625" style="2" customWidth="1"/>
    <col min="12544" max="12545" width="17.5703125" style="2" customWidth="1"/>
    <col min="12546" max="12789" width="9.140625" style="2"/>
    <col min="12790" max="12790" width="3.5703125" style="2" customWidth="1"/>
    <col min="12791" max="12791" width="96.85546875" style="2" customWidth="1"/>
    <col min="12792" max="12792" width="30.85546875" style="2" customWidth="1"/>
    <col min="12793" max="12793" width="12.5703125" style="2" customWidth="1"/>
    <col min="12794" max="12794" width="5.140625" style="2" customWidth="1"/>
    <col min="12795" max="12795" width="9.140625" style="2"/>
    <col min="12796" max="12796" width="4.85546875" style="2" customWidth="1"/>
    <col min="12797" max="12797" width="30.5703125" style="2" customWidth="1"/>
    <col min="12798" max="12798" width="33.85546875" style="2" customWidth="1"/>
    <col min="12799" max="12799" width="5.140625" style="2" customWidth="1"/>
    <col min="12800" max="12801" width="17.5703125" style="2" customWidth="1"/>
    <col min="12802" max="13045" width="9.140625" style="2"/>
    <col min="13046" max="13046" width="3.5703125" style="2" customWidth="1"/>
    <col min="13047" max="13047" width="96.85546875" style="2" customWidth="1"/>
    <col min="13048" max="13048" width="30.85546875" style="2" customWidth="1"/>
    <col min="13049" max="13049" width="12.5703125" style="2" customWidth="1"/>
    <col min="13050" max="13050" width="5.140625" style="2" customWidth="1"/>
    <col min="13051" max="13051" width="9.140625" style="2"/>
    <col min="13052" max="13052" width="4.85546875" style="2" customWidth="1"/>
    <col min="13053" max="13053" width="30.5703125" style="2" customWidth="1"/>
    <col min="13054" max="13054" width="33.85546875" style="2" customWidth="1"/>
    <col min="13055" max="13055" width="5.140625" style="2" customWidth="1"/>
    <col min="13056" max="13057" width="17.5703125" style="2" customWidth="1"/>
    <col min="13058" max="13301" width="9.140625" style="2"/>
    <col min="13302" max="13302" width="3.5703125" style="2" customWidth="1"/>
    <col min="13303" max="13303" width="96.85546875" style="2" customWidth="1"/>
    <col min="13304" max="13304" width="30.85546875" style="2" customWidth="1"/>
    <col min="13305" max="13305" width="12.5703125" style="2" customWidth="1"/>
    <col min="13306" max="13306" width="5.140625" style="2" customWidth="1"/>
    <col min="13307" max="13307" width="9.140625" style="2"/>
    <col min="13308" max="13308" width="4.85546875" style="2" customWidth="1"/>
    <col min="13309" max="13309" width="30.5703125" style="2" customWidth="1"/>
    <col min="13310" max="13310" width="33.85546875" style="2" customWidth="1"/>
    <col min="13311" max="13311" width="5.140625" style="2" customWidth="1"/>
    <col min="13312" max="13313" width="17.5703125" style="2" customWidth="1"/>
    <col min="13314" max="13557" width="9.140625" style="2"/>
    <col min="13558" max="13558" width="3.5703125" style="2" customWidth="1"/>
    <col min="13559" max="13559" width="96.85546875" style="2" customWidth="1"/>
    <col min="13560" max="13560" width="30.85546875" style="2" customWidth="1"/>
    <col min="13561" max="13561" width="12.5703125" style="2" customWidth="1"/>
    <col min="13562" max="13562" width="5.140625" style="2" customWidth="1"/>
    <col min="13563" max="13563" width="9.140625" style="2"/>
    <col min="13564" max="13564" width="4.85546875" style="2" customWidth="1"/>
    <col min="13565" max="13565" width="30.5703125" style="2" customWidth="1"/>
    <col min="13566" max="13566" width="33.85546875" style="2" customWidth="1"/>
    <col min="13567" max="13567" width="5.140625" style="2" customWidth="1"/>
    <col min="13568" max="13569" width="17.5703125" style="2" customWidth="1"/>
    <col min="13570" max="13813" width="9.140625" style="2"/>
    <col min="13814" max="13814" width="3.5703125" style="2" customWidth="1"/>
    <col min="13815" max="13815" width="96.85546875" style="2" customWidth="1"/>
    <col min="13816" max="13816" width="30.85546875" style="2" customWidth="1"/>
    <col min="13817" max="13817" width="12.5703125" style="2" customWidth="1"/>
    <col min="13818" max="13818" width="5.140625" style="2" customWidth="1"/>
    <col min="13819" max="13819" width="9.140625" style="2"/>
    <col min="13820" max="13820" width="4.85546875" style="2" customWidth="1"/>
    <col min="13821" max="13821" width="30.5703125" style="2" customWidth="1"/>
    <col min="13822" max="13822" width="33.85546875" style="2" customWidth="1"/>
    <col min="13823" max="13823" width="5.140625" style="2" customWidth="1"/>
    <col min="13824" max="13825" width="17.5703125" style="2" customWidth="1"/>
    <col min="13826" max="14069" width="9.140625" style="2"/>
    <col min="14070" max="14070" width="3.5703125" style="2" customWidth="1"/>
    <col min="14071" max="14071" width="96.85546875" style="2" customWidth="1"/>
    <col min="14072" max="14072" width="30.85546875" style="2" customWidth="1"/>
    <col min="14073" max="14073" width="12.5703125" style="2" customWidth="1"/>
    <col min="14074" max="14074" width="5.140625" style="2" customWidth="1"/>
    <col min="14075" max="14075" width="9.140625" style="2"/>
    <col min="14076" max="14076" width="4.85546875" style="2" customWidth="1"/>
    <col min="14077" max="14077" width="30.5703125" style="2" customWidth="1"/>
    <col min="14078" max="14078" width="33.85546875" style="2" customWidth="1"/>
    <col min="14079" max="14079" width="5.140625" style="2" customWidth="1"/>
    <col min="14080" max="14081" width="17.5703125" style="2" customWidth="1"/>
    <col min="14082" max="14325" width="9.140625" style="2"/>
    <col min="14326" max="14326" width="3.5703125" style="2" customWidth="1"/>
    <col min="14327" max="14327" width="96.85546875" style="2" customWidth="1"/>
    <col min="14328" max="14328" width="30.85546875" style="2" customWidth="1"/>
    <col min="14329" max="14329" width="12.5703125" style="2" customWidth="1"/>
    <col min="14330" max="14330" width="5.140625" style="2" customWidth="1"/>
    <col min="14331" max="14331" width="9.140625" style="2"/>
    <col min="14332" max="14332" width="4.85546875" style="2" customWidth="1"/>
    <col min="14333" max="14333" width="30.5703125" style="2" customWidth="1"/>
    <col min="14334" max="14334" width="33.85546875" style="2" customWidth="1"/>
    <col min="14335" max="14335" width="5.140625" style="2" customWidth="1"/>
    <col min="14336" max="14337" width="17.5703125" style="2" customWidth="1"/>
    <col min="14338" max="14581" width="9.140625" style="2"/>
    <col min="14582" max="14582" width="3.5703125" style="2" customWidth="1"/>
    <col min="14583" max="14583" width="96.85546875" style="2" customWidth="1"/>
    <col min="14584" max="14584" width="30.85546875" style="2" customWidth="1"/>
    <col min="14585" max="14585" width="12.5703125" style="2" customWidth="1"/>
    <col min="14586" max="14586" width="5.140625" style="2" customWidth="1"/>
    <col min="14587" max="14587" width="9.140625" style="2"/>
    <col min="14588" max="14588" width="4.85546875" style="2" customWidth="1"/>
    <col min="14589" max="14589" width="30.5703125" style="2" customWidth="1"/>
    <col min="14590" max="14590" width="33.85546875" style="2" customWidth="1"/>
    <col min="14591" max="14591" width="5.140625" style="2" customWidth="1"/>
    <col min="14592" max="14593" width="17.5703125" style="2" customWidth="1"/>
    <col min="14594" max="14837" width="9.140625" style="2"/>
    <col min="14838" max="14838" width="3.5703125" style="2" customWidth="1"/>
    <col min="14839" max="14839" width="96.85546875" style="2" customWidth="1"/>
    <col min="14840" max="14840" width="30.85546875" style="2" customWidth="1"/>
    <col min="14841" max="14841" width="12.5703125" style="2" customWidth="1"/>
    <col min="14842" max="14842" width="5.140625" style="2" customWidth="1"/>
    <col min="14843" max="14843" width="9.140625" style="2"/>
    <col min="14844" max="14844" width="4.85546875" style="2" customWidth="1"/>
    <col min="14845" max="14845" width="30.5703125" style="2" customWidth="1"/>
    <col min="14846" max="14846" width="33.85546875" style="2" customWidth="1"/>
    <col min="14847" max="14847" width="5.140625" style="2" customWidth="1"/>
    <col min="14848" max="14849" width="17.5703125" style="2" customWidth="1"/>
    <col min="14850" max="15093" width="9.140625" style="2"/>
    <col min="15094" max="15094" width="3.5703125" style="2" customWidth="1"/>
    <col min="15095" max="15095" width="96.85546875" style="2" customWidth="1"/>
    <col min="15096" max="15096" width="30.85546875" style="2" customWidth="1"/>
    <col min="15097" max="15097" width="12.5703125" style="2" customWidth="1"/>
    <col min="15098" max="15098" width="5.140625" style="2" customWidth="1"/>
    <col min="15099" max="15099" width="9.140625" style="2"/>
    <col min="15100" max="15100" width="4.85546875" style="2" customWidth="1"/>
    <col min="15101" max="15101" width="30.5703125" style="2" customWidth="1"/>
    <col min="15102" max="15102" width="33.85546875" style="2" customWidth="1"/>
    <col min="15103" max="15103" width="5.140625" style="2" customWidth="1"/>
    <col min="15104" max="15105" width="17.5703125" style="2" customWidth="1"/>
    <col min="15106" max="15349" width="9.140625" style="2"/>
    <col min="15350" max="15350" width="3.5703125" style="2" customWidth="1"/>
    <col min="15351" max="15351" width="96.85546875" style="2" customWidth="1"/>
    <col min="15352" max="15352" width="30.85546875" style="2" customWidth="1"/>
    <col min="15353" max="15353" width="12.5703125" style="2" customWidth="1"/>
    <col min="15354" max="15354" width="5.140625" style="2" customWidth="1"/>
    <col min="15355" max="15355" width="9.140625" style="2"/>
    <col min="15356" max="15356" width="4.85546875" style="2" customWidth="1"/>
    <col min="15357" max="15357" width="30.5703125" style="2" customWidth="1"/>
    <col min="15358" max="15358" width="33.85546875" style="2" customWidth="1"/>
    <col min="15359" max="15359" width="5.140625" style="2" customWidth="1"/>
    <col min="15360" max="15361" width="17.5703125" style="2" customWidth="1"/>
    <col min="15362" max="15605" width="9.140625" style="2"/>
    <col min="15606" max="15606" width="3.5703125" style="2" customWidth="1"/>
    <col min="15607" max="15607" width="96.85546875" style="2" customWidth="1"/>
    <col min="15608" max="15608" width="30.85546875" style="2" customWidth="1"/>
    <col min="15609" max="15609" width="12.5703125" style="2" customWidth="1"/>
    <col min="15610" max="15610" width="5.140625" style="2" customWidth="1"/>
    <col min="15611" max="15611" width="9.140625" style="2"/>
    <col min="15612" max="15612" width="4.85546875" style="2" customWidth="1"/>
    <col min="15613" max="15613" width="30.5703125" style="2" customWidth="1"/>
    <col min="15614" max="15614" width="33.85546875" style="2" customWidth="1"/>
    <col min="15615" max="15615" width="5.140625" style="2" customWidth="1"/>
    <col min="15616" max="15617" width="17.5703125" style="2" customWidth="1"/>
    <col min="15618" max="15861" width="9.140625" style="2"/>
    <col min="15862" max="15862" width="3.5703125" style="2" customWidth="1"/>
    <col min="15863" max="15863" width="96.85546875" style="2" customWidth="1"/>
    <col min="15864" max="15864" width="30.85546875" style="2" customWidth="1"/>
    <col min="15865" max="15865" width="12.5703125" style="2" customWidth="1"/>
    <col min="15866" max="15866" width="5.140625" style="2" customWidth="1"/>
    <col min="15867" max="15867" width="9.140625" style="2"/>
    <col min="15868" max="15868" width="4.85546875" style="2" customWidth="1"/>
    <col min="15869" max="15869" width="30.5703125" style="2" customWidth="1"/>
    <col min="15870" max="15870" width="33.85546875" style="2" customWidth="1"/>
    <col min="15871" max="15871" width="5.140625" style="2" customWidth="1"/>
    <col min="15872" max="15873" width="17.5703125" style="2" customWidth="1"/>
    <col min="15874" max="16117" width="9.140625" style="2"/>
    <col min="16118" max="16118" width="3.5703125" style="2" customWidth="1"/>
    <col min="16119" max="16119" width="96.85546875" style="2" customWidth="1"/>
    <col min="16120" max="16120" width="30.85546875" style="2" customWidth="1"/>
    <col min="16121" max="16121" width="12.5703125" style="2" customWidth="1"/>
    <col min="16122" max="16122" width="5.140625" style="2" customWidth="1"/>
    <col min="16123" max="16123" width="9.140625" style="2"/>
    <col min="16124" max="16124" width="4.85546875" style="2" customWidth="1"/>
    <col min="16125" max="16125" width="30.5703125" style="2" customWidth="1"/>
    <col min="16126" max="16126" width="33.85546875" style="2" customWidth="1"/>
    <col min="16127" max="16127" width="5.140625" style="2" customWidth="1"/>
    <col min="16128" max="16129" width="17.5703125" style="2" customWidth="1"/>
    <col min="16130" max="16384" width="9.140625" style="2"/>
  </cols>
  <sheetData>
    <row r="1" spans="1:3" ht="48" customHeight="1" x14ac:dyDescent="0.2">
      <c r="A1" s="111"/>
      <c r="B1" s="143" t="s">
        <v>225</v>
      </c>
      <c r="C1" s="143"/>
    </row>
    <row r="2" spans="1:3" x14ac:dyDescent="0.2">
      <c r="A2" s="1"/>
      <c r="B2" s="3" t="s">
        <v>2</v>
      </c>
      <c r="C2" s="4">
        <v>45317</v>
      </c>
    </row>
    <row r="3" spans="1:3" x14ac:dyDescent="0.2">
      <c r="A3" s="1"/>
      <c r="B3" s="112" t="s">
        <v>3</v>
      </c>
    </row>
    <row r="4" spans="1:3" ht="25.5" x14ac:dyDescent="0.2">
      <c r="A4" s="7"/>
      <c r="B4" s="8" t="str">
        <f>[17]И1!D13</f>
        <v>Субъект Российской Федерации</v>
      </c>
      <c r="C4" s="9" t="str">
        <f>[17]И1!E13</f>
        <v>Новосибирская область</v>
      </c>
    </row>
    <row r="5" spans="1:3" ht="38.25" x14ac:dyDescent="0.2">
      <c r="A5" s="7"/>
      <c r="B5" s="8" t="str">
        <f>[17]И1!D14</f>
        <v>Тип муниципального образования (выберите из списка)</v>
      </c>
      <c r="C5" s="9" t="str">
        <f>[17]И1!E14</f>
        <v>село Рогалево, Ордынский муниципальный район</v>
      </c>
    </row>
    <row r="6" spans="1:3" x14ac:dyDescent="0.2">
      <c r="A6" s="7"/>
      <c r="B6" s="8" t="str">
        <f>IF([17]И1!E15="","",[17]И1!D15)</f>
        <v/>
      </c>
      <c r="C6" s="9" t="str">
        <f>IF([17]И1!E15="","",[17]И1!E15)</f>
        <v/>
      </c>
    </row>
    <row r="7" spans="1:3" x14ac:dyDescent="0.2">
      <c r="A7" s="7"/>
      <c r="B7" s="8" t="str">
        <f>[17]И1!D16</f>
        <v>Код ОКТМО</v>
      </c>
      <c r="C7" s="10" t="str">
        <f>[17]И1!E16</f>
        <v>50642423101</v>
      </c>
    </row>
    <row r="8" spans="1:3" x14ac:dyDescent="0.2">
      <c r="A8" s="7"/>
      <c r="B8" s="11" t="str">
        <f>[17]И1!D17</f>
        <v>Система теплоснабжения</v>
      </c>
      <c r="C8" s="12">
        <f>[17]И1!E17</f>
        <v>0</v>
      </c>
    </row>
    <row r="9" spans="1:3" x14ac:dyDescent="0.2">
      <c r="A9" s="7"/>
      <c r="B9" s="8" t="str">
        <f>[17]И1!D8</f>
        <v>Период регулирования (i)-й</v>
      </c>
      <c r="C9" s="13">
        <f>[17]И1!E8</f>
        <v>2024</v>
      </c>
    </row>
    <row r="10" spans="1:3" x14ac:dyDescent="0.2">
      <c r="A10" s="7"/>
      <c r="B10" s="8" t="str">
        <f>[17]И1!D9</f>
        <v>Период регулирования (i-1)-й</v>
      </c>
      <c r="C10" s="13">
        <f>[17]И1!E9</f>
        <v>2023</v>
      </c>
    </row>
    <row r="11" spans="1:3" x14ac:dyDescent="0.2">
      <c r="A11" s="7"/>
      <c r="B11" s="8" t="str">
        <f>[17]И1!D10</f>
        <v>Период регулирования (i-2)-й</v>
      </c>
      <c r="C11" s="13">
        <f>[17]И1!E10</f>
        <v>2022</v>
      </c>
    </row>
    <row r="12" spans="1:3" x14ac:dyDescent="0.2">
      <c r="A12" s="7"/>
      <c r="B12" s="8" t="str">
        <f>[17]И1!D11</f>
        <v>Базовый год (б)</v>
      </c>
      <c r="C12" s="13">
        <f>[17]И1!E11</f>
        <v>2019</v>
      </c>
    </row>
    <row r="13" spans="1:3" ht="38.25" x14ac:dyDescent="0.2">
      <c r="A13" s="7"/>
      <c r="B13" s="8" t="str">
        <f>[17]И1!D18</f>
        <v>Вид топлива, использование которого преобладает в системе теплоснабжения</v>
      </c>
      <c r="C13" s="14" t="str">
        <f>[17]С1.1!E13</f>
        <v>уголь (вид угля не указан в топливном балансе)</v>
      </c>
    </row>
    <row r="14" spans="1:3" ht="31.7" customHeight="1" thickBot="1" x14ac:dyDescent="0.25">
      <c r="A14" s="146" t="s">
        <v>4</v>
      </c>
      <c r="B14" s="146"/>
      <c r="C14" s="146"/>
    </row>
    <row r="15" spans="1:3" x14ac:dyDescent="0.2">
      <c r="A15" s="15" t="s">
        <v>5</v>
      </c>
      <c r="B15" s="113" t="s">
        <v>6</v>
      </c>
      <c r="C15" s="114" t="s">
        <v>7</v>
      </c>
    </row>
    <row r="16" spans="1:3" x14ac:dyDescent="0.2">
      <c r="A16" s="18">
        <v>1</v>
      </c>
      <c r="B16" s="115">
        <v>2</v>
      </c>
      <c r="C16" s="116">
        <v>3</v>
      </c>
    </row>
    <row r="17" spans="1:3" x14ac:dyDescent="0.2">
      <c r="A17" s="21">
        <v>1</v>
      </c>
      <c r="B17" s="22" t="s">
        <v>8</v>
      </c>
      <c r="C17" s="23">
        <f>SUM(C18:C22)</f>
        <v>3553.571356804805</v>
      </c>
    </row>
    <row r="18" spans="1:3" ht="42.75" x14ac:dyDescent="0.2">
      <c r="A18" s="21" t="s">
        <v>9</v>
      </c>
      <c r="B18" s="24" t="s">
        <v>10</v>
      </c>
      <c r="C18" s="25">
        <f>[17]С1!F12</f>
        <v>681.72722270675411</v>
      </c>
    </row>
    <row r="19" spans="1:3" ht="42.75" x14ac:dyDescent="0.2">
      <c r="A19" s="21" t="s">
        <v>11</v>
      </c>
      <c r="B19" s="24" t="s">
        <v>12</v>
      </c>
      <c r="C19" s="25">
        <f>[17]С2!F12</f>
        <v>1988.7336845318171</v>
      </c>
    </row>
    <row r="20" spans="1:3" ht="30" x14ac:dyDescent="0.2">
      <c r="A20" s="21" t="s">
        <v>13</v>
      </c>
      <c r="B20" s="24" t="s">
        <v>14</v>
      </c>
      <c r="C20" s="25">
        <f>[17]С3!F12</f>
        <v>472.61808029676507</v>
      </c>
    </row>
    <row r="21" spans="1:3" ht="42.75" x14ac:dyDescent="0.2">
      <c r="A21" s="21" t="s">
        <v>15</v>
      </c>
      <c r="B21" s="24" t="s">
        <v>226</v>
      </c>
      <c r="C21" s="25">
        <f>[17]С4!F12</f>
        <v>340.81449952819833</v>
      </c>
    </row>
    <row r="22" spans="1:3" ht="30" x14ac:dyDescent="0.2">
      <c r="A22" s="21" t="s">
        <v>17</v>
      </c>
      <c r="B22" s="24" t="s">
        <v>227</v>
      </c>
      <c r="C22" s="25">
        <f>[17]С5!F12</f>
        <v>69.677869741270683</v>
      </c>
    </row>
    <row r="23" spans="1:3" ht="43.5" thickBot="1" x14ac:dyDescent="0.25">
      <c r="A23" s="26" t="s">
        <v>19</v>
      </c>
      <c r="B23" s="140" t="s">
        <v>228</v>
      </c>
      <c r="C23" s="27" t="str">
        <f>[17]С6!F12</f>
        <v>-</v>
      </c>
    </row>
    <row r="24" spans="1:3" ht="13.5" thickBot="1" x14ac:dyDescent="0.25">
      <c r="A24" s="1"/>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229</v>
      </c>
      <c r="C28" s="32">
        <f>[17]С1.1!E16</f>
        <v>5100</v>
      </c>
    </row>
    <row r="29" spans="1:3" ht="42.75" x14ac:dyDescent="0.2">
      <c r="A29" s="21" t="s">
        <v>11</v>
      </c>
      <c r="B29" s="31" t="s">
        <v>230</v>
      </c>
      <c r="C29" s="32">
        <f>[17]С1.1!E27</f>
        <v>3063.03</v>
      </c>
    </row>
    <row r="30" spans="1:3" ht="17.25" x14ac:dyDescent="0.2">
      <c r="A30" s="21" t="s">
        <v>13</v>
      </c>
      <c r="B30" s="31" t="s">
        <v>30</v>
      </c>
      <c r="C30" s="34">
        <f>[17]С1.1!E19</f>
        <v>-0.19900000000000001</v>
      </c>
    </row>
    <row r="31" spans="1:3" ht="17.25" x14ac:dyDescent="0.2">
      <c r="A31" s="21" t="s">
        <v>15</v>
      </c>
      <c r="B31" s="31" t="s">
        <v>31</v>
      </c>
      <c r="C31" s="34">
        <f>[17]С1.1!E20</f>
        <v>5.7000000000000002E-2</v>
      </c>
    </row>
    <row r="32" spans="1:3" ht="30" x14ac:dyDescent="0.2">
      <c r="A32" s="21" t="s">
        <v>17</v>
      </c>
      <c r="B32" s="35" t="s">
        <v>231</v>
      </c>
      <c r="C32" s="117">
        <f>[17]С1!F13</f>
        <v>176.4</v>
      </c>
    </row>
    <row r="33" spans="1:3" x14ac:dyDescent="0.2">
      <c r="A33" s="21" t="s">
        <v>19</v>
      </c>
      <c r="B33" s="35" t="s">
        <v>33</v>
      </c>
      <c r="C33" s="37">
        <f>[17]С1!F16</f>
        <v>7000</v>
      </c>
    </row>
    <row r="34" spans="1:3" ht="14.25" x14ac:dyDescent="0.2">
      <c r="A34" s="21" t="s">
        <v>34</v>
      </c>
      <c r="B34" s="39" t="s">
        <v>232</v>
      </c>
      <c r="C34" s="40">
        <f>[17]С1!F17</f>
        <v>0.72857142857142854</v>
      </c>
    </row>
    <row r="35" spans="1:3" ht="15.75" x14ac:dyDescent="0.2">
      <c r="A35" s="118" t="s">
        <v>36</v>
      </c>
      <c r="B35" s="42" t="s">
        <v>37</v>
      </c>
      <c r="C35" s="40">
        <f>[17]С1!F20</f>
        <v>21.588411179999994</v>
      </c>
    </row>
    <row r="36" spans="1:3" ht="15.75" x14ac:dyDescent="0.2">
      <c r="A36" s="118" t="s">
        <v>38</v>
      </c>
      <c r="B36" s="43" t="s">
        <v>39</v>
      </c>
      <c r="C36" s="40">
        <f>[17]С1!F21</f>
        <v>20.818139999999996</v>
      </c>
    </row>
    <row r="37" spans="1:3" ht="14.25" x14ac:dyDescent="0.2">
      <c r="A37" s="118" t="s">
        <v>40</v>
      </c>
      <c r="B37" s="44" t="s">
        <v>41</v>
      </c>
      <c r="C37" s="40">
        <f>[17]С1!F22</f>
        <v>1.0369999999999999</v>
      </c>
    </row>
    <row r="38" spans="1:3" ht="53.25" thickBot="1" x14ac:dyDescent="0.25">
      <c r="A38" s="26" t="s">
        <v>42</v>
      </c>
      <c r="B38" s="45" t="s">
        <v>43</v>
      </c>
      <c r="C38" s="46">
        <f>[17]С1!F23</f>
        <v>1.0469999999999999</v>
      </c>
    </row>
    <row r="39" spans="1:3" ht="13.5" thickBot="1" x14ac:dyDescent="0.25">
      <c r="A39" s="47"/>
      <c r="B39" s="119"/>
      <c r="C39" s="120"/>
    </row>
    <row r="40" spans="1:3" ht="30" customHeight="1" x14ac:dyDescent="0.2">
      <c r="A40" s="49" t="s">
        <v>44</v>
      </c>
      <c r="B40" s="145" t="s">
        <v>45</v>
      </c>
      <c r="C40" s="145"/>
    </row>
    <row r="41" spans="1:3" ht="25.5" x14ac:dyDescent="0.2">
      <c r="A41" s="21" t="s">
        <v>46</v>
      </c>
      <c r="B41" s="35" t="s">
        <v>47</v>
      </c>
      <c r="C41" s="50" t="str">
        <f>[17]С2.1!E12</f>
        <v>V</v>
      </c>
    </row>
    <row r="42" spans="1:3" ht="25.5" x14ac:dyDescent="0.2">
      <c r="A42" s="21" t="s">
        <v>48</v>
      </c>
      <c r="B42" s="31" t="s">
        <v>49</v>
      </c>
      <c r="C42" s="50" t="str">
        <f>[17]С2.1!E13</f>
        <v>6 и менее баллов</v>
      </c>
    </row>
    <row r="43" spans="1:3" ht="25.5" x14ac:dyDescent="0.2">
      <c r="A43" s="21" t="s">
        <v>50</v>
      </c>
      <c r="B43" s="31" t="s">
        <v>233</v>
      </c>
      <c r="C43" s="50" t="str">
        <f>[17]С2.1!E14</f>
        <v>от 200 до 500</v>
      </c>
    </row>
    <row r="44" spans="1:3" ht="25.5" x14ac:dyDescent="0.2">
      <c r="A44" s="21" t="s">
        <v>52</v>
      </c>
      <c r="B44" s="31" t="s">
        <v>234</v>
      </c>
      <c r="C44" s="51" t="str">
        <f>[17]С2.1!E15</f>
        <v>нет</v>
      </c>
    </row>
    <row r="45" spans="1:3" ht="30" x14ac:dyDescent="0.2">
      <c r="A45" s="21" t="s">
        <v>54</v>
      </c>
      <c r="B45" s="31" t="s">
        <v>55</v>
      </c>
      <c r="C45" s="32">
        <f>[17]С2!F18</f>
        <v>35106.652004551666</v>
      </c>
    </row>
    <row r="46" spans="1:3" ht="30" x14ac:dyDescent="0.2">
      <c r="A46" s="21" t="s">
        <v>56</v>
      </c>
      <c r="B46" s="52" t="s">
        <v>57</v>
      </c>
      <c r="C46" s="32">
        <f>IF([17]С2!F19&gt;0,[17]С2!F19,[17]С2!F20)</f>
        <v>23441.524932855718</v>
      </c>
    </row>
    <row r="47" spans="1:3" ht="25.5" x14ac:dyDescent="0.2">
      <c r="A47" s="21" t="s">
        <v>58</v>
      </c>
      <c r="B47" s="53" t="s">
        <v>59</v>
      </c>
      <c r="C47" s="32">
        <f>[17]С2.1!E19</f>
        <v>-37</v>
      </c>
    </row>
    <row r="48" spans="1:3" ht="25.5" x14ac:dyDescent="0.2">
      <c r="A48" s="21" t="s">
        <v>60</v>
      </c>
      <c r="B48" s="53" t="s">
        <v>61</v>
      </c>
      <c r="C48" s="32" t="str">
        <f>[17]С2.1!E22</f>
        <v>нет</v>
      </c>
    </row>
    <row r="49" spans="1:3" ht="38.25" x14ac:dyDescent="0.2">
      <c r="A49" s="21" t="s">
        <v>62</v>
      </c>
      <c r="B49" s="54" t="s">
        <v>63</v>
      </c>
      <c r="C49" s="32">
        <f>[17]С2.2!E10</f>
        <v>1287</v>
      </c>
    </row>
    <row r="50" spans="1:3" ht="25.5" x14ac:dyDescent="0.2">
      <c r="A50" s="21" t="s">
        <v>64</v>
      </c>
      <c r="B50" s="55" t="s">
        <v>65</v>
      </c>
      <c r="C50" s="32">
        <f>[17]С2.2!E12</f>
        <v>5.97</v>
      </c>
    </row>
    <row r="51" spans="1:3" ht="52.5" x14ac:dyDescent="0.2">
      <c r="A51" s="21" t="s">
        <v>66</v>
      </c>
      <c r="B51" s="56" t="s">
        <v>67</v>
      </c>
      <c r="C51" s="32">
        <f>[17]С2.2!E13</f>
        <v>1</v>
      </c>
    </row>
    <row r="52" spans="1:3" ht="27.75" x14ac:dyDescent="0.2">
      <c r="A52" s="21" t="s">
        <v>68</v>
      </c>
      <c r="B52" s="55" t="s">
        <v>69</v>
      </c>
      <c r="C52" s="32">
        <f>[17]С2.2!E14</f>
        <v>12104</v>
      </c>
    </row>
    <row r="53" spans="1:3" ht="25.5" x14ac:dyDescent="0.2">
      <c r="A53" s="21" t="s">
        <v>70</v>
      </c>
      <c r="B53" s="56" t="s">
        <v>71</v>
      </c>
      <c r="C53" s="34">
        <f>[17]С2.2!E15</f>
        <v>4.8000000000000001E-2</v>
      </c>
    </row>
    <row r="54" spans="1:3" x14ac:dyDescent="0.2">
      <c r="A54" s="21" t="s">
        <v>72</v>
      </c>
      <c r="B54" s="56" t="s">
        <v>73</v>
      </c>
      <c r="C54" s="32">
        <f>[17]С2.2!E16</f>
        <v>1</v>
      </c>
    </row>
    <row r="55" spans="1:3" ht="15.75" x14ac:dyDescent="0.2">
      <c r="A55" s="21" t="s">
        <v>74</v>
      </c>
      <c r="B55" s="58" t="s">
        <v>75</v>
      </c>
      <c r="C55" s="32">
        <f>[17]С2!F21</f>
        <v>1</v>
      </c>
    </row>
    <row r="56" spans="1:3" ht="30" x14ac:dyDescent="0.2">
      <c r="A56" s="59" t="s">
        <v>76</v>
      </c>
      <c r="B56" s="31" t="s">
        <v>235</v>
      </c>
      <c r="C56" s="32">
        <f>[17]С2!F13</f>
        <v>183796.83936385796</v>
      </c>
    </row>
    <row r="57" spans="1:3" ht="30" x14ac:dyDescent="0.2">
      <c r="A57" s="59" t="s">
        <v>78</v>
      </c>
      <c r="B57" s="58" t="s">
        <v>236</v>
      </c>
      <c r="C57" s="32">
        <f>[17]С2!F14</f>
        <v>113455</v>
      </c>
    </row>
    <row r="58" spans="1:3" ht="15.75" x14ac:dyDescent="0.2">
      <c r="A58" s="59" t="s">
        <v>80</v>
      </c>
      <c r="B58" s="60" t="s">
        <v>81</v>
      </c>
      <c r="C58" s="40">
        <f>[17]С2!F15</f>
        <v>1.071</v>
      </c>
    </row>
    <row r="59" spans="1:3" ht="15.75" x14ac:dyDescent="0.2">
      <c r="A59" s="59" t="s">
        <v>82</v>
      </c>
      <c r="B59" s="60" t="s">
        <v>83</v>
      </c>
      <c r="C59" s="40">
        <f>[17]С2!F16</f>
        <v>1</v>
      </c>
    </row>
    <row r="60" spans="1:3" ht="17.25" x14ac:dyDescent="0.2">
      <c r="A60" s="59" t="s">
        <v>84</v>
      </c>
      <c r="B60" s="58" t="s">
        <v>85</v>
      </c>
      <c r="C60" s="32">
        <f>[17]С2!F17</f>
        <v>1.01</v>
      </c>
    </row>
    <row r="61" spans="1:3" s="65" customFormat="1" ht="14.25" x14ac:dyDescent="0.2">
      <c r="A61" s="59" t="s">
        <v>86</v>
      </c>
      <c r="B61" s="63" t="s">
        <v>87</v>
      </c>
      <c r="C61" s="64">
        <f>[17]С2!F33</f>
        <v>10</v>
      </c>
    </row>
    <row r="62" spans="1:3" ht="30" x14ac:dyDescent="0.2">
      <c r="A62" s="59" t="s">
        <v>88</v>
      </c>
      <c r="B62" s="66" t="s">
        <v>89</v>
      </c>
      <c r="C62" s="32">
        <f>[17]С2!F26</f>
        <v>1266.3745527115127</v>
      </c>
    </row>
    <row r="63" spans="1:3" ht="17.25" x14ac:dyDescent="0.2">
      <c r="A63" s="59" t="s">
        <v>90</v>
      </c>
      <c r="B63" s="52" t="s">
        <v>237</v>
      </c>
      <c r="C63" s="32">
        <f>[17]С2!F27</f>
        <v>0.201330388</v>
      </c>
    </row>
    <row r="64" spans="1:3" ht="17.25" x14ac:dyDescent="0.2">
      <c r="A64" s="59" t="s">
        <v>92</v>
      </c>
      <c r="B64" s="58" t="s">
        <v>238</v>
      </c>
      <c r="C64" s="64">
        <f>[17]С2!F28</f>
        <v>4200</v>
      </c>
    </row>
    <row r="65" spans="1:3" ht="42.75" x14ac:dyDescent="0.2">
      <c r="A65" s="59" t="s">
        <v>94</v>
      </c>
      <c r="B65" s="31" t="s">
        <v>239</v>
      </c>
      <c r="C65" s="32">
        <f>[17]С2!F22</f>
        <v>38698.422798410109</v>
      </c>
    </row>
    <row r="66" spans="1:3" ht="30" x14ac:dyDescent="0.2">
      <c r="A66" s="59" t="s">
        <v>96</v>
      </c>
      <c r="B66" s="60" t="s">
        <v>240</v>
      </c>
      <c r="C66" s="32">
        <f>[17]С2!F23</f>
        <v>1990</v>
      </c>
    </row>
    <row r="67" spans="1:3" ht="30" x14ac:dyDescent="0.2">
      <c r="A67" s="59" t="s">
        <v>98</v>
      </c>
      <c r="B67" s="52" t="s">
        <v>99</v>
      </c>
      <c r="C67" s="32">
        <f>[17]С2.1!E27</f>
        <v>14307.876789999998</v>
      </c>
    </row>
    <row r="68" spans="1:3" ht="38.25" x14ac:dyDescent="0.2">
      <c r="A68" s="59" t="s">
        <v>100</v>
      </c>
      <c r="B68" s="67" t="s">
        <v>101</v>
      </c>
      <c r="C68" s="51">
        <f>[17]С2.3!E21</f>
        <v>0</v>
      </c>
    </row>
    <row r="69" spans="1:3" ht="25.5" x14ac:dyDescent="0.2">
      <c r="A69" s="59" t="s">
        <v>102</v>
      </c>
      <c r="B69" s="68" t="s">
        <v>103</v>
      </c>
      <c r="C69" s="69">
        <f>[17]С2.3!E11</f>
        <v>9.89</v>
      </c>
    </row>
    <row r="70" spans="1:3" ht="25.5" x14ac:dyDescent="0.2">
      <c r="A70" s="59" t="s">
        <v>104</v>
      </c>
      <c r="B70" s="68" t="s">
        <v>105</v>
      </c>
      <c r="C70" s="64">
        <f>[17]С2.3!E13</f>
        <v>300</v>
      </c>
    </row>
    <row r="71" spans="1:3" ht="25.5" x14ac:dyDescent="0.2">
      <c r="A71" s="59" t="s">
        <v>106</v>
      </c>
      <c r="B71" s="67" t="s">
        <v>107</v>
      </c>
      <c r="C71" s="70">
        <f>IF([17]С2.3!E22&gt;0,[17]С2.3!E22,[17]С2.3!E14)</f>
        <v>61211</v>
      </c>
    </row>
    <row r="72" spans="1:3" ht="38.25" x14ac:dyDescent="0.2">
      <c r="A72" s="59" t="s">
        <v>108</v>
      </c>
      <c r="B72" s="67" t="s">
        <v>109</v>
      </c>
      <c r="C72" s="70">
        <f>IF([17]С2.3!E23&gt;0,[17]С2.3!E23,[17]С2.3!E15)</f>
        <v>45675</v>
      </c>
    </row>
    <row r="73" spans="1:3" ht="30" x14ac:dyDescent="0.2">
      <c r="A73" s="59" t="s">
        <v>110</v>
      </c>
      <c r="B73" s="52" t="s">
        <v>111</v>
      </c>
      <c r="C73" s="32">
        <f>[17]С2.1!E28</f>
        <v>9541.9567200000001</v>
      </c>
    </row>
    <row r="74" spans="1:3" ht="38.25" x14ac:dyDescent="0.2">
      <c r="A74" s="59" t="s">
        <v>112</v>
      </c>
      <c r="B74" s="67" t="s">
        <v>113</v>
      </c>
      <c r="C74" s="51">
        <f>[17]С2.3!E25</f>
        <v>0</v>
      </c>
    </row>
    <row r="75" spans="1:3" ht="25.5" x14ac:dyDescent="0.2">
      <c r="A75" s="59" t="s">
        <v>114</v>
      </c>
      <c r="B75" s="68" t="s">
        <v>115</v>
      </c>
      <c r="C75" s="69">
        <f>[17]С2.3!E12</f>
        <v>0.56000000000000005</v>
      </c>
    </row>
    <row r="76" spans="1:3" ht="25.5" x14ac:dyDescent="0.2">
      <c r="A76" s="59" t="s">
        <v>116</v>
      </c>
      <c r="B76" s="68" t="s">
        <v>105</v>
      </c>
      <c r="C76" s="64">
        <f>[17]С2.3!E13</f>
        <v>300</v>
      </c>
    </row>
    <row r="77" spans="1:3" ht="25.5" x14ac:dyDescent="0.2">
      <c r="A77" s="59" t="s">
        <v>117</v>
      </c>
      <c r="B77" s="71" t="s">
        <v>118</v>
      </c>
      <c r="C77" s="70">
        <f>IF([17]С2.3!E26&gt;0,[17]С2.3!E26,[17]С2.3!E16)</f>
        <v>65637</v>
      </c>
    </row>
    <row r="78" spans="1:3" ht="38.25" x14ac:dyDescent="0.2">
      <c r="A78" s="59" t="s">
        <v>119</v>
      </c>
      <c r="B78" s="71" t="s">
        <v>120</v>
      </c>
      <c r="C78" s="70">
        <f>IF([17]С2.3!E27&gt;0,[17]С2.3!E27,[17]С2.3!E17)</f>
        <v>31684</v>
      </c>
    </row>
    <row r="79" spans="1:3" ht="17.25" x14ac:dyDescent="0.2">
      <c r="A79" s="59" t="s">
        <v>123</v>
      </c>
      <c r="B79" s="31" t="s">
        <v>124</v>
      </c>
      <c r="C79" s="34">
        <f>[17]С2!F29</f>
        <v>9.5962865259740182E-2</v>
      </c>
    </row>
    <row r="80" spans="1:3" ht="30" x14ac:dyDescent="0.2">
      <c r="A80" s="59" t="s">
        <v>125</v>
      </c>
      <c r="B80" s="52" t="s">
        <v>126</v>
      </c>
      <c r="C80" s="72">
        <f>[17]С2!F30</f>
        <v>8.4029304029304031E-2</v>
      </c>
    </row>
    <row r="81" spans="1:3" ht="17.25" x14ac:dyDescent="0.2">
      <c r="A81" s="59" t="s">
        <v>127</v>
      </c>
      <c r="B81" s="73" t="s">
        <v>128</v>
      </c>
      <c r="C81" s="34">
        <f>[17]С2!F31</f>
        <v>0.13880000000000001</v>
      </c>
    </row>
    <row r="82" spans="1:3" s="65" customFormat="1" ht="18" thickBot="1" x14ac:dyDescent="0.25">
      <c r="A82" s="74" t="s">
        <v>129</v>
      </c>
      <c r="B82" s="75" t="s">
        <v>130</v>
      </c>
      <c r="C82" s="76">
        <f>[17]С2!F32</f>
        <v>0.12640000000000001</v>
      </c>
    </row>
    <row r="83" spans="1:3" ht="13.5" thickBot="1" x14ac:dyDescent="0.25">
      <c r="A83" s="47"/>
      <c r="B83" s="48"/>
      <c r="C83" s="14"/>
    </row>
    <row r="84" spans="1:3" s="65" customFormat="1" ht="30" customHeight="1" x14ac:dyDescent="0.2">
      <c r="A84" s="77" t="s">
        <v>131</v>
      </c>
      <c r="B84" s="145" t="s">
        <v>132</v>
      </c>
      <c r="C84" s="145"/>
    </row>
    <row r="85" spans="1:3" s="65" customFormat="1" ht="30" x14ac:dyDescent="0.2">
      <c r="A85" s="78" t="s">
        <v>133</v>
      </c>
      <c r="B85" s="31" t="s">
        <v>134</v>
      </c>
      <c r="C85" s="32">
        <f>[17]С3!F14</f>
        <v>6057.0688307111368</v>
      </c>
    </row>
    <row r="86" spans="1:3" s="65" customFormat="1" ht="42.75" x14ac:dyDescent="0.2">
      <c r="A86" s="78" t="s">
        <v>135</v>
      </c>
      <c r="B86" s="52" t="s">
        <v>136</v>
      </c>
      <c r="C86" s="79">
        <f>[17]С3!F15</f>
        <v>0.2</v>
      </c>
    </row>
    <row r="87" spans="1:3" s="65" customFormat="1" ht="14.25" x14ac:dyDescent="0.2">
      <c r="A87" s="78" t="s">
        <v>137</v>
      </c>
      <c r="B87" s="80" t="s">
        <v>138</v>
      </c>
      <c r="C87" s="64">
        <f>[17]С3!F18</f>
        <v>15</v>
      </c>
    </row>
    <row r="88" spans="1:3" s="65" customFormat="1" ht="17.25" x14ac:dyDescent="0.2">
      <c r="A88" s="78" t="s">
        <v>139</v>
      </c>
      <c r="B88" s="31" t="s">
        <v>140</v>
      </c>
      <c r="C88" s="32">
        <f>[17]С3!F19</f>
        <v>3778.1614077800232</v>
      </c>
    </row>
    <row r="89" spans="1:3" s="65" customFormat="1" ht="55.5" x14ac:dyDescent="0.2">
      <c r="A89" s="78" t="s">
        <v>141</v>
      </c>
      <c r="B89" s="52" t="s">
        <v>142</v>
      </c>
      <c r="C89" s="81">
        <f>[17]С3!F20</f>
        <v>2.1999999999999999E-2</v>
      </c>
    </row>
    <row r="90" spans="1:3" s="65" customFormat="1" ht="14.25" x14ac:dyDescent="0.2">
      <c r="A90" s="78" t="s">
        <v>143</v>
      </c>
      <c r="B90" s="58" t="s">
        <v>87</v>
      </c>
      <c r="C90" s="64">
        <f>[17]С3!F21</f>
        <v>10</v>
      </c>
    </row>
    <row r="91" spans="1:3" s="65" customFormat="1" ht="17.25" x14ac:dyDescent="0.2">
      <c r="A91" s="78" t="s">
        <v>144</v>
      </c>
      <c r="B91" s="31" t="s">
        <v>145</v>
      </c>
      <c r="C91" s="32">
        <f>[17]С3!F22</f>
        <v>3.7991236581345382</v>
      </c>
    </row>
    <row r="92" spans="1:3" s="65" customFormat="1" ht="55.5" x14ac:dyDescent="0.2">
      <c r="A92" s="78" t="s">
        <v>146</v>
      </c>
      <c r="B92" s="52" t="s">
        <v>147</v>
      </c>
      <c r="C92" s="81">
        <f>[17]С3!F23</f>
        <v>3.0000000000000001E-3</v>
      </c>
    </row>
    <row r="93" spans="1:3" s="65" customFormat="1" ht="27.75" thickBot="1" x14ac:dyDescent="0.25">
      <c r="A93" s="82" t="s">
        <v>148</v>
      </c>
      <c r="B93" s="83" t="s">
        <v>241</v>
      </c>
      <c r="C93" s="84">
        <f>[17]С3!F24</f>
        <v>1266.3745527115127</v>
      </c>
    </row>
    <row r="94" spans="1:3" ht="13.5" thickBot="1" x14ac:dyDescent="0.25">
      <c r="A94" s="47"/>
      <c r="B94" s="48"/>
      <c r="C94" s="14"/>
    </row>
    <row r="95" spans="1:3" ht="30" customHeight="1" x14ac:dyDescent="0.2">
      <c r="A95" s="85" t="s">
        <v>149</v>
      </c>
      <c r="B95" s="145" t="s">
        <v>150</v>
      </c>
      <c r="C95" s="145"/>
    </row>
    <row r="96" spans="1:3" ht="30" x14ac:dyDescent="0.2">
      <c r="A96" s="59" t="s">
        <v>151</v>
      </c>
      <c r="B96" s="31" t="s">
        <v>242</v>
      </c>
      <c r="C96" s="32">
        <f>[17]С4!F16</f>
        <v>1652.5</v>
      </c>
    </row>
    <row r="97" spans="1:3" ht="30" x14ac:dyDescent="0.2">
      <c r="A97" s="59" t="s">
        <v>153</v>
      </c>
      <c r="B97" s="58" t="s">
        <v>243</v>
      </c>
      <c r="C97" s="32">
        <f>[17]С4!F17</f>
        <v>73547</v>
      </c>
    </row>
    <row r="98" spans="1:3" ht="17.25" x14ac:dyDescent="0.2">
      <c r="A98" s="59" t="s">
        <v>155</v>
      </c>
      <c r="B98" s="58" t="s">
        <v>156</v>
      </c>
      <c r="C98" s="40">
        <f>[17]С4!F18</f>
        <v>0.02</v>
      </c>
    </row>
    <row r="99" spans="1:3" ht="30" x14ac:dyDescent="0.2">
      <c r="A99" s="59" t="s">
        <v>157</v>
      </c>
      <c r="B99" s="58" t="s">
        <v>158</v>
      </c>
      <c r="C99" s="32">
        <f>[17]С4!F19</f>
        <v>12104</v>
      </c>
    </row>
    <row r="100" spans="1:3" ht="28.5" x14ac:dyDescent="0.2">
      <c r="A100" s="59" t="s">
        <v>159</v>
      </c>
      <c r="B100" s="58" t="s">
        <v>160</v>
      </c>
      <c r="C100" s="40">
        <f>[17]С4!F20</f>
        <v>1.4999999999999999E-2</v>
      </c>
    </row>
    <row r="101" spans="1:3" ht="30" x14ac:dyDescent="0.2">
      <c r="A101" s="59" t="s">
        <v>161</v>
      </c>
      <c r="B101" s="31" t="s">
        <v>244</v>
      </c>
      <c r="C101" s="32">
        <f>[17]С4!F21</f>
        <v>1933.1949342509995</v>
      </c>
    </row>
    <row r="102" spans="1:3" ht="24" customHeight="1" x14ac:dyDescent="0.2">
      <c r="A102" s="59" t="s">
        <v>163</v>
      </c>
      <c r="B102" s="52" t="s">
        <v>164</v>
      </c>
      <c r="C102" s="33">
        <f>IF([17]С4.2!F8="да",[17]С4.2!D21,[17]С4.2!D15)</f>
        <v>0</v>
      </c>
    </row>
    <row r="103" spans="1:3" ht="68.25" x14ac:dyDescent="0.2">
      <c r="A103" s="59" t="s">
        <v>165</v>
      </c>
      <c r="B103" s="52" t="s">
        <v>166</v>
      </c>
      <c r="C103" s="32">
        <f>[17]С4!F22</f>
        <v>3.6112641666666665</v>
      </c>
    </row>
    <row r="104" spans="1:3" ht="30" x14ac:dyDescent="0.2">
      <c r="A104" s="59" t="s">
        <v>167</v>
      </c>
      <c r="B104" s="58" t="s">
        <v>245</v>
      </c>
      <c r="C104" s="32">
        <f>[17]С4!F23</f>
        <v>180</v>
      </c>
    </row>
    <row r="105" spans="1:3" ht="14.25" x14ac:dyDescent="0.2">
      <c r="A105" s="59" t="s">
        <v>169</v>
      </c>
      <c r="B105" s="52" t="s">
        <v>170</v>
      </c>
      <c r="C105" s="32">
        <f>[17]С4!F24</f>
        <v>8497.1999999999989</v>
      </c>
    </row>
    <row r="106" spans="1:3" ht="14.25" x14ac:dyDescent="0.2">
      <c r="A106" s="59" t="s">
        <v>171</v>
      </c>
      <c r="B106" s="58" t="s">
        <v>172</v>
      </c>
      <c r="C106" s="40">
        <f>[17]С4!F25</f>
        <v>0.35</v>
      </c>
    </row>
    <row r="107" spans="1:3" ht="17.25" x14ac:dyDescent="0.2">
      <c r="A107" s="59" t="s">
        <v>173</v>
      </c>
      <c r="B107" s="31" t="s">
        <v>174</v>
      </c>
      <c r="C107" s="32">
        <f>[17]С4!F26</f>
        <v>62.8917</v>
      </c>
    </row>
    <row r="108" spans="1:3" ht="25.5" x14ac:dyDescent="0.2">
      <c r="A108" s="59" t="s">
        <v>175</v>
      </c>
      <c r="B108" s="52" t="s">
        <v>101</v>
      </c>
      <c r="C108" s="33">
        <f>[17]С4.3!E16</f>
        <v>0</v>
      </c>
    </row>
    <row r="109" spans="1:3" ht="25.5" x14ac:dyDescent="0.2">
      <c r="A109" s="59" t="s">
        <v>176</v>
      </c>
      <c r="B109" s="52" t="s">
        <v>177</v>
      </c>
      <c r="C109" s="32">
        <f>[17]С4.3!E17</f>
        <v>15</v>
      </c>
    </row>
    <row r="110" spans="1:3" ht="38.25" x14ac:dyDescent="0.2">
      <c r="A110" s="59" t="s">
        <v>178</v>
      </c>
      <c r="B110" s="52" t="s">
        <v>113</v>
      </c>
      <c r="C110" s="33">
        <f>[17]С4.3!E18</f>
        <v>0</v>
      </c>
    </row>
    <row r="111" spans="1:3" x14ac:dyDescent="0.2">
      <c r="A111" s="59" t="s">
        <v>179</v>
      </c>
      <c r="B111" s="52" t="s">
        <v>180</v>
      </c>
      <c r="C111" s="32">
        <f>[17]С4.3!E19</f>
        <v>50.424999999999997</v>
      </c>
    </row>
    <row r="112" spans="1:3" x14ac:dyDescent="0.2">
      <c r="A112" s="59" t="s">
        <v>181</v>
      </c>
      <c r="B112" s="58" t="s">
        <v>182</v>
      </c>
      <c r="C112" s="32">
        <f>[17]С4.3!E11</f>
        <v>1871</v>
      </c>
    </row>
    <row r="113" spans="1:3" x14ac:dyDescent="0.2">
      <c r="A113" s="59" t="s">
        <v>183</v>
      </c>
      <c r="B113" s="58" t="s">
        <v>184</v>
      </c>
      <c r="C113" s="51">
        <f>[17]С4.3!E12</f>
        <v>1636</v>
      </c>
    </row>
    <row r="114" spans="1:3" x14ac:dyDescent="0.2">
      <c r="A114" s="59" t="s">
        <v>185</v>
      </c>
      <c r="B114" s="58" t="s">
        <v>186</v>
      </c>
      <c r="C114" s="51">
        <f>[17]С4.3!E13</f>
        <v>204</v>
      </c>
    </row>
    <row r="115" spans="1:3" ht="30" x14ac:dyDescent="0.2">
      <c r="A115" s="59" t="s">
        <v>187</v>
      </c>
      <c r="B115" s="31" t="s">
        <v>246</v>
      </c>
      <c r="C115" s="32">
        <f>[17]С4!F27</f>
        <v>0</v>
      </c>
    </row>
    <row r="116" spans="1:3" ht="25.5" x14ac:dyDescent="0.2">
      <c r="A116" s="59" t="s">
        <v>189</v>
      </c>
      <c r="B116" s="52" t="s">
        <v>247</v>
      </c>
      <c r="C116" s="32">
        <f>[17]С4!F28</f>
        <v>0</v>
      </c>
    </row>
    <row r="117" spans="1:3" ht="42.75" x14ac:dyDescent="0.2">
      <c r="A117" s="59" t="s">
        <v>191</v>
      </c>
      <c r="B117" s="52" t="s">
        <v>192</v>
      </c>
      <c r="C117" s="32">
        <f>[17]С4!F29</f>
        <v>0</v>
      </c>
    </row>
    <row r="118" spans="1:3" ht="30" x14ac:dyDescent="0.2">
      <c r="A118" s="59" t="s">
        <v>193</v>
      </c>
      <c r="B118" s="39" t="s">
        <v>194</v>
      </c>
      <c r="C118" s="32">
        <f>[17]С4!F30</f>
        <v>1630.9034571992313</v>
      </c>
    </row>
    <row r="119" spans="1:3" ht="42.75" x14ac:dyDescent="0.2">
      <c r="A119" s="59" t="s">
        <v>248</v>
      </c>
      <c r="B119" s="89" t="s">
        <v>249</v>
      </c>
      <c r="C119" s="32">
        <f>[17]С4!F33</f>
        <v>1010.5011744884268</v>
      </c>
    </row>
    <row r="120" spans="1:3" ht="30" x14ac:dyDescent="0.2">
      <c r="A120" s="59" t="s">
        <v>250</v>
      </c>
      <c r="B120" s="121" t="s">
        <v>251</v>
      </c>
      <c r="C120" s="32">
        <f>[17]С4!F35</f>
        <v>17.040680999999999</v>
      </c>
    </row>
    <row r="121" spans="1:3" ht="14.25" x14ac:dyDescent="0.2">
      <c r="A121" s="59" t="s">
        <v>252</v>
      </c>
      <c r="B121" s="55" t="s">
        <v>253</v>
      </c>
      <c r="C121" s="32">
        <f>[17]С4!F36</f>
        <v>14319.9</v>
      </c>
    </row>
    <row r="122" spans="1:3" ht="28.5" thickBot="1" x14ac:dyDescent="0.25">
      <c r="A122" s="74" t="s">
        <v>254</v>
      </c>
      <c r="B122" s="122" t="s">
        <v>255</v>
      </c>
      <c r="C122" s="84">
        <f>[17]С4!F37</f>
        <v>1.19</v>
      </c>
    </row>
    <row r="123" spans="1:3" s="87" customFormat="1" ht="13.5" thickBot="1" x14ac:dyDescent="0.25">
      <c r="A123" s="47"/>
      <c r="B123" s="48"/>
      <c r="C123" s="14"/>
    </row>
    <row r="124" spans="1:3" s="65" customFormat="1" ht="30" customHeight="1" x14ac:dyDescent="0.2">
      <c r="A124" s="77" t="s">
        <v>195</v>
      </c>
      <c r="B124" s="145" t="s">
        <v>196</v>
      </c>
      <c r="C124" s="145"/>
    </row>
    <row r="125" spans="1:3" ht="16.5" thickBot="1" x14ac:dyDescent="0.25">
      <c r="A125" s="26" t="s">
        <v>197</v>
      </c>
      <c r="B125" s="86" t="s">
        <v>198</v>
      </c>
      <c r="C125" s="84">
        <f>[17]С5!F17</f>
        <v>0.02</v>
      </c>
    </row>
    <row r="126" spans="1:3" s="87" customFormat="1" ht="13.5" thickBot="1" x14ac:dyDescent="0.25">
      <c r="A126" s="47"/>
      <c r="B126" s="48"/>
      <c r="C126" s="14"/>
    </row>
    <row r="127" spans="1:3" ht="42.75" customHeight="1" x14ac:dyDescent="0.2">
      <c r="A127" s="85" t="s">
        <v>199</v>
      </c>
      <c r="B127" s="147" t="s">
        <v>200</v>
      </c>
      <c r="C127" s="147"/>
    </row>
    <row r="128" spans="1:3" ht="68.25" x14ac:dyDescent="0.2">
      <c r="A128" s="59" t="s">
        <v>201</v>
      </c>
      <c r="B128" s="88" t="s">
        <v>202</v>
      </c>
      <c r="C128" s="32" t="s">
        <v>256</v>
      </c>
    </row>
    <row r="129" spans="1:3" ht="42.75" hidden="1" x14ac:dyDescent="0.2">
      <c r="A129" s="59" t="s">
        <v>203</v>
      </c>
      <c r="B129" s="89" t="s">
        <v>204</v>
      </c>
      <c r="C129" s="90"/>
    </row>
    <row r="130" spans="1:3" ht="69" thickBot="1" x14ac:dyDescent="0.25">
      <c r="A130" s="74" t="s">
        <v>205</v>
      </c>
      <c r="B130" s="123" t="s">
        <v>206</v>
      </c>
      <c r="C130" s="124" t="s">
        <v>256</v>
      </c>
    </row>
    <row r="131" spans="1:3" ht="62.25" hidden="1" customHeight="1" x14ac:dyDescent="0.2">
      <c r="A131" s="125" t="s">
        <v>207</v>
      </c>
      <c r="B131" s="126" t="s">
        <v>208</v>
      </c>
      <c r="C131" s="127"/>
    </row>
    <row r="132" spans="1:3" ht="68.25" hidden="1" x14ac:dyDescent="0.2">
      <c r="A132" s="59" t="s">
        <v>209</v>
      </c>
      <c r="B132" s="89" t="s">
        <v>257</v>
      </c>
      <c r="C132" s="34"/>
    </row>
    <row r="133" spans="1:3" ht="69" hidden="1" thickBot="1" x14ac:dyDescent="0.25">
      <c r="A133" s="74" t="s">
        <v>211</v>
      </c>
      <c r="B133" s="92" t="s">
        <v>212</v>
      </c>
      <c r="C133" s="76"/>
    </row>
    <row r="134" spans="1:3" s="87" customFormat="1" ht="13.5" thickBot="1" x14ac:dyDescent="0.25">
      <c r="A134" s="47"/>
      <c r="B134" s="48"/>
      <c r="C134" s="14"/>
    </row>
    <row r="135" spans="1:3" ht="26.25" customHeight="1" x14ac:dyDescent="0.2">
      <c r="A135" s="85" t="s">
        <v>213</v>
      </c>
      <c r="B135" s="93" t="s">
        <v>214</v>
      </c>
      <c r="C135" s="94">
        <f>[17]С2!F37</f>
        <v>20.818139999999996</v>
      </c>
    </row>
    <row r="136" spans="1:3" ht="14.25" x14ac:dyDescent="0.2">
      <c r="A136" s="59" t="s">
        <v>215</v>
      </c>
      <c r="B136" s="128" t="s">
        <v>216</v>
      </c>
      <c r="C136" s="32">
        <f>[17]С2!F38</f>
        <v>7</v>
      </c>
    </row>
    <row r="137" spans="1:3" ht="17.25" x14ac:dyDescent="0.2">
      <c r="A137" s="59" t="s">
        <v>217</v>
      </c>
      <c r="B137" s="128" t="s">
        <v>218</v>
      </c>
      <c r="C137" s="32">
        <f>[17]С2!F40</f>
        <v>0.97</v>
      </c>
    </row>
    <row r="138" spans="1:3" ht="15" thickBot="1" x14ac:dyDescent="0.25">
      <c r="A138" s="74" t="s">
        <v>219</v>
      </c>
      <c r="B138" s="129" t="s">
        <v>220</v>
      </c>
      <c r="C138" s="46">
        <f>[17]С2!F42</f>
        <v>0.35</v>
      </c>
    </row>
    <row r="139" spans="1:3" s="87" customFormat="1" ht="13.5" thickBot="1" x14ac:dyDescent="0.25">
      <c r="A139" s="47"/>
      <c r="B139" s="48"/>
      <c r="C139" s="14"/>
    </row>
    <row r="140" spans="1:3" ht="30" x14ac:dyDescent="0.2">
      <c r="A140" s="85" t="s">
        <v>221</v>
      </c>
      <c r="B140" s="95" t="s">
        <v>258</v>
      </c>
      <c r="C140" s="130">
        <f>[17]С2!F35</f>
        <v>1.4976266307379205</v>
      </c>
    </row>
    <row r="141" spans="1:3" ht="22.7" customHeight="1" thickBot="1" x14ac:dyDescent="0.25">
      <c r="A141" s="74" t="s">
        <v>223</v>
      </c>
      <c r="B141" s="141" t="s">
        <v>224</v>
      </c>
      <c r="C141" s="141"/>
    </row>
    <row r="142" spans="1:3" ht="13.5" thickBot="1" x14ac:dyDescent="0.25">
      <c r="A142" s="97"/>
      <c r="B142" s="131" t="s">
        <v>0</v>
      </c>
      <c r="C142" s="132"/>
    </row>
    <row r="143" spans="1:3" x14ac:dyDescent="0.2">
      <c r="A143" s="97"/>
      <c r="B143" s="133">
        <v>2020</v>
      </c>
      <c r="C143" s="134">
        <f>[17]С2.5!$E$11</f>
        <v>-2.9000000000000026E-2</v>
      </c>
    </row>
    <row r="144" spans="1:3" x14ac:dyDescent="0.2">
      <c r="A144" s="97"/>
      <c r="B144" s="104">
        <f>B143+1</f>
        <v>2021</v>
      </c>
      <c r="C144" s="135">
        <f>[17]С2.5!$F$11</f>
        <v>0.245</v>
      </c>
    </row>
    <row r="145" spans="1:3" x14ac:dyDescent="0.2">
      <c r="A145" s="97"/>
      <c r="B145" s="104">
        <f t="shared" ref="B145:B208" si="0">B144+1</f>
        <v>2022</v>
      </c>
      <c r="C145" s="135">
        <f>[17]С2.5!$G$11</f>
        <v>0.114</v>
      </c>
    </row>
    <row r="146" spans="1:3" ht="13.5" thickBot="1" x14ac:dyDescent="0.25">
      <c r="A146" s="97"/>
      <c r="B146" s="106">
        <f t="shared" si="0"/>
        <v>2023</v>
      </c>
      <c r="C146" s="136">
        <f>[17]С2.5!$H$11</f>
        <v>2.4E-2</v>
      </c>
    </row>
    <row r="147" spans="1:3" x14ac:dyDescent="0.2">
      <c r="A147" s="97"/>
      <c r="B147" s="137">
        <f t="shared" si="0"/>
        <v>2024</v>
      </c>
      <c r="C147" s="138">
        <f>[17]С2.5!$I$11</f>
        <v>8.5999999999999993E-2</v>
      </c>
    </row>
    <row r="148" spans="1:3" hidden="1" x14ac:dyDescent="0.2">
      <c r="A148" s="97"/>
      <c r="B148" s="104">
        <f t="shared" si="0"/>
        <v>2025</v>
      </c>
      <c r="C148" s="135">
        <f>[17]С2.5!$J$11</f>
        <v>0.21215960863291</v>
      </c>
    </row>
    <row r="149" spans="1:3" hidden="1" x14ac:dyDescent="0.2">
      <c r="A149" s="97"/>
      <c r="B149" s="104">
        <f t="shared" si="0"/>
        <v>2026</v>
      </c>
      <c r="C149" s="135">
        <f>[17]С2.5!$K$11</f>
        <v>3.5813361771260002E-2</v>
      </c>
    </row>
    <row r="150" spans="1:3" hidden="1" x14ac:dyDescent="0.2">
      <c r="A150" s="97"/>
      <c r="B150" s="104">
        <f t="shared" si="0"/>
        <v>2027</v>
      </c>
      <c r="C150" s="135">
        <f>[17]С2.5!$L$11</f>
        <v>3.2682303599220003E-2</v>
      </c>
    </row>
    <row r="151" spans="1:3" hidden="1" x14ac:dyDescent="0.2">
      <c r="A151" s="97"/>
      <c r="B151" s="104">
        <f t="shared" si="0"/>
        <v>2028</v>
      </c>
      <c r="C151" s="135">
        <f>[17]С2.5!$M$11</f>
        <v>0</v>
      </c>
    </row>
    <row r="152" spans="1:3" hidden="1" x14ac:dyDescent="0.2">
      <c r="A152" s="97"/>
      <c r="B152" s="104">
        <f t="shared" si="0"/>
        <v>2029</v>
      </c>
      <c r="C152" s="135">
        <f>[17]С2.5!$N$11</f>
        <v>0</v>
      </c>
    </row>
    <row r="153" spans="1:3" hidden="1" x14ac:dyDescent="0.2">
      <c r="A153" s="97"/>
      <c r="B153" s="104">
        <f t="shared" si="0"/>
        <v>2030</v>
      </c>
      <c r="C153" s="135">
        <f>[17]С2.5!$O$11</f>
        <v>0</v>
      </c>
    </row>
    <row r="154" spans="1:3" hidden="1" x14ac:dyDescent="0.2">
      <c r="A154" s="97"/>
      <c r="B154" s="104">
        <f t="shared" si="0"/>
        <v>2031</v>
      </c>
      <c r="C154" s="135">
        <f>[17]С2.5!$P$11</f>
        <v>0</v>
      </c>
    </row>
    <row r="155" spans="1:3" hidden="1" x14ac:dyDescent="0.2">
      <c r="A155" s="87"/>
      <c r="B155" s="104">
        <f t="shared" si="0"/>
        <v>2032</v>
      </c>
      <c r="C155" s="135">
        <f>[17]С2.5!$Q$11</f>
        <v>0</v>
      </c>
    </row>
    <row r="156" spans="1:3" hidden="1" x14ac:dyDescent="0.2">
      <c r="A156" s="87"/>
      <c r="B156" s="104">
        <f t="shared" si="0"/>
        <v>2033</v>
      </c>
      <c r="C156" s="135">
        <f>[17]С2.5!$R$11</f>
        <v>0</v>
      </c>
    </row>
    <row r="157" spans="1:3" hidden="1" x14ac:dyDescent="0.2">
      <c r="B157" s="104">
        <f t="shared" si="0"/>
        <v>2034</v>
      </c>
      <c r="C157" s="135">
        <f>[17]С2.5!$S$11</f>
        <v>0</v>
      </c>
    </row>
    <row r="158" spans="1:3" hidden="1" x14ac:dyDescent="0.2">
      <c r="B158" s="104">
        <f t="shared" si="0"/>
        <v>2035</v>
      </c>
      <c r="C158" s="135">
        <f>[17]С2.5!$T$11</f>
        <v>0</v>
      </c>
    </row>
    <row r="159" spans="1:3" hidden="1" x14ac:dyDescent="0.2">
      <c r="B159" s="104">
        <f t="shared" si="0"/>
        <v>2036</v>
      </c>
      <c r="C159" s="135">
        <f>[17]С2.5!$U$11</f>
        <v>0</v>
      </c>
    </row>
    <row r="160" spans="1:3" hidden="1" x14ac:dyDescent="0.2">
      <c r="B160" s="104">
        <f t="shared" si="0"/>
        <v>2037</v>
      </c>
      <c r="C160" s="135">
        <f>[17]С2.5!$V$11</f>
        <v>0</v>
      </c>
    </row>
    <row r="161" spans="2:3" hidden="1" x14ac:dyDescent="0.2">
      <c r="B161" s="104">
        <f t="shared" si="0"/>
        <v>2038</v>
      </c>
      <c r="C161" s="135">
        <f>[17]С2.5!$W$11</f>
        <v>0</v>
      </c>
    </row>
    <row r="162" spans="2:3" hidden="1" x14ac:dyDescent="0.2">
      <c r="B162" s="104">
        <f t="shared" si="0"/>
        <v>2039</v>
      </c>
      <c r="C162" s="135">
        <f>[17]С2.5!$X$11</f>
        <v>0</v>
      </c>
    </row>
    <row r="163" spans="2:3" hidden="1" x14ac:dyDescent="0.2">
      <c r="B163" s="104">
        <f t="shared" si="0"/>
        <v>2040</v>
      </c>
      <c r="C163" s="135">
        <f>[17]С2.5!$Y$11</f>
        <v>0</v>
      </c>
    </row>
    <row r="164" spans="2:3" hidden="1" x14ac:dyDescent="0.2">
      <c r="B164" s="104">
        <f t="shared" si="0"/>
        <v>2041</v>
      </c>
      <c r="C164" s="135">
        <f>[17]С2.5!$Z$11</f>
        <v>0</v>
      </c>
    </row>
    <row r="165" spans="2:3" hidden="1" x14ac:dyDescent="0.2">
      <c r="B165" s="104">
        <f t="shared" si="0"/>
        <v>2042</v>
      </c>
      <c r="C165" s="135">
        <f>[17]С2.5!$AA$11</f>
        <v>0</v>
      </c>
    </row>
    <row r="166" spans="2:3" hidden="1" x14ac:dyDescent="0.2">
      <c r="B166" s="104">
        <f t="shared" si="0"/>
        <v>2043</v>
      </c>
      <c r="C166" s="135">
        <f>[17]С2.5!$AB$11</f>
        <v>0</v>
      </c>
    </row>
    <row r="167" spans="2:3" hidden="1" x14ac:dyDescent="0.2">
      <c r="B167" s="104">
        <f t="shared" si="0"/>
        <v>2044</v>
      </c>
      <c r="C167" s="135">
        <f>[17]С2.5!$AC$11</f>
        <v>0</v>
      </c>
    </row>
    <row r="168" spans="2:3" hidden="1" x14ac:dyDescent="0.2">
      <c r="B168" s="104">
        <f t="shared" si="0"/>
        <v>2045</v>
      </c>
      <c r="C168" s="135">
        <f>[17]С2.5!$AD$11</f>
        <v>0</v>
      </c>
    </row>
    <row r="169" spans="2:3" hidden="1" x14ac:dyDescent="0.2">
      <c r="B169" s="104">
        <f t="shared" si="0"/>
        <v>2046</v>
      </c>
      <c r="C169" s="135">
        <f>[17]С2.5!$AE$11</f>
        <v>0</v>
      </c>
    </row>
    <row r="170" spans="2:3" hidden="1" x14ac:dyDescent="0.2">
      <c r="B170" s="104">
        <f t="shared" si="0"/>
        <v>2047</v>
      </c>
      <c r="C170" s="135">
        <f>[17]С2.5!$AF$11</f>
        <v>0</v>
      </c>
    </row>
    <row r="171" spans="2:3" hidden="1" x14ac:dyDescent="0.2">
      <c r="B171" s="104">
        <f t="shared" si="0"/>
        <v>2048</v>
      </c>
      <c r="C171" s="135">
        <f>[17]С2.5!$AG$11</f>
        <v>0</v>
      </c>
    </row>
    <row r="172" spans="2:3" hidden="1" x14ac:dyDescent="0.2">
      <c r="B172" s="104">
        <f t="shared" si="0"/>
        <v>2049</v>
      </c>
      <c r="C172" s="135">
        <f>[17]С2.5!$AH$11</f>
        <v>0</v>
      </c>
    </row>
    <row r="173" spans="2:3" hidden="1" x14ac:dyDescent="0.2">
      <c r="B173" s="104">
        <f t="shared" si="0"/>
        <v>2050</v>
      </c>
      <c r="C173" s="135">
        <f>[17]С2.5!$AI$11</f>
        <v>0</v>
      </c>
    </row>
    <row r="174" spans="2:3" hidden="1" x14ac:dyDescent="0.2">
      <c r="B174" s="104">
        <f t="shared" si="0"/>
        <v>2051</v>
      </c>
      <c r="C174" s="135">
        <f>[17]С2.5!$AJ$11</f>
        <v>0</v>
      </c>
    </row>
    <row r="175" spans="2:3" hidden="1" x14ac:dyDescent="0.2">
      <c r="B175" s="104">
        <f t="shared" si="0"/>
        <v>2052</v>
      </c>
      <c r="C175" s="135">
        <f>[17]С2.5!$AK$11</f>
        <v>0</v>
      </c>
    </row>
    <row r="176" spans="2:3" hidden="1" x14ac:dyDescent="0.2">
      <c r="B176" s="104">
        <f t="shared" si="0"/>
        <v>2053</v>
      </c>
      <c r="C176" s="135">
        <f>[17]С2.5!$AL$11</f>
        <v>0</v>
      </c>
    </row>
    <row r="177" spans="2:3" hidden="1" x14ac:dyDescent="0.2">
      <c r="B177" s="104">
        <f t="shared" si="0"/>
        <v>2054</v>
      </c>
      <c r="C177" s="135">
        <f>[17]С2.5!$AM$11</f>
        <v>0</v>
      </c>
    </row>
    <row r="178" spans="2:3" hidden="1" x14ac:dyDescent="0.2">
      <c r="B178" s="104">
        <f t="shared" si="0"/>
        <v>2055</v>
      </c>
      <c r="C178" s="135">
        <f>[17]С2.5!$AN$11</f>
        <v>0</v>
      </c>
    </row>
    <row r="179" spans="2:3" hidden="1" x14ac:dyDescent="0.2">
      <c r="B179" s="104">
        <f t="shared" si="0"/>
        <v>2056</v>
      </c>
      <c r="C179" s="135">
        <f>[17]С2.5!$AO$11</f>
        <v>0</v>
      </c>
    </row>
    <row r="180" spans="2:3" hidden="1" x14ac:dyDescent="0.2">
      <c r="B180" s="104">
        <f t="shared" si="0"/>
        <v>2057</v>
      </c>
      <c r="C180" s="135">
        <f>[17]С2.5!$AP$11</f>
        <v>0</v>
      </c>
    </row>
    <row r="181" spans="2:3" hidden="1" x14ac:dyDescent="0.2">
      <c r="B181" s="104">
        <f t="shared" si="0"/>
        <v>2058</v>
      </c>
      <c r="C181" s="135">
        <f>[17]С2.5!$AQ$11</f>
        <v>0</v>
      </c>
    </row>
    <row r="182" spans="2:3" hidden="1" x14ac:dyDescent="0.2">
      <c r="B182" s="104">
        <f t="shared" si="0"/>
        <v>2059</v>
      </c>
      <c r="C182" s="135">
        <f>[17]С2.5!$AR$11</f>
        <v>0</v>
      </c>
    </row>
    <row r="183" spans="2:3" hidden="1" x14ac:dyDescent="0.2">
      <c r="B183" s="104">
        <f t="shared" si="0"/>
        <v>2060</v>
      </c>
      <c r="C183" s="135">
        <f>[17]С2.5!$AS$11</f>
        <v>0</v>
      </c>
    </row>
    <row r="184" spans="2:3" hidden="1" x14ac:dyDescent="0.2">
      <c r="B184" s="104">
        <f t="shared" si="0"/>
        <v>2061</v>
      </c>
      <c r="C184" s="135">
        <f>[17]С2.5!$AT$11</f>
        <v>0</v>
      </c>
    </row>
    <row r="185" spans="2:3" hidden="1" x14ac:dyDescent="0.2">
      <c r="B185" s="104">
        <f t="shared" si="0"/>
        <v>2062</v>
      </c>
      <c r="C185" s="135">
        <f>[17]С2.5!$AU$11</f>
        <v>0</v>
      </c>
    </row>
    <row r="186" spans="2:3" hidden="1" x14ac:dyDescent="0.2">
      <c r="B186" s="104">
        <f t="shared" si="0"/>
        <v>2063</v>
      </c>
      <c r="C186" s="135">
        <f>[17]С2.5!$AV$11</f>
        <v>0</v>
      </c>
    </row>
    <row r="187" spans="2:3" hidden="1" x14ac:dyDescent="0.2">
      <c r="B187" s="104">
        <f t="shared" si="0"/>
        <v>2064</v>
      </c>
      <c r="C187" s="135">
        <f>[17]С2.5!$AW$11</f>
        <v>0</v>
      </c>
    </row>
    <row r="188" spans="2:3" hidden="1" x14ac:dyDescent="0.2">
      <c r="B188" s="104">
        <f t="shared" si="0"/>
        <v>2065</v>
      </c>
      <c r="C188" s="135">
        <f>[17]С2.5!$AX$11</f>
        <v>0</v>
      </c>
    </row>
    <row r="189" spans="2:3" hidden="1" x14ac:dyDescent="0.2">
      <c r="B189" s="104">
        <f t="shared" si="0"/>
        <v>2066</v>
      </c>
      <c r="C189" s="135">
        <f>[17]С2.5!$AY$11</f>
        <v>0</v>
      </c>
    </row>
    <row r="190" spans="2:3" hidden="1" x14ac:dyDescent="0.2">
      <c r="B190" s="104">
        <f t="shared" si="0"/>
        <v>2067</v>
      </c>
      <c r="C190" s="135">
        <f>[17]С2.5!$AZ$11</f>
        <v>0</v>
      </c>
    </row>
    <row r="191" spans="2:3" hidden="1" x14ac:dyDescent="0.2">
      <c r="B191" s="104">
        <f t="shared" si="0"/>
        <v>2068</v>
      </c>
      <c r="C191" s="135">
        <f>[17]С2.5!$BA$11</f>
        <v>0</v>
      </c>
    </row>
    <row r="192" spans="2:3" hidden="1" x14ac:dyDescent="0.2">
      <c r="B192" s="104">
        <f t="shared" si="0"/>
        <v>2069</v>
      </c>
      <c r="C192" s="135">
        <f>[17]С2.5!$BB$11</f>
        <v>0</v>
      </c>
    </row>
    <row r="193" spans="2:3" hidden="1" x14ac:dyDescent="0.2">
      <c r="B193" s="104">
        <f t="shared" si="0"/>
        <v>2070</v>
      </c>
      <c r="C193" s="135">
        <f>[17]С2.5!$BC$11</f>
        <v>0</v>
      </c>
    </row>
    <row r="194" spans="2:3" hidden="1" x14ac:dyDescent="0.2">
      <c r="B194" s="104">
        <f t="shared" si="0"/>
        <v>2071</v>
      </c>
      <c r="C194" s="135">
        <f>[17]С2.5!$BD$11</f>
        <v>0</v>
      </c>
    </row>
    <row r="195" spans="2:3" hidden="1" x14ac:dyDescent="0.2">
      <c r="B195" s="104">
        <f t="shared" si="0"/>
        <v>2072</v>
      </c>
      <c r="C195" s="135">
        <f>[17]С2.5!$BE$11</f>
        <v>0</v>
      </c>
    </row>
    <row r="196" spans="2:3" hidden="1" x14ac:dyDescent="0.2">
      <c r="B196" s="104">
        <f t="shared" si="0"/>
        <v>2073</v>
      </c>
      <c r="C196" s="135">
        <f>[17]С2.5!$BF$11</f>
        <v>0</v>
      </c>
    </row>
    <row r="197" spans="2:3" hidden="1" x14ac:dyDescent="0.2">
      <c r="B197" s="104">
        <f t="shared" si="0"/>
        <v>2074</v>
      </c>
      <c r="C197" s="135">
        <f>[17]С2.5!$BG$11</f>
        <v>0</v>
      </c>
    </row>
    <row r="198" spans="2:3" hidden="1" x14ac:dyDescent="0.2">
      <c r="B198" s="104">
        <f t="shared" si="0"/>
        <v>2075</v>
      </c>
      <c r="C198" s="135">
        <f>[17]С2.5!$BH$11</f>
        <v>0</v>
      </c>
    </row>
    <row r="199" spans="2:3" hidden="1" x14ac:dyDescent="0.2">
      <c r="B199" s="104">
        <f t="shared" si="0"/>
        <v>2076</v>
      </c>
      <c r="C199" s="135">
        <f>[17]С2.5!$BI$11</f>
        <v>0</v>
      </c>
    </row>
    <row r="200" spans="2:3" hidden="1" x14ac:dyDescent="0.2">
      <c r="B200" s="104">
        <f t="shared" si="0"/>
        <v>2077</v>
      </c>
      <c r="C200" s="135">
        <f>[17]С2.5!$BJ$11</f>
        <v>0</v>
      </c>
    </row>
    <row r="201" spans="2:3" hidden="1" x14ac:dyDescent="0.2">
      <c r="B201" s="104">
        <f t="shared" si="0"/>
        <v>2078</v>
      </c>
      <c r="C201" s="135">
        <f>[17]С2.5!$BK$11</f>
        <v>0</v>
      </c>
    </row>
    <row r="202" spans="2:3" hidden="1" x14ac:dyDescent="0.2">
      <c r="B202" s="104">
        <f t="shared" si="0"/>
        <v>2079</v>
      </c>
      <c r="C202" s="135">
        <f>[17]С2.5!$BL$11</f>
        <v>0</v>
      </c>
    </row>
    <row r="203" spans="2:3" hidden="1" x14ac:dyDescent="0.2">
      <c r="B203" s="104">
        <f t="shared" si="0"/>
        <v>2080</v>
      </c>
      <c r="C203" s="135">
        <f>[17]С2.5!$BM$11</f>
        <v>0</v>
      </c>
    </row>
    <row r="204" spans="2:3" hidden="1" x14ac:dyDescent="0.2">
      <c r="B204" s="104">
        <f t="shared" si="0"/>
        <v>2081</v>
      </c>
      <c r="C204" s="135">
        <f>[17]С2.5!$BN$11</f>
        <v>0</v>
      </c>
    </row>
    <row r="205" spans="2:3" hidden="1" x14ac:dyDescent="0.2">
      <c r="B205" s="104">
        <f t="shared" si="0"/>
        <v>2082</v>
      </c>
      <c r="C205" s="135">
        <f>[17]С2.5!$BO$11</f>
        <v>0</v>
      </c>
    </row>
    <row r="206" spans="2:3" hidden="1" x14ac:dyDescent="0.2">
      <c r="B206" s="104">
        <f t="shared" si="0"/>
        <v>2083</v>
      </c>
      <c r="C206" s="135">
        <f>[17]С2.5!$BP$11</f>
        <v>0</v>
      </c>
    </row>
    <row r="207" spans="2:3" hidden="1" x14ac:dyDescent="0.2">
      <c r="B207" s="104">
        <f t="shared" si="0"/>
        <v>2084</v>
      </c>
      <c r="C207" s="135">
        <f>[17]С2.5!$BQ$11</f>
        <v>0</v>
      </c>
    </row>
    <row r="208" spans="2:3" hidden="1" x14ac:dyDescent="0.2">
      <c r="B208" s="104">
        <f t="shared" si="0"/>
        <v>2085</v>
      </c>
      <c r="C208" s="135">
        <f>[17]С2.5!$BR$11</f>
        <v>0</v>
      </c>
    </row>
    <row r="209" spans="2:3" hidden="1" x14ac:dyDescent="0.2">
      <c r="B209" s="104">
        <f t="shared" ref="B209:B223" si="1">B208+1</f>
        <v>2086</v>
      </c>
      <c r="C209" s="135">
        <f>[17]С2.5!$BS$11</f>
        <v>0</v>
      </c>
    </row>
    <row r="210" spans="2:3" hidden="1" x14ac:dyDescent="0.2">
      <c r="B210" s="104">
        <f t="shared" si="1"/>
        <v>2087</v>
      </c>
      <c r="C210" s="135">
        <f>[17]С2.5!$BT$11</f>
        <v>0</v>
      </c>
    </row>
    <row r="211" spans="2:3" hidden="1" x14ac:dyDescent="0.2">
      <c r="B211" s="104">
        <f t="shared" si="1"/>
        <v>2088</v>
      </c>
      <c r="C211" s="135">
        <f>[17]С2.5!$BU$11</f>
        <v>0</v>
      </c>
    </row>
    <row r="212" spans="2:3" hidden="1" x14ac:dyDescent="0.2">
      <c r="B212" s="104">
        <f t="shared" si="1"/>
        <v>2089</v>
      </c>
      <c r="C212" s="135">
        <f>[17]С2.5!$BV$11</f>
        <v>0</v>
      </c>
    </row>
    <row r="213" spans="2:3" hidden="1" x14ac:dyDescent="0.2">
      <c r="B213" s="104">
        <f t="shared" si="1"/>
        <v>2090</v>
      </c>
      <c r="C213" s="135">
        <f>[17]С2.5!$BW$11</f>
        <v>0</v>
      </c>
    </row>
    <row r="214" spans="2:3" hidden="1" x14ac:dyDescent="0.2">
      <c r="B214" s="104">
        <f t="shared" si="1"/>
        <v>2091</v>
      </c>
      <c r="C214" s="135">
        <f>[17]С2.5!$BX$11</f>
        <v>0</v>
      </c>
    </row>
    <row r="215" spans="2:3" hidden="1" x14ac:dyDescent="0.2">
      <c r="B215" s="104">
        <f t="shared" si="1"/>
        <v>2092</v>
      </c>
      <c r="C215" s="135">
        <f>[17]С2.5!$BY$11</f>
        <v>0</v>
      </c>
    </row>
    <row r="216" spans="2:3" hidden="1" x14ac:dyDescent="0.2">
      <c r="B216" s="104">
        <f t="shared" si="1"/>
        <v>2093</v>
      </c>
      <c r="C216" s="135">
        <f>[17]С2.5!$BZ$11</f>
        <v>0</v>
      </c>
    </row>
    <row r="217" spans="2:3" hidden="1" x14ac:dyDescent="0.2">
      <c r="B217" s="104">
        <f t="shared" si="1"/>
        <v>2094</v>
      </c>
      <c r="C217" s="135">
        <f>[17]С2.5!$CA$11</f>
        <v>0</v>
      </c>
    </row>
    <row r="218" spans="2:3" hidden="1" x14ac:dyDescent="0.2">
      <c r="B218" s="104">
        <f t="shared" si="1"/>
        <v>2095</v>
      </c>
      <c r="C218" s="135">
        <f>[17]С2.5!$CB$11</f>
        <v>0</v>
      </c>
    </row>
    <row r="219" spans="2:3" hidden="1" x14ac:dyDescent="0.2">
      <c r="B219" s="104">
        <f t="shared" si="1"/>
        <v>2096</v>
      </c>
      <c r="C219" s="135">
        <f>[17]С2.5!$CC$11</f>
        <v>0</v>
      </c>
    </row>
    <row r="220" spans="2:3" hidden="1" x14ac:dyDescent="0.2">
      <c r="B220" s="104">
        <f t="shared" si="1"/>
        <v>2097</v>
      </c>
      <c r="C220" s="135">
        <f>[17]С2.5!$CD$11</f>
        <v>0</v>
      </c>
    </row>
    <row r="221" spans="2:3" hidden="1" x14ac:dyDescent="0.2">
      <c r="B221" s="104">
        <f t="shared" si="1"/>
        <v>2098</v>
      </c>
      <c r="C221" s="135">
        <f>[17]С2.5!$CE$11</f>
        <v>0</v>
      </c>
    </row>
    <row r="222" spans="2:3" hidden="1" x14ac:dyDescent="0.2">
      <c r="B222" s="104">
        <f t="shared" si="1"/>
        <v>2099</v>
      </c>
      <c r="C222" s="135">
        <f>[17]С2.5!$CF$11</f>
        <v>0</v>
      </c>
    </row>
    <row r="223" spans="2:3" ht="13.5" hidden="1" thickBot="1" x14ac:dyDescent="0.25">
      <c r="B223" s="106">
        <f t="shared" si="1"/>
        <v>2100</v>
      </c>
      <c r="C223" s="136">
        <f>[17]С2.5!$CG$11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6" customWidth="1"/>
    <col min="4" max="245" width="9.140625" style="2"/>
    <col min="246" max="246" width="3.5703125" style="2" customWidth="1"/>
    <col min="247" max="247" width="96.85546875" style="2" customWidth="1"/>
    <col min="248" max="248" width="30.85546875" style="2" customWidth="1"/>
    <col min="249" max="249" width="12.5703125" style="2" customWidth="1"/>
    <col min="250" max="250" width="5.140625" style="2" customWidth="1"/>
    <col min="251" max="251" width="9.140625" style="2"/>
    <col min="252" max="252" width="4.85546875" style="2" customWidth="1"/>
    <col min="253" max="253" width="30.5703125" style="2" customWidth="1"/>
    <col min="254" max="254" width="33.85546875" style="2" customWidth="1"/>
    <col min="255" max="255" width="5.140625" style="2" customWidth="1"/>
    <col min="256" max="257" width="17.5703125" style="2" customWidth="1"/>
    <col min="258" max="501" width="9.140625" style="2"/>
    <col min="502" max="502" width="3.5703125" style="2" customWidth="1"/>
    <col min="503" max="503" width="96.85546875" style="2" customWidth="1"/>
    <col min="504" max="504" width="30.85546875" style="2" customWidth="1"/>
    <col min="505" max="505" width="12.5703125" style="2" customWidth="1"/>
    <col min="506" max="506" width="5.140625" style="2" customWidth="1"/>
    <col min="507" max="507" width="9.140625" style="2"/>
    <col min="508" max="508" width="4.85546875" style="2" customWidth="1"/>
    <col min="509" max="509" width="30.5703125" style="2" customWidth="1"/>
    <col min="510" max="510" width="33.85546875" style="2" customWidth="1"/>
    <col min="511" max="511" width="5.140625" style="2" customWidth="1"/>
    <col min="512" max="513" width="17.5703125" style="2" customWidth="1"/>
    <col min="514" max="757" width="9.140625" style="2"/>
    <col min="758" max="758" width="3.5703125" style="2" customWidth="1"/>
    <col min="759" max="759" width="96.85546875" style="2" customWidth="1"/>
    <col min="760" max="760" width="30.85546875" style="2" customWidth="1"/>
    <col min="761" max="761" width="12.5703125" style="2" customWidth="1"/>
    <col min="762" max="762" width="5.140625" style="2" customWidth="1"/>
    <col min="763" max="763" width="9.140625" style="2"/>
    <col min="764" max="764" width="4.85546875" style="2" customWidth="1"/>
    <col min="765" max="765" width="30.5703125" style="2" customWidth="1"/>
    <col min="766" max="766" width="33.85546875" style="2" customWidth="1"/>
    <col min="767" max="767" width="5.140625" style="2" customWidth="1"/>
    <col min="768" max="769" width="17.5703125" style="2" customWidth="1"/>
    <col min="770" max="1013" width="9.140625" style="2"/>
    <col min="1014" max="1014" width="3.5703125" style="2" customWidth="1"/>
    <col min="1015" max="1015" width="96.85546875" style="2" customWidth="1"/>
    <col min="1016" max="1016" width="30.85546875" style="2" customWidth="1"/>
    <col min="1017" max="1017" width="12.5703125" style="2" customWidth="1"/>
    <col min="1018" max="1018" width="5.140625" style="2" customWidth="1"/>
    <col min="1019" max="1019" width="9.140625" style="2"/>
    <col min="1020" max="1020" width="4.85546875" style="2" customWidth="1"/>
    <col min="1021" max="1021" width="30.5703125" style="2" customWidth="1"/>
    <col min="1022" max="1022" width="33.85546875" style="2" customWidth="1"/>
    <col min="1023" max="1023" width="5.140625" style="2" customWidth="1"/>
    <col min="1024" max="1025" width="17.5703125" style="2" customWidth="1"/>
    <col min="1026" max="1269" width="9.140625" style="2"/>
    <col min="1270" max="1270" width="3.5703125" style="2" customWidth="1"/>
    <col min="1271" max="1271" width="96.85546875" style="2" customWidth="1"/>
    <col min="1272" max="1272" width="30.85546875" style="2" customWidth="1"/>
    <col min="1273" max="1273" width="12.5703125" style="2" customWidth="1"/>
    <col min="1274" max="1274" width="5.140625" style="2" customWidth="1"/>
    <col min="1275" max="1275" width="9.140625" style="2"/>
    <col min="1276" max="1276" width="4.85546875" style="2" customWidth="1"/>
    <col min="1277" max="1277" width="30.5703125" style="2" customWidth="1"/>
    <col min="1278" max="1278" width="33.85546875" style="2" customWidth="1"/>
    <col min="1279" max="1279" width="5.140625" style="2" customWidth="1"/>
    <col min="1280" max="1281" width="17.5703125" style="2" customWidth="1"/>
    <col min="1282" max="1525" width="9.140625" style="2"/>
    <col min="1526" max="1526" width="3.5703125" style="2" customWidth="1"/>
    <col min="1527" max="1527" width="96.85546875" style="2" customWidth="1"/>
    <col min="1528" max="1528" width="30.85546875" style="2" customWidth="1"/>
    <col min="1529" max="1529" width="12.5703125" style="2" customWidth="1"/>
    <col min="1530" max="1530" width="5.140625" style="2" customWidth="1"/>
    <col min="1531" max="1531" width="9.140625" style="2"/>
    <col min="1532" max="1532" width="4.85546875" style="2" customWidth="1"/>
    <col min="1533" max="1533" width="30.5703125" style="2" customWidth="1"/>
    <col min="1534" max="1534" width="33.85546875" style="2" customWidth="1"/>
    <col min="1535" max="1535" width="5.140625" style="2" customWidth="1"/>
    <col min="1536" max="1537" width="17.5703125" style="2" customWidth="1"/>
    <col min="1538" max="1781" width="9.140625" style="2"/>
    <col min="1782" max="1782" width="3.5703125" style="2" customWidth="1"/>
    <col min="1783" max="1783" width="96.85546875" style="2" customWidth="1"/>
    <col min="1784" max="1784" width="30.85546875" style="2" customWidth="1"/>
    <col min="1785" max="1785" width="12.5703125" style="2" customWidth="1"/>
    <col min="1786" max="1786" width="5.140625" style="2" customWidth="1"/>
    <col min="1787" max="1787" width="9.140625" style="2"/>
    <col min="1788" max="1788" width="4.85546875" style="2" customWidth="1"/>
    <col min="1789" max="1789" width="30.5703125" style="2" customWidth="1"/>
    <col min="1790" max="1790" width="33.85546875" style="2" customWidth="1"/>
    <col min="1791" max="1791" width="5.140625" style="2" customWidth="1"/>
    <col min="1792" max="1793" width="17.5703125" style="2" customWidth="1"/>
    <col min="1794" max="2037" width="9.140625" style="2"/>
    <col min="2038" max="2038" width="3.5703125" style="2" customWidth="1"/>
    <col min="2039" max="2039" width="96.85546875" style="2" customWidth="1"/>
    <col min="2040" max="2040" width="30.85546875" style="2" customWidth="1"/>
    <col min="2041" max="2041" width="12.5703125" style="2" customWidth="1"/>
    <col min="2042" max="2042" width="5.140625" style="2" customWidth="1"/>
    <col min="2043" max="2043" width="9.140625" style="2"/>
    <col min="2044" max="2044" width="4.85546875" style="2" customWidth="1"/>
    <col min="2045" max="2045" width="30.5703125" style="2" customWidth="1"/>
    <col min="2046" max="2046" width="33.85546875" style="2" customWidth="1"/>
    <col min="2047" max="2047" width="5.140625" style="2" customWidth="1"/>
    <col min="2048" max="2049" width="17.5703125" style="2" customWidth="1"/>
    <col min="2050" max="2293" width="9.140625" style="2"/>
    <col min="2294" max="2294" width="3.5703125" style="2" customWidth="1"/>
    <col min="2295" max="2295" width="96.85546875" style="2" customWidth="1"/>
    <col min="2296" max="2296" width="30.85546875" style="2" customWidth="1"/>
    <col min="2297" max="2297" width="12.5703125" style="2" customWidth="1"/>
    <col min="2298" max="2298" width="5.140625" style="2" customWidth="1"/>
    <col min="2299" max="2299" width="9.140625" style="2"/>
    <col min="2300" max="2300" width="4.85546875" style="2" customWidth="1"/>
    <col min="2301" max="2301" width="30.5703125" style="2" customWidth="1"/>
    <col min="2302" max="2302" width="33.85546875" style="2" customWidth="1"/>
    <col min="2303" max="2303" width="5.140625" style="2" customWidth="1"/>
    <col min="2304" max="2305" width="17.5703125" style="2" customWidth="1"/>
    <col min="2306" max="2549" width="9.140625" style="2"/>
    <col min="2550" max="2550" width="3.5703125" style="2" customWidth="1"/>
    <col min="2551" max="2551" width="96.85546875" style="2" customWidth="1"/>
    <col min="2552" max="2552" width="30.85546875" style="2" customWidth="1"/>
    <col min="2553" max="2553" width="12.5703125" style="2" customWidth="1"/>
    <col min="2554" max="2554" width="5.140625" style="2" customWidth="1"/>
    <col min="2555" max="2555" width="9.140625" style="2"/>
    <col min="2556" max="2556" width="4.85546875" style="2" customWidth="1"/>
    <col min="2557" max="2557" width="30.5703125" style="2" customWidth="1"/>
    <col min="2558" max="2558" width="33.85546875" style="2" customWidth="1"/>
    <col min="2559" max="2559" width="5.140625" style="2" customWidth="1"/>
    <col min="2560" max="2561" width="17.5703125" style="2" customWidth="1"/>
    <col min="2562" max="2805" width="9.140625" style="2"/>
    <col min="2806" max="2806" width="3.5703125" style="2" customWidth="1"/>
    <col min="2807" max="2807" width="96.85546875" style="2" customWidth="1"/>
    <col min="2808" max="2808" width="30.85546875" style="2" customWidth="1"/>
    <col min="2809" max="2809" width="12.5703125" style="2" customWidth="1"/>
    <col min="2810" max="2810" width="5.140625" style="2" customWidth="1"/>
    <col min="2811" max="2811" width="9.140625" style="2"/>
    <col min="2812" max="2812" width="4.85546875" style="2" customWidth="1"/>
    <col min="2813" max="2813" width="30.5703125" style="2" customWidth="1"/>
    <col min="2814" max="2814" width="33.85546875" style="2" customWidth="1"/>
    <col min="2815" max="2815" width="5.140625" style="2" customWidth="1"/>
    <col min="2816" max="2817" width="17.5703125" style="2" customWidth="1"/>
    <col min="2818" max="3061" width="9.140625" style="2"/>
    <col min="3062" max="3062" width="3.5703125" style="2" customWidth="1"/>
    <col min="3063" max="3063" width="96.85546875" style="2" customWidth="1"/>
    <col min="3064" max="3064" width="30.85546875" style="2" customWidth="1"/>
    <col min="3065" max="3065" width="12.5703125" style="2" customWidth="1"/>
    <col min="3066" max="3066" width="5.140625" style="2" customWidth="1"/>
    <col min="3067" max="3067" width="9.140625" style="2"/>
    <col min="3068" max="3068" width="4.85546875" style="2" customWidth="1"/>
    <col min="3069" max="3069" width="30.5703125" style="2" customWidth="1"/>
    <col min="3070" max="3070" width="33.85546875" style="2" customWidth="1"/>
    <col min="3071" max="3071" width="5.140625" style="2" customWidth="1"/>
    <col min="3072" max="3073" width="17.5703125" style="2" customWidth="1"/>
    <col min="3074" max="3317" width="9.140625" style="2"/>
    <col min="3318" max="3318" width="3.5703125" style="2" customWidth="1"/>
    <col min="3319" max="3319" width="96.85546875" style="2" customWidth="1"/>
    <col min="3320" max="3320" width="30.85546875" style="2" customWidth="1"/>
    <col min="3321" max="3321" width="12.5703125" style="2" customWidth="1"/>
    <col min="3322" max="3322" width="5.140625" style="2" customWidth="1"/>
    <col min="3323" max="3323" width="9.140625" style="2"/>
    <col min="3324" max="3324" width="4.85546875" style="2" customWidth="1"/>
    <col min="3325" max="3325" width="30.5703125" style="2" customWidth="1"/>
    <col min="3326" max="3326" width="33.85546875" style="2" customWidth="1"/>
    <col min="3327" max="3327" width="5.140625" style="2" customWidth="1"/>
    <col min="3328" max="3329" width="17.5703125" style="2" customWidth="1"/>
    <col min="3330" max="3573" width="9.140625" style="2"/>
    <col min="3574" max="3574" width="3.5703125" style="2" customWidth="1"/>
    <col min="3575" max="3575" width="96.85546875" style="2" customWidth="1"/>
    <col min="3576" max="3576" width="30.85546875" style="2" customWidth="1"/>
    <col min="3577" max="3577" width="12.5703125" style="2" customWidth="1"/>
    <col min="3578" max="3578" width="5.140625" style="2" customWidth="1"/>
    <col min="3579" max="3579" width="9.140625" style="2"/>
    <col min="3580" max="3580" width="4.85546875" style="2" customWidth="1"/>
    <col min="3581" max="3581" width="30.5703125" style="2" customWidth="1"/>
    <col min="3582" max="3582" width="33.85546875" style="2" customWidth="1"/>
    <col min="3583" max="3583" width="5.140625" style="2" customWidth="1"/>
    <col min="3584" max="3585" width="17.5703125" style="2" customWidth="1"/>
    <col min="3586" max="3829" width="9.140625" style="2"/>
    <col min="3830" max="3830" width="3.5703125" style="2" customWidth="1"/>
    <col min="3831" max="3831" width="96.85546875" style="2" customWidth="1"/>
    <col min="3832" max="3832" width="30.85546875" style="2" customWidth="1"/>
    <col min="3833" max="3833" width="12.5703125" style="2" customWidth="1"/>
    <col min="3834" max="3834" width="5.140625" style="2" customWidth="1"/>
    <col min="3835" max="3835" width="9.140625" style="2"/>
    <col min="3836" max="3836" width="4.85546875" style="2" customWidth="1"/>
    <col min="3837" max="3837" width="30.5703125" style="2" customWidth="1"/>
    <col min="3838" max="3838" width="33.85546875" style="2" customWidth="1"/>
    <col min="3839" max="3839" width="5.140625" style="2" customWidth="1"/>
    <col min="3840" max="3841" width="17.5703125" style="2" customWidth="1"/>
    <col min="3842" max="4085" width="9.140625" style="2"/>
    <col min="4086" max="4086" width="3.5703125" style="2" customWidth="1"/>
    <col min="4087" max="4087" width="96.85546875" style="2" customWidth="1"/>
    <col min="4088" max="4088" width="30.85546875" style="2" customWidth="1"/>
    <col min="4089" max="4089" width="12.5703125" style="2" customWidth="1"/>
    <col min="4090" max="4090" width="5.140625" style="2" customWidth="1"/>
    <col min="4091" max="4091" width="9.140625" style="2"/>
    <col min="4092" max="4092" width="4.85546875" style="2" customWidth="1"/>
    <col min="4093" max="4093" width="30.5703125" style="2" customWidth="1"/>
    <col min="4094" max="4094" width="33.85546875" style="2" customWidth="1"/>
    <col min="4095" max="4095" width="5.140625" style="2" customWidth="1"/>
    <col min="4096" max="4097" width="17.5703125" style="2" customWidth="1"/>
    <col min="4098" max="4341" width="9.140625" style="2"/>
    <col min="4342" max="4342" width="3.5703125" style="2" customWidth="1"/>
    <col min="4343" max="4343" width="96.85546875" style="2" customWidth="1"/>
    <col min="4344" max="4344" width="30.85546875" style="2" customWidth="1"/>
    <col min="4345" max="4345" width="12.5703125" style="2" customWidth="1"/>
    <col min="4346" max="4346" width="5.140625" style="2" customWidth="1"/>
    <col min="4347" max="4347" width="9.140625" style="2"/>
    <col min="4348" max="4348" width="4.85546875" style="2" customWidth="1"/>
    <col min="4349" max="4349" width="30.5703125" style="2" customWidth="1"/>
    <col min="4350" max="4350" width="33.85546875" style="2" customWidth="1"/>
    <col min="4351" max="4351" width="5.140625" style="2" customWidth="1"/>
    <col min="4352" max="4353" width="17.5703125" style="2" customWidth="1"/>
    <col min="4354" max="4597" width="9.140625" style="2"/>
    <col min="4598" max="4598" width="3.5703125" style="2" customWidth="1"/>
    <col min="4599" max="4599" width="96.85546875" style="2" customWidth="1"/>
    <col min="4600" max="4600" width="30.85546875" style="2" customWidth="1"/>
    <col min="4601" max="4601" width="12.5703125" style="2" customWidth="1"/>
    <col min="4602" max="4602" width="5.140625" style="2" customWidth="1"/>
    <col min="4603" max="4603" width="9.140625" style="2"/>
    <col min="4604" max="4604" width="4.85546875" style="2" customWidth="1"/>
    <col min="4605" max="4605" width="30.5703125" style="2" customWidth="1"/>
    <col min="4606" max="4606" width="33.85546875" style="2" customWidth="1"/>
    <col min="4607" max="4607" width="5.140625" style="2" customWidth="1"/>
    <col min="4608" max="4609" width="17.5703125" style="2" customWidth="1"/>
    <col min="4610" max="4853" width="9.140625" style="2"/>
    <col min="4854" max="4854" width="3.5703125" style="2" customWidth="1"/>
    <col min="4855" max="4855" width="96.85546875" style="2" customWidth="1"/>
    <col min="4856" max="4856" width="30.85546875" style="2" customWidth="1"/>
    <col min="4857" max="4857" width="12.5703125" style="2" customWidth="1"/>
    <col min="4858" max="4858" width="5.140625" style="2" customWidth="1"/>
    <col min="4859" max="4859" width="9.140625" style="2"/>
    <col min="4860" max="4860" width="4.85546875" style="2" customWidth="1"/>
    <col min="4861" max="4861" width="30.5703125" style="2" customWidth="1"/>
    <col min="4862" max="4862" width="33.85546875" style="2" customWidth="1"/>
    <col min="4863" max="4863" width="5.140625" style="2" customWidth="1"/>
    <col min="4864" max="4865" width="17.5703125" style="2" customWidth="1"/>
    <col min="4866" max="5109" width="9.140625" style="2"/>
    <col min="5110" max="5110" width="3.5703125" style="2" customWidth="1"/>
    <col min="5111" max="5111" width="96.85546875" style="2" customWidth="1"/>
    <col min="5112" max="5112" width="30.85546875" style="2" customWidth="1"/>
    <col min="5113" max="5113" width="12.5703125" style="2" customWidth="1"/>
    <col min="5114" max="5114" width="5.140625" style="2" customWidth="1"/>
    <col min="5115" max="5115" width="9.140625" style="2"/>
    <col min="5116" max="5116" width="4.85546875" style="2" customWidth="1"/>
    <col min="5117" max="5117" width="30.5703125" style="2" customWidth="1"/>
    <col min="5118" max="5118" width="33.85546875" style="2" customWidth="1"/>
    <col min="5119" max="5119" width="5.140625" style="2" customWidth="1"/>
    <col min="5120" max="5121" width="17.5703125" style="2" customWidth="1"/>
    <col min="5122" max="5365" width="9.140625" style="2"/>
    <col min="5366" max="5366" width="3.5703125" style="2" customWidth="1"/>
    <col min="5367" max="5367" width="96.85546875" style="2" customWidth="1"/>
    <col min="5368" max="5368" width="30.85546875" style="2" customWidth="1"/>
    <col min="5369" max="5369" width="12.5703125" style="2" customWidth="1"/>
    <col min="5370" max="5370" width="5.140625" style="2" customWidth="1"/>
    <col min="5371" max="5371" width="9.140625" style="2"/>
    <col min="5372" max="5372" width="4.85546875" style="2" customWidth="1"/>
    <col min="5373" max="5373" width="30.5703125" style="2" customWidth="1"/>
    <col min="5374" max="5374" width="33.85546875" style="2" customWidth="1"/>
    <col min="5375" max="5375" width="5.140625" style="2" customWidth="1"/>
    <col min="5376" max="5377" width="17.5703125" style="2" customWidth="1"/>
    <col min="5378" max="5621" width="9.140625" style="2"/>
    <col min="5622" max="5622" width="3.5703125" style="2" customWidth="1"/>
    <col min="5623" max="5623" width="96.85546875" style="2" customWidth="1"/>
    <col min="5624" max="5624" width="30.85546875" style="2" customWidth="1"/>
    <col min="5625" max="5625" width="12.5703125" style="2" customWidth="1"/>
    <col min="5626" max="5626" width="5.140625" style="2" customWidth="1"/>
    <col min="5627" max="5627" width="9.140625" style="2"/>
    <col min="5628" max="5628" width="4.85546875" style="2" customWidth="1"/>
    <col min="5629" max="5629" width="30.5703125" style="2" customWidth="1"/>
    <col min="5630" max="5630" width="33.85546875" style="2" customWidth="1"/>
    <col min="5631" max="5631" width="5.140625" style="2" customWidth="1"/>
    <col min="5632" max="5633" width="17.5703125" style="2" customWidth="1"/>
    <col min="5634" max="5877" width="9.140625" style="2"/>
    <col min="5878" max="5878" width="3.5703125" style="2" customWidth="1"/>
    <col min="5879" max="5879" width="96.85546875" style="2" customWidth="1"/>
    <col min="5880" max="5880" width="30.85546875" style="2" customWidth="1"/>
    <col min="5881" max="5881" width="12.5703125" style="2" customWidth="1"/>
    <col min="5882" max="5882" width="5.140625" style="2" customWidth="1"/>
    <col min="5883" max="5883" width="9.140625" style="2"/>
    <col min="5884" max="5884" width="4.85546875" style="2" customWidth="1"/>
    <col min="5885" max="5885" width="30.5703125" style="2" customWidth="1"/>
    <col min="5886" max="5886" width="33.85546875" style="2" customWidth="1"/>
    <col min="5887" max="5887" width="5.140625" style="2" customWidth="1"/>
    <col min="5888" max="5889" width="17.5703125" style="2" customWidth="1"/>
    <col min="5890" max="6133" width="9.140625" style="2"/>
    <col min="6134" max="6134" width="3.5703125" style="2" customWidth="1"/>
    <col min="6135" max="6135" width="96.85546875" style="2" customWidth="1"/>
    <col min="6136" max="6136" width="30.85546875" style="2" customWidth="1"/>
    <col min="6137" max="6137" width="12.5703125" style="2" customWidth="1"/>
    <col min="6138" max="6138" width="5.140625" style="2" customWidth="1"/>
    <col min="6139" max="6139" width="9.140625" style="2"/>
    <col min="6140" max="6140" width="4.85546875" style="2" customWidth="1"/>
    <col min="6141" max="6141" width="30.5703125" style="2" customWidth="1"/>
    <col min="6142" max="6142" width="33.85546875" style="2" customWidth="1"/>
    <col min="6143" max="6143" width="5.140625" style="2" customWidth="1"/>
    <col min="6144" max="6145" width="17.5703125" style="2" customWidth="1"/>
    <col min="6146" max="6389" width="9.140625" style="2"/>
    <col min="6390" max="6390" width="3.5703125" style="2" customWidth="1"/>
    <col min="6391" max="6391" width="96.85546875" style="2" customWidth="1"/>
    <col min="6392" max="6392" width="30.85546875" style="2" customWidth="1"/>
    <col min="6393" max="6393" width="12.5703125" style="2" customWidth="1"/>
    <col min="6394" max="6394" width="5.140625" style="2" customWidth="1"/>
    <col min="6395" max="6395" width="9.140625" style="2"/>
    <col min="6396" max="6396" width="4.85546875" style="2" customWidth="1"/>
    <col min="6397" max="6397" width="30.5703125" style="2" customWidth="1"/>
    <col min="6398" max="6398" width="33.85546875" style="2" customWidth="1"/>
    <col min="6399" max="6399" width="5.140625" style="2" customWidth="1"/>
    <col min="6400" max="6401" width="17.5703125" style="2" customWidth="1"/>
    <col min="6402" max="6645" width="9.140625" style="2"/>
    <col min="6646" max="6646" width="3.5703125" style="2" customWidth="1"/>
    <col min="6647" max="6647" width="96.85546875" style="2" customWidth="1"/>
    <col min="6648" max="6648" width="30.85546875" style="2" customWidth="1"/>
    <col min="6649" max="6649" width="12.5703125" style="2" customWidth="1"/>
    <col min="6650" max="6650" width="5.140625" style="2" customWidth="1"/>
    <col min="6651" max="6651" width="9.140625" style="2"/>
    <col min="6652" max="6652" width="4.85546875" style="2" customWidth="1"/>
    <col min="6653" max="6653" width="30.5703125" style="2" customWidth="1"/>
    <col min="6654" max="6654" width="33.85546875" style="2" customWidth="1"/>
    <col min="6655" max="6655" width="5.140625" style="2" customWidth="1"/>
    <col min="6656" max="6657" width="17.5703125" style="2" customWidth="1"/>
    <col min="6658" max="6901" width="9.140625" style="2"/>
    <col min="6902" max="6902" width="3.5703125" style="2" customWidth="1"/>
    <col min="6903" max="6903" width="96.85546875" style="2" customWidth="1"/>
    <col min="6904" max="6904" width="30.85546875" style="2" customWidth="1"/>
    <col min="6905" max="6905" width="12.5703125" style="2" customWidth="1"/>
    <col min="6906" max="6906" width="5.140625" style="2" customWidth="1"/>
    <col min="6907" max="6907" width="9.140625" style="2"/>
    <col min="6908" max="6908" width="4.85546875" style="2" customWidth="1"/>
    <col min="6909" max="6909" width="30.5703125" style="2" customWidth="1"/>
    <col min="6910" max="6910" width="33.85546875" style="2" customWidth="1"/>
    <col min="6911" max="6911" width="5.140625" style="2" customWidth="1"/>
    <col min="6912" max="6913" width="17.5703125" style="2" customWidth="1"/>
    <col min="6914" max="7157" width="9.140625" style="2"/>
    <col min="7158" max="7158" width="3.5703125" style="2" customWidth="1"/>
    <col min="7159" max="7159" width="96.85546875" style="2" customWidth="1"/>
    <col min="7160" max="7160" width="30.85546875" style="2" customWidth="1"/>
    <col min="7161" max="7161" width="12.5703125" style="2" customWidth="1"/>
    <col min="7162" max="7162" width="5.140625" style="2" customWidth="1"/>
    <col min="7163" max="7163" width="9.140625" style="2"/>
    <col min="7164" max="7164" width="4.85546875" style="2" customWidth="1"/>
    <col min="7165" max="7165" width="30.5703125" style="2" customWidth="1"/>
    <col min="7166" max="7166" width="33.85546875" style="2" customWidth="1"/>
    <col min="7167" max="7167" width="5.140625" style="2" customWidth="1"/>
    <col min="7168" max="7169" width="17.5703125" style="2" customWidth="1"/>
    <col min="7170" max="7413" width="9.140625" style="2"/>
    <col min="7414" max="7414" width="3.5703125" style="2" customWidth="1"/>
    <col min="7415" max="7415" width="96.85546875" style="2" customWidth="1"/>
    <col min="7416" max="7416" width="30.85546875" style="2" customWidth="1"/>
    <col min="7417" max="7417" width="12.5703125" style="2" customWidth="1"/>
    <col min="7418" max="7418" width="5.140625" style="2" customWidth="1"/>
    <col min="7419" max="7419" width="9.140625" style="2"/>
    <col min="7420" max="7420" width="4.85546875" style="2" customWidth="1"/>
    <col min="7421" max="7421" width="30.5703125" style="2" customWidth="1"/>
    <col min="7422" max="7422" width="33.85546875" style="2" customWidth="1"/>
    <col min="7423" max="7423" width="5.140625" style="2" customWidth="1"/>
    <col min="7424" max="7425" width="17.5703125" style="2" customWidth="1"/>
    <col min="7426" max="7669" width="9.140625" style="2"/>
    <col min="7670" max="7670" width="3.5703125" style="2" customWidth="1"/>
    <col min="7671" max="7671" width="96.85546875" style="2" customWidth="1"/>
    <col min="7672" max="7672" width="30.85546875" style="2" customWidth="1"/>
    <col min="7673" max="7673" width="12.5703125" style="2" customWidth="1"/>
    <col min="7674" max="7674" width="5.140625" style="2" customWidth="1"/>
    <col min="7675" max="7675" width="9.140625" style="2"/>
    <col min="7676" max="7676" width="4.85546875" style="2" customWidth="1"/>
    <col min="7677" max="7677" width="30.5703125" style="2" customWidth="1"/>
    <col min="7678" max="7678" width="33.85546875" style="2" customWidth="1"/>
    <col min="7679" max="7679" width="5.140625" style="2" customWidth="1"/>
    <col min="7680" max="7681" width="17.5703125" style="2" customWidth="1"/>
    <col min="7682" max="7925" width="9.140625" style="2"/>
    <col min="7926" max="7926" width="3.5703125" style="2" customWidth="1"/>
    <col min="7927" max="7927" width="96.85546875" style="2" customWidth="1"/>
    <col min="7928" max="7928" width="30.85546875" style="2" customWidth="1"/>
    <col min="7929" max="7929" width="12.5703125" style="2" customWidth="1"/>
    <col min="7930" max="7930" width="5.140625" style="2" customWidth="1"/>
    <col min="7931" max="7931" width="9.140625" style="2"/>
    <col min="7932" max="7932" width="4.85546875" style="2" customWidth="1"/>
    <col min="7933" max="7933" width="30.5703125" style="2" customWidth="1"/>
    <col min="7934" max="7934" width="33.85546875" style="2" customWidth="1"/>
    <col min="7935" max="7935" width="5.140625" style="2" customWidth="1"/>
    <col min="7936" max="7937" width="17.5703125" style="2" customWidth="1"/>
    <col min="7938" max="8181" width="9.140625" style="2"/>
    <col min="8182" max="8182" width="3.5703125" style="2" customWidth="1"/>
    <col min="8183" max="8183" width="96.85546875" style="2" customWidth="1"/>
    <col min="8184" max="8184" width="30.85546875" style="2" customWidth="1"/>
    <col min="8185" max="8185" width="12.5703125" style="2" customWidth="1"/>
    <col min="8186" max="8186" width="5.140625" style="2" customWidth="1"/>
    <col min="8187" max="8187" width="9.140625" style="2"/>
    <col min="8188" max="8188" width="4.85546875" style="2" customWidth="1"/>
    <col min="8189" max="8189" width="30.5703125" style="2" customWidth="1"/>
    <col min="8190" max="8190" width="33.85546875" style="2" customWidth="1"/>
    <col min="8191" max="8191" width="5.140625" style="2" customWidth="1"/>
    <col min="8192" max="8193" width="17.5703125" style="2" customWidth="1"/>
    <col min="8194" max="8437" width="9.140625" style="2"/>
    <col min="8438" max="8438" width="3.5703125" style="2" customWidth="1"/>
    <col min="8439" max="8439" width="96.85546875" style="2" customWidth="1"/>
    <col min="8440" max="8440" width="30.85546875" style="2" customWidth="1"/>
    <col min="8441" max="8441" width="12.5703125" style="2" customWidth="1"/>
    <col min="8442" max="8442" width="5.140625" style="2" customWidth="1"/>
    <col min="8443" max="8443" width="9.140625" style="2"/>
    <col min="8444" max="8444" width="4.85546875" style="2" customWidth="1"/>
    <col min="8445" max="8445" width="30.5703125" style="2" customWidth="1"/>
    <col min="8446" max="8446" width="33.85546875" style="2" customWidth="1"/>
    <col min="8447" max="8447" width="5.140625" style="2" customWidth="1"/>
    <col min="8448" max="8449" width="17.5703125" style="2" customWidth="1"/>
    <col min="8450" max="8693" width="9.140625" style="2"/>
    <col min="8694" max="8694" width="3.5703125" style="2" customWidth="1"/>
    <col min="8695" max="8695" width="96.85546875" style="2" customWidth="1"/>
    <col min="8696" max="8696" width="30.85546875" style="2" customWidth="1"/>
    <col min="8697" max="8697" width="12.5703125" style="2" customWidth="1"/>
    <col min="8698" max="8698" width="5.140625" style="2" customWidth="1"/>
    <col min="8699" max="8699" width="9.140625" style="2"/>
    <col min="8700" max="8700" width="4.85546875" style="2" customWidth="1"/>
    <col min="8701" max="8701" width="30.5703125" style="2" customWidth="1"/>
    <col min="8702" max="8702" width="33.85546875" style="2" customWidth="1"/>
    <col min="8703" max="8703" width="5.140625" style="2" customWidth="1"/>
    <col min="8704" max="8705" width="17.5703125" style="2" customWidth="1"/>
    <col min="8706" max="8949" width="9.140625" style="2"/>
    <col min="8950" max="8950" width="3.5703125" style="2" customWidth="1"/>
    <col min="8951" max="8951" width="96.85546875" style="2" customWidth="1"/>
    <col min="8952" max="8952" width="30.85546875" style="2" customWidth="1"/>
    <col min="8953" max="8953" width="12.5703125" style="2" customWidth="1"/>
    <col min="8954" max="8954" width="5.140625" style="2" customWidth="1"/>
    <col min="8955" max="8955" width="9.140625" style="2"/>
    <col min="8956" max="8956" width="4.85546875" style="2" customWidth="1"/>
    <col min="8957" max="8957" width="30.5703125" style="2" customWidth="1"/>
    <col min="8958" max="8958" width="33.85546875" style="2" customWidth="1"/>
    <col min="8959" max="8959" width="5.140625" style="2" customWidth="1"/>
    <col min="8960" max="8961" width="17.5703125" style="2" customWidth="1"/>
    <col min="8962" max="9205" width="9.140625" style="2"/>
    <col min="9206" max="9206" width="3.5703125" style="2" customWidth="1"/>
    <col min="9207" max="9207" width="96.85546875" style="2" customWidth="1"/>
    <col min="9208" max="9208" width="30.85546875" style="2" customWidth="1"/>
    <col min="9209" max="9209" width="12.5703125" style="2" customWidth="1"/>
    <col min="9210" max="9210" width="5.140625" style="2" customWidth="1"/>
    <col min="9211" max="9211" width="9.140625" style="2"/>
    <col min="9212" max="9212" width="4.85546875" style="2" customWidth="1"/>
    <col min="9213" max="9213" width="30.5703125" style="2" customWidth="1"/>
    <col min="9214" max="9214" width="33.85546875" style="2" customWidth="1"/>
    <col min="9215" max="9215" width="5.140625" style="2" customWidth="1"/>
    <col min="9216" max="9217" width="17.5703125" style="2" customWidth="1"/>
    <col min="9218" max="9461" width="9.140625" style="2"/>
    <col min="9462" max="9462" width="3.5703125" style="2" customWidth="1"/>
    <col min="9463" max="9463" width="96.85546875" style="2" customWidth="1"/>
    <col min="9464" max="9464" width="30.85546875" style="2" customWidth="1"/>
    <col min="9465" max="9465" width="12.5703125" style="2" customWidth="1"/>
    <col min="9466" max="9466" width="5.140625" style="2" customWidth="1"/>
    <col min="9467" max="9467" width="9.140625" style="2"/>
    <col min="9468" max="9468" width="4.85546875" style="2" customWidth="1"/>
    <col min="9469" max="9469" width="30.5703125" style="2" customWidth="1"/>
    <col min="9470" max="9470" width="33.85546875" style="2" customWidth="1"/>
    <col min="9471" max="9471" width="5.140625" style="2" customWidth="1"/>
    <col min="9472" max="9473" width="17.5703125" style="2" customWidth="1"/>
    <col min="9474" max="9717" width="9.140625" style="2"/>
    <col min="9718" max="9718" width="3.5703125" style="2" customWidth="1"/>
    <col min="9719" max="9719" width="96.85546875" style="2" customWidth="1"/>
    <col min="9720" max="9720" width="30.85546875" style="2" customWidth="1"/>
    <col min="9721" max="9721" width="12.5703125" style="2" customWidth="1"/>
    <col min="9722" max="9722" width="5.140625" style="2" customWidth="1"/>
    <col min="9723" max="9723" width="9.140625" style="2"/>
    <col min="9724" max="9724" width="4.85546875" style="2" customWidth="1"/>
    <col min="9725" max="9725" width="30.5703125" style="2" customWidth="1"/>
    <col min="9726" max="9726" width="33.85546875" style="2" customWidth="1"/>
    <col min="9727" max="9727" width="5.140625" style="2" customWidth="1"/>
    <col min="9728" max="9729" width="17.5703125" style="2" customWidth="1"/>
    <col min="9730" max="9973" width="9.140625" style="2"/>
    <col min="9974" max="9974" width="3.5703125" style="2" customWidth="1"/>
    <col min="9975" max="9975" width="96.85546875" style="2" customWidth="1"/>
    <col min="9976" max="9976" width="30.85546875" style="2" customWidth="1"/>
    <col min="9977" max="9977" width="12.5703125" style="2" customWidth="1"/>
    <col min="9978" max="9978" width="5.140625" style="2" customWidth="1"/>
    <col min="9979" max="9979" width="9.140625" style="2"/>
    <col min="9980" max="9980" width="4.85546875" style="2" customWidth="1"/>
    <col min="9981" max="9981" width="30.5703125" style="2" customWidth="1"/>
    <col min="9982" max="9982" width="33.85546875" style="2" customWidth="1"/>
    <col min="9983" max="9983" width="5.140625" style="2" customWidth="1"/>
    <col min="9984" max="9985" width="17.5703125" style="2" customWidth="1"/>
    <col min="9986" max="10229" width="9.140625" style="2"/>
    <col min="10230" max="10230" width="3.5703125" style="2" customWidth="1"/>
    <col min="10231" max="10231" width="96.85546875" style="2" customWidth="1"/>
    <col min="10232" max="10232" width="30.85546875" style="2" customWidth="1"/>
    <col min="10233" max="10233" width="12.5703125" style="2" customWidth="1"/>
    <col min="10234" max="10234" width="5.140625" style="2" customWidth="1"/>
    <col min="10235" max="10235" width="9.140625" style="2"/>
    <col min="10236" max="10236" width="4.85546875" style="2" customWidth="1"/>
    <col min="10237" max="10237" width="30.5703125" style="2" customWidth="1"/>
    <col min="10238" max="10238" width="33.85546875" style="2" customWidth="1"/>
    <col min="10239" max="10239" width="5.140625" style="2" customWidth="1"/>
    <col min="10240" max="10241" width="17.5703125" style="2" customWidth="1"/>
    <col min="10242" max="10485" width="9.140625" style="2"/>
    <col min="10486" max="10486" width="3.5703125" style="2" customWidth="1"/>
    <col min="10487" max="10487" width="96.85546875" style="2" customWidth="1"/>
    <col min="10488" max="10488" width="30.85546875" style="2" customWidth="1"/>
    <col min="10489" max="10489" width="12.5703125" style="2" customWidth="1"/>
    <col min="10490" max="10490" width="5.140625" style="2" customWidth="1"/>
    <col min="10491" max="10491" width="9.140625" style="2"/>
    <col min="10492" max="10492" width="4.85546875" style="2" customWidth="1"/>
    <col min="10493" max="10493" width="30.5703125" style="2" customWidth="1"/>
    <col min="10494" max="10494" width="33.85546875" style="2" customWidth="1"/>
    <col min="10495" max="10495" width="5.140625" style="2" customWidth="1"/>
    <col min="10496" max="10497" width="17.5703125" style="2" customWidth="1"/>
    <col min="10498" max="10741" width="9.140625" style="2"/>
    <col min="10742" max="10742" width="3.5703125" style="2" customWidth="1"/>
    <col min="10743" max="10743" width="96.85546875" style="2" customWidth="1"/>
    <col min="10744" max="10744" width="30.85546875" style="2" customWidth="1"/>
    <col min="10745" max="10745" width="12.5703125" style="2" customWidth="1"/>
    <col min="10746" max="10746" width="5.140625" style="2" customWidth="1"/>
    <col min="10747" max="10747" width="9.140625" style="2"/>
    <col min="10748" max="10748" width="4.85546875" style="2" customWidth="1"/>
    <col min="10749" max="10749" width="30.5703125" style="2" customWidth="1"/>
    <col min="10750" max="10750" width="33.85546875" style="2" customWidth="1"/>
    <col min="10751" max="10751" width="5.140625" style="2" customWidth="1"/>
    <col min="10752" max="10753" width="17.5703125" style="2" customWidth="1"/>
    <col min="10754" max="10997" width="9.140625" style="2"/>
    <col min="10998" max="10998" width="3.5703125" style="2" customWidth="1"/>
    <col min="10999" max="10999" width="96.85546875" style="2" customWidth="1"/>
    <col min="11000" max="11000" width="30.85546875" style="2" customWidth="1"/>
    <col min="11001" max="11001" width="12.5703125" style="2" customWidth="1"/>
    <col min="11002" max="11002" width="5.140625" style="2" customWidth="1"/>
    <col min="11003" max="11003" width="9.140625" style="2"/>
    <col min="11004" max="11004" width="4.85546875" style="2" customWidth="1"/>
    <col min="11005" max="11005" width="30.5703125" style="2" customWidth="1"/>
    <col min="11006" max="11006" width="33.85546875" style="2" customWidth="1"/>
    <col min="11007" max="11007" width="5.140625" style="2" customWidth="1"/>
    <col min="11008" max="11009" width="17.5703125" style="2" customWidth="1"/>
    <col min="11010" max="11253" width="9.140625" style="2"/>
    <col min="11254" max="11254" width="3.5703125" style="2" customWidth="1"/>
    <col min="11255" max="11255" width="96.85546875" style="2" customWidth="1"/>
    <col min="11256" max="11256" width="30.85546875" style="2" customWidth="1"/>
    <col min="11257" max="11257" width="12.5703125" style="2" customWidth="1"/>
    <col min="11258" max="11258" width="5.140625" style="2" customWidth="1"/>
    <col min="11259" max="11259" width="9.140625" style="2"/>
    <col min="11260" max="11260" width="4.85546875" style="2" customWidth="1"/>
    <col min="11261" max="11261" width="30.5703125" style="2" customWidth="1"/>
    <col min="11262" max="11262" width="33.85546875" style="2" customWidth="1"/>
    <col min="11263" max="11263" width="5.140625" style="2" customWidth="1"/>
    <col min="11264" max="11265" width="17.5703125" style="2" customWidth="1"/>
    <col min="11266" max="11509" width="9.140625" style="2"/>
    <col min="11510" max="11510" width="3.5703125" style="2" customWidth="1"/>
    <col min="11511" max="11511" width="96.85546875" style="2" customWidth="1"/>
    <col min="11512" max="11512" width="30.85546875" style="2" customWidth="1"/>
    <col min="11513" max="11513" width="12.5703125" style="2" customWidth="1"/>
    <col min="11514" max="11514" width="5.140625" style="2" customWidth="1"/>
    <col min="11515" max="11515" width="9.140625" style="2"/>
    <col min="11516" max="11516" width="4.85546875" style="2" customWidth="1"/>
    <col min="11517" max="11517" width="30.5703125" style="2" customWidth="1"/>
    <col min="11518" max="11518" width="33.85546875" style="2" customWidth="1"/>
    <col min="11519" max="11519" width="5.140625" style="2" customWidth="1"/>
    <col min="11520" max="11521" width="17.5703125" style="2" customWidth="1"/>
    <col min="11522" max="11765" width="9.140625" style="2"/>
    <col min="11766" max="11766" width="3.5703125" style="2" customWidth="1"/>
    <col min="11767" max="11767" width="96.85546875" style="2" customWidth="1"/>
    <col min="11768" max="11768" width="30.85546875" style="2" customWidth="1"/>
    <col min="11769" max="11769" width="12.5703125" style="2" customWidth="1"/>
    <col min="11770" max="11770" width="5.140625" style="2" customWidth="1"/>
    <col min="11771" max="11771" width="9.140625" style="2"/>
    <col min="11772" max="11772" width="4.85546875" style="2" customWidth="1"/>
    <col min="11773" max="11773" width="30.5703125" style="2" customWidth="1"/>
    <col min="11774" max="11774" width="33.85546875" style="2" customWidth="1"/>
    <col min="11775" max="11775" width="5.140625" style="2" customWidth="1"/>
    <col min="11776" max="11777" width="17.5703125" style="2" customWidth="1"/>
    <col min="11778" max="12021" width="9.140625" style="2"/>
    <col min="12022" max="12022" width="3.5703125" style="2" customWidth="1"/>
    <col min="12023" max="12023" width="96.85546875" style="2" customWidth="1"/>
    <col min="12024" max="12024" width="30.85546875" style="2" customWidth="1"/>
    <col min="12025" max="12025" width="12.5703125" style="2" customWidth="1"/>
    <col min="12026" max="12026" width="5.140625" style="2" customWidth="1"/>
    <col min="12027" max="12027" width="9.140625" style="2"/>
    <col min="12028" max="12028" width="4.85546875" style="2" customWidth="1"/>
    <col min="12029" max="12029" width="30.5703125" style="2" customWidth="1"/>
    <col min="12030" max="12030" width="33.85546875" style="2" customWidth="1"/>
    <col min="12031" max="12031" width="5.140625" style="2" customWidth="1"/>
    <col min="12032" max="12033" width="17.5703125" style="2" customWidth="1"/>
    <col min="12034" max="12277" width="9.140625" style="2"/>
    <col min="12278" max="12278" width="3.5703125" style="2" customWidth="1"/>
    <col min="12279" max="12279" width="96.85546875" style="2" customWidth="1"/>
    <col min="12280" max="12280" width="30.85546875" style="2" customWidth="1"/>
    <col min="12281" max="12281" width="12.5703125" style="2" customWidth="1"/>
    <col min="12282" max="12282" width="5.140625" style="2" customWidth="1"/>
    <col min="12283" max="12283" width="9.140625" style="2"/>
    <col min="12284" max="12284" width="4.85546875" style="2" customWidth="1"/>
    <col min="12285" max="12285" width="30.5703125" style="2" customWidth="1"/>
    <col min="12286" max="12286" width="33.85546875" style="2" customWidth="1"/>
    <col min="12287" max="12287" width="5.140625" style="2" customWidth="1"/>
    <col min="12288" max="12289" width="17.5703125" style="2" customWidth="1"/>
    <col min="12290" max="12533" width="9.140625" style="2"/>
    <col min="12534" max="12534" width="3.5703125" style="2" customWidth="1"/>
    <col min="12535" max="12535" width="96.85546875" style="2" customWidth="1"/>
    <col min="12536" max="12536" width="30.85546875" style="2" customWidth="1"/>
    <col min="12537" max="12537" width="12.5703125" style="2" customWidth="1"/>
    <col min="12538" max="12538" width="5.140625" style="2" customWidth="1"/>
    <col min="12539" max="12539" width="9.140625" style="2"/>
    <col min="12540" max="12540" width="4.85546875" style="2" customWidth="1"/>
    <col min="12541" max="12541" width="30.5703125" style="2" customWidth="1"/>
    <col min="12542" max="12542" width="33.85546875" style="2" customWidth="1"/>
    <col min="12543" max="12543" width="5.140625" style="2" customWidth="1"/>
    <col min="12544" max="12545" width="17.5703125" style="2" customWidth="1"/>
    <col min="12546" max="12789" width="9.140625" style="2"/>
    <col min="12790" max="12790" width="3.5703125" style="2" customWidth="1"/>
    <col min="12791" max="12791" width="96.85546875" style="2" customWidth="1"/>
    <col min="12792" max="12792" width="30.85546875" style="2" customWidth="1"/>
    <col min="12793" max="12793" width="12.5703125" style="2" customWidth="1"/>
    <col min="12794" max="12794" width="5.140625" style="2" customWidth="1"/>
    <col min="12795" max="12795" width="9.140625" style="2"/>
    <col min="12796" max="12796" width="4.85546875" style="2" customWidth="1"/>
    <col min="12797" max="12797" width="30.5703125" style="2" customWidth="1"/>
    <col min="12798" max="12798" width="33.85546875" style="2" customWidth="1"/>
    <col min="12799" max="12799" width="5.140625" style="2" customWidth="1"/>
    <col min="12800" max="12801" width="17.5703125" style="2" customWidth="1"/>
    <col min="12802" max="13045" width="9.140625" style="2"/>
    <col min="13046" max="13046" width="3.5703125" style="2" customWidth="1"/>
    <col min="13047" max="13047" width="96.85546875" style="2" customWidth="1"/>
    <col min="13048" max="13048" width="30.85546875" style="2" customWidth="1"/>
    <col min="13049" max="13049" width="12.5703125" style="2" customWidth="1"/>
    <col min="13050" max="13050" width="5.140625" style="2" customWidth="1"/>
    <col min="13051" max="13051" width="9.140625" style="2"/>
    <col min="13052" max="13052" width="4.85546875" style="2" customWidth="1"/>
    <col min="13053" max="13053" width="30.5703125" style="2" customWidth="1"/>
    <col min="13054" max="13054" width="33.85546875" style="2" customWidth="1"/>
    <col min="13055" max="13055" width="5.140625" style="2" customWidth="1"/>
    <col min="13056" max="13057" width="17.5703125" style="2" customWidth="1"/>
    <col min="13058" max="13301" width="9.140625" style="2"/>
    <col min="13302" max="13302" width="3.5703125" style="2" customWidth="1"/>
    <col min="13303" max="13303" width="96.85546875" style="2" customWidth="1"/>
    <col min="13304" max="13304" width="30.85546875" style="2" customWidth="1"/>
    <col min="13305" max="13305" width="12.5703125" style="2" customWidth="1"/>
    <col min="13306" max="13306" width="5.140625" style="2" customWidth="1"/>
    <col min="13307" max="13307" width="9.140625" style="2"/>
    <col min="13308" max="13308" width="4.85546875" style="2" customWidth="1"/>
    <col min="13309" max="13309" width="30.5703125" style="2" customWidth="1"/>
    <col min="13310" max="13310" width="33.85546875" style="2" customWidth="1"/>
    <col min="13311" max="13311" width="5.140625" style="2" customWidth="1"/>
    <col min="13312" max="13313" width="17.5703125" style="2" customWidth="1"/>
    <col min="13314" max="13557" width="9.140625" style="2"/>
    <col min="13558" max="13558" width="3.5703125" style="2" customWidth="1"/>
    <col min="13559" max="13559" width="96.85546875" style="2" customWidth="1"/>
    <col min="13560" max="13560" width="30.85546875" style="2" customWidth="1"/>
    <col min="13561" max="13561" width="12.5703125" style="2" customWidth="1"/>
    <col min="13562" max="13562" width="5.140625" style="2" customWidth="1"/>
    <col min="13563" max="13563" width="9.140625" style="2"/>
    <col min="13564" max="13564" width="4.85546875" style="2" customWidth="1"/>
    <col min="13565" max="13565" width="30.5703125" style="2" customWidth="1"/>
    <col min="13566" max="13566" width="33.85546875" style="2" customWidth="1"/>
    <col min="13567" max="13567" width="5.140625" style="2" customWidth="1"/>
    <col min="13568" max="13569" width="17.5703125" style="2" customWidth="1"/>
    <col min="13570" max="13813" width="9.140625" style="2"/>
    <col min="13814" max="13814" width="3.5703125" style="2" customWidth="1"/>
    <col min="13815" max="13815" width="96.85546875" style="2" customWidth="1"/>
    <col min="13816" max="13816" width="30.85546875" style="2" customWidth="1"/>
    <col min="13817" max="13817" width="12.5703125" style="2" customWidth="1"/>
    <col min="13818" max="13818" width="5.140625" style="2" customWidth="1"/>
    <col min="13819" max="13819" width="9.140625" style="2"/>
    <col min="13820" max="13820" width="4.85546875" style="2" customWidth="1"/>
    <col min="13821" max="13821" width="30.5703125" style="2" customWidth="1"/>
    <col min="13822" max="13822" width="33.85546875" style="2" customWidth="1"/>
    <col min="13823" max="13823" width="5.140625" style="2" customWidth="1"/>
    <col min="13824" max="13825" width="17.5703125" style="2" customWidth="1"/>
    <col min="13826" max="14069" width="9.140625" style="2"/>
    <col min="14070" max="14070" width="3.5703125" style="2" customWidth="1"/>
    <col min="14071" max="14071" width="96.85546875" style="2" customWidth="1"/>
    <col min="14072" max="14072" width="30.85546875" style="2" customWidth="1"/>
    <col min="14073" max="14073" width="12.5703125" style="2" customWidth="1"/>
    <col min="14074" max="14074" width="5.140625" style="2" customWidth="1"/>
    <col min="14075" max="14075" width="9.140625" style="2"/>
    <col min="14076" max="14076" width="4.85546875" style="2" customWidth="1"/>
    <col min="14077" max="14077" width="30.5703125" style="2" customWidth="1"/>
    <col min="14078" max="14078" width="33.85546875" style="2" customWidth="1"/>
    <col min="14079" max="14079" width="5.140625" style="2" customWidth="1"/>
    <col min="14080" max="14081" width="17.5703125" style="2" customWidth="1"/>
    <col min="14082" max="14325" width="9.140625" style="2"/>
    <col min="14326" max="14326" width="3.5703125" style="2" customWidth="1"/>
    <col min="14327" max="14327" width="96.85546875" style="2" customWidth="1"/>
    <col min="14328" max="14328" width="30.85546875" style="2" customWidth="1"/>
    <col min="14329" max="14329" width="12.5703125" style="2" customWidth="1"/>
    <col min="14330" max="14330" width="5.140625" style="2" customWidth="1"/>
    <col min="14331" max="14331" width="9.140625" style="2"/>
    <col min="14332" max="14332" width="4.85546875" style="2" customWidth="1"/>
    <col min="14333" max="14333" width="30.5703125" style="2" customWidth="1"/>
    <col min="14334" max="14334" width="33.85546875" style="2" customWidth="1"/>
    <col min="14335" max="14335" width="5.140625" style="2" customWidth="1"/>
    <col min="14336" max="14337" width="17.5703125" style="2" customWidth="1"/>
    <col min="14338" max="14581" width="9.140625" style="2"/>
    <col min="14582" max="14582" width="3.5703125" style="2" customWidth="1"/>
    <col min="14583" max="14583" width="96.85546875" style="2" customWidth="1"/>
    <col min="14584" max="14584" width="30.85546875" style="2" customWidth="1"/>
    <col min="14585" max="14585" width="12.5703125" style="2" customWidth="1"/>
    <col min="14586" max="14586" width="5.140625" style="2" customWidth="1"/>
    <col min="14587" max="14587" width="9.140625" style="2"/>
    <col min="14588" max="14588" width="4.85546875" style="2" customWidth="1"/>
    <col min="14589" max="14589" width="30.5703125" style="2" customWidth="1"/>
    <col min="14590" max="14590" width="33.85546875" style="2" customWidth="1"/>
    <col min="14591" max="14591" width="5.140625" style="2" customWidth="1"/>
    <col min="14592" max="14593" width="17.5703125" style="2" customWidth="1"/>
    <col min="14594" max="14837" width="9.140625" style="2"/>
    <col min="14838" max="14838" width="3.5703125" style="2" customWidth="1"/>
    <col min="14839" max="14839" width="96.85546875" style="2" customWidth="1"/>
    <col min="14840" max="14840" width="30.85546875" style="2" customWidth="1"/>
    <col min="14841" max="14841" width="12.5703125" style="2" customWidth="1"/>
    <col min="14842" max="14842" width="5.140625" style="2" customWidth="1"/>
    <col min="14843" max="14843" width="9.140625" style="2"/>
    <col min="14844" max="14844" width="4.85546875" style="2" customWidth="1"/>
    <col min="14845" max="14845" width="30.5703125" style="2" customWidth="1"/>
    <col min="14846" max="14846" width="33.85546875" style="2" customWidth="1"/>
    <col min="14847" max="14847" width="5.140625" style="2" customWidth="1"/>
    <col min="14848" max="14849" width="17.5703125" style="2" customWidth="1"/>
    <col min="14850" max="15093" width="9.140625" style="2"/>
    <col min="15094" max="15094" width="3.5703125" style="2" customWidth="1"/>
    <col min="15095" max="15095" width="96.85546875" style="2" customWidth="1"/>
    <col min="15096" max="15096" width="30.85546875" style="2" customWidth="1"/>
    <col min="15097" max="15097" width="12.5703125" style="2" customWidth="1"/>
    <col min="15098" max="15098" width="5.140625" style="2" customWidth="1"/>
    <col min="15099" max="15099" width="9.140625" style="2"/>
    <col min="15100" max="15100" width="4.85546875" style="2" customWidth="1"/>
    <col min="15101" max="15101" width="30.5703125" style="2" customWidth="1"/>
    <col min="15102" max="15102" width="33.85546875" style="2" customWidth="1"/>
    <col min="15103" max="15103" width="5.140625" style="2" customWidth="1"/>
    <col min="15104" max="15105" width="17.5703125" style="2" customWidth="1"/>
    <col min="15106" max="15349" width="9.140625" style="2"/>
    <col min="15350" max="15350" width="3.5703125" style="2" customWidth="1"/>
    <col min="15351" max="15351" width="96.85546875" style="2" customWidth="1"/>
    <col min="15352" max="15352" width="30.85546875" style="2" customWidth="1"/>
    <col min="15353" max="15353" width="12.5703125" style="2" customWidth="1"/>
    <col min="15354" max="15354" width="5.140625" style="2" customWidth="1"/>
    <col min="15355" max="15355" width="9.140625" style="2"/>
    <col min="15356" max="15356" width="4.85546875" style="2" customWidth="1"/>
    <col min="15357" max="15357" width="30.5703125" style="2" customWidth="1"/>
    <col min="15358" max="15358" width="33.85546875" style="2" customWidth="1"/>
    <col min="15359" max="15359" width="5.140625" style="2" customWidth="1"/>
    <col min="15360" max="15361" width="17.5703125" style="2" customWidth="1"/>
    <col min="15362" max="15605" width="9.140625" style="2"/>
    <col min="15606" max="15606" width="3.5703125" style="2" customWidth="1"/>
    <col min="15607" max="15607" width="96.85546875" style="2" customWidth="1"/>
    <col min="15608" max="15608" width="30.85546875" style="2" customWidth="1"/>
    <col min="15609" max="15609" width="12.5703125" style="2" customWidth="1"/>
    <col min="15610" max="15610" width="5.140625" style="2" customWidth="1"/>
    <col min="15611" max="15611" width="9.140625" style="2"/>
    <col min="15612" max="15612" width="4.85546875" style="2" customWidth="1"/>
    <col min="15613" max="15613" width="30.5703125" style="2" customWidth="1"/>
    <col min="15614" max="15614" width="33.85546875" style="2" customWidth="1"/>
    <col min="15615" max="15615" width="5.140625" style="2" customWidth="1"/>
    <col min="15616" max="15617" width="17.5703125" style="2" customWidth="1"/>
    <col min="15618" max="15861" width="9.140625" style="2"/>
    <col min="15862" max="15862" width="3.5703125" style="2" customWidth="1"/>
    <col min="15863" max="15863" width="96.85546875" style="2" customWidth="1"/>
    <col min="15864" max="15864" width="30.85546875" style="2" customWidth="1"/>
    <col min="15865" max="15865" width="12.5703125" style="2" customWidth="1"/>
    <col min="15866" max="15866" width="5.140625" style="2" customWidth="1"/>
    <col min="15867" max="15867" width="9.140625" style="2"/>
    <col min="15868" max="15868" width="4.85546875" style="2" customWidth="1"/>
    <col min="15869" max="15869" width="30.5703125" style="2" customWidth="1"/>
    <col min="15870" max="15870" width="33.85546875" style="2" customWidth="1"/>
    <col min="15871" max="15871" width="5.140625" style="2" customWidth="1"/>
    <col min="15872" max="15873" width="17.5703125" style="2" customWidth="1"/>
    <col min="15874" max="16117" width="9.140625" style="2"/>
    <col min="16118" max="16118" width="3.5703125" style="2" customWidth="1"/>
    <col min="16119" max="16119" width="96.85546875" style="2" customWidth="1"/>
    <col min="16120" max="16120" width="30.85546875" style="2" customWidth="1"/>
    <col min="16121" max="16121" width="12.5703125" style="2" customWidth="1"/>
    <col min="16122" max="16122" width="5.140625" style="2" customWidth="1"/>
    <col min="16123" max="16123" width="9.140625" style="2"/>
    <col min="16124" max="16124" width="4.85546875" style="2" customWidth="1"/>
    <col min="16125" max="16125" width="30.5703125" style="2" customWidth="1"/>
    <col min="16126" max="16126" width="33.85546875" style="2" customWidth="1"/>
    <col min="16127" max="16127" width="5.140625" style="2" customWidth="1"/>
    <col min="16128" max="16129" width="17.5703125" style="2" customWidth="1"/>
    <col min="16130" max="16384" width="9.140625" style="2"/>
  </cols>
  <sheetData>
    <row r="1" spans="1:3" ht="48" customHeight="1" x14ac:dyDescent="0.2">
      <c r="A1" s="111"/>
      <c r="B1" s="143" t="s">
        <v>225</v>
      </c>
      <c r="C1" s="143"/>
    </row>
    <row r="2" spans="1:3" x14ac:dyDescent="0.2">
      <c r="A2" s="1"/>
      <c r="B2" s="3" t="s">
        <v>2</v>
      </c>
      <c r="C2" s="4">
        <v>45317</v>
      </c>
    </row>
    <row r="3" spans="1:3" x14ac:dyDescent="0.2">
      <c r="A3" s="1"/>
      <c r="B3" s="112" t="s">
        <v>3</v>
      </c>
    </row>
    <row r="4" spans="1:3" ht="25.5" x14ac:dyDescent="0.2">
      <c r="A4" s="7"/>
      <c r="B4" s="8" t="str">
        <f>[18]И1!D13</f>
        <v>Субъект Российской Федерации</v>
      </c>
      <c r="C4" s="9" t="str">
        <f>[18]И1!E13</f>
        <v>Новосибирская область</v>
      </c>
    </row>
    <row r="5" spans="1:3" ht="38.25" x14ac:dyDescent="0.2">
      <c r="A5" s="7"/>
      <c r="B5" s="8" t="str">
        <f>[18]И1!D14</f>
        <v>Тип муниципального образования (выберите из списка)</v>
      </c>
      <c r="C5" s="9" t="str">
        <f>[18]И1!E14</f>
        <v>село Спирино, Ордынский муниципальный район</v>
      </c>
    </row>
    <row r="6" spans="1:3" x14ac:dyDescent="0.2">
      <c r="A6" s="7"/>
      <c r="B6" s="8" t="str">
        <f>IF([18]И1!E15="","",[18]И1!D15)</f>
        <v/>
      </c>
      <c r="C6" s="9" t="str">
        <f>IF([18]И1!E15="","",[18]И1!E15)</f>
        <v/>
      </c>
    </row>
    <row r="7" spans="1:3" x14ac:dyDescent="0.2">
      <c r="A7" s="7"/>
      <c r="B7" s="8" t="str">
        <f>[18]И1!D16</f>
        <v>Код ОКТМО</v>
      </c>
      <c r="C7" s="10" t="str">
        <f>[18]И1!E16</f>
        <v>50642425101</v>
      </c>
    </row>
    <row r="8" spans="1:3" x14ac:dyDescent="0.2">
      <c r="A8" s="7"/>
      <c r="B8" s="11" t="str">
        <f>[18]И1!D17</f>
        <v>Система теплоснабжения</v>
      </c>
      <c r="C8" s="12">
        <f>[18]И1!E17</f>
        <v>0</v>
      </c>
    </row>
    <row r="9" spans="1:3" x14ac:dyDescent="0.2">
      <c r="A9" s="7"/>
      <c r="B9" s="8" t="str">
        <f>[18]И1!D8</f>
        <v>Период регулирования (i)-й</v>
      </c>
      <c r="C9" s="13">
        <f>[18]И1!E8</f>
        <v>2024</v>
      </c>
    </row>
    <row r="10" spans="1:3" x14ac:dyDescent="0.2">
      <c r="A10" s="7"/>
      <c r="B10" s="8" t="str">
        <f>[18]И1!D9</f>
        <v>Период регулирования (i-1)-й</v>
      </c>
      <c r="C10" s="13">
        <f>[18]И1!E9</f>
        <v>2023</v>
      </c>
    </row>
    <row r="11" spans="1:3" x14ac:dyDescent="0.2">
      <c r="A11" s="7"/>
      <c r="B11" s="8" t="str">
        <f>[18]И1!D10</f>
        <v>Период регулирования (i-2)-й</v>
      </c>
      <c r="C11" s="13">
        <f>[18]И1!E10</f>
        <v>2022</v>
      </c>
    </row>
    <row r="12" spans="1:3" x14ac:dyDescent="0.2">
      <c r="A12" s="7"/>
      <c r="B12" s="8" t="str">
        <f>[18]И1!D11</f>
        <v>Базовый год (б)</v>
      </c>
      <c r="C12" s="13">
        <f>[18]И1!E11</f>
        <v>2019</v>
      </c>
    </row>
    <row r="13" spans="1:3" ht="38.25" x14ac:dyDescent="0.2">
      <c r="A13" s="7"/>
      <c r="B13" s="8" t="str">
        <f>[18]И1!D18</f>
        <v>Вид топлива, использование которого преобладает в системе теплоснабжения</v>
      </c>
      <c r="C13" s="14" t="str">
        <f>[18]С1.1!E13</f>
        <v>уголь (вид угля не указан в топливном балансе)</v>
      </c>
    </row>
    <row r="14" spans="1:3" ht="31.7" customHeight="1" thickBot="1" x14ac:dyDescent="0.25">
      <c r="A14" s="146" t="s">
        <v>4</v>
      </c>
      <c r="B14" s="146"/>
      <c r="C14" s="146"/>
    </row>
    <row r="15" spans="1:3" x14ac:dyDescent="0.2">
      <c r="A15" s="15" t="s">
        <v>5</v>
      </c>
      <c r="B15" s="113" t="s">
        <v>6</v>
      </c>
      <c r="C15" s="114" t="s">
        <v>7</v>
      </c>
    </row>
    <row r="16" spans="1:3" x14ac:dyDescent="0.2">
      <c r="A16" s="18">
        <v>1</v>
      </c>
      <c r="B16" s="115">
        <v>2</v>
      </c>
      <c r="C16" s="116">
        <v>3</v>
      </c>
    </row>
    <row r="17" spans="1:3" x14ac:dyDescent="0.2">
      <c r="A17" s="21">
        <v>1</v>
      </c>
      <c r="B17" s="22" t="s">
        <v>8</v>
      </c>
      <c r="C17" s="23">
        <f>SUM(C18:C22)</f>
        <v>3660.6855141470101</v>
      </c>
    </row>
    <row r="18" spans="1:3" ht="42.75" x14ac:dyDescent="0.2">
      <c r="A18" s="21" t="s">
        <v>9</v>
      </c>
      <c r="B18" s="24" t="s">
        <v>10</v>
      </c>
      <c r="C18" s="25">
        <f>[18]С1!F12</f>
        <v>681.72722270675411</v>
      </c>
    </row>
    <row r="19" spans="1:3" ht="42.75" x14ac:dyDescent="0.2">
      <c r="A19" s="21" t="s">
        <v>11</v>
      </c>
      <c r="B19" s="24" t="s">
        <v>12</v>
      </c>
      <c r="C19" s="25">
        <f>[18]С2!F12</f>
        <v>1988.7336845318171</v>
      </c>
    </row>
    <row r="20" spans="1:3" ht="30" x14ac:dyDescent="0.2">
      <c r="A20" s="21" t="s">
        <v>13</v>
      </c>
      <c r="B20" s="24" t="s">
        <v>14</v>
      </c>
      <c r="C20" s="25">
        <f>[18]С3!F12</f>
        <v>472.61808029676507</v>
      </c>
    </row>
    <row r="21" spans="1:3" ht="42.75" x14ac:dyDescent="0.2">
      <c r="A21" s="21" t="s">
        <v>15</v>
      </c>
      <c r="B21" s="24" t="s">
        <v>226</v>
      </c>
      <c r="C21" s="25">
        <f>[18]С4!F12</f>
        <v>445.82837927545796</v>
      </c>
    </row>
    <row r="22" spans="1:3" ht="30" x14ac:dyDescent="0.2">
      <c r="A22" s="21" t="s">
        <v>17</v>
      </c>
      <c r="B22" s="24" t="s">
        <v>227</v>
      </c>
      <c r="C22" s="25">
        <f>[18]С5!F12</f>
        <v>71.778147336215881</v>
      </c>
    </row>
    <row r="23" spans="1:3" ht="43.5" thickBot="1" x14ac:dyDescent="0.25">
      <c r="A23" s="26" t="s">
        <v>19</v>
      </c>
      <c r="B23" s="140" t="s">
        <v>228</v>
      </c>
      <c r="C23" s="27" t="str">
        <f>[18]С6!F12</f>
        <v>-</v>
      </c>
    </row>
    <row r="24" spans="1:3" ht="13.5" thickBot="1" x14ac:dyDescent="0.25">
      <c r="A24" s="1"/>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229</v>
      </c>
      <c r="C28" s="32">
        <f>[18]С1.1!E16</f>
        <v>5100</v>
      </c>
    </row>
    <row r="29" spans="1:3" ht="42.75" x14ac:dyDescent="0.2">
      <c r="A29" s="21" t="s">
        <v>11</v>
      </c>
      <c r="B29" s="31" t="s">
        <v>230</v>
      </c>
      <c r="C29" s="32">
        <f>[18]С1.1!E27</f>
        <v>3063.03</v>
      </c>
    </row>
    <row r="30" spans="1:3" ht="17.25" x14ac:dyDescent="0.2">
      <c r="A30" s="21" t="s">
        <v>13</v>
      </c>
      <c r="B30" s="31" t="s">
        <v>30</v>
      </c>
      <c r="C30" s="34">
        <f>[18]С1.1!E19</f>
        <v>-0.19900000000000001</v>
      </c>
    </row>
    <row r="31" spans="1:3" ht="17.25" x14ac:dyDescent="0.2">
      <c r="A31" s="21" t="s">
        <v>15</v>
      </c>
      <c r="B31" s="31" t="s">
        <v>31</v>
      </c>
      <c r="C31" s="34">
        <f>[18]С1.1!E20</f>
        <v>5.7000000000000002E-2</v>
      </c>
    </row>
    <row r="32" spans="1:3" ht="30" x14ac:dyDescent="0.2">
      <c r="A32" s="21" t="s">
        <v>17</v>
      </c>
      <c r="B32" s="35" t="s">
        <v>231</v>
      </c>
      <c r="C32" s="117">
        <f>[18]С1!F13</f>
        <v>176.4</v>
      </c>
    </row>
    <row r="33" spans="1:3" x14ac:dyDescent="0.2">
      <c r="A33" s="21" t="s">
        <v>19</v>
      </c>
      <c r="B33" s="35" t="s">
        <v>33</v>
      </c>
      <c r="C33" s="37">
        <f>[18]С1!F16</f>
        <v>7000</v>
      </c>
    </row>
    <row r="34" spans="1:3" ht="14.25" x14ac:dyDescent="0.2">
      <c r="A34" s="21" t="s">
        <v>34</v>
      </c>
      <c r="B34" s="39" t="s">
        <v>232</v>
      </c>
      <c r="C34" s="40">
        <f>[18]С1!F17</f>
        <v>0.72857142857142854</v>
      </c>
    </row>
    <row r="35" spans="1:3" ht="15.75" x14ac:dyDescent="0.2">
      <c r="A35" s="118" t="s">
        <v>36</v>
      </c>
      <c r="B35" s="42" t="s">
        <v>37</v>
      </c>
      <c r="C35" s="40">
        <f>[18]С1!F20</f>
        <v>21.588411179999994</v>
      </c>
    </row>
    <row r="36" spans="1:3" ht="15.75" x14ac:dyDescent="0.2">
      <c r="A36" s="118" t="s">
        <v>38</v>
      </c>
      <c r="B36" s="43" t="s">
        <v>39</v>
      </c>
      <c r="C36" s="40">
        <f>[18]С1!F21</f>
        <v>20.818139999999996</v>
      </c>
    </row>
    <row r="37" spans="1:3" ht="14.25" x14ac:dyDescent="0.2">
      <c r="A37" s="118" t="s">
        <v>40</v>
      </c>
      <c r="B37" s="44" t="s">
        <v>41</v>
      </c>
      <c r="C37" s="40">
        <f>[18]С1!F22</f>
        <v>1.0369999999999999</v>
      </c>
    </row>
    <row r="38" spans="1:3" ht="53.25" thickBot="1" x14ac:dyDescent="0.25">
      <c r="A38" s="26" t="s">
        <v>42</v>
      </c>
      <c r="B38" s="45" t="s">
        <v>43</v>
      </c>
      <c r="C38" s="46">
        <f>[18]С1!F23</f>
        <v>1.0469999999999999</v>
      </c>
    </row>
    <row r="39" spans="1:3" ht="13.5" thickBot="1" x14ac:dyDescent="0.25">
      <c r="A39" s="47"/>
      <c r="B39" s="119"/>
      <c r="C39" s="120"/>
    </row>
    <row r="40" spans="1:3" ht="30" customHeight="1" x14ac:dyDescent="0.2">
      <c r="A40" s="49" t="s">
        <v>44</v>
      </c>
      <c r="B40" s="145" t="s">
        <v>45</v>
      </c>
      <c r="C40" s="145"/>
    </row>
    <row r="41" spans="1:3" ht="25.5" x14ac:dyDescent="0.2">
      <c r="A41" s="21" t="s">
        <v>46</v>
      </c>
      <c r="B41" s="35" t="s">
        <v>47</v>
      </c>
      <c r="C41" s="50" t="str">
        <f>[18]С2.1!E12</f>
        <v>V</v>
      </c>
    </row>
    <row r="42" spans="1:3" ht="25.5" x14ac:dyDescent="0.2">
      <c r="A42" s="21" t="s">
        <v>48</v>
      </c>
      <c r="B42" s="31" t="s">
        <v>49</v>
      </c>
      <c r="C42" s="50" t="str">
        <f>[18]С2.1!E13</f>
        <v>6 и менее баллов</v>
      </c>
    </row>
    <row r="43" spans="1:3" ht="25.5" x14ac:dyDescent="0.2">
      <c r="A43" s="21" t="s">
        <v>50</v>
      </c>
      <c r="B43" s="31" t="s">
        <v>233</v>
      </c>
      <c r="C43" s="50" t="str">
        <f>[18]С2.1!E14</f>
        <v>от 200 до 500</v>
      </c>
    </row>
    <row r="44" spans="1:3" ht="25.5" x14ac:dyDescent="0.2">
      <c r="A44" s="21" t="s">
        <v>52</v>
      </c>
      <c r="B44" s="31" t="s">
        <v>234</v>
      </c>
      <c r="C44" s="51" t="str">
        <f>[18]С2.1!E15</f>
        <v>нет</v>
      </c>
    </row>
    <row r="45" spans="1:3" ht="30" x14ac:dyDescent="0.2">
      <c r="A45" s="21" t="s">
        <v>54</v>
      </c>
      <c r="B45" s="31" t="s">
        <v>55</v>
      </c>
      <c r="C45" s="32">
        <f>[18]С2!F18</f>
        <v>35106.652004551666</v>
      </c>
    </row>
    <row r="46" spans="1:3" ht="30" x14ac:dyDescent="0.2">
      <c r="A46" s="21" t="s">
        <v>56</v>
      </c>
      <c r="B46" s="52" t="s">
        <v>57</v>
      </c>
      <c r="C46" s="32">
        <f>IF([18]С2!F19&gt;0,[18]С2!F19,[18]С2!F20)</f>
        <v>23441.524932855718</v>
      </c>
    </row>
    <row r="47" spans="1:3" ht="25.5" x14ac:dyDescent="0.2">
      <c r="A47" s="21" t="s">
        <v>58</v>
      </c>
      <c r="B47" s="53" t="s">
        <v>59</v>
      </c>
      <c r="C47" s="32">
        <f>[18]С2.1!E19</f>
        <v>-37</v>
      </c>
    </row>
    <row r="48" spans="1:3" ht="25.5" x14ac:dyDescent="0.2">
      <c r="A48" s="21" t="s">
        <v>60</v>
      </c>
      <c r="B48" s="53" t="s">
        <v>61</v>
      </c>
      <c r="C48" s="32" t="str">
        <f>[18]С2.1!E22</f>
        <v>нет</v>
      </c>
    </row>
    <row r="49" spans="1:3" ht="38.25" x14ac:dyDescent="0.2">
      <c r="A49" s="21" t="s">
        <v>62</v>
      </c>
      <c r="B49" s="54" t="s">
        <v>63</v>
      </c>
      <c r="C49" s="32">
        <f>[18]С2.2!E10</f>
        <v>1287</v>
      </c>
    </row>
    <row r="50" spans="1:3" ht="25.5" x14ac:dyDescent="0.2">
      <c r="A50" s="21" t="s">
        <v>64</v>
      </c>
      <c r="B50" s="55" t="s">
        <v>65</v>
      </c>
      <c r="C50" s="32">
        <f>[18]С2.2!E12</f>
        <v>5.97</v>
      </c>
    </row>
    <row r="51" spans="1:3" ht="52.5" x14ac:dyDescent="0.2">
      <c r="A51" s="21" t="s">
        <v>66</v>
      </c>
      <c r="B51" s="56" t="s">
        <v>67</v>
      </c>
      <c r="C51" s="32">
        <f>[18]С2.2!E13</f>
        <v>1</v>
      </c>
    </row>
    <row r="52" spans="1:3" ht="27.75" x14ac:dyDescent="0.2">
      <c r="A52" s="21" t="s">
        <v>68</v>
      </c>
      <c r="B52" s="55" t="s">
        <v>69</v>
      </c>
      <c r="C52" s="32">
        <f>[18]С2.2!E14</f>
        <v>12104</v>
      </c>
    </row>
    <row r="53" spans="1:3" ht="25.5" x14ac:dyDescent="0.2">
      <c r="A53" s="21" t="s">
        <v>70</v>
      </c>
      <c r="B53" s="56" t="s">
        <v>71</v>
      </c>
      <c r="C53" s="34">
        <f>[18]С2.2!E15</f>
        <v>4.8000000000000001E-2</v>
      </c>
    </row>
    <row r="54" spans="1:3" x14ac:dyDescent="0.2">
      <c r="A54" s="21" t="s">
        <v>72</v>
      </c>
      <c r="B54" s="56" t="s">
        <v>73</v>
      </c>
      <c r="C54" s="32">
        <f>[18]С2.2!E16</f>
        <v>1</v>
      </c>
    </row>
    <row r="55" spans="1:3" ht="15.75" x14ac:dyDescent="0.2">
      <c r="A55" s="21" t="s">
        <v>74</v>
      </c>
      <c r="B55" s="58" t="s">
        <v>75</v>
      </c>
      <c r="C55" s="32">
        <f>[18]С2!F21</f>
        <v>1</v>
      </c>
    </row>
    <row r="56" spans="1:3" ht="30" x14ac:dyDescent="0.2">
      <c r="A56" s="59" t="s">
        <v>76</v>
      </c>
      <c r="B56" s="31" t="s">
        <v>235</v>
      </c>
      <c r="C56" s="32">
        <f>[18]С2!F13</f>
        <v>183796.83936385796</v>
      </c>
    </row>
    <row r="57" spans="1:3" ht="30" x14ac:dyDescent="0.2">
      <c r="A57" s="59" t="s">
        <v>78</v>
      </c>
      <c r="B57" s="58" t="s">
        <v>236</v>
      </c>
      <c r="C57" s="32">
        <f>[18]С2!F14</f>
        <v>113455</v>
      </c>
    </row>
    <row r="58" spans="1:3" ht="15.75" x14ac:dyDescent="0.2">
      <c r="A58" s="59" t="s">
        <v>80</v>
      </c>
      <c r="B58" s="60" t="s">
        <v>81</v>
      </c>
      <c r="C58" s="40">
        <f>[18]С2!F15</f>
        <v>1.071</v>
      </c>
    </row>
    <row r="59" spans="1:3" ht="15.75" x14ac:dyDescent="0.2">
      <c r="A59" s="59" t="s">
        <v>82</v>
      </c>
      <c r="B59" s="60" t="s">
        <v>83</v>
      </c>
      <c r="C59" s="40">
        <f>[18]С2!F16</f>
        <v>1</v>
      </c>
    </row>
    <row r="60" spans="1:3" ht="17.25" x14ac:dyDescent="0.2">
      <c r="A60" s="59" t="s">
        <v>84</v>
      </c>
      <c r="B60" s="58" t="s">
        <v>85</v>
      </c>
      <c r="C60" s="32">
        <f>[18]С2!F17</f>
        <v>1.01</v>
      </c>
    </row>
    <row r="61" spans="1:3" s="65" customFormat="1" ht="14.25" x14ac:dyDescent="0.2">
      <c r="A61" s="59" t="s">
        <v>86</v>
      </c>
      <c r="B61" s="63" t="s">
        <v>87</v>
      </c>
      <c r="C61" s="64">
        <f>[18]С2!F33</f>
        <v>10</v>
      </c>
    </row>
    <row r="62" spans="1:3" ht="30" x14ac:dyDescent="0.2">
      <c r="A62" s="59" t="s">
        <v>88</v>
      </c>
      <c r="B62" s="66" t="s">
        <v>89</v>
      </c>
      <c r="C62" s="32">
        <f>[18]С2!F26</f>
        <v>1266.3745527115127</v>
      </c>
    </row>
    <row r="63" spans="1:3" ht="17.25" x14ac:dyDescent="0.2">
      <c r="A63" s="59" t="s">
        <v>90</v>
      </c>
      <c r="B63" s="52" t="s">
        <v>237</v>
      </c>
      <c r="C63" s="32">
        <f>[18]С2!F27</f>
        <v>0.201330388</v>
      </c>
    </row>
    <row r="64" spans="1:3" ht="17.25" x14ac:dyDescent="0.2">
      <c r="A64" s="59" t="s">
        <v>92</v>
      </c>
      <c r="B64" s="58" t="s">
        <v>238</v>
      </c>
      <c r="C64" s="64">
        <f>[18]С2!F28</f>
        <v>4200</v>
      </c>
    </row>
    <row r="65" spans="1:3" ht="42.75" x14ac:dyDescent="0.2">
      <c r="A65" s="59" t="s">
        <v>94</v>
      </c>
      <c r="B65" s="31" t="s">
        <v>239</v>
      </c>
      <c r="C65" s="32">
        <f>[18]С2!F22</f>
        <v>38698.422798410109</v>
      </c>
    </row>
    <row r="66" spans="1:3" ht="30" x14ac:dyDescent="0.2">
      <c r="A66" s="59" t="s">
        <v>96</v>
      </c>
      <c r="B66" s="60" t="s">
        <v>240</v>
      </c>
      <c r="C66" s="32">
        <f>[18]С2!F23</f>
        <v>1990</v>
      </c>
    </row>
    <row r="67" spans="1:3" ht="30" x14ac:dyDescent="0.2">
      <c r="A67" s="59" t="s">
        <v>98</v>
      </c>
      <c r="B67" s="52" t="s">
        <v>99</v>
      </c>
      <c r="C67" s="32">
        <f>[18]С2.1!E27</f>
        <v>14307.876789999998</v>
      </c>
    </row>
    <row r="68" spans="1:3" ht="38.25" x14ac:dyDescent="0.2">
      <c r="A68" s="59" t="s">
        <v>100</v>
      </c>
      <c r="B68" s="67" t="s">
        <v>101</v>
      </c>
      <c r="C68" s="51">
        <f>[18]С2.3!E21</f>
        <v>0</v>
      </c>
    </row>
    <row r="69" spans="1:3" ht="25.5" x14ac:dyDescent="0.2">
      <c r="A69" s="59" t="s">
        <v>102</v>
      </c>
      <c r="B69" s="68" t="s">
        <v>103</v>
      </c>
      <c r="C69" s="69">
        <f>[18]С2.3!E11</f>
        <v>9.89</v>
      </c>
    </row>
    <row r="70" spans="1:3" ht="25.5" x14ac:dyDescent="0.2">
      <c r="A70" s="59" t="s">
        <v>104</v>
      </c>
      <c r="B70" s="68" t="s">
        <v>105</v>
      </c>
      <c r="C70" s="64">
        <f>[18]С2.3!E13</f>
        <v>300</v>
      </c>
    </row>
    <row r="71" spans="1:3" ht="25.5" x14ac:dyDescent="0.2">
      <c r="A71" s="59" t="s">
        <v>106</v>
      </c>
      <c r="B71" s="67" t="s">
        <v>107</v>
      </c>
      <c r="C71" s="70">
        <f>IF([18]С2.3!E22&gt;0,[18]С2.3!E22,[18]С2.3!E14)</f>
        <v>61211</v>
      </c>
    </row>
    <row r="72" spans="1:3" ht="38.25" x14ac:dyDescent="0.2">
      <c r="A72" s="59" t="s">
        <v>108</v>
      </c>
      <c r="B72" s="67" t="s">
        <v>109</v>
      </c>
      <c r="C72" s="70">
        <f>IF([18]С2.3!E23&gt;0,[18]С2.3!E23,[18]С2.3!E15)</f>
        <v>45675</v>
      </c>
    </row>
    <row r="73" spans="1:3" ht="30" x14ac:dyDescent="0.2">
      <c r="A73" s="59" t="s">
        <v>110</v>
      </c>
      <c r="B73" s="52" t="s">
        <v>111</v>
      </c>
      <c r="C73" s="32">
        <f>[18]С2.1!E28</f>
        <v>9541.9567200000001</v>
      </c>
    </row>
    <row r="74" spans="1:3" ht="38.25" x14ac:dyDescent="0.2">
      <c r="A74" s="59" t="s">
        <v>112</v>
      </c>
      <c r="B74" s="67" t="s">
        <v>113</v>
      </c>
      <c r="C74" s="51">
        <f>[18]С2.3!E25</f>
        <v>0</v>
      </c>
    </row>
    <row r="75" spans="1:3" ht="25.5" x14ac:dyDescent="0.2">
      <c r="A75" s="59" t="s">
        <v>114</v>
      </c>
      <c r="B75" s="68" t="s">
        <v>115</v>
      </c>
      <c r="C75" s="69">
        <f>[18]С2.3!E12</f>
        <v>0.56000000000000005</v>
      </c>
    </row>
    <row r="76" spans="1:3" ht="25.5" x14ac:dyDescent="0.2">
      <c r="A76" s="59" t="s">
        <v>116</v>
      </c>
      <c r="B76" s="68" t="s">
        <v>105</v>
      </c>
      <c r="C76" s="64">
        <f>[18]С2.3!E13</f>
        <v>300</v>
      </c>
    </row>
    <row r="77" spans="1:3" ht="25.5" x14ac:dyDescent="0.2">
      <c r="A77" s="59" t="s">
        <v>117</v>
      </c>
      <c r="B77" s="71" t="s">
        <v>118</v>
      </c>
      <c r="C77" s="70">
        <f>IF([18]С2.3!E26&gt;0,[18]С2.3!E26,[18]С2.3!E16)</f>
        <v>65637</v>
      </c>
    </row>
    <row r="78" spans="1:3" ht="38.25" x14ac:dyDescent="0.2">
      <c r="A78" s="59" t="s">
        <v>119</v>
      </c>
      <c r="B78" s="71" t="s">
        <v>120</v>
      </c>
      <c r="C78" s="70">
        <f>IF([18]С2.3!E27&gt;0,[18]С2.3!E27,[18]С2.3!E17)</f>
        <v>31684</v>
      </c>
    </row>
    <row r="79" spans="1:3" ht="17.25" x14ac:dyDescent="0.2">
      <c r="A79" s="59" t="s">
        <v>123</v>
      </c>
      <c r="B79" s="31" t="s">
        <v>124</v>
      </c>
      <c r="C79" s="34">
        <f>[18]С2!F29</f>
        <v>9.5962865259740182E-2</v>
      </c>
    </row>
    <row r="80" spans="1:3" ht="30" x14ac:dyDescent="0.2">
      <c r="A80" s="59" t="s">
        <v>125</v>
      </c>
      <c r="B80" s="52" t="s">
        <v>126</v>
      </c>
      <c r="C80" s="72">
        <f>[18]С2!F30</f>
        <v>8.4029304029304031E-2</v>
      </c>
    </row>
    <row r="81" spans="1:3" ht="17.25" x14ac:dyDescent="0.2">
      <c r="A81" s="59" t="s">
        <v>127</v>
      </c>
      <c r="B81" s="73" t="s">
        <v>128</v>
      </c>
      <c r="C81" s="34">
        <f>[18]С2!F31</f>
        <v>0.13880000000000001</v>
      </c>
    </row>
    <row r="82" spans="1:3" s="65" customFormat="1" ht="18" thickBot="1" x14ac:dyDescent="0.25">
      <c r="A82" s="74" t="s">
        <v>129</v>
      </c>
      <c r="B82" s="75" t="s">
        <v>130</v>
      </c>
      <c r="C82" s="76">
        <f>[18]С2!F32</f>
        <v>0.12640000000000001</v>
      </c>
    </row>
    <row r="83" spans="1:3" ht="13.5" thickBot="1" x14ac:dyDescent="0.25">
      <c r="A83" s="47"/>
      <c r="B83" s="48"/>
      <c r="C83" s="14"/>
    </row>
    <row r="84" spans="1:3" s="65" customFormat="1" ht="30" customHeight="1" x14ac:dyDescent="0.2">
      <c r="A84" s="77" t="s">
        <v>131</v>
      </c>
      <c r="B84" s="145" t="s">
        <v>132</v>
      </c>
      <c r="C84" s="145"/>
    </row>
    <row r="85" spans="1:3" s="65" customFormat="1" ht="30" x14ac:dyDescent="0.2">
      <c r="A85" s="78" t="s">
        <v>133</v>
      </c>
      <c r="B85" s="31" t="s">
        <v>134</v>
      </c>
      <c r="C85" s="32">
        <f>[18]С3!F14</f>
        <v>6057.0688307111368</v>
      </c>
    </row>
    <row r="86" spans="1:3" s="65" customFormat="1" ht="42.75" x14ac:dyDescent="0.2">
      <c r="A86" s="78" t="s">
        <v>135</v>
      </c>
      <c r="B86" s="52" t="s">
        <v>136</v>
      </c>
      <c r="C86" s="79">
        <f>[18]С3!F15</f>
        <v>0.2</v>
      </c>
    </row>
    <row r="87" spans="1:3" s="65" customFormat="1" ht="14.25" x14ac:dyDescent="0.2">
      <c r="A87" s="78" t="s">
        <v>137</v>
      </c>
      <c r="B87" s="80" t="s">
        <v>138</v>
      </c>
      <c r="C87" s="64">
        <f>[18]С3!F18</f>
        <v>15</v>
      </c>
    </row>
    <row r="88" spans="1:3" s="65" customFormat="1" ht="17.25" x14ac:dyDescent="0.2">
      <c r="A88" s="78" t="s">
        <v>139</v>
      </c>
      <c r="B88" s="31" t="s">
        <v>140</v>
      </c>
      <c r="C88" s="32">
        <f>[18]С3!F19</f>
        <v>3778.1614077800232</v>
      </c>
    </row>
    <row r="89" spans="1:3" s="65" customFormat="1" ht="55.5" x14ac:dyDescent="0.2">
      <c r="A89" s="78" t="s">
        <v>141</v>
      </c>
      <c r="B89" s="52" t="s">
        <v>142</v>
      </c>
      <c r="C89" s="81">
        <f>[18]С3!F20</f>
        <v>2.1999999999999999E-2</v>
      </c>
    </row>
    <row r="90" spans="1:3" s="65" customFormat="1" ht="14.25" x14ac:dyDescent="0.2">
      <c r="A90" s="78" t="s">
        <v>143</v>
      </c>
      <c r="B90" s="58" t="s">
        <v>87</v>
      </c>
      <c r="C90" s="64">
        <f>[18]С3!F21</f>
        <v>10</v>
      </c>
    </row>
    <row r="91" spans="1:3" s="65" customFormat="1" ht="17.25" x14ac:dyDescent="0.2">
      <c r="A91" s="78" t="s">
        <v>144</v>
      </c>
      <c r="B91" s="31" t="s">
        <v>145</v>
      </c>
      <c r="C91" s="32">
        <f>[18]С3!F22</f>
        <v>3.7991236581345382</v>
      </c>
    </row>
    <row r="92" spans="1:3" s="65" customFormat="1" ht="55.5" x14ac:dyDescent="0.2">
      <c r="A92" s="78" t="s">
        <v>146</v>
      </c>
      <c r="B92" s="52" t="s">
        <v>147</v>
      </c>
      <c r="C92" s="81">
        <f>[18]С3!F23</f>
        <v>3.0000000000000001E-3</v>
      </c>
    </row>
    <row r="93" spans="1:3" s="65" customFormat="1" ht="27.75" thickBot="1" x14ac:dyDescent="0.25">
      <c r="A93" s="82" t="s">
        <v>148</v>
      </c>
      <c r="B93" s="83" t="s">
        <v>241</v>
      </c>
      <c r="C93" s="84">
        <f>[18]С3!F24</f>
        <v>1266.3745527115127</v>
      </c>
    </row>
    <row r="94" spans="1:3" ht="13.5" thickBot="1" x14ac:dyDescent="0.25">
      <c r="A94" s="47"/>
      <c r="B94" s="48"/>
      <c r="C94" s="14"/>
    </row>
    <row r="95" spans="1:3" ht="30" customHeight="1" x14ac:dyDescent="0.2">
      <c r="A95" s="85" t="s">
        <v>149</v>
      </c>
      <c r="B95" s="145" t="s">
        <v>150</v>
      </c>
      <c r="C95" s="145"/>
    </row>
    <row r="96" spans="1:3" ht="30" x14ac:dyDescent="0.2">
      <c r="A96" s="59" t="s">
        <v>151</v>
      </c>
      <c r="B96" s="31" t="s">
        <v>242</v>
      </c>
      <c r="C96" s="32">
        <f>[18]С4!F16</f>
        <v>1652.5</v>
      </c>
    </row>
    <row r="97" spans="1:3" ht="30" x14ac:dyDescent="0.2">
      <c r="A97" s="59" t="s">
        <v>153</v>
      </c>
      <c r="B97" s="58" t="s">
        <v>243</v>
      </c>
      <c r="C97" s="32">
        <f>[18]С4!F17</f>
        <v>73547</v>
      </c>
    </row>
    <row r="98" spans="1:3" ht="17.25" x14ac:dyDescent="0.2">
      <c r="A98" s="59" t="s">
        <v>155</v>
      </c>
      <c r="B98" s="58" t="s">
        <v>156</v>
      </c>
      <c r="C98" s="40">
        <f>[18]С4!F18</f>
        <v>0.02</v>
      </c>
    </row>
    <row r="99" spans="1:3" ht="30" x14ac:dyDescent="0.2">
      <c r="A99" s="59" t="s">
        <v>157</v>
      </c>
      <c r="B99" s="58" t="s">
        <v>158</v>
      </c>
      <c r="C99" s="32">
        <f>[18]С4!F19</f>
        <v>12104</v>
      </c>
    </row>
    <row r="100" spans="1:3" ht="28.5" x14ac:dyDescent="0.2">
      <c r="A100" s="59" t="s">
        <v>159</v>
      </c>
      <c r="B100" s="58" t="s">
        <v>160</v>
      </c>
      <c r="C100" s="40">
        <f>[18]С4!F20</f>
        <v>1.4999999999999999E-2</v>
      </c>
    </row>
    <row r="101" spans="1:3" ht="30" x14ac:dyDescent="0.2">
      <c r="A101" s="59" t="s">
        <v>161</v>
      </c>
      <c r="B101" s="31" t="s">
        <v>244</v>
      </c>
      <c r="C101" s="32">
        <f>[18]С4!F21</f>
        <v>1933.1949342509995</v>
      </c>
    </row>
    <row r="102" spans="1:3" ht="24" customHeight="1" x14ac:dyDescent="0.2">
      <c r="A102" s="59" t="s">
        <v>163</v>
      </c>
      <c r="B102" s="52" t="s">
        <v>164</v>
      </c>
      <c r="C102" s="33">
        <f>IF([18]С4.2!F8="да",[18]С4.2!D21,[18]С4.2!D15)</f>
        <v>0</v>
      </c>
    </row>
    <row r="103" spans="1:3" ht="68.25" x14ac:dyDescent="0.2">
      <c r="A103" s="59" t="s">
        <v>165</v>
      </c>
      <c r="B103" s="52" t="s">
        <v>166</v>
      </c>
      <c r="C103" s="32">
        <f>[18]С4!F22</f>
        <v>3.6112641666666665</v>
      </c>
    </row>
    <row r="104" spans="1:3" ht="30" x14ac:dyDescent="0.2">
      <c r="A104" s="59" t="s">
        <v>167</v>
      </c>
      <c r="B104" s="58" t="s">
        <v>245</v>
      </c>
      <c r="C104" s="32">
        <f>[18]С4!F23</f>
        <v>180</v>
      </c>
    </row>
    <row r="105" spans="1:3" ht="14.25" x14ac:dyDescent="0.2">
      <c r="A105" s="59" t="s">
        <v>169</v>
      </c>
      <c r="B105" s="52" t="s">
        <v>170</v>
      </c>
      <c r="C105" s="32">
        <f>[18]С4!F24</f>
        <v>8497.1999999999989</v>
      </c>
    </row>
    <row r="106" spans="1:3" ht="14.25" x14ac:dyDescent="0.2">
      <c r="A106" s="59" t="s">
        <v>171</v>
      </c>
      <c r="B106" s="58" t="s">
        <v>172</v>
      </c>
      <c r="C106" s="40">
        <f>[18]С4!F25</f>
        <v>0.35</v>
      </c>
    </row>
    <row r="107" spans="1:3" ht="17.25" x14ac:dyDescent="0.2">
      <c r="A107" s="59" t="s">
        <v>173</v>
      </c>
      <c r="B107" s="31" t="s">
        <v>174</v>
      </c>
      <c r="C107" s="32">
        <f>[18]С4!F26</f>
        <v>101.95967999999999</v>
      </c>
    </row>
    <row r="108" spans="1:3" ht="25.5" x14ac:dyDescent="0.2">
      <c r="A108" s="59" t="s">
        <v>175</v>
      </c>
      <c r="B108" s="52" t="s">
        <v>101</v>
      </c>
      <c r="C108" s="33">
        <f>[18]С4.3!E16</f>
        <v>0</v>
      </c>
    </row>
    <row r="109" spans="1:3" ht="25.5" x14ac:dyDescent="0.2">
      <c r="A109" s="59" t="s">
        <v>176</v>
      </c>
      <c r="B109" s="52" t="s">
        <v>177</v>
      </c>
      <c r="C109" s="32">
        <f>[18]С4.3!E17</f>
        <v>26.14</v>
      </c>
    </row>
    <row r="110" spans="1:3" ht="38.25" x14ac:dyDescent="0.2">
      <c r="A110" s="59" t="s">
        <v>178</v>
      </c>
      <c r="B110" s="52" t="s">
        <v>113</v>
      </c>
      <c r="C110" s="33">
        <f>[18]С4.3!E18</f>
        <v>0</v>
      </c>
    </row>
    <row r="111" spans="1:3" x14ac:dyDescent="0.2">
      <c r="A111" s="59" t="s">
        <v>179</v>
      </c>
      <c r="B111" s="52" t="s">
        <v>180</v>
      </c>
      <c r="C111" s="32">
        <f>[18]С4.3!E19</f>
        <v>50.424999999999997</v>
      </c>
    </row>
    <row r="112" spans="1:3" x14ac:dyDescent="0.2">
      <c r="A112" s="59" t="s">
        <v>181</v>
      </c>
      <c r="B112" s="58" t="s">
        <v>182</v>
      </c>
      <c r="C112" s="32">
        <f>[18]С4.3!E11</f>
        <v>1871</v>
      </c>
    </row>
    <row r="113" spans="1:3" x14ac:dyDescent="0.2">
      <c r="A113" s="59" t="s">
        <v>183</v>
      </c>
      <c r="B113" s="58" t="s">
        <v>184</v>
      </c>
      <c r="C113" s="51">
        <f>[18]С4.3!E12</f>
        <v>1636</v>
      </c>
    </row>
    <row r="114" spans="1:3" x14ac:dyDescent="0.2">
      <c r="A114" s="59" t="s">
        <v>185</v>
      </c>
      <c r="B114" s="58" t="s">
        <v>186</v>
      </c>
      <c r="C114" s="51">
        <f>[18]С4.3!E13</f>
        <v>204</v>
      </c>
    </row>
    <row r="115" spans="1:3" ht="30" x14ac:dyDescent="0.2">
      <c r="A115" s="59" t="s">
        <v>187</v>
      </c>
      <c r="B115" s="31" t="s">
        <v>246</v>
      </c>
      <c r="C115" s="32">
        <f>[18]С4!F27</f>
        <v>1351.1912129385403</v>
      </c>
    </row>
    <row r="116" spans="1:3" ht="25.5" x14ac:dyDescent="0.2">
      <c r="A116" s="59" t="s">
        <v>189</v>
      </c>
      <c r="B116" s="52" t="s">
        <v>247</v>
      </c>
      <c r="C116" s="32">
        <f>[18]С4!F28</f>
        <v>1037.7812695380494</v>
      </c>
    </row>
    <row r="117" spans="1:3" ht="42.75" x14ac:dyDescent="0.2">
      <c r="A117" s="59" t="s">
        <v>191</v>
      </c>
      <c r="B117" s="52" t="s">
        <v>192</v>
      </c>
      <c r="C117" s="32">
        <f>[18]С4!F29</f>
        <v>313.40994340049093</v>
      </c>
    </row>
    <row r="118" spans="1:3" ht="30" x14ac:dyDescent="0.2">
      <c r="A118" s="59" t="s">
        <v>193</v>
      </c>
      <c r="B118" s="39" t="s">
        <v>194</v>
      </c>
      <c r="C118" s="32">
        <f>[18]С4!F30</f>
        <v>1735.0079167478798</v>
      </c>
    </row>
    <row r="119" spans="1:3" ht="42.75" x14ac:dyDescent="0.2">
      <c r="A119" s="59" t="s">
        <v>248</v>
      </c>
      <c r="B119" s="89" t="s">
        <v>249</v>
      </c>
      <c r="C119" s="32">
        <f>[18]С4!F33</f>
        <v>1010.5011744884268</v>
      </c>
    </row>
    <row r="120" spans="1:3" ht="30" x14ac:dyDescent="0.2">
      <c r="A120" s="59" t="s">
        <v>250</v>
      </c>
      <c r="B120" s="121" t="s">
        <v>251</v>
      </c>
      <c r="C120" s="32">
        <f>[18]С4!F35</f>
        <v>17.040680999999999</v>
      </c>
    </row>
    <row r="121" spans="1:3" ht="14.25" x14ac:dyDescent="0.2">
      <c r="A121" s="59" t="s">
        <v>252</v>
      </c>
      <c r="B121" s="55" t="s">
        <v>253</v>
      </c>
      <c r="C121" s="32">
        <f>[18]С4!F36</f>
        <v>14319.9</v>
      </c>
    </row>
    <row r="122" spans="1:3" ht="28.5" thickBot="1" x14ac:dyDescent="0.25">
      <c r="A122" s="74" t="s">
        <v>254</v>
      </c>
      <c r="B122" s="122" t="s">
        <v>255</v>
      </c>
      <c r="C122" s="84">
        <f>[18]С4!F37</f>
        <v>1.19</v>
      </c>
    </row>
    <row r="123" spans="1:3" s="87" customFormat="1" ht="13.5" thickBot="1" x14ac:dyDescent="0.25">
      <c r="A123" s="47"/>
      <c r="B123" s="48"/>
      <c r="C123" s="14"/>
    </row>
    <row r="124" spans="1:3" s="65" customFormat="1" ht="30" customHeight="1" x14ac:dyDescent="0.2">
      <c r="A124" s="77" t="s">
        <v>195</v>
      </c>
      <c r="B124" s="145" t="s">
        <v>196</v>
      </c>
      <c r="C124" s="145"/>
    </row>
    <row r="125" spans="1:3" ht="16.5" thickBot="1" x14ac:dyDescent="0.25">
      <c r="A125" s="26" t="s">
        <v>197</v>
      </c>
      <c r="B125" s="86" t="s">
        <v>198</v>
      </c>
      <c r="C125" s="84">
        <f>[18]С5!F17</f>
        <v>0.02</v>
      </c>
    </row>
    <row r="126" spans="1:3" s="87" customFormat="1" ht="13.5" thickBot="1" x14ac:dyDescent="0.25">
      <c r="A126" s="47"/>
      <c r="B126" s="48"/>
      <c r="C126" s="14"/>
    </row>
    <row r="127" spans="1:3" ht="42.75" customHeight="1" x14ac:dyDescent="0.2">
      <c r="A127" s="85" t="s">
        <v>199</v>
      </c>
      <c r="B127" s="147" t="s">
        <v>200</v>
      </c>
      <c r="C127" s="147"/>
    </row>
    <row r="128" spans="1:3" ht="68.25" x14ac:dyDescent="0.2">
      <c r="A128" s="59" t="s">
        <v>201</v>
      </c>
      <c r="B128" s="88" t="s">
        <v>202</v>
      </c>
      <c r="C128" s="32" t="s">
        <v>256</v>
      </c>
    </row>
    <row r="129" spans="1:3" ht="42.75" hidden="1" x14ac:dyDescent="0.2">
      <c r="A129" s="59" t="s">
        <v>203</v>
      </c>
      <c r="B129" s="89" t="s">
        <v>204</v>
      </c>
      <c r="C129" s="90"/>
    </row>
    <row r="130" spans="1:3" ht="69" thickBot="1" x14ac:dyDescent="0.25">
      <c r="A130" s="74" t="s">
        <v>205</v>
      </c>
      <c r="B130" s="123" t="s">
        <v>206</v>
      </c>
      <c r="C130" s="124" t="s">
        <v>256</v>
      </c>
    </row>
    <row r="131" spans="1:3" ht="62.25" hidden="1" customHeight="1" x14ac:dyDescent="0.2">
      <c r="A131" s="125" t="s">
        <v>207</v>
      </c>
      <c r="B131" s="126" t="s">
        <v>208</v>
      </c>
      <c r="C131" s="127"/>
    </row>
    <row r="132" spans="1:3" ht="68.25" hidden="1" x14ac:dyDescent="0.2">
      <c r="A132" s="59" t="s">
        <v>209</v>
      </c>
      <c r="B132" s="89" t="s">
        <v>257</v>
      </c>
      <c r="C132" s="34"/>
    </row>
    <row r="133" spans="1:3" ht="69" hidden="1" thickBot="1" x14ac:dyDescent="0.25">
      <c r="A133" s="74" t="s">
        <v>211</v>
      </c>
      <c r="B133" s="92" t="s">
        <v>212</v>
      </c>
      <c r="C133" s="76"/>
    </row>
    <row r="134" spans="1:3" s="87" customFormat="1" ht="13.5" thickBot="1" x14ac:dyDescent="0.25">
      <c r="A134" s="47"/>
      <c r="B134" s="48"/>
      <c r="C134" s="14"/>
    </row>
    <row r="135" spans="1:3" ht="26.25" customHeight="1" x14ac:dyDescent="0.2">
      <c r="A135" s="85" t="s">
        <v>213</v>
      </c>
      <c r="B135" s="93" t="s">
        <v>214</v>
      </c>
      <c r="C135" s="94">
        <f>[18]С2!F37</f>
        <v>20.818139999999996</v>
      </c>
    </row>
    <row r="136" spans="1:3" ht="14.25" x14ac:dyDescent="0.2">
      <c r="A136" s="59" t="s">
        <v>215</v>
      </c>
      <c r="B136" s="128" t="s">
        <v>216</v>
      </c>
      <c r="C136" s="32">
        <f>[18]С2!F38</f>
        <v>7</v>
      </c>
    </row>
    <row r="137" spans="1:3" ht="17.25" x14ac:dyDescent="0.2">
      <c r="A137" s="59" t="s">
        <v>217</v>
      </c>
      <c r="B137" s="128" t="s">
        <v>218</v>
      </c>
      <c r="C137" s="32">
        <f>[18]С2!F40</f>
        <v>0.97</v>
      </c>
    </row>
    <row r="138" spans="1:3" ht="15" thickBot="1" x14ac:dyDescent="0.25">
      <c r="A138" s="74" t="s">
        <v>219</v>
      </c>
      <c r="B138" s="129" t="s">
        <v>220</v>
      </c>
      <c r="C138" s="46">
        <f>[18]С2!F42</f>
        <v>0.35</v>
      </c>
    </row>
    <row r="139" spans="1:3" s="87" customFormat="1" ht="13.5" thickBot="1" x14ac:dyDescent="0.25">
      <c r="A139" s="47"/>
      <c r="B139" s="48"/>
      <c r="C139" s="14"/>
    </row>
    <row r="140" spans="1:3" ht="30" x14ac:dyDescent="0.2">
      <c r="A140" s="85" t="s">
        <v>221</v>
      </c>
      <c r="B140" s="95" t="s">
        <v>258</v>
      </c>
      <c r="C140" s="130">
        <f>[18]С2!F35</f>
        <v>1.4976266307379205</v>
      </c>
    </row>
    <row r="141" spans="1:3" ht="22.7" customHeight="1" thickBot="1" x14ac:dyDescent="0.25">
      <c r="A141" s="74" t="s">
        <v>223</v>
      </c>
      <c r="B141" s="141" t="s">
        <v>224</v>
      </c>
      <c r="C141" s="141"/>
    </row>
    <row r="142" spans="1:3" ht="13.5" thickBot="1" x14ac:dyDescent="0.25">
      <c r="A142" s="97"/>
      <c r="B142" s="131" t="s">
        <v>0</v>
      </c>
      <c r="C142" s="132"/>
    </row>
    <row r="143" spans="1:3" x14ac:dyDescent="0.2">
      <c r="A143" s="97"/>
      <c r="B143" s="133">
        <v>2020</v>
      </c>
      <c r="C143" s="134">
        <f>[18]С2.5!$E$11</f>
        <v>-2.9000000000000026E-2</v>
      </c>
    </row>
    <row r="144" spans="1:3" x14ac:dyDescent="0.2">
      <c r="A144" s="97"/>
      <c r="B144" s="104">
        <f>B143+1</f>
        <v>2021</v>
      </c>
      <c r="C144" s="135">
        <f>[18]С2.5!$F$11</f>
        <v>0.245</v>
      </c>
    </row>
    <row r="145" spans="1:3" x14ac:dyDescent="0.2">
      <c r="A145" s="97"/>
      <c r="B145" s="104">
        <f t="shared" ref="B145:B208" si="0">B144+1</f>
        <v>2022</v>
      </c>
      <c r="C145" s="135">
        <f>[18]С2.5!$G$11</f>
        <v>0.114</v>
      </c>
    </row>
    <row r="146" spans="1:3" ht="13.5" thickBot="1" x14ac:dyDescent="0.25">
      <c r="A146" s="97"/>
      <c r="B146" s="106">
        <f t="shared" si="0"/>
        <v>2023</v>
      </c>
      <c r="C146" s="136">
        <f>[18]С2.5!$H$11</f>
        <v>2.4E-2</v>
      </c>
    </row>
    <row r="147" spans="1:3" x14ac:dyDescent="0.2">
      <c r="A147" s="97"/>
      <c r="B147" s="137">
        <f t="shared" si="0"/>
        <v>2024</v>
      </c>
      <c r="C147" s="138">
        <f>[18]С2.5!$I$11</f>
        <v>8.5999999999999993E-2</v>
      </c>
    </row>
    <row r="148" spans="1:3" hidden="1" x14ac:dyDescent="0.2">
      <c r="A148" s="97"/>
      <c r="B148" s="104">
        <f t="shared" si="0"/>
        <v>2025</v>
      </c>
      <c r="C148" s="135">
        <f>[18]С2.5!$J$11</f>
        <v>0.21215960863291</v>
      </c>
    </row>
    <row r="149" spans="1:3" hidden="1" x14ac:dyDescent="0.2">
      <c r="A149" s="97"/>
      <c r="B149" s="104">
        <f t="shared" si="0"/>
        <v>2026</v>
      </c>
      <c r="C149" s="135">
        <f>[18]С2.5!$K$11</f>
        <v>3.5813361771260002E-2</v>
      </c>
    </row>
    <row r="150" spans="1:3" hidden="1" x14ac:dyDescent="0.2">
      <c r="A150" s="97"/>
      <c r="B150" s="104">
        <f t="shared" si="0"/>
        <v>2027</v>
      </c>
      <c r="C150" s="135">
        <f>[18]С2.5!$L$11</f>
        <v>3.2682303599220003E-2</v>
      </c>
    </row>
    <row r="151" spans="1:3" hidden="1" x14ac:dyDescent="0.2">
      <c r="A151" s="97"/>
      <c r="B151" s="104">
        <f t="shared" si="0"/>
        <v>2028</v>
      </c>
      <c r="C151" s="135">
        <f>[18]С2.5!$M$11</f>
        <v>0</v>
      </c>
    </row>
    <row r="152" spans="1:3" hidden="1" x14ac:dyDescent="0.2">
      <c r="A152" s="97"/>
      <c r="B152" s="104">
        <f t="shared" si="0"/>
        <v>2029</v>
      </c>
      <c r="C152" s="135">
        <f>[18]С2.5!$N$11</f>
        <v>0</v>
      </c>
    </row>
    <row r="153" spans="1:3" hidden="1" x14ac:dyDescent="0.2">
      <c r="A153" s="97"/>
      <c r="B153" s="104">
        <f t="shared" si="0"/>
        <v>2030</v>
      </c>
      <c r="C153" s="135">
        <f>[18]С2.5!$O$11</f>
        <v>0</v>
      </c>
    </row>
    <row r="154" spans="1:3" hidden="1" x14ac:dyDescent="0.2">
      <c r="A154" s="97"/>
      <c r="B154" s="104">
        <f t="shared" si="0"/>
        <v>2031</v>
      </c>
      <c r="C154" s="135">
        <f>[18]С2.5!$P$11</f>
        <v>0</v>
      </c>
    </row>
    <row r="155" spans="1:3" hidden="1" x14ac:dyDescent="0.2">
      <c r="A155" s="87"/>
      <c r="B155" s="104">
        <f t="shared" si="0"/>
        <v>2032</v>
      </c>
      <c r="C155" s="135">
        <f>[18]С2.5!$Q$11</f>
        <v>0</v>
      </c>
    </row>
    <row r="156" spans="1:3" hidden="1" x14ac:dyDescent="0.2">
      <c r="A156" s="87"/>
      <c r="B156" s="104">
        <f t="shared" si="0"/>
        <v>2033</v>
      </c>
      <c r="C156" s="135">
        <f>[18]С2.5!$R$11</f>
        <v>0</v>
      </c>
    </row>
    <row r="157" spans="1:3" hidden="1" x14ac:dyDescent="0.2">
      <c r="B157" s="104">
        <f t="shared" si="0"/>
        <v>2034</v>
      </c>
      <c r="C157" s="135">
        <f>[18]С2.5!$S$11</f>
        <v>0</v>
      </c>
    </row>
    <row r="158" spans="1:3" hidden="1" x14ac:dyDescent="0.2">
      <c r="B158" s="104">
        <f t="shared" si="0"/>
        <v>2035</v>
      </c>
      <c r="C158" s="135">
        <f>[18]С2.5!$T$11</f>
        <v>0</v>
      </c>
    </row>
    <row r="159" spans="1:3" hidden="1" x14ac:dyDescent="0.2">
      <c r="B159" s="104">
        <f t="shared" si="0"/>
        <v>2036</v>
      </c>
      <c r="C159" s="135">
        <f>[18]С2.5!$U$11</f>
        <v>0</v>
      </c>
    </row>
    <row r="160" spans="1:3" hidden="1" x14ac:dyDescent="0.2">
      <c r="B160" s="104">
        <f t="shared" si="0"/>
        <v>2037</v>
      </c>
      <c r="C160" s="135">
        <f>[18]С2.5!$V$11</f>
        <v>0</v>
      </c>
    </row>
    <row r="161" spans="2:3" hidden="1" x14ac:dyDescent="0.2">
      <c r="B161" s="104">
        <f t="shared" si="0"/>
        <v>2038</v>
      </c>
      <c r="C161" s="135">
        <f>[18]С2.5!$W$11</f>
        <v>0</v>
      </c>
    </row>
    <row r="162" spans="2:3" hidden="1" x14ac:dyDescent="0.2">
      <c r="B162" s="104">
        <f t="shared" si="0"/>
        <v>2039</v>
      </c>
      <c r="C162" s="135">
        <f>[18]С2.5!$X$11</f>
        <v>0</v>
      </c>
    </row>
    <row r="163" spans="2:3" hidden="1" x14ac:dyDescent="0.2">
      <c r="B163" s="104">
        <f t="shared" si="0"/>
        <v>2040</v>
      </c>
      <c r="C163" s="135">
        <f>[18]С2.5!$Y$11</f>
        <v>0</v>
      </c>
    </row>
    <row r="164" spans="2:3" hidden="1" x14ac:dyDescent="0.2">
      <c r="B164" s="104">
        <f t="shared" si="0"/>
        <v>2041</v>
      </c>
      <c r="C164" s="135">
        <f>[18]С2.5!$Z$11</f>
        <v>0</v>
      </c>
    </row>
    <row r="165" spans="2:3" hidden="1" x14ac:dyDescent="0.2">
      <c r="B165" s="104">
        <f t="shared" si="0"/>
        <v>2042</v>
      </c>
      <c r="C165" s="135">
        <f>[18]С2.5!$AA$11</f>
        <v>0</v>
      </c>
    </row>
    <row r="166" spans="2:3" hidden="1" x14ac:dyDescent="0.2">
      <c r="B166" s="104">
        <f t="shared" si="0"/>
        <v>2043</v>
      </c>
      <c r="C166" s="135">
        <f>[18]С2.5!$AB$11</f>
        <v>0</v>
      </c>
    </row>
    <row r="167" spans="2:3" hidden="1" x14ac:dyDescent="0.2">
      <c r="B167" s="104">
        <f t="shared" si="0"/>
        <v>2044</v>
      </c>
      <c r="C167" s="135">
        <f>[18]С2.5!$AC$11</f>
        <v>0</v>
      </c>
    </row>
    <row r="168" spans="2:3" hidden="1" x14ac:dyDescent="0.2">
      <c r="B168" s="104">
        <f t="shared" si="0"/>
        <v>2045</v>
      </c>
      <c r="C168" s="135">
        <f>[18]С2.5!$AD$11</f>
        <v>0</v>
      </c>
    </row>
    <row r="169" spans="2:3" hidden="1" x14ac:dyDescent="0.2">
      <c r="B169" s="104">
        <f t="shared" si="0"/>
        <v>2046</v>
      </c>
      <c r="C169" s="135">
        <f>[18]С2.5!$AE$11</f>
        <v>0</v>
      </c>
    </row>
    <row r="170" spans="2:3" hidden="1" x14ac:dyDescent="0.2">
      <c r="B170" s="104">
        <f t="shared" si="0"/>
        <v>2047</v>
      </c>
      <c r="C170" s="135">
        <f>[18]С2.5!$AF$11</f>
        <v>0</v>
      </c>
    </row>
    <row r="171" spans="2:3" hidden="1" x14ac:dyDescent="0.2">
      <c r="B171" s="104">
        <f t="shared" si="0"/>
        <v>2048</v>
      </c>
      <c r="C171" s="135">
        <f>[18]С2.5!$AG$11</f>
        <v>0</v>
      </c>
    </row>
    <row r="172" spans="2:3" hidden="1" x14ac:dyDescent="0.2">
      <c r="B172" s="104">
        <f t="shared" si="0"/>
        <v>2049</v>
      </c>
      <c r="C172" s="135">
        <f>[18]С2.5!$AH$11</f>
        <v>0</v>
      </c>
    </row>
    <row r="173" spans="2:3" hidden="1" x14ac:dyDescent="0.2">
      <c r="B173" s="104">
        <f t="shared" si="0"/>
        <v>2050</v>
      </c>
      <c r="C173" s="135">
        <f>[18]С2.5!$AI$11</f>
        <v>0</v>
      </c>
    </row>
    <row r="174" spans="2:3" hidden="1" x14ac:dyDescent="0.2">
      <c r="B174" s="104">
        <f t="shared" si="0"/>
        <v>2051</v>
      </c>
      <c r="C174" s="135">
        <f>[18]С2.5!$AJ$11</f>
        <v>0</v>
      </c>
    </row>
    <row r="175" spans="2:3" hidden="1" x14ac:dyDescent="0.2">
      <c r="B175" s="104">
        <f t="shared" si="0"/>
        <v>2052</v>
      </c>
      <c r="C175" s="135">
        <f>[18]С2.5!$AK$11</f>
        <v>0</v>
      </c>
    </row>
    <row r="176" spans="2:3" hidden="1" x14ac:dyDescent="0.2">
      <c r="B176" s="104">
        <f t="shared" si="0"/>
        <v>2053</v>
      </c>
      <c r="C176" s="135">
        <f>[18]С2.5!$AL$11</f>
        <v>0</v>
      </c>
    </row>
    <row r="177" spans="2:3" hidden="1" x14ac:dyDescent="0.2">
      <c r="B177" s="104">
        <f t="shared" si="0"/>
        <v>2054</v>
      </c>
      <c r="C177" s="135">
        <f>[18]С2.5!$AM$11</f>
        <v>0</v>
      </c>
    </row>
    <row r="178" spans="2:3" hidden="1" x14ac:dyDescent="0.2">
      <c r="B178" s="104">
        <f t="shared" si="0"/>
        <v>2055</v>
      </c>
      <c r="C178" s="135">
        <f>[18]С2.5!$AN$11</f>
        <v>0</v>
      </c>
    </row>
    <row r="179" spans="2:3" hidden="1" x14ac:dyDescent="0.2">
      <c r="B179" s="104">
        <f t="shared" si="0"/>
        <v>2056</v>
      </c>
      <c r="C179" s="135">
        <f>[18]С2.5!$AO$11</f>
        <v>0</v>
      </c>
    </row>
    <row r="180" spans="2:3" hidden="1" x14ac:dyDescent="0.2">
      <c r="B180" s="104">
        <f t="shared" si="0"/>
        <v>2057</v>
      </c>
      <c r="C180" s="135">
        <f>[18]С2.5!$AP$11</f>
        <v>0</v>
      </c>
    </row>
    <row r="181" spans="2:3" hidden="1" x14ac:dyDescent="0.2">
      <c r="B181" s="104">
        <f t="shared" si="0"/>
        <v>2058</v>
      </c>
      <c r="C181" s="135">
        <f>[18]С2.5!$AQ$11</f>
        <v>0</v>
      </c>
    </row>
    <row r="182" spans="2:3" hidden="1" x14ac:dyDescent="0.2">
      <c r="B182" s="104">
        <f t="shared" si="0"/>
        <v>2059</v>
      </c>
      <c r="C182" s="135">
        <f>[18]С2.5!$AR$11</f>
        <v>0</v>
      </c>
    </row>
    <row r="183" spans="2:3" hidden="1" x14ac:dyDescent="0.2">
      <c r="B183" s="104">
        <f t="shared" si="0"/>
        <v>2060</v>
      </c>
      <c r="C183" s="135">
        <f>[18]С2.5!$AS$11</f>
        <v>0</v>
      </c>
    </row>
    <row r="184" spans="2:3" hidden="1" x14ac:dyDescent="0.2">
      <c r="B184" s="104">
        <f t="shared" si="0"/>
        <v>2061</v>
      </c>
      <c r="C184" s="135">
        <f>[18]С2.5!$AT$11</f>
        <v>0</v>
      </c>
    </row>
    <row r="185" spans="2:3" hidden="1" x14ac:dyDescent="0.2">
      <c r="B185" s="104">
        <f t="shared" si="0"/>
        <v>2062</v>
      </c>
      <c r="C185" s="135">
        <f>[18]С2.5!$AU$11</f>
        <v>0</v>
      </c>
    </row>
    <row r="186" spans="2:3" hidden="1" x14ac:dyDescent="0.2">
      <c r="B186" s="104">
        <f t="shared" si="0"/>
        <v>2063</v>
      </c>
      <c r="C186" s="135">
        <f>[18]С2.5!$AV$11</f>
        <v>0</v>
      </c>
    </row>
    <row r="187" spans="2:3" hidden="1" x14ac:dyDescent="0.2">
      <c r="B187" s="104">
        <f t="shared" si="0"/>
        <v>2064</v>
      </c>
      <c r="C187" s="135">
        <f>[18]С2.5!$AW$11</f>
        <v>0</v>
      </c>
    </row>
    <row r="188" spans="2:3" hidden="1" x14ac:dyDescent="0.2">
      <c r="B188" s="104">
        <f t="shared" si="0"/>
        <v>2065</v>
      </c>
      <c r="C188" s="135">
        <f>[18]С2.5!$AX$11</f>
        <v>0</v>
      </c>
    </row>
    <row r="189" spans="2:3" hidden="1" x14ac:dyDescent="0.2">
      <c r="B189" s="104">
        <f t="shared" si="0"/>
        <v>2066</v>
      </c>
      <c r="C189" s="135">
        <f>[18]С2.5!$AY$11</f>
        <v>0</v>
      </c>
    </row>
    <row r="190" spans="2:3" hidden="1" x14ac:dyDescent="0.2">
      <c r="B190" s="104">
        <f t="shared" si="0"/>
        <v>2067</v>
      </c>
      <c r="C190" s="135">
        <f>[18]С2.5!$AZ$11</f>
        <v>0</v>
      </c>
    </row>
    <row r="191" spans="2:3" hidden="1" x14ac:dyDescent="0.2">
      <c r="B191" s="104">
        <f t="shared" si="0"/>
        <v>2068</v>
      </c>
      <c r="C191" s="135">
        <f>[18]С2.5!$BA$11</f>
        <v>0</v>
      </c>
    </row>
    <row r="192" spans="2:3" hidden="1" x14ac:dyDescent="0.2">
      <c r="B192" s="104">
        <f t="shared" si="0"/>
        <v>2069</v>
      </c>
      <c r="C192" s="135">
        <f>[18]С2.5!$BB$11</f>
        <v>0</v>
      </c>
    </row>
    <row r="193" spans="2:3" hidden="1" x14ac:dyDescent="0.2">
      <c r="B193" s="104">
        <f t="shared" si="0"/>
        <v>2070</v>
      </c>
      <c r="C193" s="135">
        <f>[18]С2.5!$BC$11</f>
        <v>0</v>
      </c>
    </row>
    <row r="194" spans="2:3" hidden="1" x14ac:dyDescent="0.2">
      <c r="B194" s="104">
        <f t="shared" si="0"/>
        <v>2071</v>
      </c>
      <c r="C194" s="135">
        <f>[18]С2.5!$BD$11</f>
        <v>0</v>
      </c>
    </row>
    <row r="195" spans="2:3" hidden="1" x14ac:dyDescent="0.2">
      <c r="B195" s="104">
        <f t="shared" si="0"/>
        <v>2072</v>
      </c>
      <c r="C195" s="135">
        <f>[18]С2.5!$BE$11</f>
        <v>0</v>
      </c>
    </row>
    <row r="196" spans="2:3" hidden="1" x14ac:dyDescent="0.2">
      <c r="B196" s="104">
        <f t="shared" si="0"/>
        <v>2073</v>
      </c>
      <c r="C196" s="135">
        <f>[18]С2.5!$BF$11</f>
        <v>0</v>
      </c>
    </row>
    <row r="197" spans="2:3" hidden="1" x14ac:dyDescent="0.2">
      <c r="B197" s="104">
        <f t="shared" si="0"/>
        <v>2074</v>
      </c>
      <c r="C197" s="135">
        <f>[18]С2.5!$BG$11</f>
        <v>0</v>
      </c>
    </row>
    <row r="198" spans="2:3" hidden="1" x14ac:dyDescent="0.2">
      <c r="B198" s="104">
        <f t="shared" si="0"/>
        <v>2075</v>
      </c>
      <c r="C198" s="135">
        <f>[18]С2.5!$BH$11</f>
        <v>0</v>
      </c>
    </row>
    <row r="199" spans="2:3" hidden="1" x14ac:dyDescent="0.2">
      <c r="B199" s="104">
        <f t="shared" si="0"/>
        <v>2076</v>
      </c>
      <c r="C199" s="135">
        <f>[18]С2.5!$BI$11</f>
        <v>0</v>
      </c>
    </row>
    <row r="200" spans="2:3" hidden="1" x14ac:dyDescent="0.2">
      <c r="B200" s="104">
        <f t="shared" si="0"/>
        <v>2077</v>
      </c>
      <c r="C200" s="135">
        <f>[18]С2.5!$BJ$11</f>
        <v>0</v>
      </c>
    </row>
    <row r="201" spans="2:3" hidden="1" x14ac:dyDescent="0.2">
      <c r="B201" s="104">
        <f t="shared" si="0"/>
        <v>2078</v>
      </c>
      <c r="C201" s="135">
        <f>[18]С2.5!$BK$11</f>
        <v>0</v>
      </c>
    </row>
    <row r="202" spans="2:3" hidden="1" x14ac:dyDescent="0.2">
      <c r="B202" s="104">
        <f t="shared" si="0"/>
        <v>2079</v>
      </c>
      <c r="C202" s="135">
        <f>[18]С2.5!$BL$11</f>
        <v>0</v>
      </c>
    </row>
    <row r="203" spans="2:3" hidden="1" x14ac:dyDescent="0.2">
      <c r="B203" s="104">
        <f t="shared" si="0"/>
        <v>2080</v>
      </c>
      <c r="C203" s="135">
        <f>[18]С2.5!$BM$11</f>
        <v>0</v>
      </c>
    </row>
    <row r="204" spans="2:3" hidden="1" x14ac:dyDescent="0.2">
      <c r="B204" s="104">
        <f t="shared" si="0"/>
        <v>2081</v>
      </c>
      <c r="C204" s="135">
        <f>[18]С2.5!$BN$11</f>
        <v>0</v>
      </c>
    </row>
    <row r="205" spans="2:3" hidden="1" x14ac:dyDescent="0.2">
      <c r="B205" s="104">
        <f t="shared" si="0"/>
        <v>2082</v>
      </c>
      <c r="C205" s="135">
        <f>[18]С2.5!$BO$11</f>
        <v>0</v>
      </c>
    </row>
    <row r="206" spans="2:3" hidden="1" x14ac:dyDescent="0.2">
      <c r="B206" s="104">
        <f t="shared" si="0"/>
        <v>2083</v>
      </c>
      <c r="C206" s="135">
        <f>[18]С2.5!$BP$11</f>
        <v>0</v>
      </c>
    </row>
    <row r="207" spans="2:3" hidden="1" x14ac:dyDescent="0.2">
      <c r="B207" s="104">
        <f t="shared" si="0"/>
        <v>2084</v>
      </c>
      <c r="C207" s="135">
        <f>[18]С2.5!$BQ$11</f>
        <v>0</v>
      </c>
    </row>
    <row r="208" spans="2:3" hidden="1" x14ac:dyDescent="0.2">
      <c r="B208" s="104">
        <f t="shared" si="0"/>
        <v>2085</v>
      </c>
      <c r="C208" s="135">
        <f>[18]С2.5!$BR$11</f>
        <v>0</v>
      </c>
    </row>
    <row r="209" spans="2:3" hidden="1" x14ac:dyDescent="0.2">
      <c r="B209" s="104">
        <f t="shared" ref="B209:B223" si="1">B208+1</f>
        <v>2086</v>
      </c>
      <c r="C209" s="135">
        <f>[18]С2.5!$BS$11</f>
        <v>0</v>
      </c>
    </row>
    <row r="210" spans="2:3" hidden="1" x14ac:dyDescent="0.2">
      <c r="B210" s="104">
        <f t="shared" si="1"/>
        <v>2087</v>
      </c>
      <c r="C210" s="135">
        <f>[18]С2.5!$BT$11</f>
        <v>0</v>
      </c>
    </row>
    <row r="211" spans="2:3" hidden="1" x14ac:dyDescent="0.2">
      <c r="B211" s="104">
        <f t="shared" si="1"/>
        <v>2088</v>
      </c>
      <c r="C211" s="135">
        <f>[18]С2.5!$BU$11</f>
        <v>0</v>
      </c>
    </row>
    <row r="212" spans="2:3" hidden="1" x14ac:dyDescent="0.2">
      <c r="B212" s="104">
        <f t="shared" si="1"/>
        <v>2089</v>
      </c>
      <c r="C212" s="135">
        <f>[18]С2.5!$BV$11</f>
        <v>0</v>
      </c>
    </row>
    <row r="213" spans="2:3" hidden="1" x14ac:dyDescent="0.2">
      <c r="B213" s="104">
        <f t="shared" si="1"/>
        <v>2090</v>
      </c>
      <c r="C213" s="135">
        <f>[18]С2.5!$BW$11</f>
        <v>0</v>
      </c>
    </row>
    <row r="214" spans="2:3" hidden="1" x14ac:dyDescent="0.2">
      <c r="B214" s="104">
        <f t="shared" si="1"/>
        <v>2091</v>
      </c>
      <c r="C214" s="135">
        <f>[18]С2.5!$BX$11</f>
        <v>0</v>
      </c>
    </row>
    <row r="215" spans="2:3" hidden="1" x14ac:dyDescent="0.2">
      <c r="B215" s="104">
        <f t="shared" si="1"/>
        <v>2092</v>
      </c>
      <c r="C215" s="135">
        <f>[18]С2.5!$BY$11</f>
        <v>0</v>
      </c>
    </row>
    <row r="216" spans="2:3" hidden="1" x14ac:dyDescent="0.2">
      <c r="B216" s="104">
        <f t="shared" si="1"/>
        <v>2093</v>
      </c>
      <c r="C216" s="135">
        <f>[18]С2.5!$BZ$11</f>
        <v>0</v>
      </c>
    </row>
    <row r="217" spans="2:3" hidden="1" x14ac:dyDescent="0.2">
      <c r="B217" s="104">
        <f t="shared" si="1"/>
        <v>2094</v>
      </c>
      <c r="C217" s="135">
        <f>[18]С2.5!$CA$11</f>
        <v>0</v>
      </c>
    </row>
    <row r="218" spans="2:3" hidden="1" x14ac:dyDescent="0.2">
      <c r="B218" s="104">
        <f t="shared" si="1"/>
        <v>2095</v>
      </c>
      <c r="C218" s="135">
        <f>[18]С2.5!$CB$11</f>
        <v>0</v>
      </c>
    </row>
    <row r="219" spans="2:3" hidden="1" x14ac:dyDescent="0.2">
      <c r="B219" s="104">
        <f t="shared" si="1"/>
        <v>2096</v>
      </c>
      <c r="C219" s="135">
        <f>[18]С2.5!$CC$11</f>
        <v>0</v>
      </c>
    </row>
    <row r="220" spans="2:3" hidden="1" x14ac:dyDescent="0.2">
      <c r="B220" s="104">
        <f t="shared" si="1"/>
        <v>2097</v>
      </c>
      <c r="C220" s="135">
        <f>[18]С2.5!$CD$11</f>
        <v>0</v>
      </c>
    </row>
    <row r="221" spans="2:3" hidden="1" x14ac:dyDescent="0.2">
      <c r="B221" s="104">
        <f t="shared" si="1"/>
        <v>2098</v>
      </c>
      <c r="C221" s="135">
        <f>[18]С2.5!$CE$11</f>
        <v>0</v>
      </c>
    </row>
    <row r="222" spans="2:3" hidden="1" x14ac:dyDescent="0.2">
      <c r="B222" s="104">
        <f t="shared" si="1"/>
        <v>2099</v>
      </c>
      <c r="C222" s="135">
        <f>[18]С2.5!$CF$11</f>
        <v>0</v>
      </c>
    </row>
    <row r="223" spans="2:3" ht="13.5" hidden="1" thickBot="1" x14ac:dyDescent="0.25">
      <c r="B223" s="106">
        <f t="shared" si="1"/>
        <v>2100</v>
      </c>
      <c r="C223" s="136">
        <f>[18]С2.5!$CG$11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6" customWidth="1"/>
    <col min="4" max="245" width="9.140625" style="2"/>
    <col min="246" max="246" width="3.5703125" style="2" customWidth="1"/>
    <col min="247" max="247" width="96.85546875" style="2" customWidth="1"/>
    <col min="248" max="248" width="30.85546875" style="2" customWidth="1"/>
    <col min="249" max="249" width="12.5703125" style="2" customWidth="1"/>
    <col min="250" max="250" width="5.140625" style="2" customWidth="1"/>
    <col min="251" max="251" width="9.140625" style="2"/>
    <col min="252" max="252" width="4.85546875" style="2" customWidth="1"/>
    <col min="253" max="253" width="30.5703125" style="2" customWidth="1"/>
    <col min="254" max="254" width="33.85546875" style="2" customWidth="1"/>
    <col min="255" max="255" width="5.140625" style="2" customWidth="1"/>
    <col min="256" max="257" width="17.5703125" style="2" customWidth="1"/>
    <col min="258" max="501" width="9.140625" style="2"/>
    <col min="502" max="502" width="3.5703125" style="2" customWidth="1"/>
    <col min="503" max="503" width="96.85546875" style="2" customWidth="1"/>
    <col min="504" max="504" width="30.85546875" style="2" customWidth="1"/>
    <col min="505" max="505" width="12.5703125" style="2" customWidth="1"/>
    <col min="506" max="506" width="5.140625" style="2" customWidth="1"/>
    <col min="507" max="507" width="9.140625" style="2"/>
    <col min="508" max="508" width="4.85546875" style="2" customWidth="1"/>
    <col min="509" max="509" width="30.5703125" style="2" customWidth="1"/>
    <col min="510" max="510" width="33.85546875" style="2" customWidth="1"/>
    <col min="511" max="511" width="5.140625" style="2" customWidth="1"/>
    <col min="512" max="513" width="17.5703125" style="2" customWidth="1"/>
    <col min="514" max="757" width="9.140625" style="2"/>
    <col min="758" max="758" width="3.5703125" style="2" customWidth="1"/>
    <col min="759" max="759" width="96.85546875" style="2" customWidth="1"/>
    <col min="760" max="760" width="30.85546875" style="2" customWidth="1"/>
    <col min="761" max="761" width="12.5703125" style="2" customWidth="1"/>
    <col min="762" max="762" width="5.140625" style="2" customWidth="1"/>
    <col min="763" max="763" width="9.140625" style="2"/>
    <col min="764" max="764" width="4.85546875" style="2" customWidth="1"/>
    <col min="765" max="765" width="30.5703125" style="2" customWidth="1"/>
    <col min="766" max="766" width="33.85546875" style="2" customWidth="1"/>
    <col min="767" max="767" width="5.140625" style="2" customWidth="1"/>
    <col min="768" max="769" width="17.5703125" style="2" customWidth="1"/>
    <col min="770" max="1013" width="9.140625" style="2"/>
    <col min="1014" max="1014" width="3.5703125" style="2" customWidth="1"/>
    <col min="1015" max="1015" width="96.85546875" style="2" customWidth="1"/>
    <col min="1016" max="1016" width="30.85546875" style="2" customWidth="1"/>
    <col min="1017" max="1017" width="12.5703125" style="2" customWidth="1"/>
    <col min="1018" max="1018" width="5.140625" style="2" customWidth="1"/>
    <col min="1019" max="1019" width="9.140625" style="2"/>
    <col min="1020" max="1020" width="4.85546875" style="2" customWidth="1"/>
    <col min="1021" max="1021" width="30.5703125" style="2" customWidth="1"/>
    <col min="1022" max="1022" width="33.85546875" style="2" customWidth="1"/>
    <col min="1023" max="1023" width="5.140625" style="2" customWidth="1"/>
    <col min="1024" max="1025" width="17.5703125" style="2" customWidth="1"/>
    <col min="1026" max="1269" width="9.140625" style="2"/>
    <col min="1270" max="1270" width="3.5703125" style="2" customWidth="1"/>
    <col min="1271" max="1271" width="96.85546875" style="2" customWidth="1"/>
    <col min="1272" max="1272" width="30.85546875" style="2" customWidth="1"/>
    <col min="1273" max="1273" width="12.5703125" style="2" customWidth="1"/>
    <col min="1274" max="1274" width="5.140625" style="2" customWidth="1"/>
    <col min="1275" max="1275" width="9.140625" style="2"/>
    <col min="1276" max="1276" width="4.85546875" style="2" customWidth="1"/>
    <col min="1277" max="1277" width="30.5703125" style="2" customWidth="1"/>
    <col min="1278" max="1278" width="33.85546875" style="2" customWidth="1"/>
    <col min="1279" max="1279" width="5.140625" style="2" customWidth="1"/>
    <col min="1280" max="1281" width="17.5703125" style="2" customWidth="1"/>
    <col min="1282" max="1525" width="9.140625" style="2"/>
    <col min="1526" max="1526" width="3.5703125" style="2" customWidth="1"/>
    <col min="1527" max="1527" width="96.85546875" style="2" customWidth="1"/>
    <col min="1528" max="1528" width="30.85546875" style="2" customWidth="1"/>
    <col min="1529" max="1529" width="12.5703125" style="2" customWidth="1"/>
    <col min="1530" max="1530" width="5.140625" style="2" customWidth="1"/>
    <col min="1531" max="1531" width="9.140625" style="2"/>
    <col min="1532" max="1532" width="4.85546875" style="2" customWidth="1"/>
    <col min="1533" max="1533" width="30.5703125" style="2" customWidth="1"/>
    <col min="1534" max="1534" width="33.85546875" style="2" customWidth="1"/>
    <col min="1535" max="1535" width="5.140625" style="2" customWidth="1"/>
    <col min="1536" max="1537" width="17.5703125" style="2" customWidth="1"/>
    <col min="1538" max="1781" width="9.140625" style="2"/>
    <col min="1782" max="1782" width="3.5703125" style="2" customWidth="1"/>
    <col min="1783" max="1783" width="96.85546875" style="2" customWidth="1"/>
    <col min="1784" max="1784" width="30.85546875" style="2" customWidth="1"/>
    <col min="1785" max="1785" width="12.5703125" style="2" customWidth="1"/>
    <col min="1786" max="1786" width="5.140625" style="2" customWidth="1"/>
    <col min="1787" max="1787" width="9.140625" style="2"/>
    <col min="1788" max="1788" width="4.85546875" style="2" customWidth="1"/>
    <col min="1789" max="1789" width="30.5703125" style="2" customWidth="1"/>
    <col min="1790" max="1790" width="33.85546875" style="2" customWidth="1"/>
    <col min="1791" max="1791" width="5.140625" style="2" customWidth="1"/>
    <col min="1792" max="1793" width="17.5703125" style="2" customWidth="1"/>
    <col min="1794" max="2037" width="9.140625" style="2"/>
    <col min="2038" max="2038" width="3.5703125" style="2" customWidth="1"/>
    <col min="2039" max="2039" width="96.85546875" style="2" customWidth="1"/>
    <col min="2040" max="2040" width="30.85546875" style="2" customWidth="1"/>
    <col min="2041" max="2041" width="12.5703125" style="2" customWidth="1"/>
    <col min="2042" max="2042" width="5.140625" style="2" customWidth="1"/>
    <col min="2043" max="2043" width="9.140625" style="2"/>
    <col min="2044" max="2044" width="4.85546875" style="2" customWidth="1"/>
    <col min="2045" max="2045" width="30.5703125" style="2" customWidth="1"/>
    <col min="2046" max="2046" width="33.85546875" style="2" customWidth="1"/>
    <col min="2047" max="2047" width="5.140625" style="2" customWidth="1"/>
    <col min="2048" max="2049" width="17.5703125" style="2" customWidth="1"/>
    <col min="2050" max="2293" width="9.140625" style="2"/>
    <col min="2294" max="2294" width="3.5703125" style="2" customWidth="1"/>
    <col min="2295" max="2295" width="96.85546875" style="2" customWidth="1"/>
    <col min="2296" max="2296" width="30.85546875" style="2" customWidth="1"/>
    <col min="2297" max="2297" width="12.5703125" style="2" customWidth="1"/>
    <col min="2298" max="2298" width="5.140625" style="2" customWidth="1"/>
    <col min="2299" max="2299" width="9.140625" style="2"/>
    <col min="2300" max="2300" width="4.85546875" style="2" customWidth="1"/>
    <col min="2301" max="2301" width="30.5703125" style="2" customWidth="1"/>
    <col min="2302" max="2302" width="33.85546875" style="2" customWidth="1"/>
    <col min="2303" max="2303" width="5.140625" style="2" customWidth="1"/>
    <col min="2304" max="2305" width="17.5703125" style="2" customWidth="1"/>
    <col min="2306" max="2549" width="9.140625" style="2"/>
    <col min="2550" max="2550" width="3.5703125" style="2" customWidth="1"/>
    <col min="2551" max="2551" width="96.85546875" style="2" customWidth="1"/>
    <col min="2552" max="2552" width="30.85546875" style="2" customWidth="1"/>
    <col min="2553" max="2553" width="12.5703125" style="2" customWidth="1"/>
    <col min="2554" max="2554" width="5.140625" style="2" customWidth="1"/>
    <col min="2555" max="2555" width="9.140625" style="2"/>
    <col min="2556" max="2556" width="4.85546875" style="2" customWidth="1"/>
    <col min="2557" max="2557" width="30.5703125" style="2" customWidth="1"/>
    <col min="2558" max="2558" width="33.85546875" style="2" customWidth="1"/>
    <col min="2559" max="2559" width="5.140625" style="2" customWidth="1"/>
    <col min="2560" max="2561" width="17.5703125" style="2" customWidth="1"/>
    <col min="2562" max="2805" width="9.140625" style="2"/>
    <col min="2806" max="2806" width="3.5703125" style="2" customWidth="1"/>
    <col min="2807" max="2807" width="96.85546875" style="2" customWidth="1"/>
    <col min="2808" max="2808" width="30.85546875" style="2" customWidth="1"/>
    <col min="2809" max="2809" width="12.5703125" style="2" customWidth="1"/>
    <col min="2810" max="2810" width="5.140625" style="2" customWidth="1"/>
    <col min="2811" max="2811" width="9.140625" style="2"/>
    <col min="2812" max="2812" width="4.85546875" style="2" customWidth="1"/>
    <col min="2813" max="2813" width="30.5703125" style="2" customWidth="1"/>
    <col min="2814" max="2814" width="33.85546875" style="2" customWidth="1"/>
    <col min="2815" max="2815" width="5.140625" style="2" customWidth="1"/>
    <col min="2816" max="2817" width="17.5703125" style="2" customWidth="1"/>
    <col min="2818" max="3061" width="9.140625" style="2"/>
    <col min="3062" max="3062" width="3.5703125" style="2" customWidth="1"/>
    <col min="3063" max="3063" width="96.85546875" style="2" customWidth="1"/>
    <col min="3064" max="3064" width="30.85546875" style="2" customWidth="1"/>
    <col min="3065" max="3065" width="12.5703125" style="2" customWidth="1"/>
    <col min="3066" max="3066" width="5.140625" style="2" customWidth="1"/>
    <col min="3067" max="3067" width="9.140625" style="2"/>
    <col min="3068" max="3068" width="4.85546875" style="2" customWidth="1"/>
    <col min="3069" max="3069" width="30.5703125" style="2" customWidth="1"/>
    <col min="3070" max="3070" width="33.85546875" style="2" customWidth="1"/>
    <col min="3071" max="3071" width="5.140625" style="2" customWidth="1"/>
    <col min="3072" max="3073" width="17.5703125" style="2" customWidth="1"/>
    <col min="3074" max="3317" width="9.140625" style="2"/>
    <col min="3318" max="3318" width="3.5703125" style="2" customWidth="1"/>
    <col min="3319" max="3319" width="96.85546875" style="2" customWidth="1"/>
    <col min="3320" max="3320" width="30.85546875" style="2" customWidth="1"/>
    <col min="3321" max="3321" width="12.5703125" style="2" customWidth="1"/>
    <col min="3322" max="3322" width="5.140625" style="2" customWidth="1"/>
    <col min="3323" max="3323" width="9.140625" style="2"/>
    <col min="3324" max="3324" width="4.85546875" style="2" customWidth="1"/>
    <col min="3325" max="3325" width="30.5703125" style="2" customWidth="1"/>
    <col min="3326" max="3326" width="33.85546875" style="2" customWidth="1"/>
    <col min="3327" max="3327" width="5.140625" style="2" customWidth="1"/>
    <col min="3328" max="3329" width="17.5703125" style="2" customWidth="1"/>
    <col min="3330" max="3573" width="9.140625" style="2"/>
    <col min="3574" max="3574" width="3.5703125" style="2" customWidth="1"/>
    <col min="3575" max="3575" width="96.85546875" style="2" customWidth="1"/>
    <col min="3576" max="3576" width="30.85546875" style="2" customWidth="1"/>
    <col min="3577" max="3577" width="12.5703125" style="2" customWidth="1"/>
    <col min="3578" max="3578" width="5.140625" style="2" customWidth="1"/>
    <col min="3579" max="3579" width="9.140625" style="2"/>
    <col min="3580" max="3580" width="4.85546875" style="2" customWidth="1"/>
    <col min="3581" max="3581" width="30.5703125" style="2" customWidth="1"/>
    <col min="3582" max="3582" width="33.85546875" style="2" customWidth="1"/>
    <col min="3583" max="3583" width="5.140625" style="2" customWidth="1"/>
    <col min="3584" max="3585" width="17.5703125" style="2" customWidth="1"/>
    <col min="3586" max="3829" width="9.140625" style="2"/>
    <col min="3830" max="3830" width="3.5703125" style="2" customWidth="1"/>
    <col min="3831" max="3831" width="96.85546875" style="2" customWidth="1"/>
    <col min="3832" max="3832" width="30.85546875" style="2" customWidth="1"/>
    <col min="3833" max="3833" width="12.5703125" style="2" customWidth="1"/>
    <col min="3834" max="3834" width="5.140625" style="2" customWidth="1"/>
    <col min="3835" max="3835" width="9.140625" style="2"/>
    <col min="3836" max="3836" width="4.85546875" style="2" customWidth="1"/>
    <col min="3837" max="3837" width="30.5703125" style="2" customWidth="1"/>
    <col min="3838" max="3838" width="33.85546875" style="2" customWidth="1"/>
    <col min="3839" max="3839" width="5.140625" style="2" customWidth="1"/>
    <col min="3840" max="3841" width="17.5703125" style="2" customWidth="1"/>
    <col min="3842" max="4085" width="9.140625" style="2"/>
    <col min="4086" max="4086" width="3.5703125" style="2" customWidth="1"/>
    <col min="4087" max="4087" width="96.85546875" style="2" customWidth="1"/>
    <col min="4088" max="4088" width="30.85546875" style="2" customWidth="1"/>
    <col min="4089" max="4089" width="12.5703125" style="2" customWidth="1"/>
    <col min="4090" max="4090" width="5.140625" style="2" customWidth="1"/>
    <col min="4091" max="4091" width="9.140625" style="2"/>
    <col min="4092" max="4092" width="4.85546875" style="2" customWidth="1"/>
    <col min="4093" max="4093" width="30.5703125" style="2" customWidth="1"/>
    <col min="4094" max="4094" width="33.85546875" style="2" customWidth="1"/>
    <col min="4095" max="4095" width="5.140625" style="2" customWidth="1"/>
    <col min="4096" max="4097" width="17.5703125" style="2" customWidth="1"/>
    <col min="4098" max="4341" width="9.140625" style="2"/>
    <col min="4342" max="4342" width="3.5703125" style="2" customWidth="1"/>
    <col min="4343" max="4343" width="96.85546875" style="2" customWidth="1"/>
    <col min="4344" max="4344" width="30.85546875" style="2" customWidth="1"/>
    <col min="4345" max="4345" width="12.5703125" style="2" customWidth="1"/>
    <col min="4346" max="4346" width="5.140625" style="2" customWidth="1"/>
    <col min="4347" max="4347" width="9.140625" style="2"/>
    <col min="4348" max="4348" width="4.85546875" style="2" customWidth="1"/>
    <col min="4349" max="4349" width="30.5703125" style="2" customWidth="1"/>
    <col min="4350" max="4350" width="33.85546875" style="2" customWidth="1"/>
    <col min="4351" max="4351" width="5.140625" style="2" customWidth="1"/>
    <col min="4352" max="4353" width="17.5703125" style="2" customWidth="1"/>
    <col min="4354" max="4597" width="9.140625" style="2"/>
    <col min="4598" max="4598" width="3.5703125" style="2" customWidth="1"/>
    <col min="4599" max="4599" width="96.85546875" style="2" customWidth="1"/>
    <col min="4600" max="4600" width="30.85546875" style="2" customWidth="1"/>
    <col min="4601" max="4601" width="12.5703125" style="2" customWidth="1"/>
    <col min="4602" max="4602" width="5.140625" style="2" customWidth="1"/>
    <col min="4603" max="4603" width="9.140625" style="2"/>
    <col min="4604" max="4604" width="4.85546875" style="2" customWidth="1"/>
    <col min="4605" max="4605" width="30.5703125" style="2" customWidth="1"/>
    <col min="4606" max="4606" width="33.85546875" style="2" customWidth="1"/>
    <col min="4607" max="4607" width="5.140625" style="2" customWidth="1"/>
    <col min="4608" max="4609" width="17.5703125" style="2" customWidth="1"/>
    <col min="4610" max="4853" width="9.140625" style="2"/>
    <col min="4854" max="4854" width="3.5703125" style="2" customWidth="1"/>
    <col min="4855" max="4855" width="96.85546875" style="2" customWidth="1"/>
    <col min="4856" max="4856" width="30.85546875" style="2" customWidth="1"/>
    <col min="4857" max="4857" width="12.5703125" style="2" customWidth="1"/>
    <col min="4858" max="4858" width="5.140625" style="2" customWidth="1"/>
    <col min="4859" max="4859" width="9.140625" style="2"/>
    <col min="4860" max="4860" width="4.85546875" style="2" customWidth="1"/>
    <col min="4861" max="4861" width="30.5703125" style="2" customWidth="1"/>
    <col min="4862" max="4862" width="33.85546875" style="2" customWidth="1"/>
    <col min="4863" max="4863" width="5.140625" style="2" customWidth="1"/>
    <col min="4864" max="4865" width="17.5703125" style="2" customWidth="1"/>
    <col min="4866" max="5109" width="9.140625" style="2"/>
    <col min="5110" max="5110" width="3.5703125" style="2" customWidth="1"/>
    <col min="5111" max="5111" width="96.85546875" style="2" customWidth="1"/>
    <col min="5112" max="5112" width="30.85546875" style="2" customWidth="1"/>
    <col min="5113" max="5113" width="12.5703125" style="2" customWidth="1"/>
    <col min="5114" max="5114" width="5.140625" style="2" customWidth="1"/>
    <col min="5115" max="5115" width="9.140625" style="2"/>
    <col min="5116" max="5116" width="4.85546875" style="2" customWidth="1"/>
    <col min="5117" max="5117" width="30.5703125" style="2" customWidth="1"/>
    <col min="5118" max="5118" width="33.85546875" style="2" customWidth="1"/>
    <col min="5119" max="5119" width="5.140625" style="2" customWidth="1"/>
    <col min="5120" max="5121" width="17.5703125" style="2" customWidth="1"/>
    <col min="5122" max="5365" width="9.140625" style="2"/>
    <col min="5366" max="5366" width="3.5703125" style="2" customWidth="1"/>
    <col min="5367" max="5367" width="96.85546875" style="2" customWidth="1"/>
    <col min="5368" max="5368" width="30.85546875" style="2" customWidth="1"/>
    <col min="5369" max="5369" width="12.5703125" style="2" customWidth="1"/>
    <col min="5370" max="5370" width="5.140625" style="2" customWidth="1"/>
    <col min="5371" max="5371" width="9.140625" style="2"/>
    <col min="5372" max="5372" width="4.85546875" style="2" customWidth="1"/>
    <col min="5373" max="5373" width="30.5703125" style="2" customWidth="1"/>
    <col min="5374" max="5374" width="33.85546875" style="2" customWidth="1"/>
    <col min="5375" max="5375" width="5.140625" style="2" customWidth="1"/>
    <col min="5376" max="5377" width="17.5703125" style="2" customWidth="1"/>
    <col min="5378" max="5621" width="9.140625" style="2"/>
    <col min="5622" max="5622" width="3.5703125" style="2" customWidth="1"/>
    <col min="5623" max="5623" width="96.85546875" style="2" customWidth="1"/>
    <col min="5624" max="5624" width="30.85546875" style="2" customWidth="1"/>
    <col min="5625" max="5625" width="12.5703125" style="2" customWidth="1"/>
    <col min="5626" max="5626" width="5.140625" style="2" customWidth="1"/>
    <col min="5627" max="5627" width="9.140625" style="2"/>
    <col min="5628" max="5628" width="4.85546875" style="2" customWidth="1"/>
    <col min="5629" max="5629" width="30.5703125" style="2" customWidth="1"/>
    <col min="5630" max="5630" width="33.85546875" style="2" customWidth="1"/>
    <col min="5631" max="5631" width="5.140625" style="2" customWidth="1"/>
    <col min="5632" max="5633" width="17.5703125" style="2" customWidth="1"/>
    <col min="5634" max="5877" width="9.140625" style="2"/>
    <col min="5878" max="5878" width="3.5703125" style="2" customWidth="1"/>
    <col min="5879" max="5879" width="96.85546875" style="2" customWidth="1"/>
    <col min="5880" max="5880" width="30.85546875" style="2" customWidth="1"/>
    <col min="5881" max="5881" width="12.5703125" style="2" customWidth="1"/>
    <col min="5882" max="5882" width="5.140625" style="2" customWidth="1"/>
    <col min="5883" max="5883" width="9.140625" style="2"/>
    <col min="5884" max="5884" width="4.85546875" style="2" customWidth="1"/>
    <col min="5885" max="5885" width="30.5703125" style="2" customWidth="1"/>
    <col min="5886" max="5886" width="33.85546875" style="2" customWidth="1"/>
    <col min="5887" max="5887" width="5.140625" style="2" customWidth="1"/>
    <col min="5888" max="5889" width="17.5703125" style="2" customWidth="1"/>
    <col min="5890" max="6133" width="9.140625" style="2"/>
    <col min="6134" max="6134" width="3.5703125" style="2" customWidth="1"/>
    <col min="6135" max="6135" width="96.85546875" style="2" customWidth="1"/>
    <col min="6136" max="6136" width="30.85546875" style="2" customWidth="1"/>
    <col min="6137" max="6137" width="12.5703125" style="2" customWidth="1"/>
    <col min="6138" max="6138" width="5.140625" style="2" customWidth="1"/>
    <col min="6139" max="6139" width="9.140625" style="2"/>
    <col min="6140" max="6140" width="4.85546875" style="2" customWidth="1"/>
    <col min="6141" max="6141" width="30.5703125" style="2" customWidth="1"/>
    <col min="6142" max="6142" width="33.85546875" style="2" customWidth="1"/>
    <col min="6143" max="6143" width="5.140625" style="2" customWidth="1"/>
    <col min="6144" max="6145" width="17.5703125" style="2" customWidth="1"/>
    <col min="6146" max="6389" width="9.140625" style="2"/>
    <col min="6390" max="6390" width="3.5703125" style="2" customWidth="1"/>
    <col min="6391" max="6391" width="96.85546875" style="2" customWidth="1"/>
    <col min="6392" max="6392" width="30.85546875" style="2" customWidth="1"/>
    <col min="6393" max="6393" width="12.5703125" style="2" customWidth="1"/>
    <col min="6394" max="6394" width="5.140625" style="2" customWidth="1"/>
    <col min="6395" max="6395" width="9.140625" style="2"/>
    <col min="6396" max="6396" width="4.85546875" style="2" customWidth="1"/>
    <col min="6397" max="6397" width="30.5703125" style="2" customWidth="1"/>
    <col min="6398" max="6398" width="33.85546875" style="2" customWidth="1"/>
    <col min="6399" max="6399" width="5.140625" style="2" customWidth="1"/>
    <col min="6400" max="6401" width="17.5703125" style="2" customWidth="1"/>
    <col min="6402" max="6645" width="9.140625" style="2"/>
    <col min="6646" max="6646" width="3.5703125" style="2" customWidth="1"/>
    <col min="6647" max="6647" width="96.85546875" style="2" customWidth="1"/>
    <col min="6648" max="6648" width="30.85546875" style="2" customWidth="1"/>
    <col min="6649" max="6649" width="12.5703125" style="2" customWidth="1"/>
    <col min="6650" max="6650" width="5.140625" style="2" customWidth="1"/>
    <col min="6651" max="6651" width="9.140625" style="2"/>
    <col min="6652" max="6652" width="4.85546875" style="2" customWidth="1"/>
    <col min="6653" max="6653" width="30.5703125" style="2" customWidth="1"/>
    <col min="6654" max="6654" width="33.85546875" style="2" customWidth="1"/>
    <col min="6655" max="6655" width="5.140625" style="2" customWidth="1"/>
    <col min="6656" max="6657" width="17.5703125" style="2" customWidth="1"/>
    <col min="6658" max="6901" width="9.140625" style="2"/>
    <col min="6902" max="6902" width="3.5703125" style="2" customWidth="1"/>
    <col min="6903" max="6903" width="96.85546875" style="2" customWidth="1"/>
    <col min="6904" max="6904" width="30.85546875" style="2" customWidth="1"/>
    <col min="6905" max="6905" width="12.5703125" style="2" customWidth="1"/>
    <col min="6906" max="6906" width="5.140625" style="2" customWidth="1"/>
    <col min="6907" max="6907" width="9.140625" style="2"/>
    <col min="6908" max="6908" width="4.85546875" style="2" customWidth="1"/>
    <col min="6909" max="6909" width="30.5703125" style="2" customWidth="1"/>
    <col min="6910" max="6910" width="33.85546875" style="2" customWidth="1"/>
    <col min="6911" max="6911" width="5.140625" style="2" customWidth="1"/>
    <col min="6912" max="6913" width="17.5703125" style="2" customWidth="1"/>
    <col min="6914" max="7157" width="9.140625" style="2"/>
    <col min="7158" max="7158" width="3.5703125" style="2" customWidth="1"/>
    <col min="7159" max="7159" width="96.85546875" style="2" customWidth="1"/>
    <col min="7160" max="7160" width="30.85546875" style="2" customWidth="1"/>
    <col min="7161" max="7161" width="12.5703125" style="2" customWidth="1"/>
    <col min="7162" max="7162" width="5.140625" style="2" customWidth="1"/>
    <col min="7163" max="7163" width="9.140625" style="2"/>
    <col min="7164" max="7164" width="4.85546875" style="2" customWidth="1"/>
    <col min="7165" max="7165" width="30.5703125" style="2" customWidth="1"/>
    <col min="7166" max="7166" width="33.85546875" style="2" customWidth="1"/>
    <col min="7167" max="7167" width="5.140625" style="2" customWidth="1"/>
    <col min="7168" max="7169" width="17.5703125" style="2" customWidth="1"/>
    <col min="7170" max="7413" width="9.140625" style="2"/>
    <col min="7414" max="7414" width="3.5703125" style="2" customWidth="1"/>
    <col min="7415" max="7415" width="96.85546875" style="2" customWidth="1"/>
    <col min="7416" max="7416" width="30.85546875" style="2" customWidth="1"/>
    <col min="7417" max="7417" width="12.5703125" style="2" customWidth="1"/>
    <col min="7418" max="7418" width="5.140625" style="2" customWidth="1"/>
    <col min="7419" max="7419" width="9.140625" style="2"/>
    <col min="7420" max="7420" width="4.85546875" style="2" customWidth="1"/>
    <col min="7421" max="7421" width="30.5703125" style="2" customWidth="1"/>
    <col min="7422" max="7422" width="33.85546875" style="2" customWidth="1"/>
    <col min="7423" max="7423" width="5.140625" style="2" customWidth="1"/>
    <col min="7424" max="7425" width="17.5703125" style="2" customWidth="1"/>
    <col min="7426" max="7669" width="9.140625" style="2"/>
    <col min="7670" max="7670" width="3.5703125" style="2" customWidth="1"/>
    <col min="7671" max="7671" width="96.85546875" style="2" customWidth="1"/>
    <col min="7672" max="7672" width="30.85546875" style="2" customWidth="1"/>
    <col min="7673" max="7673" width="12.5703125" style="2" customWidth="1"/>
    <col min="7674" max="7674" width="5.140625" style="2" customWidth="1"/>
    <col min="7675" max="7675" width="9.140625" style="2"/>
    <col min="7676" max="7676" width="4.85546875" style="2" customWidth="1"/>
    <col min="7677" max="7677" width="30.5703125" style="2" customWidth="1"/>
    <col min="7678" max="7678" width="33.85546875" style="2" customWidth="1"/>
    <col min="7679" max="7679" width="5.140625" style="2" customWidth="1"/>
    <col min="7680" max="7681" width="17.5703125" style="2" customWidth="1"/>
    <col min="7682" max="7925" width="9.140625" style="2"/>
    <col min="7926" max="7926" width="3.5703125" style="2" customWidth="1"/>
    <col min="7927" max="7927" width="96.85546875" style="2" customWidth="1"/>
    <col min="7928" max="7928" width="30.85546875" style="2" customWidth="1"/>
    <col min="7929" max="7929" width="12.5703125" style="2" customWidth="1"/>
    <col min="7930" max="7930" width="5.140625" style="2" customWidth="1"/>
    <col min="7931" max="7931" width="9.140625" style="2"/>
    <col min="7932" max="7932" width="4.85546875" style="2" customWidth="1"/>
    <col min="7933" max="7933" width="30.5703125" style="2" customWidth="1"/>
    <col min="7934" max="7934" width="33.85546875" style="2" customWidth="1"/>
    <col min="7935" max="7935" width="5.140625" style="2" customWidth="1"/>
    <col min="7936" max="7937" width="17.5703125" style="2" customWidth="1"/>
    <col min="7938" max="8181" width="9.140625" style="2"/>
    <col min="8182" max="8182" width="3.5703125" style="2" customWidth="1"/>
    <col min="8183" max="8183" width="96.85546875" style="2" customWidth="1"/>
    <col min="8184" max="8184" width="30.85546875" style="2" customWidth="1"/>
    <col min="8185" max="8185" width="12.5703125" style="2" customWidth="1"/>
    <col min="8186" max="8186" width="5.140625" style="2" customWidth="1"/>
    <col min="8187" max="8187" width="9.140625" style="2"/>
    <col min="8188" max="8188" width="4.85546875" style="2" customWidth="1"/>
    <col min="8189" max="8189" width="30.5703125" style="2" customWidth="1"/>
    <col min="8190" max="8190" width="33.85546875" style="2" customWidth="1"/>
    <col min="8191" max="8191" width="5.140625" style="2" customWidth="1"/>
    <col min="8192" max="8193" width="17.5703125" style="2" customWidth="1"/>
    <col min="8194" max="8437" width="9.140625" style="2"/>
    <col min="8438" max="8438" width="3.5703125" style="2" customWidth="1"/>
    <col min="8439" max="8439" width="96.85546875" style="2" customWidth="1"/>
    <col min="8440" max="8440" width="30.85546875" style="2" customWidth="1"/>
    <col min="8441" max="8441" width="12.5703125" style="2" customWidth="1"/>
    <col min="8442" max="8442" width="5.140625" style="2" customWidth="1"/>
    <col min="8443" max="8443" width="9.140625" style="2"/>
    <col min="8444" max="8444" width="4.85546875" style="2" customWidth="1"/>
    <col min="8445" max="8445" width="30.5703125" style="2" customWidth="1"/>
    <col min="8446" max="8446" width="33.85546875" style="2" customWidth="1"/>
    <col min="8447" max="8447" width="5.140625" style="2" customWidth="1"/>
    <col min="8448" max="8449" width="17.5703125" style="2" customWidth="1"/>
    <col min="8450" max="8693" width="9.140625" style="2"/>
    <col min="8694" max="8694" width="3.5703125" style="2" customWidth="1"/>
    <col min="8695" max="8695" width="96.85546875" style="2" customWidth="1"/>
    <col min="8696" max="8696" width="30.85546875" style="2" customWidth="1"/>
    <col min="8697" max="8697" width="12.5703125" style="2" customWidth="1"/>
    <col min="8698" max="8698" width="5.140625" style="2" customWidth="1"/>
    <col min="8699" max="8699" width="9.140625" style="2"/>
    <col min="8700" max="8700" width="4.85546875" style="2" customWidth="1"/>
    <col min="8701" max="8701" width="30.5703125" style="2" customWidth="1"/>
    <col min="8702" max="8702" width="33.85546875" style="2" customWidth="1"/>
    <col min="8703" max="8703" width="5.140625" style="2" customWidth="1"/>
    <col min="8704" max="8705" width="17.5703125" style="2" customWidth="1"/>
    <col min="8706" max="8949" width="9.140625" style="2"/>
    <col min="8950" max="8950" width="3.5703125" style="2" customWidth="1"/>
    <col min="8951" max="8951" width="96.85546875" style="2" customWidth="1"/>
    <col min="8952" max="8952" width="30.85546875" style="2" customWidth="1"/>
    <col min="8953" max="8953" width="12.5703125" style="2" customWidth="1"/>
    <col min="8954" max="8954" width="5.140625" style="2" customWidth="1"/>
    <col min="8955" max="8955" width="9.140625" style="2"/>
    <col min="8956" max="8956" width="4.85546875" style="2" customWidth="1"/>
    <col min="8957" max="8957" width="30.5703125" style="2" customWidth="1"/>
    <col min="8958" max="8958" width="33.85546875" style="2" customWidth="1"/>
    <col min="8959" max="8959" width="5.140625" style="2" customWidth="1"/>
    <col min="8960" max="8961" width="17.5703125" style="2" customWidth="1"/>
    <col min="8962" max="9205" width="9.140625" style="2"/>
    <col min="9206" max="9206" width="3.5703125" style="2" customWidth="1"/>
    <col min="9207" max="9207" width="96.85546875" style="2" customWidth="1"/>
    <col min="9208" max="9208" width="30.85546875" style="2" customWidth="1"/>
    <col min="9209" max="9209" width="12.5703125" style="2" customWidth="1"/>
    <col min="9210" max="9210" width="5.140625" style="2" customWidth="1"/>
    <col min="9211" max="9211" width="9.140625" style="2"/>
    <col min="9212" max="9212" width="4.85546875" style="2" customWidth="1"/>
    <col min="9213" max="9213" width="30.5703125" style="2" customWidth="1"/>
    <col min="9214" max="9214" width="33.85546875" style="2" customWidth="1"/>
    <col min="9215" max="9215" width="5.140625" style="2" customWidth="1"/>
    <col min="9216" max="9217" width="17.5703125" style="2" customWidth="1"/>
    <col min="9218" max="9461" width="9.140625" style="2"/>
    <col min="9462" max="9462" width="3.5703125" style="2" customWidth="1"/>
    <col min="9463" max="9463" width="96.85546875" style="2" customWidth="1"/>
    <col min="9464" max="9464" width="30.85546875" style="2" customWidth="1"/>
    <col min="9465" max="9465" width="12.5703125" style="2" customWidth="1"/>
    <col min="9466" max="9466" width="5.140625" style="2" customWidth="1"/>
    <col min="9467" max="9467" width="9.140625" style="2"/>
    <col min="9468" max="9468" width="4.85546875" style="2" customWidth="1"/>
    <col min="9469" max="9469" width="30.5703125" style="2" customWidth="1"/>
    <col min="9470" max="9470" width="33.85546875" style="2" customWidth="1"/>
    <col min="9471" max="9471" width="5.140625" style="2" customWidth="1"/>
    <col min="9472" max="9473" width="17.5703125" style="2" customWidth="1"/>
    <col min="9474" max="9717" width="9.140625" style="2"/>
    <col min="9718" max="9718" width="3.5703125" style="2" customWidth="1"/>
    <col min="9719" max="9719" width="96.85546875" style="2" customWidth="1"/>
    <col min="9720" max="9720" width="30.85546875" style="2" customWidth="1"/>
    <col min="9721" max="9721" width="12.5703125" style="2" customWidth="1"/>
    <col min="9722" max="9722" width="5.140625" style="2" customWidth="1"/>
    <col min="9723" max="9723" width="9.140625" style="2"/>
    <col min="9724" max="9724" width="4.85546875" style="2" customWidth="1"/>
    <col min="9725" max="9725" width="30.5703125" style="2" customWidth="1"/>
    <col min="9726" max="9726" width="33.85546875" style="2" customWidth="1"/>
    <col min="9727" max="9727" width="5.140625" style="2" customWidth="1"/>
    <col min="9728" max="9729" width="17.5703125" style="2" customWidth="1"/>
    <col min="9730" max="9973" width="9.140625" style="2"/>
    <col min="9974" max="9974" width="3.5703125" style="2" customWidth="1"/>
    <col min="9975" max="9975" width="96.85546875" style="2" customWidth="1"/>
    <col min="9976" max="9976" width="30.85546875" style="2" customWidth="1"/>
    <col min="9977" max="9977" width="12.5703125" style="2" customWidth="1"/>
    <col min="9978" max="9978" width="5.140625" style="2" customWidth="1"/>
    <col min="9979" max="9979" width="9.140625" style="2"/>
    <col min="9980" max="9980" width="4.85546875" style="2" customWidth="1"/>
    <col min="9981" max="9981" width="30.5703125" style="2" customWidth="1"/>
    <col min="9982" max="9982" width="33.85546875" style="2" customWidth="1"/>
    <col min="9983" max="9983" width="5.140625" style="2" customWidth="1"/>
    <col min="9984" max="9985" width="17.5703125" style="2" customWidth="1"/>
    <col min="9986" max="10229" width="9.140625" style="2"/>
    <col min="10230" max="10230" width="3.5703125" style="2" customWidth="1"/>
    <col min="10231" max="10231" width="96.85546875" style="2" customWidth="1"/>
    <col min="10232" max="10232" width="30.85546875" style="2" customWidth="1"/>
    <col min="10233" max="10233" width="12.5703125" style="2" customWidth="1"/>
    <col min="10234" max="10234" width="5.140625" style="2" customWidth="1"/>
    <col min="10235" max="10235" width="9.140625" style="2"/>
    <col min="10236" max="10236" width="4.85546875" style="2" customWidth="1"/>
    <col min="10237" max="10237" width="30.5703125" style="2" customWidth="1"/>
    <col min="10238" max="10238" width="33.85546875" style="2" customWidth="1"/>
    <col min="10239" max="10239" width="5.140625" style="2" customWidth="1"/>
    <col min="10240" max="10241" width="17.5703125" style="2" customWidth="1"/>
    <col min="10242" max="10485" width="9.140625" style="2"/>
    <col min="10486" max="10486" width="3.5703125" style="2" customWidth="1"/>
    <col min="10487" max="10487" width="96.85546875" style="2" customWidth="1"/>
    <col min="10488" max="10488" width="30.85546875" style="2" customWidth="1"/>
    <col min="10489" max="10489" width="12.5703125" style="2" customWidth="1"/>
    <col min="10490" max="10490" width="5.140625" style="2" customWidth="1"/>
    <col min="10491" max="10491" width="9.140625" style="2"/>
    <col min="10492" max="10492" width="4.85546875" style="2" customWidth="1"/>
    <col min="10493" max="10493" width="30.5703125" style="2" customWidth="1"/>
    <col min="10494" max="10494" width="33.85546875" style="2" customWidth="1"/>
    <col min="10495" max="10495" width="5.140625" style="2" customWidth="1"/>
    <col min="10496" max="10497" width="17.5703125" style="2" customWidth="1"/>
    <col min="10498" max="10741" width="9.140625" style="2"/>
    <col min="10742" max="10742" width="3.5703125" style="2" customWidth="1"/>
    <col min="10743" max="10743" width="96.85546875" style="2" customWidth="1"/>
    <col min="10744" max="10744" width="30.85546875" style="2" customWidth="1"/>
    <col min="10745" max="10745" width="12.5703125" style="2" customWidth="1"/>
    <col min="10746" max="10746" width="5.140625" style="2" customWidth="1"/>
    <col min="10747" max="10747" width="9.140625" style="2"/>
    <col min="10748" max="10748" width="4.85546875" style="2" customWidth="1"/>
    <col min="10749" max="10749" width="30.5703125" style="2" customWidth="1"/>
    <col min="10750" max="10750" width="33.85546875" style="2" customWidth="1"/>
    <col min="10751" max="10751" width="5.140625" style="2" customWidth="1"/>
    <col min="10752" max="10753" width="17.5703125" style="2" customWidth="1"/>
    <col min="10754" max="10997" width="9.140625" style="2"/>
    <col min="10998" max="10998" width="3.5703125" style="2" customWidth="1"/>
    <col min="10999" max="10999" width="96.85546875" style="2" customWidth="1"/>
    <col min="11000" max="11000" width="30.85546875" style="2" customWidth="1"/>
    <col min="11001" max="11001" width="12.5703125" style="2" customWidth="1"/>
    <col min="11002" max="11002" width="5.140625" style="2" customWidth="1"/>
    <col min="11003" max="11003" width="9.140625" style="2"/>
    <col min="11004" max="11004" width="4.85546875" style="2" customWidth="1"/>
    <col min="11005" max="11005" width="30.5703125" style="2" customWidth="1"/>
    <col min="11006" max="11006" width="33.85546875" style="2" customWidth="1"/>
    <col min="11007" max="11007" width="5.140625" style="2" customWidth="1"/>
    <col min="11008" max="11009" width="17.5703125" style="2" customWidth="1"/>
    <col min="11010" max="11253" width="9.140625" style="2"/>
    <col min="11254" max="11254" width="3.5703125" style="2" customWidth="1"/>
    <col min="11255" max="11255" width="96.85546875" style="2" customWidth="1"/>
    <col min="11256" max="11256" width="30.85546875" style="2" customWidth="1"/>
    <col min="11257" max="11257" width="12.5703125" style="2" customWidth="1"/>
    <col min="11258" max="11258" width="5.140625" style="2" customWidth="1"/>
    <col min="11259" max="11259" width="9.140625" style="2"/>
    <col min="11260" max="11260" width="4.85546875" style="2" customWidth="1"/>
    <col min="11261" max="11261" width="30.5703125" style="2" customWidth="1"/>
    <col min="11262" max="11262" width="33.85546875" style="2" customWidth="1"/>
    <col min="11263" max="11263" width="5.140625" style="2" customWidth="1"/>
    <col min="11264" max="11265" width="17.5703125" style="2" customWidth="1"/>
    <col min="11266" max="11509" width="9.140625" style="2"/>
    <col min="11510" max="11510" width="3.5703125" style="2" customWidth="1"/>
    <col min="11511" max="11511" width="96.85546875" style="2" customWidth="1"/>
    <col min="11512" max="11512" width="30.85546875" style="2" customWidth="1"/>
    <col min="11513" max="11513" width="12.5703125" style="2" customWidth="1"/>
    <col min="11514" max="11514" width="5.140625" style="2" customWidth="1"/>
    <col min="11515" max="11515" width="9.140625" style="2"/>
    <col min="11516" max="11516" width="4.85546875" style="2" customWidth="1"/>
    <col min="11517" max="11517" width="30.5703125" style="2" customWidth="1"/>
    <col min="11518" max="11518" width="33.85546875" style="2" customWidth="1"/>
    <col min="11519" max="11519" width="5.140625" style="2" customWidth="1"/>
    <col min="11520" max="11521" width="17.5703125" style="2" customWidth="1"/>
    <col min="11522" max="11765" width="9.140625" style="2"/>
    <col min="11766" max="11766" width="3.5703125" style="2" customWidth="1"/>
    <col min="11767" max="11767" width="96.85546875" style="2" customWidth="1"/>
    <col min="11768" max="11768" width="30.85546875" style="2" customWidth="1"/>
    <col min="11769" max="11769" width="12.5703125" style="2" customWidth="1"/>
    <col min="11770" max="11770" width="5.140625" style="2" customWidth="1"/>
    <col min="11771" max="11771" width="9.140625" style="2"/>
    <col min="11772" max="11772" width="4.85546875" style="2" customWidth="1"/>
    <col min="11773" max="11773" width="30.5703125" style="2" customWidth="1"/>
    <col min="11774" max="11774" width="33.85546875" style="2" customWidth="1"/>
    <col min="11775" max="11775" width="5.140625" style="2" customWidth="1"/>
    <col min="11776" max="11777" width="17.5703125" style="2" customWidth="1"/>
    <col min="11778" max="12021" width="9.140625" style="2"/>
    <col min="12022" max="12022" width="3.5703125" style="2" customWidth="1"/>
    <col min="12023" max="12023" width="96.85546875" style="2" customWidth="1"/>
    <col min="12024" max="12024" width="30.85546875" style="2" customWidth="1"/>
    <col min="12025" max="12025" width="12.5703125" style="2" customWidth="1"/>
    <col min="12026" max="12026" width="5.140625" style="2" customWidth="1"/>
    <col min="12027" max="12027" width="9.140625" style="2"/>
    <col min="12028" max="12028" width="4.85546875" style="2" customWidth="1"/>
    <col min="12029" max="12029" width="30.5703125" style="2" customWidth="1"/>
    <col min="12030" max="12030" width="33.85546875" style="2" customWidth="1"/>
    <col min="12031" max="12031" width="5.140625" style="2" customWidth="1"/>
    <col min="12032" max="12033" width="17.5703125" style="2" customWidth="1"/>
    <col min="12034" max="12277" width="9.140625" style="2"/>
    <col min="12278" max="12278" width="3.5703125" style="2" customWidth="1"/>
    <col min="12279" max="12279" width="96.85546875" style="2" customWidth="1"/>
    <col min="12280" max="12280" width="30.85546875" style="2" customWidth="1"/>
    <col min="12281" max="12281" width="12.5703125" style="2" customWidth="1"/>
    <col min="12282" max="12282" width="5.140625" style="2" customWidth="1"/>
    <col min="12283" max="12283" width="9.140625" style="2"/>
    <col min="12284" max="12284" width="4.85546875" style="2" customWidth="1"/>
    <col min="12285" max="12285" width="30.5703125" style="2" customWidth="1"/>
    <col min="12286" max="12286" width="33.85546875" style="2" customWidth="1"/>
    <col min="12287" max="12287" width="5.140625" style="2" customWidth="1"/>
    <col min="12288" max="12289" width="17.5703125" style="2" customWidth="1"/>
    <col min="12290" max="12533" width="9.140625" style="2"/>
    <col min="12534" max="12534" width="3.5703125" style="2" customWidth="1"/>
    <col min="12535" max="12535" width="96.85546875" style="2" customWidth="1"/>
    <col min="12536" max="12536" width="30.85546875" style="2" customWidth="1"/>
    <col min="12537" max="12537" width="12.5703125" style="2" customWidth="1"/>
    <col min="12538" max="12538" width="5.140625" style="2" customWidth="1"/>
    <col min="12539" max="12539" width="9.140625" style="2"/>
    <col min="12540" max="12540" width="4.85546875" style="2" customWidth="1"/>
    <col min="12541" max="12541" width="30.5703125" style="2" customWidth="1"/>
    <col min="12542" max="12542" width="33.85546875" style="2" customWidth="1"/>
    <col min="12543" max="12543" width="5.140625" style="2" customWidth="1"/>
    <col min="12544" max="12545" width="17.5703125" style="2" customWidth="1"/>
    <col min="12546" max="12789" width="9.140625" style="2"/>
    <col min="12790" max="12790" width="3.5703125" style="2" customWidth="1"/>
    <col min="12791" max="12791" width="96.85546875" style="2" customWidth="1"/>
    <col min="12792" max="12792" width="30.85546875" style="2" customWidth="1"/>
    <col min="12793" max="12793" width="12.5703125" style="2" customWidth="1"/>
    <col min="12794" max="12794" width="5.140625" style="2" customWidth="1"/>
    <col min="12795" max="12795" width="9.140625" style="2"/>
    <col min="12796" max="12796" width="4.85546875" style="2" customWidth="1"/>
    <col min="12797" max="12797" width="30.5703125" style="2" customWidth="1"/>
    <col min="12798" max="12798" width="33.85546875" style="2" customWidth="1"/>
    <col min="12799" max="12799" width="5.140625" style="2" customWidth="1"/>
    <col min="12800" max="12801" width="17.5703125" style="2" customWidth="1"/>
    <col min="12802" max="13045" width="9.140625" style="2"/>
    <col min="13046" max="13046" width="3.5703125" style="2" customWidth="1"/>
    <col min="13047" max="13047" width="96.85546875" style="2" customWidth="1"/>
    <col min="13048" max="13048" width="30.85546875" style="2" customWidth="1"/>
    <col min="13049" max="13049" width="12.5703125" style="2" customWidth="1"/>
    <col min="13050" max="13050" width="5.140625" style="2" customWidth="1"/>
    <col min="13051" max="13051" width="9.140625" style="2"/>
    <col min="13052" max="13052" width="4.85546875" style="2" customWidth="1"/>
    <col min="13053" max="13053" width="30.5703125" style="2" customWidth="1"/>
    <col min="13054" max="13054" width="33.85546875" style="2" customWidth="1"/>
    <col min="13055" max="13055" width="5.140625" style="2" customWidth="1"/>
    <col min="13056" max="13057" width="17.5703125" style="2" customWidth="1"/>
    <col min="13058" max="13301" width="9.140625" style="2"/>
    <col min="13302" max="13302" width="3.5703125" style="2" customWidth="1"/>
    <col min="13303" max="13303" width="96.85546875" style="2" customWidth="1"/>
    <col min="13304" max="13304" width="30.85546875" style="2" customWidth="1"/>
    <col min="13305" max="13305" width="12.5703125" style="2" customWidth="1"/>
    <col min="13306" max="13306" width="5.140625" style="2" customWidth="1"/>
    <col min="13307" max="13307" width="9.140625" style="2"/>
    <col min="13308" max="13308" width="4.85546875" style="2" customWidth="1"/>
    <col min="13309" max="13309" width="30.5703125" style="2" customWidth="1"/>
    <col min="13310" max="13310" width="33.85546875" style="2" customWidth="1"/>
    <col min="13311" max="13311" width="5.140625" style="2" customWidth="1"/>
    <col min="13312" max="13313" width="17.5703125" style="2" customWidth="1"/>
    <col min="13314" max="13557" width="9.140625" style="2"/>
    <col min="13558" max="13558" width="3.5703125" style="2" customWidth="1"/>
    <col min="13559" max="13559" width="96.85546875" style="2" customWidth="1"/>
    <col min="13560" max="13560" width="30.85546875" style="2" customWidth="1"/>
    <col min="13561" max="13561" width="12.5703125" style="2" customWidth="1"/>
    <col min="13562" max="13562" width="5.140625" style="2" customWidth="1"/>
    <col min="13563" max="13563" width="9.140625" style="2"/>
    <col min="13564" max="13564" width="4.85546875" style="2" customWidth="1"/>
    <col min="13565" max="13565" width="30.5703125" style="2" customWidth="1"/>
    <col min="13566" max="13566" width="33.85546875" style="2" customWidth="1"/>
    <col min="13567" max="13567" width="5.140625" style="2" customWidth="1"/>
    <col min="13568" max="13569" width="17.5703125" style="2" customWidth="1"/>
    <col min="13570" max="13813" width="9.140625" style="2"/>
    <col min="13814" max="13814" width="3.5703125" style="2" customWidth="1"/>
    <col min="13815" max="13815" width="96.85546875" style="2" customWidth="1"/>
    <col min="13816" max="13816" width="30.85546875" style="2" customWidth="1"/>
    <col min="13817" max="13817" width="12.5703125" style="2" customWidth="1"/>
    <col min="13818" max="13818" width="5.140625" style="2" customWidth="1"/>
    <col min="13819" max="13819" width="9.140625" style="2"/>
    <col min="13820" max="13820" width="4.85546875" style="2" customWidth="1"/>
    <col min="13821" max="13821" width="30.5703125" style="2" customWidth="1"/>
    <col min="13822" max="13822" width="33.85546875" style="2" customWidth="1"/>
    <col min="13823" max="13823" width="5.140625" style="2" customWidth="1"/>
    <col min="13824" max="13825" width="17.5703125" style="2" customWidth="1"/>
    <col min="13826" max="14069" width="9.140625" style="2"/>
    <col min="14070" max="14070" width="3.5703125" style="2" customWidth="1"/>
    <col min="14071" max="14071" width="96.85546875" style="2" customWidth="1"/>
    <col min="14072" max="14072" width="30.85546875" style="2" customWidth="1"/>
    <col min="14073" max="14073" width="12.5703125" style="2" customWidth="1"/>
    <col min="14074" max="14074" width="5.140625" style="2" customWidth="1"/>
    <col min="14075" max="14075" width="9.140625" style="2"/>
    <col min="14076" max="14076" width="4.85546875" style="2" customWidth="1"/>
    <col min="14077" max="14077" width="30.5703125" style="2" customWidth="1"/>
    <col min="14078" max="14078" width="33.85546875" style="2" customWidth="1"/>
    <col min="14079" max="14079" width="5.140625" style="2" customWidth="1"/>
    <col min="14080" max="14081" width="17.5703125" style="2" customWidth="1"/>
    <col min="14082" max="14325" width="9.140625" style="2"/>
    <col min="14326" max="14326" width="3.5703125" style="2" customWidth="1"/>
    <col min="14327" max="14327" width="96.85546875" style="2" customWidth="1"/>
    <col min="14328" max="14328" width="30.85546875" style="2" customWidth="1"/>
    <col min="14329" max="14329" width="12.5703125" style="2" customWidth="1"/>
    <col min="14330" max="14330" width="5.140625" style="2" customWidth="1"/>
    <col min="14331" max="14331" width="9.140625" style="2"/>
    <col min="14332" max="14332" width="4.85546875" style="2" customWidth="1"/>
    <col min="14333" max="14333" width="30.5703125" style="2" customWidth="1"/>
    <col min="14334" max="14334" width="33.85546875" style="2" customWidth="1"/>
    <col min="14335" max="14335" width="5.140625" style="2" customWidth="1"/>
    <col min="14336" max="14337" width="17.5703125" style="2" customWidth="1"/>
    <col min="14338" max="14581" width="9.140625" style="2"/>
    <col min="14582" max="14582" width="3.5703125" style="2" customWidth="1"/>
    <col min="14583" max="14583" width="96.85546875" style="2" customWidth="1"/>
    <col min="14584" max="14584" width="30.85546875" style="2" customWidth="1"/>
    <col min="14585" max="14585" width="12.5703125" style="2" customWidth="1"/>
    <col min="14586" max="14586" width="5.140625" style="2" customWidth="1"/>
    <col min="14587" max="14587" width="9.140625" style="2"/>
    <col min="14588" max="14588" width="4.85546875" style="2" customWidth="1"/>
    <col min="14589" max="14589" width="30.5703125" style="2" customWidth="1"/>
    <col min="14590" max="14590" width="33.85546875" style="2" customWidth="1"/>
    <col min="14591" max="14591" width="5.140625" style="2" customWidth="1"/>
    <col min="14592" max="14593" width="17.5703125" style="2" customWidth="1"/>
    <col min="14594" max="14837" width="9.140625" style="2"/>
    <col min="14838" max="14838" width="3.5703125" style="2" customWidth="1"/>
    <col min="14839" max="14839" width="96.85546875" style="2" customWidth="1"/>
    <col min="14840" max="14840" width="30.85546875" style="2" customWidth="1"/>
    <col min="14841" max="14841" width="12.5703125" style="2" customWidth="1"/>
    <col min="14842" max="14842" width="5.140625" style="2" customWidth="1"/>
    <col min="14843" max="14843" width="9.140625" style="2"/>
    <col min="14844" max="14844" width="4.85546875" style="2" customWidth="1"/>
    <col min="14845" max="14845" width="30.5703125" style="2" customWidth="1"/>
    <col min="14846" max="14846" width="33.85546875" style="2" customWidth="1"/>
    <col min="14847" max="14847" width="5.140625" style="2" customWidth="1"/>
    <col min="14848" max="14849" width="17.5703125" style="2" customWidth="1"/>
    <col min="14850" max="15093" width="9.140625" style="2"/>
    <col min="15094" max="15094" width="3.5703125" style="2" customWidth="1"/>
    <col min="15095" max="15095" width="96.85546875" style="2" customWidth="1"/>
    <col min="15096" max="15096" width="30.85546875" style="2" customWidth="1"/>
    <col min="15097" max="15097" width="12.5703125" style="2" customWidth="1"/>
    <col min="15098" max="15098" width="5.140625" style="2" customWidth="1"/>
    <col min="15099" max="15099" width="9.140625" style="2"/>
    <col min="15100" max="15100" width="4.85546875" style="2" customWidth="1"/>
    <col min="15101" max="15101" width="30.5703125" style="2" customWidth="1"/>
    <col min="15102" max="15102" width="33.85546875" style="2" customWidth="1"/>
    <col min="15103" max="15103" width="5.140625" style="2" customWidth="1"/>
    <col min="15104" max="15105" width="17.5703125" style="2" customWidth="1"/>
    <col min="15106" max="15349" width="9.140625" style="2"/>
    <col min="15350" max="15350" width="3.5703125" style="2" customWidth="1"/>
    <col min="15351" max="15351" width="96.85546875" style="2" customWidth="1"/>
    <col min="15352" max="15352" width="30.85546875" style="2" customWidth="1"/>
    <col min="15353" max="15353" width="12.5703125" style="2" customWidth="1"/>
    <col min="15354" max="15354" width="5.140625" style="2" customWidth="1"/>
    <col min="15355" max="15355" width="9.140625" style="2"/>
    <col min="15356" max="15356" width="4.85546875" style="2" customWidth="1"/>
    <col min="15357" max="15357" width="30.5703125" style="2" customWidth="1"/>
    <col min="15358" max="15358" width="33.85546875" style="2" customWidth="1"/>
    <col min="15359" max="15359" width="5.140625" style="2" customWidth="1"/>
    <col min="15360" max="15361" width="17.5703125" style="2" customWidth="1"/>
    <col min="15362" max="15605" width="9.140625" style="2"/>
    <col min="15606" max="15606" width="3.5703125" style="2" customWidth="1"/>
    <col min="15607" max="15607" width="96.85546875" style="2" customWidth="1"/>
    <col min="15608" max="15608" width="30.85546875" style="2" customWidth="1"/>
    <col min="15609" max="15609" width="12.5703125" style="2" customWidth="1"/>
    <col min="15610" max="15610" width="5.140625" style="2" customWidth="1"/>
    <col min="15611" max="15611" width="9.140625" style="2"/>
    <col min="15612" max="15612" width="4.85546875" style="2" customWidth="1"/>
    <col min="15613" max="15613" width="30.5703125" style="2" customWidth="1"/>
    <col min="15614" max="15614" width="33.85546875" style="2" customWidth="1"/>
    <col min="15615" max="15615" width="5.140625" style="2" customWidth="1"/>
    <col min="15616" max="15617" width="17.5703125" style="2" customWidth="1"/>
    <col min="15618" max="15861" width="9.140625" style="2"/>
    <col min="15862" max="15862" width="3.5703125" style="2" customWidth="1"/>
    <col min="15863" max="15863" width="96.85546875" style="2" customWidth="1"/>
    <col min="15864" max="15864" width="30.85546875" style="2" customWidth="1"/>
    <col min="15865" max="15865" width="12.5703125" style="2" customWidth="1"/>
    <col min="15866" max="15866" width="5.140625" style="2" customWidth="1"/>
    <col min="15867" max="15867" width="9.140625" style="2"/>
    <col min="15868" max="15868" width="4.85546875" style="2" customWidth="1"/>
    <col min="15869" max="15869" width="30.5703125" style="2" customWidth="1"/>
    <col min="15870" max="15870" width="33.85546875" style="2" customWidth="1"/>
    <col min="15871" max="15871" width="5.140625" style="2" customWidth="1"/>
    <col min="15872" max="15873" width="17.5703125" style="2" customWidth="1"/>
    <col min="15874" max="16117" width="9.140625" style="2"/>
    <col min="16118" max="16118" width="3.5703125" style="2" customWidth="1"/>
    <col min="16119" max="16119" width="96.85546875" style="2" customWidth="1"/>
    <col min="16120" max="16120" width="30.85546875" style="2" customWidth="1"/>
    <col min="16121" max="16121" width="12.5703125" style="2" customWidth="1"/>
    <col min="16122" max="16122" width="5.140625" style="2" customWidth="1"/>
    <col min="16123" max="16123" width="9.140625" style="2"/>
    <col min="16124" max="16124" width="4.85546875" style="2" customWidth="1"/>
    <col min="16125" max="16125" width="30.5703125" style="2" customWidth="1"/>
    <col min="16126" max="16126" width="33.85546875" style="2" customWidth="1"/>
    <col min="16127" max="16127" width="5.140625" style="2" customWidth="1"/>
    <col min="16128" max="16129" width="17.5703125" style="2" customWidth="1"/>
    <col min="16130" max="16384" width="9.140625" style="2"/>
  </cols>
  <sheetData>
    <row r="1" spans="1:3" ht="48" customHeight="1" x14ac:dyDescent="0.2">
      <c r="A1" s="111"/>
      <c r="B1" s="143" t="s">
        <v>225</v>
      </c>
      <c r="C1" s="143"/>
    </row>
    <row r="2" spans="1:3" x14ac:dyDescent="0.2">
      <c r="A2" s="1"/>
      <c r="B2" s="3" t="s">
        <v>2</v>
      </c>
      <c r="C2" s="4">
        <v>45317</v>
      </c>
    </row>
    <row r="3" spans="1:3" x14ac:dyDescent="0.2">
      <c r="A3" s="1"/>
      <c r="B3" s="112" t="s">
        <v>3</v>
      </c>
    </row>
    <row r="4" spans="1:3" ht="25.5" x14ac:dyDescent="0.2">
      <c r="A4" s="7"/>
      <c r="B4" s="8" t="str">
        <f>[19]И1!D13</f>
        <v>Субъект Российской Федерации</v>
      </c>
      <c r="C4" s="9" t="str">
        <f>[19]И1!E13</f>
        <v>Новосибирская область</v>
      </c>
    </row>
    <row r="5" spans="1:3" ht="38.25" x14ac:dyDescent="0.2">
      <c r="A5" s="7"/>
      <c r="B5" s="8" t="str">
        <f>[19]И1!D14</f>
        <v>Тип муниципального образования (выберите из списка)</v>
      </c>
      <c r="C5" s="9" t="str">
        <f>[19]И1!E14</f>
        <v>село Усть-Луковка, Ордынский муниципальный район</v>
      </c>
    </row>
    <row r="6" spans="1:3" x14ac:dyDescent="0.2">
      <c r="A6" s="7"/>
      <c r="B6" s="8" t="str">
        <f>IF([19]И1!E15="","",[19]И1!D15)</f>
        <v/>
      </c>
      <c r="C6" s="9" t="str">
        <f>IF([19]И1!E15="","",[19]И1!E15)</f>
        <v/>
      </c>
    </row>
    <row r="7" spans="1:3" x14ac:dyDescent="0.2">
      <c r="A7" s="7"/>
      <c r="B7" s="8" t="str">
        <f>[19]И1!D16</f>
        <v>Код ОКТМО</v>
      </c>
      <c r="C7" s="10" t="str">
        <f>[19]И1!E16</f>
        <v>50642428101</v>
      </c>
    </row>
    <row r="8" spans="1:3" x14ac:dyDescent="0.2">
      <c r="A8" s="7"/>
      <c r="B8" s="11" t="str">
        <f>[19]И1!D17</f>
        <v>Система теплоснабжения</v>
      </c>
      <c r="C8" s="12">
        <f>[19]И1!E17</f>
        <v>0</v>
      </c>
    </row>
    <row r="9" spans="1:3" x14ac:dyDescent="0.2">
      <c r="A9" s="7"/>
      <c r="B9" s="8" t="str">
        <f>[19]И1!D8</f>
        <v>Период регулирования (i)-й</v>
      </c>
      <c r="C9" s="13">
        <f>[19]И1!E8</f>
        <v>2024</v>
      </c>
    </row>
    <row r="10" spans="1:3" x14ac:dyDescent="0.2">
      <c r="A10" s="7"/>
      <c r="B10" s="8" t="str">
        <f>[19]И1!D9</f>
        <v>Период регулирования (i-1)-й</v>
      </c>
      <c r="C10" s="13">
        <f>[19]И1!E9</f>
        <v>2023</v>
      </c>
    </row>
    <row r="11" spans="1:3" x14ac:dyDescent="0.2">
      <c r="A11" s="7"/>
      <c r="B11" s="8" t="str">
        <f>[19]И1!D10</f>
        <v>Период регулирования (i-2)-й</v>
      </c>
      <c r="C11" s="13">
        <f>[19]И1!E10</f>
        <v>2022</v>
      </c>
    </row>
    <row r="12" spans="1:3" x14ac:dyDescent="0.2">
      <c r="A12" s="7"/>
      <c r="B12" s="8" t="str">
        <f>[19]И1!D11</f>
        <v>Базовый год (б)</v>
      </c>
      <c r="C12" s="13">
        <f>[19]И1!E11</f>
        <v>2019</v>
      </c>
    </row>
    <row r="13" spans="1:3" ht="38.25" x14ac:dyDescent="0.2">
      <c r="A13" s="7"/>
      <c r="B13" s="8" t="str">
        <f>[19]И1!D18</f>
        <v>Вид топлива, использование которого преобладает в системе теплоснабжения</v>
      </c>
      <c r="C13" s="14" t="str">
        <f>[19]С1.1!E13</f>
        <v>уголь (вид угля не указан в топливном балансе)</v>
      </c>
    </row>
    <row r="14" spans="1:3" ht="31.7" customHeight="1" thickBot="1" x14ac:dyDescent="0.25">
      <c r="A14" s="146" t="s">
        <v>4</v>
      </c>
      <c r="B14" s="146"/>
      <c r="C14" s="146"/>
    </row>
    <row r="15" spans="1:3" x14ac:dyDescent="0.2">
      <c r="A15" s="15" t="s">
        <v>5</v>
      </c>
      <c r="B15" s="113" t="s">
        <v>6</v>
      </c>
      <c r="C15" s="114" t="s">
        <v>7</v>
      </c>
    </row>
    <row r="16" spans="1:3" x14ac:dyDescent="0.2">
      <c r="A16" s="18">
        <v>1</v>
      </c>
      <c r="B16" s="115">
        <v>2</v>
      </c>
      <c r="C16" s="116">
        <v>3</v>
      </c>
    </row>
    <row r="17" spans="1:3" x14ac:dyDescent="0.2">
      <c r="A17" s="21">
        <v>1</v>
      </c>
      <c r="B17" s="22" t="s">
        <v>8</v>
      </c>
      <c r="C17" s="23">
        <f>SUM(C18:C22)</f>
        <v>3658.8373396730149</v>
      </c>
    </row>
    <row r="18" spans="1:3" ht="42.75" x14ac:dyDescent="0.2">
      <c r="A18" s="21" t="s">
        <v>9</v>
      </c>
      <c r="B18" s="24" t="s">
        <v>10</v>
      </c>
      <c r="C18" s="25">
        <f>[19]С1!F12</f>
        <v>681.72722270675411</v>
      </c>
    </row>
    <row r="19" spans="1:3" ht="42.75" x14ac:dyDescent="0.2">
      <c r="A19" s="21" t="s">
        <v>11</v>
      </c>
      <c r="B19" s="24" t="s">
        <v>12</v>
      </c>
      <c r="C19" s="25">
        <f>[19]С2!F12</f>
        <v>1988.7336845318171</v>
      </c>
    </row>
    <row r="20" spans="1:3" ht="30" x14ac:dyDescent="0.2">
      <c r="A20" s="21" t="s">
        <v>13</v>
      </c>
      <c r="B20" s="24" t="s">
        <v>14</v>
      </c>
      <c r="C20" s="25">
        <f>[19]С3!F12</f>
        <v>472.61808029676507</v>
      </c>
    </row>
    <row r="21" spans="1:3" ht="42.75" x14ac:dyDescent="0.2">
      <c r="A21" s="21" t="s">
        <v>15</v>
      </c>
      <c r="B21" s="24" t="s">
        <v>226</v>
      </c>
      <c r="C21" s="25">
        <f>[19]С4!F12</f>
        <v>444.0164435166393</v>
      </c>
    </row>
    <row r="22" spans="1:3" ht="30" x14ac:dyDescent="0.2">
      <c r="A22" s="21" t="s">
        <v>17</v>
      </c>
      <c r="B22" s="24" t="s">
        <v>227</v>
      </c>
      <c r="C22" s="25">
        <f>[19]С5!F12</f>
        <v>71.741908621039514</v>
      </c>
    </row>
    <row r="23" spans="1:3" ht="43.5" thickBot="1" x14ac:dyDescent="0.25">
      <c r="A23" s="26" t="s">
        <v>19</v>
      </c>
      <c r="B23" s="140" t="s">
        <v>228</v>
      </c>
      <c r="C23" s="27" t="str">
        <f>[19]С6!F12</f>
        <v>-</v>
      </c>
    </row>
    <row r="24" spans="1:3" ht="13.5" thickBot="1" x14ac:dyDescent="0.25">
      <c r="A24" s="1"/>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229</v>
      </c>
      <c r="C28" s="32">
        <f>[19]С1.1!E16</f>
        <v>5100</v>
      </c>
    </row>
    <row r="29" spans="1:3" ht="42.75" x14ac:dyDescent="0.2">
      <c r="A29" s="21" t="s">
        <v>11</v>
      </c>
      <c r="B29" s="31" t="s">
        <v>230</v>
      </c>
      <c r="C29" s="32">
        <f>[19]С1.1!E27</f>
        <v>3063.03</v>
      </c>
    </row>
    <row r="30" spans="1:3" ht="17.25" x14ac:dyDescent="0.2">
      <c r="A30" s="21" t="s">
        <v>13</v>
      </c>
      <c r="B30" s="31" t="s">
        <v>30</v>
      </c>
      <c r="C30" s="34">
        <f>[19]С1.1!E19</f>
        <v>-0.19900000000000001</v>
      </c>
    </row>
    <row r="31" spans="1:3" ht="17.25" x14ac:dyDescent="0.2">
      <c r="A31" s="21" t="s">
        <v>15</v>
      </c>
      <c r="B31" s="31" t="s">
        <v>31</v>
      </c>
      <c r="C31" s="34">
        <f>[19]С1.1!E20</f>
        <v>5.7000000000000002E-2</v>
      </c>
    </row>
    <row r="32" spans="1:3" ht="30" x14ac:dyDescent="0.2">
      <c r="A32" s="21" t="s">
        <v>17</v>
      </c>
      <c r="B32" s="35" t="s">
        <v>231</v>
      </c>
      <c r="C32" s="117">
        <f>[19]С1!F13</f>
        <v>176.4</v>
      </c>
    </row>
    <row r="33" spans="1:3" x14ac:dyDescent="0.2">
      <c r="A33" s="21" t="s">
        <v>19</v>
      </c>
      <c r="B33" s="35" t="s">
        <v>33</v>
      </c>
      <c r="C33" s="37">
        <f>[19]С1!F16</f>
        <v>7000</v>
      </c>
    </row>
    <row r="34" spans="1:3" ht="14.25" x14ac:dyDescent="0.2">
      <c r="A34" s="21" t="s">
        <v>34</v>
      </c>
      <c r="B34" s="39" t="s">
        <v>232</v>
      </c>
      <c r="C34" s="40">
        <f>[19]С1!F17</f>
        <v>0.72857142857142854</v>
      </c>
    </row>
    <row r="35" spans="1:3" ht="15.75" x14ac:dyDescent="0.2">
      <c r="A35" s="118" t="s">
        <v>36</v>
      </c>
      <c r="B35" s="42" t="s">
        <v>37</v>
      </c>
      <c r="C35" s="40">
        <f>[19]С1!F20</f>
        <v>21.588411179999994</v>
      </c>
    </row>
    <row r="36" spans="1:3" ht="15.75" x14ac:dyDescent="0.2">
      <c r="A36" s="118" t="s">
        <v>38</v>
      </c>
      <c r="B36" s="43" t="s">
        <v>39</v>
      </c>
      <c r="C36" s="40">
        <f>[19]С1!F21</f>
        <v>20.818139999999996</v>
      </c>
    </row>
    <row r="37" spans="1:3" ht="14.25" x14ac:dyDescent="0.2">
      <c r="A37" s="118" t="s">
        <v>40</v>
      </c>
      <c r="B37" s="44" t="s">
        <v>41</v>
      </c>
      <c r="C37" s="40">
        <f>[19]С1!F22</f>
        <v>1.0369999999999999</v>
      </c>
    </row>
    <row r="38" spans="1:3" ht="53.25" thickBot="1" x14ac:dyDescent="0.25">
      <c r="A38" s="26" t="s">
        <v>42</v>
      </c>
      <c r="B38" s="45" t="s">
        <v>43</v>
      </c>
      <c r="C38" s="46">
        <f>[19]С1!F23</f>
        <v>1.0469999999999999</v>
      </c>
    </row>
    <row r="39" spans="1:3" ht="13.5" thickBot="1" x14ac:dyDescent="0.25">
      <c r="A39" s="47"/>
      <c r="B39" s="119"/>
      <c r="C39" s="120"/>
    </row>
    <row r="40" spans="1:3" ht="30" customHeight="1" x14ac:dyDescent="0.2">
      <c r="A40" s="49" t="s">
        <v>44</v>
      </c>
      <c r="B40" s="145" t="s">
        <v>45</v>
      </c>
      <c r="C40" s="145"/>
    </row>
    <row r="41" spans="1:3" ht="25.5" x14ac:dyDescent="0.2">
      <c r="A41" s="21" t="s">
        <v>46</v>
      </c>
      <c r="B41" s="35" t="s">
        <v>47</v>
      </c>
      <c r="C41" s="50" t="str">
        <f>[19]С2.1!E12</f>
        <v>V</v>
      </c>
    </row>
    <row r="42" spans="1:3" ht="25.5" x14ac:dyDescent="0.2">
      <c r="A42" s="21" t="s">
        <v>48</v>
      </c>
      <c r="B42" s="31" t="s">
        <v>49</v>
      </c>
      <c r="C42" s="50" t="str">
        <f>[19]С2.1!E13</f>
        <v>6 и менее баллов</v>
      </c>
    </row>
    <row r="43" spans="1:3" ht="25.5" x14ac:dyDescent="0.2">
      <c r="A43" s="21" t="s">
        <v>50</v>
      </c>
      <c r="B43" s="31" t="s">
        <v>233</v>
      </c>
      <c r="C43" s="50" t="str">
        <f>[19]С2.1!E14</f>
        <v>от 200 до 500</v>
      </c>
    </row>
    <row r="44" spans="1:3" ht="25.5" x14ac:dyDescent="0.2">
      <c r="A44" s="21" t="s">
        <v>52</v>
      </c>
      <c r="B44" s="31" t="s">
        <v>234</v>
      </c>
      <c r="C44" s="51" t="str">
        <f>[19]С2.1!E15</f>
        <v>нет</v>
      </c>
    </row>
    <row r="45" spans="1:3" ht="30" x14ac:dyDescent="0.2">
      <c r="A45" s="21" t="s">
        <v>54</v>
      </c>
      <c r="B45" s="31" t="s">
        <v>55</v>
      </c>
      <c r="C45" s="32">
        <f>[19]С2!F18</f>
        <v>35106.652004551666</v>
      </c>
    </row>
    <row r="46" spans="1:3" ht="30" x14ac:dyDescent="0.2">
      <c r="A46" s="21" t="s">
        <v>56</v>
      </c>
      <c r="B46" s="52" t="s">
        <v>57</v>
      </c>
      <c r="C46" s="32">
        <f>IF([19]С2!F19&gt;0,[19]С2!F19,[19]С2!F20)</f>
        <v>23441.524932855718</v>
      </c>
    </row>
    <row r="47" spans="1:3" ht="25.5" x14ac:dyDescent="0.2">
      <c r="A47" s="21" t="s">
        <v>58</v>
      </c>
      <c r="B47" s="53" t="s">
        <v>59</v>
      </c>
      <c r="C47" s="32">
        <f>[19]С2.1!E19</f>
        <v>-37</v>
      </c>
    </row>
    <row r="48" spans="1:3" ht="25.5" x14ac:dyDescent="0.2">
      <c r="A48" s="21" t="s">
        <v>60</v>
      </c>
      <c r="B48" s="53" t="s">
        <v>61</v>
      </c>
      <c r="C48" s="32" t="str">
        <f>[19]С2.1!E22</f>
        <v>нет</v>
      </c>
    </row>
    <row r="49" spans="1:3" ht="38.25" x14ac:dyDescent="0.2">
      <c r="A49" s="21" t="s">
        <v>62</v>
      </c>
      <c r="B49" s="54" t="s">
        <v>63</v>
      </c>
      <c r="C49" s="32">
        <f>[19]С2.2!E10</f>
        <v>1287</v>
      </c>
    </row>
    <row r="50" spans="1:3" ht="25.5" x14ac:dyDescent="0.2">
      <c r="A50" s="21" t="s">
        <v>64</v>
      </c>
      <c r="B50" s="55" t="s">
        <v>65</v>
      </c>
      <c r="C50" s="32">
        <f>[19]С2.2!E12</f>
        <v>5.97</v>
      </c>
    </row>
    <row r="51" spans="1:3" ht="52.5" x14ac:dyDescent="0.2">
      <c r="A51" s="21" t="s">
        <v>66</v>
      </c>
      <c r="B51" s="56" t="s">
        <v>67</v>
      </c>
      <c r="C51" s="32">
        <f>[19]С2.2!E13</f>
        <v>1</v>
      </c>
    </row>
    <row r="52" spans="1:3" ht="27.75" x14ac:dyDescent="0.2">
      <c r="A52" s="21" t="s">
        <v>68</v>
      </c>
      <c r="B52" s="55" t="s">
        <v>69</v>
      </c>
      <c r="C52" s="32">
        <f>[19]С2.2!E14</f>
        <v>12104</v>
      </c>
    </row>
    <row r="53" spans="1:3" ht="25.5" x14ac:dyDescent="0.2">
      <c r="A53" s="21" t="s">
        <v>70</v>
      </c>
      <c r="B53" s="56" t="s">
        <v>71</v>
      </c>
      <c r="C53" s="34">
        <f>[19]С2.2!E15</f>
        <v>4.8000000000000001E-2</v>
      </c>
    </row>
    <row r="54" spans="1:3" x14ac:dyDescent="0.2">
      <c r="A54" s="21" t="s">
        <v>72</v>
      </c>
      <c r="B54" s="56" t="s">
        <v>73</v>
      </c>
      <c r="C54" s="32">
        <f>[19]С2.2!E16</f>
        <v>1</v>
      </c>
    </row>
    <row r="55" spans="1:3" ht="15.75" x14ac:dyDescent="0.2">
      <c r="A55" s="21" t="s">
        <v>74</v>
      </c>
      <c r="B55" s="58" t="s">
        <v>75</v>
      </c>
      <c r="C55" s="32">
        <f>[19]С2!F21</f>
        <v>1</v>
      </c>
    </row>
    <row r="56" spans="1:3" ht="30" x14ac:dyDescent="0.2">
      <c r="A56" s="59" t="s">
        <v>76</v>
      </c>
      <c r="B56" s="31" t="s">
        <v>235</v>
      </c>
      <c r="C56" s="32">
        <f>[19]С2!F13</f>
        <v>183796.83936385796</v>
      </c>
    </row>
    <row r="57" spans="1:3" ht="30" x14ac:dyDescent="0.2">
      <c r="A57" s="59" t="s">
        <v>78</v>
      </c>
      <c r="B57" s="58" t="s">
        <v>236</v>
      </c>
      <c r="C57" s="32">
        <f>[19]С2!F14</f>
        <v>113455</v>
      </c>
    </row>
    <row r="58" spans="1:3" ht="15.75" x14ac:dyDescent="0.2">
      <c r="A58" s="59" t="s">
        <v>80</v>
      </c>
      <c r="B58" s="60" t="s">
        <v>81</v>
      </c>
      <c r="C58" s="40">
        <f>[19]С2!F15</f>
        <v>1.071</v>
      </c>
    </row>
    <row r="59" spans="1:3" ht="15.75" x14ac:dyDescent="0.2">
      <c r="A59" s="59" t="s">
        <v>82</v>
      </c>
      <c r="B59" s="60" t="s">
        <v>83</v>
      </c>
      <c r="C59" s="40">
        <f>[19]С2!F16</f>
        <v>1</v>
      </c>
    </row>
    <row r="60" spans="1:3" ht="17.25" x14ac:dyDescent="0.2">
      <c r="A60" s="59" t="s">
        <v>84</v>
      </c>
      <c r="B60" s="58" t="s">
        <v>85</v>
      </c>
      <c r="C60" s="32">
        <f>[19]С2!F17</f>
        <v>1.01</v>
      </c>
    </row>
    <row r="61" spans="1:3" s="65" customFormat="1" ht="14.25" x14ac:dyDescent="0.2">
      <c r="A61" s="59" t="s">
        <v>86</v>
      </c>
      <c r="B61" s="63" t="s">
        <v>87</v>
      </c>
      <c r="C61" s="64">
        <f>[19]С2!F33</f>
        <v>10</v>
      </c>
    </row>
    <row r="62" spans="1:3" ht="30" x14ac:dyDescent="0.2">
      <c r="A62" s="59" t="s">
        <v>88</v>
      </c>
      <c r="B62" s="66" t="s">
        <v>89</v>
      </c>
      <c r="C62" s="32">
        <f>[19]С2!F26</f>
        <v>1266.3745527115127</v>
      </c>
    </row>
    <row r="63" spans="1:3" ht="17.25" x14ac:dyDescent="0.2">
      <c r="A63" s="59" t="s">
        <v>90</v>
      </c>
      <c r="B63" s="52" t="s">
        <v>237</v>
      </c>
      <c r="C63" s="32">
        <f>[19]С2!F27</f>
        <v>0.201330388</v>
      </c>
    </row>
    <row r="64" spans="1:3" ht="17.25" x14ac:dyDescent="0.2">
      <c r="A64" s="59" t="s">
        <v>92</v>
      </c>
      <c r="B64" s="58" t="s">
        <v>238</v>
      </c>
      <c r="C64" s="64">
        <f>[19]С2!F28</f>
        <v>4200</v>
      </c>
    </row>
    <row r="65" spans="1:3" ht="42.75" x14ac:dyDescent="0.2">
      <c r="A65" s="59" t="s">
        <v>94</v>
      </c>
      <c r="B65" s="31" t="s">
        <v>239</v>
      </c>
      <c r="C65" s="32">
        <f>[19]С2!F22</f>
        <v>38698.422798410109</v>
      </c>
    </row>
    <row r="66" spans="1:3" ht="30" x14ac:dyDescent="0.2">
      <c r="A66" s="59" t="s">
        <v>96</v>
      </c>
      <c r="B66" s="60" t="s">
        <v>240</v>
      </c>
      <c r="C66" s="32">
        <f>[19]С2!F23</f>
        <v>1990</v>
      </c>
    </row>
    <row r="67" spans="1:3" ht="30" x14ac:dyDescent="0.2">
      <c r="A67" s="59" t="s">
        <v>98</v>
      </c>
      <c r="B67" s="52" t="s">
        <v>99</v>
      </c>
      <c r="C67" s="32">
        <f>[19]С2.1!E27</f>
        <v>14307.876789999998</v>
      </c>
    </row>
    <row r="68" spans="1:3" ht="38.25" x14ac:dyDescent="0.2">
      <c r="A68" s="59" t="s">
        <v>100</v>
      </c>
      <c r="B68" s="67" t="s">
        <v>101</v>
      </c>
      <c r="C68" s="51">
        <f>[19]С2.3!E21</f>
        <v>0</v>
      </c>
    </row>
    <row r="69" spans="1:3" ht="25.5" x14ac:dyDescent="0.2">
      <c r="A69" s="59" t="s">
        <v>102</v>
      </c>
      <c r="B69" s="68" t="s">
        <v>103</v>
      </c>
      <c r="C69" s="69">
        <f>[19]С2.3!E11</f>
        <v>9.89</v>
      </c>
    </row>
    <row r="70" spans="1:3" ht="25.5" x14ac:dyDescent="0.2">
      <c r="A70" s="59" t="s">
        <v>104</v>
      </c>
      <c r="B70" s="68" t="s">
        <v>105</v>
      </c>
      <c r="C70" s="64">
        <f>[19]С2.3!E13</f>
        <v>300</v>
      </c>
    </row>
    <row r="71" spans="1:3" ht="25.5" x14ac:dyDescent="0.2">
      <c r="A71" s="59" t="s">
        <v>106</v>
      </c>
      <c r="B71" s="67" t="s">
        <v>107</v>
      </c>
      <c r="C71" s="70">
        <f>IF([19]С2.3!E22&gt;0,[19]С2.3!E22,[19]С2.3!E14)</f>
        <v>61211</v>
      </c>
    </row>
    <row r="72" spans="1:3" ht="38.25" x14ac:dyDescent="0.2">
      <c r="A72" s="59" t="s">
        <v>108</v>
      </c>
      <c r="B72" s="67" t="s">
        <v>109</v>
      </c>
      <c r="C72" s="70">
        <f>IF([19]С2.3!E23&gt;0,[19]С2.3!E23,[19]С2.3!E15)</f>
        <v>45675</v>
      </c>
    </row>
    <row r="73" spans="1:3" ht="30" x14ac:dyDescent="0.2">
      <c r="A73" s="59" t="s">
        <v>110</v>
      </c>
      <c r="B73" s="52" t="s">
        <v>111</v>
      </c>
      <c r="C73" s="32">
        <f>[19]С2.1!E28</f>
        <v>9541.9567200000001</v>
      </c>
    </row>
    <row r="74" spans="1:3" ht="38.25" x14ac:dyDescent="0.2">
      <c r="A74" s="59" t="s">
        <v>112</v>
      </c>
      <c r="B74" s="67" t="s">
        <v>113</v>
      </c>
      <c r="C74" s="51">
        <f>[19]С2.3!E25</f>
        <v>0</v>
      </c>
    </row>
    <row r="75" spans="1:3" ht="25.5" x14ac:dyDescent="0.2">
      <c r="A75" s="59" t="s">
        <v>114</v>
      </c>
      <c r="B75" s="68" t="s">
        <v>115</v>
      </c>
      <c r="C75" s="69">
        <f>[19]С2.3!E12</f>
        <v>0.56000000000000005</v>
      </c>
    </row>
    <row r="76" spans="1:3" ht="25.5" x14ac:dyDescent="0.2">
      <c r="A76" s="59" t="s">
        <v>116</v>
      </c>
      <c r="B76" s="68" t="s">
        <v>105</v>
      </c>
      <c r="C76" s="64">
        <f>[19]С2.3!E13</f>
        <v>300</v>
      </c>
    </row>
    <row r="77" spans="1:3" ht="25.5" x14ac:dyDescent="0.2">
      <c r="A77" s="59" t="s">
        <v>117</v>
      </c>
      <c r="B77" s="71" t="s">
        <v>118</v>
      </c>
      <c r="C77" s="70">
        <f>IF([19]С2.3!E26&gt;0,[19]С2.3!E26,[19]С2.3!E16)</f>
        <v>65637</v>
      </c>
    </row>
    <row r="78" spans="1:3" ht="38.25" x14ac:dyDescent="0.2">
      <c r="A78" s="59" t="s">
        <v>119</v>
      </c>
      <c r="B78" s="71" t="s">
        <v>120</v>
      </c>
      <c r="C78" s="70">
        <f>IF([19]С2.3!E27&gt;0,[19]С2.3!E27,[19]С2.3!E17)</f>
        <v>31684</v>
      </c>
    </row>
    <row r="79" spans="1:3" ht="17.25" x14ac:dyDescent="0.2">
      <c r="A79" s="59" t="s">
        <v>123</v>
      </c>
      <c r="B79" s="31" t="s">
        <v>124</v>
      </c>
      <c r="C79" s="34">
        <f>[19]С2!F29</f>
        <v>9.5962865259740182E-2</v>
      </c>
    </row>
    <row r="80" spans="1:3" ht="30" x14ac:dyDescent="0.2">
      <c r="A80" s="59" t="s">
        <v>125</v>
      </c>
      <c r="B80" s="52" t="s">
        <v>126</v>
      </c>
      <c r="C80" s="72">
        <f>[19]С2!F30</f>
        <v>8.4029304029304031E-2</v>
      </c>
    </row>
    <row r="81" spans="1:3" ht="17.25" x14ac:dyDescent="0.2">
      <c r="A81" s="59" t="s">
        <v>127</v>
      </c>
      <c r="B81" s="73" t="s">
        <v>128</v>
      </c>
      <c r="C81" s="34">
        <f>[19]С2!F31</f>
        <v>0.13880000000000001</v>
      </c>
    </row>
    <row r="82" spans="1:3" s="65" customFormat="1" ht="18" thickBot="1" x14ac:dyDescent="0.25">
      <c r="A82" s="74" t="s">
        <v>129</v>
      </c>
      <c r="B82" s="75" t="s">
        <v>130</v>
      </c>
      <c r="C82" s="76">
        <f>[19]С2!F32</f>
        <v>0.12640000000000001</v>
      </c>
    </row>
    <row r="83" spans="1:3" ht="13.5" thickBot="1" x14ac:dyDescent="0.25">
      <c r="A83" s="47"/>
      <c r="B83" s="48"/>
      <c r="C83" s="14"/>
    </row>
    <row r="84" spans="1:3" s="65" customFormat="1" ht="30" customHeight="1" x14ac:dyDescent="0.2">
      <c r="A84" s="77" t="s">
        <v>131</v>
      </c>
      <c r="B84" s="145" t="s">
        <v>132</v>
      </c>
      <c r="C84" s="145"/>
    </row>
    <row r="85" spans="1:3" s="65" customFormat="1" ht="30" x14ac:dyDescent="0.2">
      <c r="A85" s="78" t="s">
        <v>133</v>
      </c>
      <c r="B85" s="31" t="s">
        <v>134</v>
      </c>
      <c r="C85" s="32">
        <f>[19]С3!F14</f>
        <v>6057.0688307111368</v>
      </c>
    </row>
    <row r="86" spans="1:3" s="65" customFormat="1" ht="42.75" x14ac:dyDescent="0.2">
      <c r="A86" s="78" t="s">
        <v>135</v>
      </c>
      <c r="B86" s="52" t="s">
        <v>136</v>
      </c>
      <c r="C86" s="79">
        <f>[19]С3!F15</f>
        <v>0.2</v>
      </c>
    </row>
    <row r="87" spans="1:3" s="65" customFormat="1" ht="14.25" x14ac:dyDescent="0.2">
      <c r="A87" s="78" t="s">
        <v>137</v>
      </c>
      <c r="B87" s="80" t="s">
        <v>138</v>
      </c>
      <c r="C87" s="64">
        <f>[19]С3!F18</f>
        <v>15</v>
      </c>
    </row>
    <row r="88" spans="1:3" s="65" customFormat="1" ht="17.25" x14ac:dyDescent="0.2">
      <c r="A88" s="78" t="s">
        <v>139</v>
      </c>
      <c r="B88" s="31" t="s">
        <v>140</v>
      </c>
      <c r="C88" s="32">
        <f>[19]С3!F19</f>
        <v>3778.1614077800232</v>
      </c>
    </row>
    <row r="89" spans="1:3" s="65" customFormat="1" ht="55.5" x14ac:dyDescent="0.2">
      <c r="A89" s="78" t="s">
        <v>141</v>
      </c>
      <c r="B89" s="52" t="s">
        <v>142</v>
      </c>
      <c r="C89" s="81">
        <f>[19]С3!F20</f>
        <v>2.1999999999999999E-2</v>
      </c>
    </row>
    <row r="90" spans="1:3" s="65" customFormat="1" ht="14.25" x14ac:dyDescent="0.2">
      <c r="A90" s="78" t="s">
        <v>143</v>
      </c>
      <c r="B90" s="58" t="s">
        <v>87</v>
      </c>
      <c r="C90" s="64">
        <f>[19]С3!F21</f>
        <v>10</v>
      </c>
    </row>
    <row r="91" spans="1:3" s="65" customFormat="1" ht="17.25" x14ac:dyDescent="0.2">
      <c r="A91" s="78" t="s">
        <v>144</v>
      </c>
      <c r="B91" s="31" t="s">
        <v>145</v>
      </c>
      <c r="C91" s="32">
        <f>[19]С3!F22</f>
        <v>3.7991236581345382</v>
      </c>
    </row>
    <row r="92" spans="1:3" s="65" customFormat="1" ht="55.5" x14ac:dyDescent="0.2">
      <c r="A92" s="78" t="s">
        <v>146</v>
      </c>
      <c r="B92" s="52" t="s">
        <v>147</v>
      </c>
      <c r="C92" s="81">
        <f>[19]С3!F23</f>
        <v>3.0000000000000001E-3</v>
      </c>
    </row>
    <row r="93" spans="1:3" s="65" customFormat="1" ht="27.75" thickBot="1" x14ac:dyDescent="0.25">
      <c r="A93" s="82" t="s">
        <v>148</v>
      </c>
      <c r="B93" s="83" t="s">
        <v>241</v>
      </c>
      <c r="C93" s="84">
        <f>[19]С3!F24</f>
        <v>1266.3745527115127</v>
      </c>
    </row>
    <row r="94" spans="1:3" ht="13.5" thickBot="1" x14ac:dyDescent="0.25">
      <c r="A94" s="47"/>
      <c r="B94" s="48"/>
      <c r="C94" s="14"/>
    </row>
    <row r="95" spans="1:3" ht="30" customHeight="1" x14ac:dyDescent="0.2">
      <c r="A95" s="85" t="s">
        <v>149</v>
      </c>
      <c r="B95" s="145" t="s">
        <v>150</v>
      </c>
      <c r="C95" s="145"/>
    </row>
    <row r="96" spans="1:3" ht="30" x14ac:dyDescent="0.2">
      <c r="A96" s="59" t="s">
        <v>151</v>
      </c>
      <c r="B96" s="31" t="s">
        <v>242</v>
      </c>
      <c r="C96" s="32">
        <f>[19]С4!F16</f>
        <v>1652.5</v>
      </c>
    </row>
    <row r="97" spans="1:3" ht="30" x14ac:dyDescent="0.2">
      <c r="A97" s="59" t="s">
        <v>153</v>
      </c>
      <c r="B97" s="58" t="s">
        <v>243</v>
      </c>
      <c r="C97" s="32">
        <f>[19]С4!F17</f>
        <v>73547</v>
      </c>
    </row>
    <row r="98" spans="1:3" ht="17.25" x14ac:dyDescent="0.2">
      <c r="A98" s="59" t="s">
        <v>155</v>
      </c>
      <c r="B98" s="58" t="s">
        <v>156</v>
      </c>
      <c r="C98" s="40">
        <f>[19]С4!F18</f>
        <v>0.02</v>
      </c>
    </row>
    <row r="99" spans="1:3" ht="30" x14ac:dyDescent="0.2">
      <c r="A99" s="59" t="s">
        <v>157</v>
      </c>
      <c r="B99" s="58" t="s">
        <v>158</v>
      </c>
      <c r="C99" s="32">
        <f>[19]С4!F19</f>
        <v>12104</v>
      </c>
    </row>
    <row r="100" spans="1:3" ht="28.5" x14ac:dyDescent="0.2">
      <c r="A100" s="59" t="s">
        <v>159</v>
      </c>
      <c r="B100" s="58" t="s">
        <v>160</v>
      </c>
      <c r="C100" s="40">
        <f>[19]С4!F20</f>
        <v>1.4999999999999999E-2</v>
      </c>
    </row>
    <row r="101" spans="1:3" ht="30" x14ac:dyDescent="0.2">
      <c r="A101" s="59" t="s">
        <v>161</v>
      </c>
      <c r="B101" s="31" t="s">
        <v>244</v>
      </c>
      <c r="C101" s="32">
        <f>[19]С4!F21</f>
        <v>1933.1949342509995</v>
      </c>
    </row>
    <row r="102" spans="1:3" ht="24" customHeight="1" x14ac:dyDescent="0.2">
      <c r="A102" s="59" t="s">
        <v>163</v>
      </c>
      <c r="B102" s="52" t="s">
        <v>164</v>
      </c>
      <c r="C102" s="33">
        <f>IF([19]С4.2!F8="да",[19]С4.2!D21,[19]С4.2!D15)</f>
        <v>0</v>
      </c>
    </row>
    <row r="103" spans="1:3" ht="68.25" x14ac:dyDescent="0.2">
      <c r="A103" s="59" t="s">
        <v>165</v>
      </c>
      <c r="B103" s="52" t="s">
        <v>166</v>
      </c>
      <c r="C103" s="32">
        <f>[19]С4!F22</f>
        <v>3.6112641666666665</v>
      </c>
    </row>
    <row r="104" spans="1:3" ht="30" x14ac:dyDescent="0.2">
      <c r="A104" s="59" t="s">
        <v>167</v>
      </c>
      <c r="B104" s="58" t="s">
        <v>245</v>
      </c>
      <c r="C104" s="32">
        <f>[19]С4!F23</f>
        <v>180</v>
      </c>
    </row>
    <row r="105" spans="1:3" ht="14.25" x14ac:dyDescent="0.2">
      <c r="A105" s="59" t="s">
        <v>169</v>
      </c>
      <c r="B105" s="52" t="s">
        <v>170</v>
      </c>
      <c r="C105" s="32">
        <f>[19]С4!F24</f>
        <v>8497.1999999999989</v>
      </c>
    </row>
    <row r="106" spans="1:3" ht="14.25" x14ac:dyDescent="0.2">
      <c r="A106" s="59" t="s">
        <v>171</v>
      </c>
      <c r="B106" s="58" t="s">
        <v>172</v>
      </c>
      <c r="C106" s="40">
        <f>[19]С4!F25</f>
        <v>0.35</v>
      </c>
    </row>
    <row r="107" spans="1:3" ht="17.25" x14ac:dyDescent="0.2">
      <c r="A107" s="59" t="s">
        <v>173</v>
      </c>
      <c r="B107" s="31" t="s">
        <v>174</v>
      </c>
      <c r="C107" s="32">
        <f>[19]С4!F26</f>
        <v>77.971800000000002</v>
      </c>
    </row>
    <row r="108" spans="1:3" ht="25.5" x14ac:dyDescent="0.2">
      <c r="A108" s="59" t="s">
        <v>175</v>
      </c>
      <c r="B108" s="52" t="s">
        <v>101</v>
      </c>
      <c r="C108" s="33">
        <f>[19]С4.3!E16</f>
        <v>0</v>
      </c>
    </row>
    <row r="109" spans="1:3" ht="25.5" x14ac:dyDescent="0.2">
      <c r="A109" s="59" t="s">
        <v>176</v>
      </c>
      <c r="B109" s="52" t="s">
        <v>177</v>
      </c>
      <c r="C109" s="32">
        <f>[19]С4.3!E17</f>
        <v>19.3</v>
      </c>
    </row>
    <row r="110" spans="1:3" ht="38.25" x14ac:dyDescent="0.2">
      <c r="A110" s="59" t="s">
        <v>178</v>
      </c>
      <c r="B110" s="52" t="s">
        <v>113</v>
      </c>
      <c r="C110" s="33">
        <f>[19]С4.3!E18</f>
        <v>0</v>
      </c>
    </row>
    <row r="111" spans="1:3" x14ac:dyDescent="0.2">
      <c r="A111" s="59" t="s">
        <v>179</v>
      </c>
      <c r="B111" s="52" t="s">
        <v>180</v>
      </c>
      <c r="C111" s="32">
        <f>[19]С4.3!E19</f>
        <v>50.424999999999997</v>
      </c>
    </row>
    <row r="112" spans="1:3" x14ac:dyDescent="0.2">
      <c r="A112" s="59" t="s">
        <v>181</v>
      </c>
      <c r="B112" s="58" t="s">
        <v>182</v>
      </c>
      <c r="C112" s="32">
        <f>[19]С4.3!E11</f>
        <v>1871</v>
      </c>
    </row>
    <row r="113" spans="1:3" x14ac:dyDescent="0.2">
      <c r="A113" s="59" t="s">
        <v>183</v>
      </c>
      <c r="B113" s="58" t="s">
        <v>184</v>
      </c>
      <c r="C113" s="51">
        <f>[19]С4.3!E12</f>
        <v>1636</v>
      </c>
    </row>
    <row r="114" spans="1:3" x14ac:dyDescent="0.2">
      <c r="A114" s="59" t="s">
        <v>185</v>
      </c>
      <c r="B114" s="58" t="s">
        <v>186</v>
      </c>
      <c r="C114" s="51">
        <f>[19]С4.3!E13</f>
        <v>204</v>
      </c>
    </row>
    <row r="115" spans="1:3" ht="30" x14ac:dyDescent="0.2">
      <c r="A115" s="59" t="s">
        <v>187</v>
      </c>
      <c r="B115" s="31" t="s">
        <v>246</v>
      </c>
      <c r="C115" s="32">
        <f>[19]С4!F27</f>
        <v>1351.1912129385403</v>
      </c>
    </row>
    <row r="116" spans="1:3" ht="25.5" x14ac:dyDescent="0.2">
      <c r="A116" s="59" t="s">
        <v>189</v>
      </c>
      <c r="B116" s="52" t="s">
        <v>247</v>
      </c>
      <c r="C116" s="32">
        <f>[19]С4!F28</f>
        <v>1037.7812695380494</v>
      </c>
    </row>
    <row r="117" spans="1:3" ht="42.75" x14ac:dyDescent="0.2">
      <c r="A117" s="59" t="s">
        <v>191</v>
      </c>
      <c r="B117" s="52" t="s">
        <v>192</v>
      </c>
      <c r="C117" s="32">
        <f>[19]С4!F29</f>
        <v>313.40994340049093</v>
      </c>
    </row>
    <row r="118" spans="1:3" ht="30" x14ac:dyDescent="0.2">
      <c r="A118" s="59" t="s">
        <v>193</v>
      </c>
      <c r="B118" s="39" t="s">
        <v>194</v>
      </c>
      <c r="C118" s="32">
        <f>[19]С4!F30</f>
        <v>1733.2116723527324</v>
      </c>
    </row>
    <row r="119" spans="1:3" ht="42.75" x14ac:dyDescent="0.2">
      <c r="A119" s="59" t="s">
        <v>248</v>
      </c>
      <c r="B119" s="89" t="s">
        <v>249</v>
      </c>
      <c r="C119" s="32">
        <f>[19]С4!F33</f>
        <v>1010.5011744884268</v>
      </c>
    </row>
    <row r="120" spans="1:3" ht="30" x14ac:dyDescent="0.2">
      <c r="A120" s="59" t="s">
        <v>250</v>
      </c>
      <c r="B120" s="121" t="s">
        <v>251</v>
      </c>
      <c r="C120" s="32">
        <f>[19]С4!F35</f>
        <v>17.040680999999999</v>
      </c>
    </row>
    <row r="121" spans="1:3" ht="14.25" x14ac:dyDescent="0.2">
      <c r="A121" s="59" t="s">
        <v>252</v>
      </c>
      <c r="B121" s="55" t="s">
        <v>253</v>
      </c>
      <c r="C121" s="32">
        <f>[19]С4!F36</f>
        <v>14319.9</v>
      </c>
    </row>
    <row r="122" spans="1:3" ht="28.5" thickBot="1" x14ac:dyDescent="0.25">
      <c r="A122" s="74" t="s">
        <v>254</v>
      </c>
      <c r="B122" s="122" t="s">
        <v>255</v>
      </c>
      <c r="C122" s="84">
        <f>[19]С4!F37</f>
        <v>1.19</v>
      </c>
    </row>
    <row r="123" spans="1:3" s="87" customFormat="1" ht="13.5" thickBot="1" x14ac:dyDescent="0.25">
      <c r="A123" s="47"/>
      <c r="B123" s="48"/>
      <c r="C123" s="14"/>
    </row>
    <row r="124" spans="1:3" s="65" customFormat="1" ht="30" customHeight="1" x14ac:dyDescent="0.2">
      <c r="A124" s="77" t="s">
        <v>195</v>
      </c>
      <c r="B124" s="145" t="s">
        <v>196</v>
      </c>
      <c r="C124" s="145"/>
    </row>
    <row r="125" spans="1:3" ht="16.5" thickBot="1" x14ac:dyDescent="0.25">
      <c r="A125" s="26" t="s">
        <v>197</v>
      </c>
      <c r="B125" s="86" t="s">
        <v>198</v>
      </c>
      <c r="C125" s="84">
        <f>[19]С5!F17</f>
        <v>0.02</v>
      </c>
    </row>
    <row r="126" spans="1:3" s="87" customFormat="1" ht="13.5" thickBot="1" x14ac:dyDescent="0.25">
      <c r="A126" s="47"/>
      <c r="B126" s="48"/>
      <c r="C126" s="14"/>
    </row>
    <row r="127" spans="1:3" ht="42.75" customHeight="1" x14ac:dyDescent="0.2">
      <c r="A127" s="85" t="s">
        <v>199</v>
      </c>
      <c r="B127" s="147" t="s">
        <v>200</v>
      </c>
      <c r="C127" s="147"/>
    </row>
    <row r="128" spans="1:3" ht="68.25" x14ac:dyDescent="0.2">
      <c r="A128" s="59" t="s">
        <v>201</v>
      </c>
      <c r="B128" s="88" t="s">
        <v>202</v>
      </c>
      <c r="C128" s="32" t="s">
        <v>256</v>
      </c>
    </row>
    <row r="129" spans="1:3" ht="42.75" hidden="1" x14ac:dyDescent="0.2">
      <c r="A129" s="59" t="s">
        <v>203</v>
      </c>
      <c r="B129" s="89" t="s">
        <v>204</v>
      </c>
      <c r="C129" s="90"/>
    </row>
    <row r="130" spans="1:3" ht="69" thickBot="1" x14ac:dyDescent="0.25">
      <c r="A130" s="74" t="s">
        <v>205</v>
      </c>
      <c r="B130" s="123" t="s">
        <v>206</v>
      </c>
      <c r="C130" s="124" t="s">
        <v>256</v>
      </c>
    </row>
    <row r="131" spans="1:3" ht="62.25" hidden="1" customHeight="1" x14ac:dyDescent="0.2">
      <c r="A131" s="125" t="s">
        <v>207</v>
      </c>
      <c r="B131" s="126" t="s">
        <v>208</v>
      </c>
      <c r="C131" s="127"/>
    </row>
    <row r="132" spans="1:3" ht="68.25" hidden="1" x14ac:dyDescent="0.2">
      <c r="A132" s="59" t="s">
        <v>209</v>
      </c>
      <c r="B132" s="89" t="s">
        <v>257</v>
      </c>
      <c r="C132" s="34"/>
    </row>
    <row r="133" spans="1:3" ht="69" hidden="1" thickBot="1" x14ac:dyDescent="0.25">
      <c r="A133" s="74" t="s">
        <v>211</v>
      </c>
      <c r="B133" s="92" t="s">
        <v>212</v>
      </c>
      <c r="C133" s="76"/>
    </row>
    <row r="134" spans="1:3" s="87" customFormat="1" ht="13.5" thickBot="1" x14ac:dyDescent="0.25">
      <c r="A134" s="47"/>
      <c r="B134" s="48"/>
      <c r="C134" s="14"/>
    </row>
    <row r="135" spans="1:3" ht="26.25" customHeight="1" x14ac:dyDescent="0.2">
      <c r="A135" s="85" t="s">
        <v>213</v>
      </c>
      <c r="B135" s="93" t="s">
        <v>214</v>
      </c>
      <c r="C135" s="94">
        <f>[19]С2!F37</f>
        <v>20.818139999999996</v>
      </c>
    </row>
    <row r="136" spans="1:3" ht="14.25" x14ac:dyDescent="0.2">
      <c r="A136" s="59" t="s">
        <v>215</v>
      </c>
      <c r="B136" s="128" t="s">
        <v>216</v>
      </c>
      <c r="C136" s="32">
        <f>[19]С2!F38</f>
        <v>7</v>
      </c>
    </row>
    <row r="137" spans="1:3" ht="17.25" x14ac:dyDescent="0.2">
      <c r="A137" s="59" t="s">
        <v>217</v>
      </c>
      <c r="B137" s="128" t="s">
        <v>218</v>
      </c>
      <c r="C137" s="32">
        <f>[19]С2!F40</f>
        <v>0.97</v>
      </c>
    </row>
    <row r="138" spans="1:3" ht="15" thickBot="1" x14ac:dyDescent="0.25">
      <c r="A138" s="74" t="s">
        <v>219</v>
      </c>
      <c r="B138" s="129" t="s">
        <v>220</v>
      </c>
      <c r="C138" s="46">
        <f>[19]С2!F42</f>
        <v>0.35</v>
      </c>
    </row>
    <row r="139" spans="1:3" s="87" customFormat="1" ht="13.5" thickBot="1" x14ac:dyDescent="0.25">
      <c r="A139" s="47"/>
      <c r="B139" s="48"/>
      <c r="C139" s="14"/>
    </row>
    <row r="140" spans="1:3" ht="30" x14ac:dyDescent="0.2">
      <c r="A140" s="85" t="s">
        <v>221</v>
      </c>
      <c r="B140" s="95" t="s">
        <v>258</v>
      </c>
      <c r="C140" s="130">
        <f>[19]С2!F35</f>
        <v>1.4976266307379205</v>
      </c>
    </row>
    <row r="141" spans="1:3" ht="22.7" customHeight="1" thickBot="1" x14ac:dyDescent="0.25">
      <c r="A141" s="74" t="s">
        <v>223</v>
      </c>
      <c r="B141" s="141" t="s">
        <v>224</v>
      </c>
      <c r="C141" s="141"/>
    </row>
    <row r="142" spans="1:3" ht="13.5" thickBot="1" x14ac:dyDescent="0.25">
      <c r="A142" s="97"/>
      <c r="B142" s="131" t="s">
        <v>0</v>
      </c>
      <c r="C142" s="132"/>
    </row>
    <row r="143" spans="1:3" x14ac:dyDescent="0.2">
      <c r="A143" s="97"/>
      <c r="B143" s="133">
        <v>2020</v>
      </c>
      <c r="C143" s="134">
        <f>[19]С2.5!$E$11</f>
        <v>-2.9000000000000026E-2</v>
      </c>
    </row>
    <row r="144" spans="1:3" x14ac:dyDescent="0.2">
      <c r="A144" s="97"/>
      <c r="B144" s="104">
        <f>B143+1</f>
        <v>2021</v>
      </c>
      <c r="C144" s="135">
        <f>[19]С2.5!$F$11</f>
        <v>0.245</v>
      </c>
    </row>
    <row r="145" spans="1:3" x14ac:dyDescent="0.2">
      <c r="A145" s="97"/>
      <c r="B145" s="104">
        <f t="shared" ref="B145:B208" si="0">B144+1</f>
        <v>2022</v>
      </c>
      <c r="C145" s="135">
        <f>[19]С2.5!$G$11</f>
        <v>0.114</v>
      </c>
    </row>
    <row r="146" spans="1:3" ht="13.5" thickBot="1" x14ac:dyDescent="0.25">
      <c r="A146" s="97"/>
      <c r="B146" s="106">
        <f t="shared" si="0"/>
        <v>2023</v>
      </c>
      <c r="C146" s="136">
        <f>[19]С2.5!$H$11</f>
        <v>2.4E-2</v>
      </c>
    </row>
    <row r="147" spans="1:3" x14ac:dyDescent="0.2">
      <c r="A147" s="97"/>
      <c r="B147" s="137">
        <f t="shared" si="0"/>
        <v>2024</v>
      </c>
      <c r="C147" s="138">
        <f>[19]С2.5!$I$11</f>
        <v>8.5999999999999993E-2</v>
      </c>
    </row>
    <row r="148" spans="1:3" hidden="1" x14ac:dyDescent="0.2">
      <c r="A148" s="97"/>
      <c r="B148" s="104">
        <f t="shared" si="0"/>
        <v>2025</v>
      </c>
      <c r="C148" s="135">
        <f>[19]С2.5!$J$11</f>
        <v>0.21215960863291</v>
      </c>
    </row>
    <row r="149" spans="1:3" hidden="1" x14ac:dyDescent="0.2">
      <c r="A149" s="97"/>
      <c r="B149" s="104">
        <f t="shared" si="0"/>
        <v>2026</v>
      </c>
      <c r="C149" s="135">
        <f>[19]С2.5!$K$11</f>
        <v>3.5813361771260002E-2</v>
      </c>
    </row>
    <row r="150" spans="1:3" hidden="1" x14ac:dyDescent="0.2">
      <c r="A150" s="97"/>
      <c r="B150" s="104">
        <f t="shared" si="0"/>
        <v>2027</v>
      </c>
      <c r="C150" s="135">
        <f>[19]С2.5!$L$11</f>
        <v>3.2682303599220003E-2</v>
      </c>
    </row>
    <row r="151" spans="1:3" hidden="1" x14ac:dyDescent="0.2">
      <c r="A151" s="97"/>
      <c r="B151" s="104">
        <f t="shared" si="0"/>
        <v>2028</v>
      </c>
      <c r="C151" s="135">
        <f>[19]С2.5!$M$11</f>
        <v>0</v>
      </c>
    </row>
    <row r="152" spans="1:3" hidden="1" x14ac:dyDescent="0.2">
      <c r="A152" s="97"/>
      <c r="B152" s="104">
        <f t="shared" si="0"/>
        <v>2029</v>
      </c>
      <c r="C152" s="135">
        <f>[19]С2.5!$N$11</f>
        <v>0</v>
      </c>
    </row>
    <row r="153" spans="1:3" hidden="1" x14ac:dyDescent="0.2">
      <c r="A153" s="97"/>
      <c r="B153" s="104">
        <f t="shared" si="0"/>
        <v>2030</v>
      </c>
      <c r="C153" s="135">
        <f>[19]С2.5!$O$11</f>
        <v>0</v>
      </c>
    </row>
    <row r="154" spans="1:3" hidden="1" x14ac:dyDescent="0.2">
      <c r="A154" s="97"/>
      <c r="B154" s="104">
        <f t="shared" si="0"/>
        <v>2031</v>
      </c>
      <c r="C154" s="135">
        <f>[19]С2.5!$P$11</f>
        <v>0</v>
      </c>
    </row>
    <row r="155" spans="1:3" hidden="1" x14ac:dyDescent="0.2">
      <c r="A155" s="87"/>
      <c r="B155" s="104">
        <f t="shared" si="0"/>
        <v>2032</v>
      </c>
      <c r="C155" s="135">
        <f>[19]С2.5!$Q$11</f>
        <v>0</v>
      </c>
    </row>
    <row r="156" spans="1:3" hidden="1" x14ac:dyDescent="0.2">
      <c r="A156" s="87"/>
      <c r="B156" s="104">
        <f t="shared" si="0"/>
        <v>2033</v>
      </c>
      <c r="C156" s="135">
        <f>[19]С2.5!$R$11</f>
        <v>0</v>
      </c>
    </row>
    <row r="157" spans="1:3" hidden="1" x14ac:dyDescent="0.2">
      <c r="B157" s="104">
        <f t="shared" si="0"/>
        <v>2034</v>
      </c>
      <c r="C157" s="135">
        <f>[19]С2.5!$S$11</f>
        <v>0</v>
      </c>
    </row>
    <row r="158" spans="1:3" hidden="1" x14ac:dyDescent="0.2">
      <c r="B158" s="104">
        <f t="shared" si="0"/>
        <v>2035</v>
      </c>
      <c r="C158" s="135">
        <f>[19]С2.5!$T$11</f>
        <v>0</v>
      </c>
    </row>
    <row r="159" spans="1:3" hidden="1" x14ac:dyDescent="0.2">
      <c r="B159" s="104">
        <f t="shared" si="0"/>
        <v>2036</v>
      </c>
      <c r="C159" s="135">
        <f>[19]С2.5!$U$11</f>
        <v>0</v>
      </c>
    </row>
    <row r="160" spans="1:3" hidden="1" x14ac:dyDescent="0.2">
      <c r="B160" s="104">
        <f t="shared" si="0"/>
        <v>2037</v>
      </c>
      <c r="C160" s="135">
        <f>[19]С2.5!$V$11</f>
        <v>0</v>
      </c>
    </row>
    <row r="161" spans="2:3" hidden="1" x14ac:dyDescent="0.2">
      <c r="B161" s="104">
        <f t="shared" si="0"/>
        <v>2038</v>
      </c>
      <c r="C161" s="135">
        <f>[19]С2.5!$W$11</f>
        <v>0</v>
      </c>
    </row>
    <row r="162" spans="2:3" hidden="1" x14ac:dyDescent="0.2">
      <c r="B162" s="104">
        <f t="shared" si="0"/>
        <v>2039</v>
      </c>
      <c r="C162" s="135">
        <f>[19]С2.5!$X$11</f>
        <v>0</v>
      </c>
    </row>
    <row r="163" spans="2:3" hidden="1" x14ac:dyDescent="0.2">
      <c r="B163" s="104">
        <f t="shared" si="0"/>
        <v>2040</v>
      </c>
      <c r="C163" s="135">
        <f>[19]С2.5!$Y$11</f>
        <v>0</v>
      </c>
    </row>
    <row r="164" spans="2:3" hidden="1" x14ac:dyDescent="0.2">
      <c r="B164" s="104">
        <f t="shared" si="0"/>
        <v>2041</v>
      </c>
      <c r="C164" s="135">
        <f>[19]С2.5!$Z$11</f>
        <v>0</v>
      </c>
    </row>
    <row r="165" spans="2:3" hidden="1" x14ac:dyDescent="0.2">
      <c r="B165" s="104">
        <f t="shared" si="0"/>
        <v>2042</v>
      </c>
      <c r="C165" s="135">
        <f>[19]С2.5!$AA$11</f>
        <v>0</v>
      </c>
    </row>
    <row r="166" spans="2:3" hidden="1" x14ac:dyDescent="0.2">
      <c r="B166" s="104">
        <f t="shared" si="0"/>
        <v>2043</v>
      </c>
      <c r="C166" s="135">
        <f>[19]С2.5!$AB$11</f>
        <v>0</v>
      </c>
    </row>
    <row r="167" spans="2:3" hidden="1" x14ac:dyDescent="0.2">
      <c r="B167" s="104">
        <f t="shared" si="0"/>
        <v>2044</v>
      </c>
      <c r="C167" s="135">
        <f>[19]С2.5!$AC$11</f>
        <v>0</v>
      </c>
    </row>
    <row r="168" spans="2:3" hidden="1" x14ac:dyDescent="0.2">
      <c r="B168" s="104">
        <f t="shared" si="0"/>
        <v>2045</v>
      </c>
      <c r="C168" s="135">
        <f>[19]С2.5!$AD$11</f>
        <v>0</v>
      </c>
    </row>
    <row r="169" spans="2:3" hidden="1" x14ac:dyDescent="0.2">
      <c r="B169" s="104">
        <f t="shared" si="0"/>
        <v>2046</v>
      </c>
      <c r="C169" s="135">
        <f>[19]С2.5!$AE$11</f>
        <v>0</v>
      </c>
    </row>
    <row r="170" spans="2:3" hidden="1" x14ac:dyDescent="0.2">
      <c r="B170" s="104">
        <f t="shared" si="0"/>
        <v>2047</v>
      </c>
      <c r="C170" s="135">
        <f>[19]С2.5!$AF$11</f>
        <v>0</v>
      </c>
    </row>
    <row r="171" spans="2:3" hidden="1" x14ac:dyDescent="0.2">
      <c r="B171" s="104">
        <f t="shared" si="0"/>
        <v>2048</v>
      </c>
      <c r="C171" s="135">
        <f>[19]С2.5!$AG$11</f>
        <v>0</v>
      </c>
    </row>
    <row r="172" spans="2:3" hidden="1" x14ac:dyDescent="0.2">
      <c r="B172" s="104">
        <f t="shared" si="0"/>
        <v>2049</v>
      </c>
      <c r="C172" s="135">
        <f>[19]С2.5!$AH$11</f>
        <v>0</v>
      </c>
    </row>
    <row r="173" spans="2:3" hidden="1" x14ac:dyDescent="0.2">
      <c r="B173" s="104">
        <f t="shared" si="0"/>
        <v>2050</v>
      </c>
      <c r="C173" s="135">
        <f>[19]С2.5!$AI$11</f>
        <v>0</v>
      </c>
    </row>
    <row r="174" spans="2:3" hidden="1" x14ac:dyDescent="0.2">
      <c r="B174" s="104">
        <f t="shared" si="0"/>
        <v>2051</v>
      </c>
      <c r="C174" s="135">
        <f>[19]С2.5!$AJ$11</f>
        <v>0</v>
      </c>
    </row>
    <row r="175" spans="2:3" hidden="1" x14ac:dyDescent="0.2">
      <c r="B175" s="104">
        <f t="shared" si="0"/>
        <v>2052</v>
      </c>
      <c r="C175" s="135">
        <f>[19]С2.5!$AK$11</f>
        <v>0</v>
      </c>
    </row>
    <row r="176" spans="2:3" hidden="1" x14ac:dyDescent="0.2">
      <c r="B176" s="104">
        <f t="shared" si="0"/>
        <v>2053</v>
      </c>
      <c r="C176" s="135">
        <f>[19]С2.5!$AL$11</f>
        <v>0</v>
      </c>
    </row>
    <row r="177" spans="2:3" hidden="1" x14ac:dyDescent="0.2">
      <c r="B177" s="104">
        <f t="shared" si="0"/>
        <v>2054</v>
      </c>
      <c r="C177" s="135">
        <f>[19]С2.5!$AM$11</f>
        <v>0</v>
      </c>
    </row>
    <row r="178" spans="2:3" hidden="1" x14ac:dyDescent="0.2">
      <c r="B178" s="104">
        <f t="shared" si="0"/>
        <v>2055</v>
      </c>
      <c r="C178" s="135">
        <f>[19]С2.5!$AN$11</f>
        <v>0</v>
      </c>
    </row>
    <row r="179" spans="2:3" hidden="1" x14ac:dyDescent="0.2">
      <c r="B179" s="104">
        <f t="shared" si="0"/>
        <v>2056</v>
      </c>
      <c r="C179" s="135">
        <f>[19]С2.5!$AO$11</f>
        <v>0</v>
      </c>
    </row>
    <row r="180" spans="2:3" hidden="1" x14ac:dyDescent="0.2">
      <c r="B180" s="104">
        <f t="shared" si="0"/>
        <v>2057</v>
      </c>
      <c r="C180" s="135">
        <f>[19]С2.5!$AP$11</f>
        <v>0</v>
      </c>
    </row>
    <row r="181" spans="2:3" hidden="1" x14ac:dyDescent="0.2">
      <c r="B181" s="104">
        <f t="shared" si="0"/>
        <v>2058</v>
      </c>
      <c r="C181" s="135">
        <f>[19]С2.5!$AQ$11</f>
        <v>0</v>
      </c>
    </row>
    <row r="182" spans="2:3" hidden="1" x14ac:dyDescent="0.2">
      <c r="B182" s="104">
        <f t="shared" si="0"/>
        <v>2059</v>
      </c>
      <c r="C182" s="135">
        <f>[19]С2.5!$AR$11</f>
        <v>0</v>
      </c>
    </row>
    <row r="183" spans="2:3" hidden="1" x14ac:dyDescent="0.2">
      <c r="B183" s="104">
        <f t="shared" si="0"/>
        <v>2060</v>
      </c>
      <c r="C183" s="135">
        <f>[19]С2.5!$AS$11</f>
        <v>0</v>
      </c>
    </row>
    <row r="184" spans="2:3" hidden="1" x14ac:dyDescent="0.2">
      <c r="B184" s="104">
        <f t="shared" si="0"/>
        <v>2061</v>
      </c>
      <c r="C184" s="135">
        <f>[19]С2.5!$AT$11</f>
        <v>0</v>
      </c>
    </row>
    <row r="185" spans="2:3" hidden="1" x14ac:dyDescent="0.2">
      <c r="B185" s="104">
        <f t="shared" si="0"/>
        <v>2062</v>
      </c>
      <c r="C185" s="135">
        <f>[19]С2.5!$AU$11</f>
        <v>0</v>
      </c>
    </row>
    <row r="186" spans="2:3" hidden="1" x14ac:dyDescent="0.2">
      <c r="B186" s="104">
        <f t="shared" si="0"/>
        <v>2063</v>
      </c>
      <c r="C186" s="135">
        <f>[19]С2.5!$AV$11</f>
        <v>0</v>
      </c>
    </row>
    <row r="187" spans="2:3" hidden="1" x14ac:dyDescent="0.2">
      <c r="B187" s="104">
        <f t="shared" si="0"/>
        <v>2064</v>
      </c>
      <c r="C187" s="135">
        <f>[19]С2.5!$AW$11</f>
        <v>0</v>
      </c>
    </row>
    <row r="188" spans="2:3" hidden="1" x14ac:dyDescent="0.2">
      <c r="B188" s="104">
        <f t="shared" si="0"/>
        <v>2065</v>
      </c>
      <c r="C188" s="135">
        <f>[19]С2.5!$AX$11</f>
        <v>0</v>
      </c>
    </row>
    <row r="189" spans="2:3" hidden="1" x14ac:dyDescent="0.2">
      <c r="B189" s="104">
        <f t="shared" si="0"/>
        <v>2066</v>
      </c>
      <c r="C189" s="135">
        <f>[19]С2.5!$AY$11</f>
        <v>0</v>
      </c>
    </row>
    <row r="190" spans="2:3" hidden="1" x14ac:dyDescent="0.2">
      <c r="B190" s="104">
        <f t="shared" si="0"/>
        <v>2067</v>
      </c>
      <c r="C190" s="135">
        <f>[19]С2.5!$AZ$11</f>
        <v>0</v>
      </c>
    </row>
    <row r="191" spans="2:3" hidden="1" x14ac:dyDescent="0.2">
      <c r="B191" s="104">
        <f t="shared" si="0"/>
        <v>2068</v>
      </c>
      <c r="C191" s="135">
        <f>[19]С2.5!$BA$11</f>
        <v>0</v>
      </c>
    </row>
    <row r="192" spans="2:3" hidden="1" x14ac:dyDescent="0.2">
      <c r="B192" s="104">
        <f t="shared" si="0"/>
        <v>2069</v>
      </c>
      <c r="C192" s="135">
        <f>[19]С2.5!$BB$11</f>
        <v>0</v>
      </c>
    </row>
    <row r="193" spans="2:3" hidden="1" x14ac:dyDescent="0.2">
      <c r="B193" s="104">
        <f t="shared" si="0"/>
        <v>2070</v>
      </c>
      <c r="C193" s="135">
        <f>[19]С2.5!$BC$11</f>
        <v>0</v>
      </c>
    </row>
    <row r="194" spans="2:3" hidden="1" x14ac:dyDescent="0.2">
      <c r="B194" s="104">
        <f t="shared" si="0"/>
        <v>2071</v>
      </c>
      <c r="C194" s="135">
        <f>[19]С2.5!$BD$11</f>
        <v>0</v>
      </c>
    </row>
    <row r="195" spans="2:3" hidden="1" x14ac:dyDescent="0.2">
      <c r="B195" s="104">
        <f t="shared" si="0"/>
        <v>2072</v>
      </c>
      <c r="C195" s="135">
        <f>[19]С2.5!$BE$11</f>
        <v>0</v>
      </c>
    </row>
    <row r="196" spans="2:3" hidden="1" x14ac:dyDescent="0.2">
      <c r="B196" s="104">
        <f t="shared" si="0"/>
        <v>2073</v>
      </c>
      <c r="C196" s="135">
        <f>[19]С2.5!$BF$11</f>
        <v>0</v>
      </c>
    </row>
    <row r="197" spans="2:3" hidden="1" x14ac:dyDescent="0.2">
      <c r="B197" s="104">
        <f t="shared" si="0"/>
        <v>2074</v>
      </c>
      <c r="C197" s="135">
        <f>[19]С2.5!$BG$11</f>
        <v>0</v>
      </c>
    </row>
    <row r="198" spans="2:3" hidden="1" x14ac:dyDescent="0.2">
      <c r="B198" s="104">
        <f t="shared" si="0"/>
        <v>2075</v>
      </c>
      <c r="C198" s="135">
        <f>[19]С2.5!$BH$11</f>
        <v>0</v>
      </c>
    </row>
    <row r="199" spans="2:3" hidden="1" x14ac:dyDescent="0.2">
      <c r="B199" s="104">
        <f t="shared" si="0"/>
        <v>2076</v>
      </c>
      <c r="C199" s="135">
        <f>[19]С2.5!$BI$11</f>
        <v>0</v>
      </c>
    </row>
    <row r="200" spans="2:3" hidden="1" x14ac:dyDescent="0.2">
      <c r="B200" s="104">
        <f t="shared" si="0"/>
        <v>2077</v>
      </c>
      <c r="C200" s="135">
        <f>[19]С2.5!$BJ$11</f>
        <v>0</v>
      </c>
    </row>
    <row r="201" spans="2:3" hidden="1" x14ac:dyDescent="0.2">
      <c r="B201" s="104">
        <f t="shared" si="0"/>
        <v>2078</v>
      </c>
      <c r="C201" s="135">
        <f>[19]С2.5!$BK$11</f>
        <v>0</v>
      </c>
    </row>
    <row r="202" spans="2:3" hidden="1" x14ac:dyDescent="0.2">
      <c r="B202" s="104">
        <f t="shared" si="0"/>
        <v>2079</v>
      </c>
      <c r="C202" s="135">
        <f>[19]С2.5!$BL$11</f>
        <v>0</v>
      </c>
    </row>
    <row r="203" spans="2:3" hidden="1" x14ac:dyDescent="0.2">
      <c r="B203" s="104">
        <f t="shared" si="0"/>
        <v>2080</v>
      </c>
      <c r="C203" s="135">
        <f>[19]С2.5!$BM$11</f>
        <v>0</v>
      </c>
    </row>
    <row r="204" spans="2:3" hidden="1" x14ac:dyDescent="0.2">
      <c r="B204" s="104">
        <f t="shared" si="0"/>
        <v>2081</v>
      </c>
      <c r="C204" s="135">
        <f>[19]С2.5!$BN$11</f>
        <v>0</v>
      </c>
    </row>
    <row r="205" spans="2:3" hidden="1" x14ac:dyDescent="0.2">
      <c r="B205" s="104">
        <f t="shared" si="0"/>
        <v>2082</v>
      </c>
      <c r="C205" s="135">
        <f>[19]С2.5!$BO$11</f>
        <v>0</v>
      </c>
    </row>
    <row r="206" spans="2:3" hidden="1" x14ac:dyDescent="0.2">
      <c r="B206" s="104">
        <f t="shared" si="0"/>
        <v>2083</v>
      </c>
      <c r="C206" s="135">
        <f>[19]С2.5!$BP$11</f>
        <v>0</v>
      </c>
    </row>
    <row r="207" spans="2:3" hidden="1" x14ac:dyDescent="0.2">
      <c r="B207" s="104">
        <f t="shared" si="0"/>
        <v>2084</v>
      </c>
      <c r="C207" s="135">
        <f>[19]С2.5!$BQ$11</f>
        <v>0</v>
      </c>
    </row>
    <row r="208" spans="2:3" hidden="1" x14ac:dyDescent="0.2">
      <c r="B208" s="104">
        <f t="shared" si="0"/>
        <v>2085</v>
      </c>
      <c r="C208" s="135">
        <f>[19]С2.5!$BR$11</f>
        <v>0</v>
      </c>
    </row>
    <row r="209" spans="2:3" hidden="1" x14ac:dyDescent="0.2">
      <c r="B209" s="104">
        <f t="shared" ref="B209:B223" si="1">B208+1</f>
        <v>2086</v>
      </c>
      <c r="C209" s="135">
        <f>[19]С2.5!$BS$11</f>
        <v>0</v>
      </c>
    </row>
    <row r="210" spans="2:3" hidden="1" x14ac:dyDescent="0.2">
      <c r="B210" s="104">
        <f t="shared" si="1"/>
        <v>2087</v>
      </c>
      <c r="C210" s="135">
        <f>[19]С2.5!$BT$11</f>
        <v>0</v>
      </c>
    </row>
    <row r="211" spans="2:3" hidden="1" x14ac:dyDescent="0.2">
      <c r="B211" s="104">
        <f t="shared" si="1"/>
        <v>2088</v>
      </c>
      <c r="C211" s="135">
        <f>[19]С2.5!$BU$11</f>
        <v>0</v>
      </c>
    </row>
    <row r="212" spans="2:3" hidden="1" x14ac:dyDescent="0.2">
      <c r="B212" s="104">
        <f t="shared" si="1"/>
        <v>2089</v>
      </c>
      <c r="C212" s="135">
        <f>[19]С2.5!$BV$11</f>
        <v>0</v>
      </c>
    </row>
    <row r="213" spans="2:3" hidden="1" x14ac:dyDescent="0.2">
      <c r="B213" s="104">
        <f t="shared" si="1"/>
        <v>2090</v>
      </c>
      <c r="C213" s="135">
        <f>[19]С2.5!$BW$11</f>
        <v>0</v>
      </c>
    </row>
    <row r="214" spans="2:3" hidden="1" x14ac:dyDescent="0.2">
      <c r="B214" s="104">
        <f t="shared" si="1"/>
        <v>2091</v>
      </c>
      <c r="C214" s="135">
        <f>[19]С2.5!$BX$11</f>
        <v>0</v>
      </c>
    </row>
    <row r="215" spans="2:3" hidden="1" x14ac:dyDescent="0.2">
      <c r="B215" s="104">
        <f t="shared" si="1"/>
        <v>2092</v>
      </c>
      <c r="C215" s="135">
        <f>[19]С2.5!$BY$11</f>
        <v>0</v>
      </c>
    </row>
    <row r="216" spans="2:3" hidden="1" x14ac:dyDescent="0.2">
      <c r="B216" s="104">
        <f t="shared" si="1"/>
        <v>2093</v>
      </c>
      <c r="C216" s="135">
        <f>[19]С2.5!$BZ$11</f>
        <v>0</v>
      </c>
    </row>
    <row r="217" spans="2:3" hidden="1" x14ac:dyDescent="0.2">
      <c r="B217" s="104">
        <f t="shared" si="1"/>
        <v>2094</v>
      </c>
      <c r="C217" s="135">
        <f>[19]С2.5!$CA$11</f>
        <v>0</v>
      </c>
    </row>
    <row r="218" spans="2:3" hidden="1" x14ac:dyDescent="0.2">
      <c r="B218" s="104">
        <f t="shared" si="1"/>
        <v>2095</v>
      </c>
      <c r="C218" s="135">
        <f>[19]С2.5!$CB$11</f>
        <v>0</v>
      </c>
    </row>
    <row r="219" spans="2:3" hidden="1" x14ac:dyDescent="0.2">
      <c r="B219" s="104">
        <f t="shared" si="1"/>
        <v>2096</v>
      </c>
      <c r="C219" s="135">
        <f>[19]С2.5!$CC$11</f>
        <v>0</v>
      </c>
    </row>
    <row r="220" spans="2:3" hidden="1" x14ac:dyDescent="0.2">
      <c r="B220" s="104">
        <f t="shared" si="1"/>
        <v>2097</v>
      </c>
      <c r="C220" s="135">
        <f>[19]С2.5!$CD$11</f>
        <v>0</v>
      </c>
    </row>
    <row r="221" spans="2:3" hidden="1" x14ac:dyDescent="0.2">
      <c r="B221" s="104">
        <f t="shared" si="1"/>
        <v>2098</v>
      </c>
      <c r="C221" s="135">
        <f>[19]С2.5!$CE$11</f>
        <v>0</v>
      </c>
    </row>
    <row r="222" spans="2:3" hidden="1" x14ac:dyDescent="0.2">
      <c r="B222" s="104">
        <f t="shared" si="1"/>
        <v>2099</v>
      </c>
      <c r="C222" s="135">
        <f>[19]С2.5!$CF$11</f>
        <v>0</v>
      </c>
    </row>
    <row r="223" spans="2:3" ht="13.5" hidden="1" thickBot="1" x14ac:dyDescent="0.25">
      <c r="B223" s="106">
        <f t="shared" si="1"/>
        <v>2100</v>
      </c>
      <c r="C223" s="136">
        <f>[19]С2.5!$CG$11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6" customWidth="1"/>
    <col min="4" max="245" width="9.140625" style="2"/>
    <col min="246" max="246" width="3.5703125" style="2" customWidth="1"/>
    <col min="247" max="247" width="96.85546875" style="2" customWidth="1"/>
    <col min="248" max="248" width="30.85546875" style="2" customWidth="1"/>
    <col min="249" max="249" width="12.5703125" style="2" customWidth="1"/>
    <col min="250" max="250" width="5.140625" style="2" customWidth="1"/>
    <col min="251" max="251" width="9.140625" style="2"/>
    <col min="252" max="252" width="4.85546875" style="2" customWidth="1"/>
    <col min="253" max="253" width="30.5703125" style="2" customWidth="1"/>
    <col min="254" max="254" width="33.85546875" style="2" customWidth="1"/>
    <col min="255" max="255" width="5.140625" style="2" customWidth="1"/>
    <col min="256" max="257" width="17.5703125" style="2" customWidth="1"/>
    <col min="258" max="501" width="9.140625" style="2"/>
    <col min="502" max="502" width="3.5703125" style="2" customWidth="1"/>
    <col min="503" max="503" width="96.85546875" style="2" customWidth="1"/>
    <col min="504" max="504" width="30.85546875" style="2" customWidth="1"/>
    <col min="505" max="505" width="12.5703125" style="2" customWidth="1"/>
    <col min="506" max="506" width="5.140625" style="2" customWidth="1"/>
    <col min="507" max="507" width="9.140625" style="2"/>
    <col min="508" max="508" width="4.85546875" style="2" customWidth="1"/>
    <col min="509" max="509" width="30.5703125" style="2" customWidth="1"/>
    <col min="510" max="510" width="33.85546875" style="2" customWidth="1"/>
    <col min="511" max="511" width="5.140625" style="2" customWidth="1"/>
    <col min="512" max="513" width="17.5703125" style="2" customWidth="1"/>
    <col min="514" max="757" width="9.140625" style="2"/>
    <col min="758" max="758" width="3.5703125" style="2" customWidth="1"/>
    <col min="759" max="759" width="96.85546875" style="2" customWidth="1"/>
    <col min="760" max="760" width="30.85546875" style="2" customWidth="1"/>
    <col min="761" max="761" width="12.5703125" style="2" customWidth="1"/>
    <col min="762" max="762" width="5.140625" style="2" customWidth="1"/>
    <col min="763" max="763" width="9.140625" style="2"/>
    <col min="764" max="764" width="4.85546875" style="2" customWidth="1"/>
    <col min="765" max="765" width="30.5703125" style="2" customWidth="1"/>
    <col min="766" max="766" width="33.85546875" style="2" customWidth="1"/>
    <col min="767" max="767" width="5.140625" style="2" customWidth="1"/>
    <col min="768" max="769" width="17.5703125" style="2" customWidth="1"/>
    <col min="770" max="1013" width="9.140625" style="2"/>
    <col min="1014" max="1014" width="3.5703125" style="2" customWidth="1"/>
    <col min="1015" max="1015" width="96.85546875" style="2" customWidth="1"/>
    <col min="1016" max="1016" width="30.85546875" style="2" customWidth="1"/>
    <col min="1017" max="1017" width="12.5703125" style="2" customWidth="1"/>
    <col min="1018" max="1018" width="5.140625" style="2" customWidth="1"/>
    <col min="1019" max="1019" width="9.140625" style="2"/>
    <col min="1020" max="1020" width="4.85546875" style="2" customWidth="1"/>
    <col min="1021" max="1021" width="30.5703125" style="2" customWidth="1"/>
    <col min="1022" max="1022" width="33.85546875" style="2" customWidth="1"/>
    <col min="1023" max="1023" width="5.140625" style="2" customWidth="1"/>
    <col min="1024" max="1025" width="17.5703125" style="2" customWidth="1"/>
    <col min="1026" max="1269" width="9.140625" style="2"/>
    <col min="1270" max="1270" width="3.5703125" style="2" customWidth="1"/>
    <col min="1271" max="1271" width="96.85546875" style="2" customWidth="1"/>
    <col min="1272" max="1272" width="30.85546875" style="2" customWidth="1"/>
    <col min="1273" max="1273" width="12.5703125" style="2" customWidth="1"/>
    <col min="1274" max="1274" width="5.140625" style="2" customWidth="1"/>
    <col min="1275" max="1275" width="9.140625" style="2"/>
    <col min="1276" max="1276" width="4.85546875" style="2" customWidth="1"/>
    <col min="1277" max="1277" width="30.5703125" style="2" customWidth="1"/>
    <col min="1278" max="1278" width="33.85546875" style="2" customWidth="1"/>
    <col min="1279" max="1279" width="5.140625" style="2" customWidth="1"/>
    <col min="1280" max="1281" width="17.5703125" style="2" customWidth="1"/>
    <col min="1282" max="1525" width="9.140625" style="2"/>
    <col min="1526" max="1526" width="3.5703125" style="2" customWidth="1"/>
    <col min="1527" max="1527" width="96.85546875" style="2" customWidth="1"/>
    <col min="1528" max="1528" width="30.85546875" style="2" customWidth="1"/>
    <col min="1529" max="1529" width="12.5703125" style="2" customWidth="1"/>
    <col min="1530" max="1530" width="5.140625" style="2" customWidth="1"/>
    <col min="1531" max="1531" width="9.140625" style="2"/>
    <col min="1532" max="1532" width="4.85546875" style="2" customWidth="1"/>
    <col min="1533" max="1533" width="30.5703125" style="2" customWidth="1"/>
    <col min="1534" max="1534" width="33.85546875" style="2" customWidth="1"/>
    <col min="1535" max="1535" width="5.140625" style="2" customWidth="1"/>
    <col min="1536" max="1537" width="17.5703125" style="2" customWidth="1"/>
    <col min="1538" max="1781" width="9.140625" style="2"/>
    <col min="1782" max="1782" width="3.5703125" style="2" customWidth="1"/>
    <col min="1783" max="1783" width="96.85546875" style="2" customWidth="1"/>
    <col min="1784" max="1784" width="30.85546875" style="2" customWidth="1"/>
    <col min="1785" max="1785" width="12.5703125" style="2" customWidth="1"/>
    <col min="1786" max="1786" width="5.140625" style="2" customWidth="1"/>
    <col min="1787" max="1787" width="9.140625" style="2"/>
    <col min="1788" max="1788" width="4.85546875" style="2" customWidth="1"/>
    <col min="1789" max="1789" width="30.5703125" style="2" customWidth="1"/>
    <col min="1790" max="1790" width="33.85546875" style="2" customWidth="1"/>
    <col min="1791" max="1791" width="5.140625" style="2" customWidth="1"/>
    <col min="1792" max="1793" width="17.5703125" style="2" customWidth="1"/>
    <col min="1794" max="2037" width="9.140625" style="2"/>
    <col min="2038" max="2038" width="3.5703125" style="2" customWidth="1"/>
    <col min="2039" max="2039" width="96.85546875" style="2" customWidth="1"/>
    <col min="2040" max="2040" width="30.85546875" style="2" customWidth="1"/>
    <col min="2041" max="2041" width="12.5703125" style="2" customWidth="1"/>
    <col min="2042" max="2042" width="5.140625" style="2" customWidth="1"/>
    <col min="2043" max="2043" width="9.140625" style="2"/>
    <col min="2044" max="2044" width="4.85546875" style="2" customWidth="1"/>
    <col min="2045" max="2045" width="30.5703125" style="2" customWidth="1"/>
    <col min="2046" max="2046" width="33.85546875" style="2" customWidth="1"/>
    <col min="2047" max="2047" width="5.140625" style="2" customWidth="1"/>
    <col min="2048" max="2049" width="17.5703125" style="2" customWidth="1"/>
    <col min="2050" max="2293" width="9.140625" style="2"/>
    <col min="2294" max="2294" width="3.5703125" style="2" customWidth="1"/>
    <col min="2295" max="2295" width="96.85546875" style="2" customWidth="1"/>
    <col min="2296" max="2296" width="30.85546875" style="2" customWidth="1"/>
    <col min="2297" max="2297" width="12.5703125" style="2" customWidth="1"/>
    <col min="2298" max="2298" width="5.140625" style="2" customWidth="1"/>
    <col min="2299" max="2299" width="9.140625" style="2"/>
    <col min="2300" max="2300" width="4.85546875" style="2" customWidth="1"/>
    <col min="2301" max="2301" width="30.5703125" style="2" customWidth="1"/>
    <col min="2302" max="2302" width="33.85546875" style="2" customWidth="1"/>
    <col min="2303" max="2303" width="5.140625" style="2" customWidth="1"/>
    <col min="2304" max="2305" width="17.5703125" style="2" customWidth="1"/>
    <col min="2306" max="2549" width="9.140625" style="2"/>
    <col min="2550" max="2550" width="3.5703125" style="2" customWidth="1"/>
    <col min="2551" max="2551" width="96.85546875" style="2" customWidth="1"/>
    <col min="2552" max="2552" width="30.85546875" style="2" customWidth="1"/>
    <col min="2553" max="2553" width="12.5703125" style="2" customWidth="1"/>
    <col min="2554" max="2554" width="5.140625" style="2" customWidth="1"/>
    <col min="2555" max="2555" width="9.140625" style="2"/>
    <col min="2556" max="2556" width="4.85546875" style="2" customWidth="1"/>
    <col min="2557" max="2557" width="30.5703125" style="2" customWidth="1"/>
    <col min="2558" max="2558" width="33.85546875" style="2" customWidth="1"/>
    <col min="2559" max="2559" width="5.140625" style="2" customWidth="1"/>
    <col min="2560" max="2561" width="17.5703125" style="2" customWidth="1"/>
    <col min="2562" max="2805" width="9.140625" style="2"/>
    <col min="2806" max="2806" width="3.5703125" style="2" customWidth="1"/>
    <col min="2807" max="2807" width="96.85546875" style="2" customWidth="1"/>
    <col min="2808" max="2808" width="30.85546875" style="2" customWidth="1"/>
    <col min="2809" max="2809" width="12.5703125" style="2" customWidth="1"/>
    <col min="2810" max="2810" width="5.140625" style="2" customWidth="1"/>
    <col min="2811" max="2811" width="9.140625" style="2"/>
    <col min="2812" max="2812" width="4.85546875" style="2" customWidth="1"/>
    <col min="2813" max="2813" width="30.5703125" style="2" customWidth="1"/>
    <col min="2814" max="2814" width="33.85546875" style="2" customWidth="1"/>
    <col min="2815" max="2815" width="5.140625" style="2" customWidth="1"/>
    <col min="2816" max="2817" width="17.5703125" style="2" customWidth="1"/>
    <col min="2818" max="3061" width="9.140625" style="2"/>
    <col min="3062" max="3062" width="3.5703125" style="2" customWidth="1"/>
    <col min="3063" max="3063" width="96.85546875" style="2" customWidth="1"/>
    <col min="3064" max="3064" width="30.85546875" style="2" customWidth="1"/>
    <col min="3065" max="3065" width="12.5703125" style="2" customWidth="1"/>
    <col min="3066" max="3066" width="5.140625" style="2" customWidth="1"/>
    <col min="3067" max="3067" width="9.140625" style="2"/>
    <col min="3068" max="3068" width="4.85546875" style="2" customWidth="1"/>
    <col min="3069" max="3069" width="30.5703125" style="2" customWidth="1"/>
    <col min="3070" max="3070" width="33.85546875" style="2" customWidth="1"/>
    <col min="3071" max="3071" width="5.140625" style="2" customWidth="1"/>
    <col min="3072" max="3073" width="17.5703125" style="2" customWidth="1"/>
    <col min="3074" max="3317" width="9.140625" style="2"/>
    <col min="3318" max="3318" width="3.5703125" style="2" customWidth="1"/>
    <col min="3319" max="3319" width="96.85546875" style="2" customWidth="1"/>
    <col min="3320" max="3320" width="30.85546875" style="2" customWidth="1"/>
    <col min="3321" max="3321" width="12.5703125" style="2" customWidth="1"/>
    <col min="3322" max="3322" width="5.140625" style="2" customWidth="1"/>
    <col min="3323" max="3323" width="9.140625" style="2"/>
    <col min="3324" max="3324" width="4.85546875" style="2" customWidth="1"/>
    <col min="3325" max="3325" width="30.5703125" style="2" customWidth="1"/>
    <col min="3326" max="3326" width="33.85546875" style="2" customWidth="1"/>
    <col min="3327" max="3327" width="5.140625" style="2" customWidth="1"/>
    <col min="3328" max="3329" width="17.5703125" style="2" customWidth="1"/>
    <col min="3330" max="3573" width="9.140625" style="2"/>
    <col min="3574" max="3574" width="3.5703125" style="2" customWidth="1"/>
    <col min="3575" max="3575" width="96.85546875" style="2" customWidth="1"/>
    <col min="3576" max="3576" width="30.85546875" style="2" customWidth="1"/>
    <col min="3577" max="3577" width="12.5703125" style="2" customWidth="1"/>
    <col min="3578" max="3578" width="5.140625" style="2" customWidth="1"/>
    <col min="3579" max="3579" width="9.140625" style="2"/>
    <col min="3580" max="3580" width="4.85546875" style="2" customWidth="1"/>
    <col min="3581" max="3581" width="30.5703125" style="2" customWidth="1"/>
    <col min="3582" max="3582" width="33.85546875" style="2" customWidth="1"/>
    <col min="3583" max="3583" width="5.140625" style="2" customWidth="1"/>
    <col min="3584" max="3585" width="17.5703125" style="2" customWidth="1"/>
    <col min="3586" max="3829" width="9.140625" style="2"/>
    <col min="3830" max="3830" width="3.5703125" style="2" customWidth="1"/>
    <col min="3831" max="3831" width="96.85546875" style="2" customWidth="1"/>
    <col min="3832" max="3832" width="30.85546875" style="2" customWidth="1"/>
    <col min="3833" max="3833" width="12.5703125" style="2" customWidth="1"/>
    <col min="3834" max="3834" width="5.140625" style="2" customWidth="1"/>
    <col min="3835" max="3835" width="9.140625" style="2"/>
    <col min="3836" max="3836" width="4.85546875" style="2" customWidth="1"/>
    <col min="3837" max="3837" width="30.5703125" style="2" customWidth="1"/>
    <col min="3838" max="3838" width="33.85546875" style="2" customWidth="1"/>
    <col min="3839" max="3839" width="5.140625" style="2" customWidth="1"/>
    <col min="3840" max="3841" width="17.5703125" style="2" customWidth="1"/>
    <col min="3842" max="4085" width="9.140625" style="2"/>
    <col min="4086" max="4086" width="3.5703125" style="2" customWidth="1"/>
    <col min="4087" max="4087" width="96.85546875" style="2" customWidth="1"/>
    <col min="4088" max="4088" width="30.85546875" style="2" customWidth="1"/>
    <col min="4089" max="4089" width="12.5703125" style="2" customWidth="1"/>
    <col min="4090" max="4090" width="5.140625" style="2" customWidth="1"/>
    <col min="4091" max="4091" width="9.140625" style="2"/>
    <col min="4092" max="4092" width="4.85546875" style="2" customWidth="1"/>
    <col min="4093" max="4093" width="30.5703125" style="2" customWidth="1"/>
    <col min="4094" max="4094" width="33.85546875" style="2" customWidth="1"/>
    <col min="4095" max="4095" width="5.140625" style="2" customWidth="1"/>
    <col min="4096" max="4097" width="17.5703125" style="2" customWidth="1"/>
    <col min="4098" max="4341" width="9.140625" style="2"/>
    <col min="4342" max="4342" width="3.5703125" style="2" customWidth="1"/>
    <col min="4343" max="4343" width="96.85546875" style="2" customWidth="1"/>
    <col min="4344" max="4344" width="30.85546875" style="2" customWidth="1"/>
    <col min="4345" max="4345" width="12.5703125" style="2" customWidth="1"/>
    <col min="4346" max="4346" width="5.140625" style="2" customWidth="1"/>
    <col min="4347" max="4347" width="9.140625" style="2"/>
    <col min="4348" max="4348" width="4.85546875" style="2" customWidth="1"/>
    <col min="4349" max="4349" width="30.5703125" style="2" customWidth="1"/>
    <col min="4350" max="4350" width="33.85546875" style="2" customWidth="1"/>
    <col min="4351" max="4351" width="5.140625" style="2" customWidth="1"/>
    <col min="4352" max="4353" width="17.5703125" style="2" customWidth="1"/>
    <col min="4354" max="4597" width="9.140625" style="2"/>
    <col min="4598" max="4598" width="3.5703125" style="2" customWidth="1"/>
    <col min="4599" max="4599" width="96.85546875" style="2" customWidth="1"/>
    <col min="4600" max="4600" width="30.85546875" style="2" customWidth="1"/>
    <col min="4601" max="4601" width="12.5703125" style="2" customWidth="1"/>
    <col min="4602" max="4602" width="5.140625" style="2" customWidth="1"/>
    <col min="4603" max="4603" width="9.140625" style="2"/>
    <col min="4604" max="4604" width="4.85546875" style="2" customWidth="1"/>
    <col min="4605" max="4605" width="30.5703125" style="2" customWidth="1"/>
    <col min="4606" max="4606" width="33.85546875" style="2" customWidth="1"/>
    <col min="4607" max="4607" width="5.140625" style="2" customWidth="1"/>
    <col min="4608" max="4609" width="17.5703125" style="2" customWidth="1"/>
    <col min="4610" max="4853" width="9.140625" style="2"/>
    <col min="4854" max="4854" width="3.5703125" style="2" customWidth="1"/>
    <col min="4855" max="4855" width="96.85546875" style="2" customWidth="1"/>
    <col min="4856" max="4856" width="30.85546875" style="2" customWidth="1"/>
    <col min="4857" max="4857" width="12.5703125" style="2" customWidth="1"/>
    <col min="4858" max="4858" width="5.140625" style="2" customWidth="1"/>
    <col min="4859" max="4859" width="9.140625" style="2"/>
    <col min="4860" max="4860" width="4.85546875" style="2" customWidth="1"/>
    <col min="4861" max="4861" width="30.5703125" style="2" customWidth="1"/>
    <col min="4862" max="4862" width="33.85546875" style="2" customWidth="1"/>
    <col min="4863" max="4863" width="5.140625" style="2" customWidth="1"/>
    <col min="4864" max="4865" width="17.5703125" style="2" customWidth="1"/>
    <col min="4866" max="5109" width="9.140625" style="2"/>
    <col min="5110" max="5110" width="3.5703125" style="2" customWidth="1"/>
    <col min="5111" max="5111" width="96.85546875" style="2" customWidth="1"/>
    <col min="5112" max="5112" width="30.85546875" style="2" customWidth="1"/>
    <col min="5113" max="5113" width="12.5703125" style="2" customWidth="1"/>
    <col min="5114" max="5114" width="5.140625" style="2" customWidth="1"/>
    <col min="5115" max="5115" width="9.140625" style="2"/>
    <col min="5116" max="5116" width="4.85546875" style="2" customWidth="1"/>
    <col min="5117" max="5117" width="30.5703125" style="2" customWidth="1"/>
    <col min="5118" max="5118" width="33.85546875" style="2" customWidth="1"/>
    <col min="5119" max="5119" width="5.140625" style="2" customWidth="1"/>
    <col min="5120" max="5121" width="17.5703125" style="2" customWidth="1"/>
    <col min="5122" max="5365" width="9.140625" style="2"/>
    <col min="5366" max="5366" width="3.5703125" style="2" customWidth="1"/>
    <col min="5367" max="5367" width="96.85546875" style="2" customWidth="1"/>
    <col min="5368" max="5368" width="30.85546875" style="2" customWidth="1"/>
    <col min="5369" max="5369" width="12.5703125" style="2" customWidth="1"/>
    <col min="5370" max="5370" width="5.140625" style="2" customWidth="1"/>
    <col min="5371" max="5371" width="9.140625" style="2"/>
    <col min="5372" max="5372" width="4.85546875" style="2" customWidth="1"/>
    <col min="5373" max="5373" width="30.5703125" style="2" customWidth="1"/>
    <col min="5374" max="5374" width="33.85546875" style="2" customWidth="1"/>
    <col min="5375" max="5375" width="5.140625" style="2" customWidth="1"/>
    <col min="5376" max="5377" width="17.5703125" style="2" customWidth="1"/>
    <col min="5378" max="5621" width="9.140625" style="2"/>
    <col min="5622" max="5622" width="3.5703125" style="2" customWidth="1"/>
    <col min="5623" max="5623" width="96.85546875" style="2" customWidth="1"/>
    <col min="5624" max="5624" width="30.85546875" style="2" customWidth="1"/>
    <col min="5625" max="5625" width="12.5703125" style="2" customWidth="1"/>
    <col min="5626" max="5626" width="5.140625" style="2" customWidth="1"/>
    <col min="5627" max="5627" width="9.140625" style="2"/>
    <col min="5628" max="5628" width="4.85546875" style="2" customWidth="1"/>
    <col min="5629" max="5629" width="30.5703125" style="2" customWidth="1"/>
    <col min="5630" max="5630" width="33.85546875" style="2" customWidth="1"/>
    <col min="5631" max="5631" width="5.140625" style="2" customWidth="1"/>
    <col min="5632" max="5633" width="17.5703125" style="2" customWidth="1"/>
    <col min="5634" max="5877" width="9.140625" style="2"/>
    <col min="5878" max="5878" width="3.5703125" style="2" customWidth="1"/>
    <col min="5879" max="5879" width="96.85546875" style="2" customWidth="1"/>
    <col min="5880" max="5880" width="30.85546875" style="2" customWidth="1"/>
    <col min="5881" max="5881" width="12.5703125" style="2" customWidth="1"/>
    <col min="5882" max="5882" width="5.140625" style="2" customWidth="1"/>
    <col min="5883" max="5883" width="9.140625" style="2"/>
    <col min="5884" max="5884" width="4.85546875" style="2" customWidth="1"/>
    <col min="5885" max="5885" width="30.5703125" style="2" customWidth="1"/>
    <col min="5886" max="5886" width="33.85546875" style="2" customWidth="1"/>
    <col min="5887" max="5887" width="5.140625" style="2" customWidth="1"/>
    <col min="5888" max="5889" width="17.5703125" style="2" customWidth="1"/>
    <col min="5890" max="6133" width="9.140625" style="2"/>
    <col min="6134" max="6134" width="3.5703125" style="2" customWidth="1"/>
    <col min="6135" max="6135" width="96.85546875" style="2" customWidth="1"/>
    <col min="6136" max="6136" width="30.85546875" style="2" customWidth="1"/>
    <col min="6137" max="6137" width="12.5703125" style="2" customWidth="1"/>
    <col min="6138" max="6138" width="5.140625" style="2" customWidth="1"/>
    <col min="6139" max="6139" width="9.140625" style="2"/>
    <col min="6140" max="6140" width="4.85546875" style="2" customWidth="1"/>
    <col min="6141" max="6141" width="30.5703125" style="2" customWidth="1"/>
    <col min="6142" max="6142" width="33.85546875" style="2" customWidth="1"/>
    <col min="6143" max="6143" width="5.140625" style="2" customWidth="1"/>
    <col min="6144" max="6145" width="17.5703125" style="2" customWidth="1"/>
    <col min="6146" max="6389" width="9.140625" style="2"/>
    <col min="6390" max="6390" width="3.5703125" style="2" customWidth="1"/>
    <col min="6391" max="6391" width="96.85546875" style="2" customWidth="1"/>
    <col min="6392" max="6392" width="30.85546875" style="2" customWidth="1"/>
    <col min="6393" max="6393" width="12.5703125" style="2" customWidth="1"/>
    <col min="6394" max="6394" width="5.140625" style="2" customWidth="1"/>
    <col min="6395" max="6395" width="9.140625" style="2"/>
    <col min="6396" max="6396" width="4.85546875" style="2" customWidth="1"/>
    <col min="6397" max="6397" width="30.5703125" style="2" customWidth="1"/>
    <col min="6398" max="6398" width="33.85546875" style="2" customWidth="1"/>
    <col min="6399" max="6399" width="5.140625" style="2" customWidth="1"/>
    <col min="6400" max="6401" width="17.5703125" style="2" customWidth="1"/>
    <col min="6402" max="6645" width="9.140625" style="2"/>
    <col min="6646" max="6646" width="3.5703125" style="2" customWidth="1"/>
    <col min="6647" max="6647" width="96.85546875" style="2" customWidth="1"/>
    <col min="6648" max="6648" width="30.85546875" style="2" customWidth="1"/>
    <col min="6649" max="6649" width="12.5703125" style="2" customWidth="1"/>
    <col min="6650" max="6650" width="5.140625" style="2" customWidth="1"/>
    <col min="6651" max="6651" width="9.140625" style="2"/>
    <col min="6652" max="6652" width="4.85546875" style="2" customWidth="1"/>
    <col min="6653" max="6653" width="30.5703125" style="2" customWidth="1"/>
    <col min="6654" max="6654" width="33.85546875" style="2" customWidth="1"/>
    <col min="6655" max="6655" width="5.140625" style="2" customWidth="1"/>
    <col min="6656" max="6657" width="17.5703125" style="2" customWidth="1"/>
    <col min="6658" max="6901" width="9.140625" style="2"/>
    <col min="6902" max="6902" width="3.5703125" style="2" customWidth="1"/>
    <col min="6903" max="6903" width="96.85546875" style="2" customWidth="1"/>
    <col min="6904" max="6904" width="30.85546875" style="2" customWidth="1"/>
    <col min="6905" max="6905" width="12.5703125" style="2" customWidth="1"/>
    <col min="6906" max="6906" width="5.140625" style="2" customWidth="1"/>
    <col min="6907" max="6907" width="9.140625" style="2"/>
    <col min="6908" max="6908" width="4.85546875" style="2" customWidth="1"/>
    <col min="6909" max="6909" width="30.5703125" style="2" customWidth="1"/>
    <col min="6910" max="6910" width="33.85546875" style="2" customWidth="1"/>
    <col min="6911" max="6911" width="5.140625" style="2" customWidth="1"/>
    <col min="6912" max="6913" width="17.5703125" style="2" customWidth="1"/>
    <col min="6914" max="7157" width="9.140625" style="2"/>
    <col min="7158" max="7158" width="3.5703125" style="2" customWidth="1"/>
    <col min="7159" max="7159" width="96.85546875" style="2" customWidth="1"/>
    <col min="7160" max="7160" width="30.85546875" style="2" customWidth="1"/>
    <col min="7161" max="7161" width="12.5703125" style="2" customWidth="1"/>
    <col min="7162" max="7162" width="5.140625" style="2" customWidth="1"/>
    <col min="7163" max="7163" width="9.140625" style="2"/>
    <col min="7164" max="7164" width="4.85546875" style="2" customWidth="1"/>
    <col min="7165" max="7165" width="30.5703125" style="2" customWidth="1"/>
    <col min="7166" max="7166" width="33.85546875" style="2" customWidth="1"/>
    <col min="7167" max="7167" width="5.140625" style="2" customWidth="1"/>
    <col min="7168" max="7169" width="17.5703125" style="2" customWidth="1"/>
    <col min="7170" max="7413" width="9.140625" style="2"/>
    <col min="7414" max="7414" width="3.5703125" style="2" customWidth="1"/>
    <col min="7415" max="7415" width="96.85546875" style="2" customWidth="1"/>
    <col min="7416" max="7416" width="30.85546875" style="2" customWidth="1"/>
    <col min="7417" max="7417" width="12.5703125" style="2" customWidth="1"/>
    <col min="7418" max="7418" width="5.140625" style="2" customWidth="1"/>
    <col min="7419" max="7419" width="9.140625" style="2"/>
    <col min="7420" max="7420" width="4.85546875" style="2" customWidth="1"/>
    <col min="7421" max="7421" width="30.5703125" style="2" customWidth="1"/>
    <col min="7422" max="7422" width="33.85546875" style="2" customWidth="1"/>
    <col min="7423" max="7423" width="5.140625" style="2" customWidth="1"/>
    <col min="7424" max="7425" width="17.5703125" style="2" customWidth="1"/>
    <col min="7426" max="7669" width="9.140625" style="2"/>
    <col min="7670" max="7670" width="3.5703125" style="2" customWidth="1"/>
    <col min="7671" max="7671" width="96.85546875" style="2" customWidth="1"/>
    <col min="7672" max="7672" width="30.85546875" style="2" customWidth="1"/>
    <col min="7673" max="7673" width="12.5703125" style="2" customWidth="1"/>
    <col min="7674" max="7674" width="5.140625" style="2" customWidth="1"/>
    <col min="7675" max="7675" width="9.140625" style="2"/>
    <col min="7676" max="7676" width="4.85546875" style="2" customWidth="1"/>
    <col min="7677" max="7677" width="30.5703125" style="2" customWidth="1"/>
    <col min="7678" max="7678" width="33.85546875" style="2" customWidth="1"/>
    <col min="7679" max="7679" width="5.140625" style="2" customWidth="1"/>
    <col min="7680" max="7681" width="17.5703125" style="2" customWidth="1"/>
    <col min="7682" max="7925" width="9.140625" style="2"/>
    <col min="7926" max="7926" width="3.5703125" style="2" customWidth="1"/>
    <col min="7927" max="7927" width="96.85546875" style="2" customWidth="1"/>
    <col min="7928" max="7928" width="30.85546875" style="2" customWidth="1"/>
    <col min="7929" max="7929" width="12.5703125" style="2" customWidth="1"/>
    <col min="7930" max="7930" width="5.140625" style="2" customWidth="1"/>
    <col min="7931" max="7931" width="9.140625" style="2"/>
    <col min="7932" max="7932" width="4.85546875" style="2" customWidth="1"/>
    <col min="7933" max="7933" width="30.5703125" style="2" customWidth="1"/>
    <col min="7934" max="7934" width="33.85546875" style="2" customWidth="1"/>
    <col min="7935" max="7935" width="5.140625" style="2" customWidth="1"/>
    <col min="7936" max="7937" width="17.5703125" style="2" customWidth="1"/>
    <col min="7938" max="8181" width="9.140625" style="2"/>
    <col min="8182" max="8182" width="3.5703125" style="2" customWidth="1"/>
    <col min="8183" max="8183" width="96.85546875" style="2" customWidth="1"/>
    <col min="8184" max="8184" width="30.85546875" style="2" customWidth="1"/>
    <col min="8185" max="8185" width="12.5703125" style="2" customWidth="1"/>
    <col min="8186" max="8186" width="5.140625" style="2" customWidth="1"/>
    <col min="8187" max="8187" width="9.140625" style="2"/>
    <col min="8188" max="8188" width="4.85546875" style="2" customWidth="1"/>
    <col min="8189" max="8189" width="30.5703125" style="2" customWidth="1"/>
    <col min="8190" max="8190" width="33.85546875" style="2" customWidth="1"/>
    <col min="8191" max="8191" width="5.140625" style="2" customWidth="1"/>
    <col min="8192" max="8193" width="17.5703125" style="2" customWidth="1"/>
    <col min="8194" max="8437" width="9.140625" style="2"/>
    <col min="8438" max="8438" width="3.5703125" style="2" customWidth="1"/>
    <col min="8439" max="8439" width="96.85546875" style="2" customWidth="1"/>
    <col min="8440" max="8440" width="30.85546875" style="2" customWidth="1"/>
    <col min="8441" max="8441" width="12.5703125" style="2" customWidth="1"/>
    <col min="8442" max="8442" width="5.140625" style="2" customWidth="1"/>
    <col min="8443" max="8443" width="9.140625" style="2"/>
    <col min="8444" max="8444" width="4.85546875" style="2" customWidth="1"/>
    <col min="8445" max="8445" width="30.5703125" style="2" customWidth="1"/>
    <col min="8446" max="8446" width="33.85546875" style="2" customWidth="1"/>
    <col min="8447" max="8447" width="5.140625" style="2" customWidth="1"/>
    <col min="8448" max="8449" width="17.5703125" style="2" customWidth="1"/>
    <col min="8450" max="8693" width="9.140625" style="2"/>
    <col min="8694" max="8694" width="3.5703125" style="2" customWidth="1"/>
    <col min="8695" max="8695" width="96.85546875" style="2" customWidth="1"/>
    <col min="8696" max="8696" width="30.85546875" style="2" customWidth="1"/>
    <col min="8697" max="8697" width="12.5703125" style="2" customWidth="1"/>
    <col min="8698" max="8698" width="5.140625" style="2" customWidth="1"/>
    <col min="8699" max="8699" width="9.140625" style="2"/>
    <col min="8700" max="8700" width="4.85546875" style="2" customWidth="1"/>
    <col min="8701" max="8701" width="30.5703125" style="2" customWidth="1"/>
    <col min="8702" max="8702" width="33.85546875" style="2" customWidth="1"/>
    <col min="8703" max="8703" width="5.140625" style="2" customWidth="1"/>
    <col min="8704" max="8705" width="17.5703125" style="2" customWidth="1"/>
    <col min="8706" max="8949" width="9.140625" style="2"/>
    <col min="8950" max="8950" width="3.5703125" style="2" customWidth="1"/>
    <col min="8951" max="8951" width="96.85546875" style="2" customWidth="1"/>
    <col min="8952" max="8952" width="30.85546875" style="2" customWidth="1"/>
    <col min="8953" max="8953" width="12.5703125" style="2" customWidth="1"/>
    <col min="8954" max="8954" width="5.140625" style="2" customWidth="1"/>
    <col min="8955" max="8955" width="9.140625" style="2"/>
    <col min="8956" max="8956" width="4.85546875" style="2" customWidth="1"/>
    <col min="8957" max="8957" width="30.5703125" style="2" customWidth="1"/>
    <col min="8958" max="8958" width="33.85546875" style="2" customWidth="1"/>
    <col min="8959" max="8959" width="5.140625" style="2" customWidth="1"/>
    <col min="8960" max="8961" width="17.5703125" style="2" customWidth="1"/>
    <col min="8962" max="9205" width="9.140625" style="2"/>
    <col min="9206" max="9206" width="3.5703125" style="2" customWidth="1"/>
    <col min="9207" max="9207" width="96.85546875" style="2" customWidth="1"/>
    <col min="9208" max="9208" width="30.85546875" style="2" customWidth="1"/>
    <col min="9209" max="9209" width="12.5703125" style="2" customWidth="1"/>
    <col min="9210" max="9210" width="5.140625" style="2" customWidth="1"/>
    <col min="9211" max="9211" width="9.140625" style="2"/>
    <col min="9212" max="9212" width="4.85546875" style="2" customWidth="1"/>
    <col min="9213" max="9213" width="30.5703125" style="2" customWidth="1"/>
    <col min="9214" max="9214" width="33.85546875" style="2" customWidth="1"/>
    <col min="9215" max="9215" width="5.140625" style="2" customWidth="1"/>
    <col min="9216" max="9217" width="17.5703125" style="2" customWidth="1"/>
    <col min="9218" max="9461" width="9.140625" style="2"/>
    <col min="9462" max="9462" width="3.5703125" style="2" customWidth="1"/>
    <col min="9463" max="9463" width="96.85546875" style="2" customWidth="1"/>
    <col min="9464" max="9464" width="30.85546875" style="2" customWidth="1"/>
    <col min="9465" max="9465" width="12.5703125" style="2" customWidth="1"/>
    <col min="9466" max="9466" width="5.140625" style="2" customWidth="1"/>
    <col min="9467" max="9467" width="9.140625" style="2"/>
    <col min="9468" max="9468" width="4.85546875" style="2" customWidth="1"/>
    <col min="9469" max="9469" width="30.5703125" style="2" customWidth="1"/>
    <col min="9470" max="9470" width="33.85546875" style="2" customWidth="1"/>
    <col min="9471" max="9471" width="5.140625" style="2" customWidth="1"/>
    <col min="9472" max="9473" width="17.5703125" style="2" customWidth="1"/>
    <col min="9474" max="9717" width="9.140625" style="2"/>
    <col min="9718" max="9718" width="3.5703125" style="2" customWidth="1"/>
    <col min="9719" max="9719" width="96.85546875" style="2" customWidth="1"/>
    <col min="9720" max="9720" width="30.85546875" style="2" customWidth="1"/>
    <col min="9721" max="9721" width="12.5703125" style="2" customWidth="1"/>
    <col min="9722" max="9722" width="5.140625" style="2" customWidth="1"/>
    <col min="9723" max="9723" width="9.140625" style="2"/>
    <col min="9724" max="9724" width="4.85546875" style="2" customWidth="1"/>
    <col min="9725" max="9725" width="30.5703125" style="2" customWidth="1"/>
    <col min="9726" max="9726" width="33.85546875" style="2" customWidth="1"/>
    <col min="9727" max="9727" width="5.140625" style="2" customWidth="1"/>
    <col min="9728" max="9729" width="17.5703125" style="2" customWidth="1"/>
    <col min="9730" max="9973" width="9.140625" style="2"/>
    <col min="9974" max="9974" width="3.5703125" style="2" customWidth="1"/>
    <col min="9975" max="9975" width="96.85546875" style="2" customWidth="1"/>
    <col min="9976" max="9976" width="30.85546875" style="2" customWidth="1"/>
    <col min="9977" max="9977" width="12.5703125" style="2" customWidth="1"/>
    <col min="9978" max="9978" width="5.140625" style="2" customWidth="1"/>
    <col min="9979" max="9979" width="9.140625" style="2"/>
    <col min="9980" max="9980" width="4.85546875" style="2" customWidth="1"/>
    <col min="9981" max="9981" width="30.5703125" style="2" customWidth="1"/>
    <col min="9982" max="9982" width="33.85546875" style="2" customWidth="1"/>
    <col min="9983" max="9983" width="5.140625" style="2" customWidth="1"/>
    <col min="9984" max="9985" width="17.5703125" style="2" customWidth="1"/>
    <col min="9986" max="10229" width="9.140625" style="2"/>
    <col min="10230" max="10230" width="3.5703125" style="2" customWidth="1"/>
    <col min="10231" max="10231" width="96.85546875" style="2" customWidth="1"/>
    <col min="10232" max="10232" width="30.85546875" style="2" customWidth="1"/>
    <col min="10233" max="10233" width="12.5703125" style="2" customWidth="1"/>
    <col min="10234" max="10234" width="5.140625" style="2" customWidth="1"/>
    <col min="10235" max="10235" width="9.140625" style="2"/>
    <col min="10236" max="10236" width="4.85546875" style="2" customWidth="1"/>
    <col min="10237" max="10237" width="30.5703125" style="2" customWidth="1"/>
    <col min="10238" max="10238" width="33.85546875" style="2" customWidth="1"/>
    <col min="10239" max="10239" width="5.140625" style="2" customWidth="1"/>
    <col min="10240" max="10241" width="17.5703125" style="2" customWidth="1"/>
    <col min="10242" max="10485" width="9.140625" style="2"/>
    <col min="10486" max="10486" width="3.5703125" style="2" customWidth="1"/>
    <col min="10487" max="10487" width="96.85546875" style="2" customWidth="1"/>
    <col min="10488" max="10488" width="30.85546875" style="2" customWidth="1"/>
    <col min="10489" max="10489" width="12.5703125" style="2" customWidth="1"/>
    <col min="10490" max="10490" width="5.140625" style="2" customWidth="1"/>
    <col min="10491" max="10491" width="9.140625" style="2"/>
    <col min="10492" max="10492" width="4.85546875" style="2" customWidth="1"/>
    <col min="10493" max="10493" width="30.5703125" style="2" customWidth="1"/>
    <col min="10494" max="10494" width="33.85546875" style="2" customWidth="1"/>
    <col min="10495" max="10495" width="5.140625" style="2" customWidth="1"/>
    <col min="10496" max="10497" width="17.5703125" style="2" customWidth="1"/>
    <col min="10498" max="10741" width="9.140625" style="2"/>
    <col min="10742" max="10742" width="3.5703125" style="2" customWidth="1"/>
    <col min="10743" max="10743" width="96.85546875" style="2" customWidth="1"/>
    <col min="10744" max="10744" width="30.85546875" style="2" customWidth="1"/>
    <col min="10745" max="10745" width="12.5703125" style="2" customWidth="1"/>
    <col min="10746" max="10746" width="5.140625" style="2" customWidth="1"/>
    <col min="10747" max="10747" width="9.140625" style="2"/>
    <col min="10748" max="10748" width="4.85546875" style="2" customWidth="1"/>
    <col min="10749" max="10749" width="30.5703125" style="2" customWidth="1"/>
    <col min="10750" max="10750" width="33.85546875" style="2" customWidth="1"/>
    <col min="10751" max="10751" width="5.140625" style="2" customWidth="1"/>
    <col min="10752" max="10753" width="17.5703125" style="2" customWidth="1"/>
    <col min="10754" max="10997" width="9.140625" style="2"/>
    <col min="10998" max="10998" width="3.5703125" style="2" customWidth="1"/>
    <col min="10999" max="10999" width="96.85546875" style="2" customWidth="1"/>
    <col min="11000" max="11000" width="30.85546875" style="2" customWidth="1"/>
    <col min="11001" max="11001" width="12.5703125" style="2" customWidth="1"/>
    <col min="11002" max="11002" width="5.140625" style="2" customWidth="1"/>
    <col min="11003" max="11003" width="9.140625" style="2"/>
    <col min="11004" max="11004" width="4.85546875" style="2" customWidth="1"/>
    <col min="11005" max="11005" width="30.5703125" style="2" customWidth="1"/>
    <col min="11006" max="11006" width="33.85546875" style="2" customWidth="1"/>
    <col min="11007" max="11007" width="5.140625" style="2" customWidth="1"/>
    <col min="11008" max="11009" width="17.5703125" style="2" customWidth="1"/>
    <col min="11010" max="11253" width="9.140625" style="2"/>
    <col min="11254" max="11254" width="3.5703125" style="2" customWidth="1"/>
    <col min="11255" max="11255" width="96.85546875" style="2" customWidth="1"/>
    <col min="11256" max="11256" width="30.85546875" style="2" customWidth="1"/>
    <col min="11257" max="11257" width="12.5703125" style="2" customWidth="1"/>
    <col min="11258" max="11258" width="5.140625" style="2" customWidth="1"/>
    <col min="11259" max="11259" width="9.140625" style="2"/>
    <col min="11260" max="11260" width="4.85546875" style="2" customWidth="1"/>
    <col min="11261" max="11261" width="30.5703125" style="2" customWidth="1"/>
    <col min="11262" max="11262" width="33.85546875" style="2" customWidth="1"/>
    <col min="11263" max="11263" width="5.140625" style="2" customWidth="1"/>
    <col min="11264" max="11265" width="17.5703125" style="2" customWidth="1"/>
    <col min="11266" max="11509" width="9.140625" style="2"/>
    <col min="11510" max="11510" width="3.5703125" style="2" customWidth="1"/>
    <col min="11511" max="11511" width="96.85546875" style="2" customWidth="1"/>
    <col min="11512" max="11512" width="30.85546875" style="2" customWidth="1"/>
    <col min="11513" max="11513" width="12.5703125" style="2" customWidth="1"/>
    <col min="11514" max="11514" width="5.140625" style="2" customWidth="1"/>
    <col min="11515" max="11515" width="9.140625" style="2"/>
    <col min="11516" max="11516" width="4.85546875" style="2" customWidth="1"/>
    <col min="11517" max="11517" width="30.5703125" style="2" customWidth="1"/>
    <col min="11518" max="11518" width="33.85546875" style="2" customWidth="1"/>
    <col min="11519" max="11519" width="5.140625" style="2" customWidth="1"/>
    <col min="11520" max="11521" width="17.5703125" style="2" customWidth="1"/>
    <col min="11522" max="11765" width="9.140625" style="2"/>
    <col min="11766" max="11766" width="3.5703125" style="2" customWidth="1"/>
    <col min="11767" max="11767" width="96.85546875" style="2" customWidth="1"/>
    <col min="11768" max="11768" width="30.85546875" style="2" customWidth="1"/>
    <col min="11769" max="11769" width="12.5703125" style="2" customWidth="1"/>
    <col min="11770" max="11770" width="5.140625" style="2" customWidth="1"/>
    <col min="11771" max="11771" width="9.140625" style="2"/>
    <col min="11772" max="11772" width="4.85546875" style="2" customWidth="1"/>
    <col min="11773" max="11773" width="30.5703125" style="2" customWidth="1"/>
    <col min="11774" max="11774" width="33.85546875" style="2" customWidth="1"/>
    <col min="11775" max="11775" width="5.140625" style="2" customWidth="1"/>
    <col min="11776" max="11777" width="17.5703125" style="2" customWidth="1"/>
    <col min="11778" max="12021" width="9.140625" style="2"/>
    <col min="12022" max="12022" width="3.5703125" style="2" customWidth="1"/>
    <col min="12023" max="12023" width="96.85546875" style="2" customWidth="1"/>
    <col min="12024" max="12024" width="30.85546875" style="2" customWidth="1"/>
    <col min="12025" max="12025" width="12.5703125" style="2" customWidth="1"/>
    <col min="12026" max="12026" width="5.140625" style="2" customWidth="1"/>
    <col min="12027" max="12027" width="9.140625" style="2"/>
    <col min="12028" max="12028" width="4.85546875" style="2" customWidth="1"/>
    <col min="12029" max="12029" width="30.5703125" style="2" customWidth="1"/>
    <col min="12030" max="12030" width="33.85546875" style="2" customWidth="1"/>
    <col min="12031" max="12031" width="5.140625" style="2" customWidth="1"/>
    <col min="12032" max="12033" width="17.5703125" style="2" customWidth="1"/>
    <col min="12034" max="12277" width="9.140625" style="2"/>
    <col min="12278" max="12278" width="3.5703125" style="2" customWidth="1"/>
    <col min="12279" max="12279" width="96.85546875" style="2" customWidth="1"/>
    <col min="12280" max="12280" width="30.85546875" style="2" customWidth="1"/>
    <col min="12281" max="12281" width="12.5703125" style="2" customWidth="1"/>
    <col min="12282" max="12282" width="5.140625" style="2" customWidth="1"/>
    <col min="12283" max="12283" width="9.140625" style="2"/>
    <col min="12284" max="12284" width="4.85546875" style="2" customWidth="1"/>
    <col min="12285" max="12285" width="30.5703125" style="2" customWidth="1"/>
    <col min="12286" max="12286" width="33.85546875" style="2" customWidth="1"/>
    <col min="12287" max="12287" width="5.140625" style="2" customWidth="1"/>
    <col min="12288" max="12289" width="17.5703125" style="2" customWidth="1"/>
    <col min="12290" max="12533" width="9.140625" style="2"/>
    <col min="12534" max="12534" width="3.5703125" style="2" customWidth="1"/>
    <col min="12535" max="12535" width="96.85546875" style="2" customWidth="1"/>
    <col min="12536" max="12536" width="30.85546875" style="2" customWidth="1"/>
    <col min="12537" max="12537" width="12.5703125" style="2" customWidth="1"/>
    <col min="12538" max="12538" width="5.140625" style="2" customWidth="1"/>
    <col min="12539" max="12539" width="9.140625" style="2"/>
    <col min="12540" max="12540" width="4.85546875" style="2" customWidth="1"/>
    <col min="12541" max="12541" width="30.5703125" style="2" customWidth="1"/>
    <col min="12542" max="12542" width="33.85546875" style="2" customWidth="1"/>
    <col min="12543" max="12543" width="5.140625" style="2" customWidth="1"/>
    <col min="12544" max="12545" width="17.5703125" style="2" customWidth="1"/>
    <col min="12546" max="12789" width="9.140625" style="2"/>
    <col min="12790" max="12790" width="3.5703125" style="2" customWidth="1"/>
    <col min="12791" max="12791" width="96.85546875" style="2" customWidth="1"/>
    <col min="12792" max="12792" width="30.85546875" style="2" customWidth="1"/>
    <col min="12793" max="12793" width="12.5703125" style="2" customWidth="1"/>
    <col min="12794" max="12794" width="5.140625" style="2" customWidth="1"/>
    <col min="12795" max="12795" width="9.140625" style="2"/>
    <col min="12796" max="12796" width="4.85546875" style="2" customWidth="1"/>
    <col min="12797" max="12797" width="30.5703125" style="2" customWidth="1"/>
    <col min="12798" max="12798" width="33.85546875" style="2" customWidth="1"/>
    <col min="12799" max="12799" width="5.140625" style="2" customWidth="1"/>
    <col min="12800" max="12801" width="17.5703125" style="2" customWidth="1"/>
    <col min="12802" max="13045" width="9.140625" style="2"/>
    <col min="13046" max="13046" width="3.5703125" style="2" customWidth="1"/>
    <col min="13047" max="13047" width="96.85546875" style="2" customWidth="1"/>
    <col min="13048" max="13048" width="30.85546875" style="2" customWidth="1"/>
    <col min="13049" max="13049" width="12.5703125" style="2" customWidth="1"/>
    <col min="13050" max="13050" width="5.140625" style="2" customWidth="1"/>
    <col min="13051" max="13051" width="9.140625" style="2"/>
    <col min="13052" max="13052" width="4.85546875" style="2" customWidth="1"/>
    <col min="13053" max="13053" width="30.5703125" style="2" customWidth="1"/>
    <col min="13054" max="13054" width="33.85546875" style="2" customWidth="1"/>
    <col min="13055" max="13055" width="5.140625" style="2" customWidth="1"/>
    <col min="13056" max="13057" width="17.5703125" style="2" customWidth="1"/>
    <col min="13058" max="13301" width="9.140625" style="2"/>
    <col min="13302" max="13302" width="3.5703125" style="2" customWidth="1"/>
    <col min="13303" max="13303" width="96.85546875" style="2" customWidth="1"/>
    <col min="13304" max="13304" width="30.85546875" style="2" customWidth="1"/>
    <col min="13305" max="13305" width="12.5703125" style="2" customWidth="1"/>
    <col min="13306" max="13306" width="5.140625" style="2" customWidth="1"/>
    <col min="13307" max="13307" width="9.140625" style="2"/>
    <col min="13308" max="13308" width="4.85546875" style="2" customWidth="1"/>
    <col min="13309" max="13309" width="30.5703125" style="2" customWidth="1"/>
    <col min="13310" max="13310" width="33.85546875" style="2" customWidth="1"/>
    <col min="13311" max="13311" width="5.140625" style="2" customWidth="1"/>
    <col min="13312" max="13313" width="17.5703125" style="2" customWidth="1"/>
    <col min="13314" max="13557" width="9.140625" style="2"/>
    <col min="13558" max="13558" width="3.5703125" style="2" customWidth="1"/>
    <col min="13559" max="13559" width="96.85546875" style="2" customWidth="1"/>
    <col min="13560" max="13560" width="30.85546875" style="2" customWidth="1"/>
    <col min="13561" max="13561" width="12.5703125" style="2" customWidth="1"/>
    <col min="13562" max="13562" width="5.140625" style="2" customWidth="1"/>
    <col min="13563" max="13563" width="9.140625" style="2"/>
    <col min="13564" max="13564" width="4.85546875" style="2" customWidth="1"/>
    <col min="13565" max="13565" width="30.5703125" style="2" customWidth="1"/>
    <col min="13566" max="13566" width="33.85546875" style="2" customWidth="1"/>
    <col min="13567" max="13567" width="5.140625" style="2" customWidth="1"/>
    <col min="13568" max="13569" width="17.5703125" style="2" customWidth="1"/>
    <col min="13570" max="13813" width="9.140625" style="2"/>
    <col min="13814" max="13814" width="3.5703125" style="2" customWidth="1"/>
    <col min="13815" max="13815" width="96.85546875" style="2" customWidth="1"/>
    <col min="13816" max="13816" width="30.85546875" style="2" customWidth="1"/>
    <col min="13817" max="13817" width="12.5703125" style="2" customWidth="1"/>
    <col min="13818" max="13818" width="5.140625" style="2" customWidth="1"/>
    <col min="13819" max="13819" width="9.140625" style="2"/>
    <col min="13820" max="13820" width="4.85546875" style="2" customWidth="1"/>
    <col min="13821" max="13821" width="30.5703125" style="2" customWidth="1"/>
    <col min="13822" max="13822" width="33.85546875" style="2" customWidth="1"/>
    <col min="13823" max="13823" width="5.140625" style="2" customWidth="1"/>
    <col min="13824" max="13825" width="17.5703125" style="2" customWidth="1"/>
    <col min="13826" max="14069" width="9.140625" style="2"/>
    <col min="14070" max="14070" width="3.5703125" style="2" customWidth="1"/>
    <col min="14071" max="14071" width="96.85546875" style="2" customWidth="1"/>
    <col min="14072" max="14072" width="30.85546875" style="2" customWidth="1"/>
    <col min="14073" max="14073" width="12.5703125" style="2" customWidth="1"/>
    <col min="14074" max="14074" width="5.140625" style="2" customWidth="1"/>
    <col min="14075" max="14075" width="9.140625" style="2"/>
    <col min="14076" max="14076" width="4.85546875" style="2" customWidth="1"/>
    <col min="14077" max="14077" width="30.5703125" style="2" customWidth="1"/>
    <col min="14078" max="14078" width="33.85546875" style="2" customWidth="1"/>
    <col min="14079" max="14079" width="5.140625" style="2" customWidth="1"/>
    <col min="14080" max="14081" width="17.5703125" style="2" customWidth="1"/>
    <col min="14082" max="14325" width="9.140625" style="2"/>
    <col min="14326" max="14326" width="3.5703125" style="2" customWidth="1"/>
    <col min="14327" max="14327" width="96.85546875" style="2" customWidth="1"/>
    <col min="14328" max="14328" width="30.85546875" style="2" customWidth="1"/>
    <col min="14329" max="14329" width="12.5703125" style="2" customWidth="1"/>
    <col min="14330" max="14330" width="5.140625" style="2" customWidth="1"/>
    <col min="14331" max="14331" width="9.140625" style="2"/>
    <col min="14332" max="14332" width="4.85546875" style="2" customWidth="1"/>
    <col min="14333" max="14333" width="30.5703125" style="2" customWidth="1"/>
    <col min="14334" max="14334" width="33.85546875" style="2" customWidth="1"/>
    <col min="14335" max="14335" width="5.140625" style="2" customWidth="1"/>
    <col min="14336" max="14337" width="17.5703125" style="2" customWidth="1"/>
    <col min="14338" max="14581" width="9.140625" style="2"/>
    <col min="14582" max="14582" width="3.5703125" style="2" customWidth="1"/>
    <col min="14583" max="14583" width="96.85546875" style="2" customWidth="1"/>
    <col min="14584" max="14584" width="30.85546875" style="2" customWidth="1"/>
    <col min="14585" max="14585" width="12.5703125" style="2" customWidth="1"/>
    <col min="14586" max="14586" width="5.140625" style="2" customWidth="1"/>
    <col min="14587" max="14587" width="9.140625" style="2"/>
    <col min="14588" max="14588" width="4.85546875" style="2" customWidth="1"/>
    <col min="14589" max="14589" width="30.5703125" style="2" customWidth="1"/>
    <col min="14590" max="14590" width="33.85546875" style="2" customWidth="1"/>
    <col min="14591" max="14591" width="5.140625" style="2" customWidth="1"/>
    <col min="14592" max="14593" width="17.5703125" style="2" customWidth="1"/>
    <col min="14594" max="14837" width="9.140625" style="2"/>
    <col min="14838" max="14838" width="3.5703125" style="2" customWidth="1"/>
    <col min="14839" max="14839" width="96.85546875" style="2" customWidth="1"/>
    <col min="14840" max="14840" width="30.85546875" style="2" customWidth="1"/>
    <col min="14841" max="14841" width="12.5703125" style="2" customWidth="1"/>
    <col min="14842" max="14842" width="5.140625" style="2" customWidth="1"/>
    <col min="14843" max="14843" width="9.140625" style="2"/>
    <col min="14844" max="14844" width="4.85546875" style="2" customWidth="1"/>
    <col min="14845" max="14845" width="30.5703125" style="2" customWidth="1"/>
    <col min="14846" max="14846" width="33.85546875" style="2" customWidth="1"/>
    <col min="14847" max="14847" width="5.140625" style="2" customWidth="1"/>
    <col min="14848" max="14849" width="17.5703125" style="2" customWidth="1"/>
    <col min="14850" max="15093" width="9.140625" style="2"/>
    <col min="15094" max="15094" width="3.5703125" style="2" customWidth="1"/>
    <col min="15095" max="15095" width="96.85546875" style="2" customWidth="1"/>
    <col min="15096" max="15096" width="30.85546875" style="2" customWidth="1"/>
    <col min="15097" max="15097" width="12.5703125" style="2" customWidth="1"/>
    <col min="15098" max="15098" width="5.140625" style="2" customWidth="1"/>
    <col min="15099" max="15099" width="9.140625" style="2"/>
    <col min="15100" max="15100" width="4.85546875" style="2" customWidth="1"/>
    <col min="15101" max="15101" width="30.5703125" style="2" customWidth="1"/>
    <col min="15102" max="15102" width="33.85546875" style="2" customWidth="1"/>
    <col min="15103" max="15103" width="5.140625" style="2" customWidth="1"/>
    <col min="15104" max="15105" width="17.5703125" style="2" customWidth="1"/>
    <col min="15106" max="15349" width="9.140625" style="2"/>
    <col min="15350" max="15350" width="3.5703125" style="2" customWidth="1"/>
    <col min="15351" max="15351" width="96.85546875" style="2" customWidth="1"/>
    <col min="15352" max="15352" width="30.85546875" style="2" customWidth="1"/>
    <col min="15353" max="15353" width="12.5703125" style="2" customWidth="1"/>
    <col min="15354" max="15354" width="5.140625" style="2" customWidth="1"/>
    <col min="15355" max="15355" width="9.140625" style="2"/>
    <col min="15356" max="15356" width="4.85546875" style="2" customWidth="1"/>
    <col min="15357" max="15357" width="30.5703125" style="2" customWidth="1"/>
    <col min="15358" max="15358" width="33.85546875" style="2" customWidth="1"/>
    <col min="15359" max="15359" width="5.140625" style="2" customWidth="1"/>
    <col min="15360" max="15361" width="17.5703125" style="2" customWidth="1"/>
    <col min="15362" max="15605" width="9.140625" style="2"/>
    <col min="15606" max="15606" width="3.5703125" style="2" customWidth="1"/>
    <col min="15607" max="15607" width="96.85546875" style="2" customWidth="1"/>
    <col min="15608" max="15608" width="30.85546875" style="2" customWidth="1"/>
    <col min="15609" max="15609" width="12.5703125" style="2" customWidth="1"/>
    <col min="15610" max="15610" width="5.140625" style="2" customWidth="1"/>
    <col min="15611" max="15611" width="9.140625" style="2"/>
    <col min="15612" max="15612" width="4.85546875" style="2" customWidth="1"/>
    <col min="15613" max="15613" width="30.5703125" style="2" customWidth="1"/>
    <col min="15614" max="15614" width="33.85546875" style="2" customWidth="1"/>
    <col min="15615" max="15615" width="5.140625" style="2" customWidth="1"/>
    <col min="15616" max="15617" width="17.5703125" style="2" customWidth="1"/>
    <col min="15618" max="15861" width="9.140625" style="2"/>
    <col min="15862" max="15862" width="3.5703125" style="2" customWidth="1"/>
    <col min="15863" max="15863" width="96.85546875" style="2" customWidth="1"/>
    <col min="15864" max="15864" width="30.85546875" style="2" customWidth="1"/>
    <col min="15865" max="15865" width="12.5703125" style="2" customWidth="1"/>
    <col min="15866" max="15866" width="5.140625" style="2" customWidth="1"/>
    <col min="15867" max="15867" width="9.140625" style="2"/>
    <col min="15868" max="15868" width="4.85546875" style="2" customWidth="1"/>
    <col min="15869" max="15869" width="30.5703125" style="2" customWidth="1"/>
    <col min="15870" max="15870" width="33.85546875" style="2" customWidth="1"/>
    <col min="15871" max="15871" width="5.140625" style="2" customWidth="1"/>
    <col min="15872" max="15873" width="17.5703125" style="2" customWidth="1"/>
    <col min="15874" max="16117" width="9.140625" style="2"/>
    <col min="16118" max="16118" width="3.5703125" style="2" customWidth="1"/>
    <col min="16119" max="16119" width="96.85546875" style="2" customWidth="1"/>
    <col min="16120" max="16120" width="30.85546875" style="2" customWidth="1"/>
    <col min="16121" max="16121" width="12.5703125" style="2" customWidth="1"/>
    <col min="16122" max="16122" width="5.140625" style="2" customWidth="1"/>
    <col min="16123" max="16123" width="9.140625" style="2"/>
    <col min="16124" max="16124" width="4.85546875" style="2" customWidth="1"/>
    <col min="16125" max="16125" width="30.5703125" style="2" customWidth="1"/>
    <col min="16126" max="16126" width="33.85546875" style="2" customWidth="1"/>
    <col min="16127" max="16127" width="5.140625" style="2" customWidth="1"/>
    <col min="16128" max="16129" width="17.5703125" style="2" customWidth="1"/>
    <col min="16130" max="16384" width="9.140625" style="2"/>
  </cols>
  <sheetData>
    <row r="1" spans="1:3" ht="48" customHeight="1" x14ac:dyDescent="0.2">
      <c r="A1" s="111"/>
      <c r="B1" s="143" t="s">
        <v>225</v>
      </c>
      <c r="C1" s="143"/>
    </row>
    <row r="2" spans="1:3" x14ac:dyDescent="0.2">
      <c r="A2" s="1"/>
      <c r="B2" s="3" t="s">
        <v>2</v>
      </c>
      <c r="C2" s="4">
        <v>45317</v>
      </c>
    </row>
    <row r="3" spans="1:3" x14ac:dyDescent="0.2">
      <c r="A3" s="1"/>
      <c r="B3" s="112" t="s">
        <v>3</v>
      </c>
    </row>
    <row r="4" spans="1:3" ht="25.5" x14ac:dyDescent="0.2">
      <c r="A4" s="7"/>
      <c r="B4" s="8" t="str">
        <f>[20]И1!D13</f>
        <v>Субъект Российской Федерации</v>
      </c>
      <c r="C4" s="9" t="str">
        <f>[20]И1!E13</f>
        <v>Новосибирская область</v>
      </c>
    </row>
    <row r="5" spans="1:3" ht="38.25" x14ac:dyDescent="0.2">
      <c r="A5" s="7"/>
      <c r="B5" s="8" t="str">
        <f>[20]И1!D14</f>
        <v>Тип муниципального образования (выберите из списка)</v>
      </c>
      <c r="C5" s="9" t="str">
        <f>[20]И1!E14</f>
        <v>деревня Устюжанино, Ордынский муниципальный район</v>
      </c>
    </row>
    <row r="6" spans="1:3" x14ac:dyDescent="0.2">
      <c r="A6" s="7"/>
      <c r="B6" s="8" t="str">
        <f>IF([20]И1!E15="","",[20]И1!D15)</f>
        <v/>
      </c>
      <c r="C6" s="9" t="str">
        <f>IF([20]И1!E15="","",[20]И1!E15)</f>
        <v/>
      </c>
    </row>
    <row r="7" spans="1:3" x14ac:dyDescent="0.2">
      <c r="A7" s="7"/>
      <c r="B7" s="8" t="str">
        <f>[20]И1!D16</f>
        <v>Код ОКТМО</v>
      </c>
      <c r="C7" s="10" t="str">
        <f>[20]И1!E16</f>
        <v>50642431101</v>
      </c>
    </row>
    <row r="8" spans="1:3" x14ac:dyDescent="0.2">
      <c r="A8" s="7"/>
      <c r="B8" s="11" t="str">
        <f>[20]И1!D17</f>
        <v>Система теплоснабжения</v>
      </c>
      <c r="C8" s="12">
        <f>[20]И1!E17</f>
        <v>0</v>
      </c>
    </row>
    <row r="9" spans="1:3" x14ac:dyDescent="0.2">
      <c r="A9" s="7"/>
      <c r="B9" s="8" t="str">
        <f>[20]И1!D8</f>
        <v>Период регулирования (i)-й</v>
      </c>
      <c r="C9" s="13">
        <f>[20]И1!E8</f>
        <v>2024</v>
      </c>
    </row>
    <row r="10" spans="1:3" x14ac:dyDescent="0.2">
      <c r="A10" s="7"/>
      <c r="B10" s="8" t="str">
        <f>[20]И1!D9</f>
        <v>Период регулирования (i-1)-й</v>
      </c>
      <c r="C10" s="13">
        <f>[20]И1!E9</f>
        <v>2023</v>
      </c>
    </row>
    <row r="11" spans="1:3" x14ac:dyDescent="0.2">
      <c r="A11" s="7"/>
      <c r="B11" s="8" t="str">
        <f>[20]И1!D10</f>
        <v>Период регулирования (i-2)-й</v>
      </c>
      <c r="C11" s="13">
        <f>[20]И1!E10</f>
        <v>2022</v>
      </c>
    </row>
    <row r="12" spans="1:3" x14ac:dyDescent="0.2">
      <c r="A12" s="7"/>
      <c r="B12" s="8" t="str">
        <f>[20]И1!D11</f>
        <v>Базовый год (б)</v>
      </c>
      <c r="C12" s="13">
        <f>[20]И1!E11</f>
        <v>2019</v>
      </c>
    </row>
    <row r="13" spans="1:3" ht="38.25" x14ac:dyDescent="0.2">
      <c r="A13" s="7"/>
      <c r="B13" s="8" t="str">
        <f>[20]И1!D18</f>
        <v>Вид топлива, использование которого преобладает в системе теплоснабжения</v>
      </c>
      <c r="C13" s="14" t="str">
        <f>[20]С1.1!E13</f>
        <v>уголь (вид угля не указан в топливном балансе)</v>
      </c>
    </row>
    <row r="14" spans="1:3" ht="31.7" customHeight="1" thickBot="1" x14ac:dyDescent="0.25">
      <c r="A14" s="146" t="s">
        <v>4</v>
      </c>
      <c r="B14" s="146"/>
      <c r="C14" s="146"/>
    </row>
    <row r="15" spans="1:3" x14ac:dyDescent="0.2">
      <c r="A15" s="15" t="s">
        <v>5</v>
      </c>
      <c r="B15" s="113" t="s">
        <v>6</v>
      </c>
      <c r="C15" s="114" t="s">
        <v>7</v>
      </c>
    </row>
    <row r="16" spans="1:3" x14ac:dyDescent="0.2">
      <c r="A16" s="18">
        <v>1</v>
      </c>
      <c r="B16" s="115">
        <v>2</v>
      </c>
      <c r="C16" s="116">
        <v>3</v>
      </c>
    </row>
    <row r="17" spans="1:3" x14ac:dyDescent="0.2">
      <c r="A17" s="21">
        <v>1</v>
      </c>
      <c r="B17" s="22" t="s">
        <v>8</v>
      </c>
      <c r="C17" s="23">
        <f>SUM(C18:C22)</f>
        <v>3658.6860271429805</v>
      </c>
    </row>
    <row r="18" spans="1:3" ht="42.75" x14ac:dyDescent="0.2">
      <c r="A18" s="21" t="s">
        <v>9</v>
      </c>
      <c r="B18" s="24" t="s">
        <v>10</v>
      </c>
      <c r="C18" s="25">
        <f>[20]С1!F12</f>
        <v>681.72722270675411</v>
      </c>
    </row>
    <row r="19" spans="1:3" ht="42.75" x14ac:dyDescent="0.2">
      <c r="A19" s="21" t="s">
        <v>11</v>
      </c>
      <c r="B19" s="24" t="s">
        <v>12</v>
      </c>
      <c r="C19" s="25">
        <f>[20]С2!F12</f>
        <v>1988.7336845318171</v>
      </c>
    </row>
    <row r="20" spans="1:3" ht="30" x14ac:dyDescent="0.2">
      <c r="A20" s="21" t="s">
        <v>13</v>
      </c>
      <c r="B20" s="24" t="s">
        <v>14</v>
      </c>
      <c r="C20" s="25">
        <f>[20]С3!F12</f>
        <v>472.61808029676507</v>
      </c>
    </row>
    <row r="21" spans="1:3" ht="42.75" x14ac:dyDescent="0.2">
      <c r="A21" s="21" t="s">
        <v>15</v>
      </c>
      <c r="B21" s="24" t="s">
        <v>226</v>
      </c>
      <c r="C21" s="25">
        <f>[20]С4!F12</f>
        <v>443.86809789895818</v>
      </c>
    </row>
    <row r="22" spans="1:3" ht="30" x14ac:dyDescent="0.2">
      <c r="A22" s="21" t="s">
        <v>17</v>
      </c>
      <c r="B22" s="24" t="s">
        <v>227</v>
      </c>
      <c r="C22" s="25">
        <f>[20]С5!F12</f>
        <v>71.738941708685886</v>
      </c>
    </row>
    <row r="23" spans="1:3" ht="43.5" thickBot="1" x14ac:dyDescent="0.25">
      <c r="A23" s="26" t="s">
        <v>19</v>
      </c>
      <c r="B23" s="140" t="s">
        <v>228</v>
      </c>
      <c r="C23" s="27" t="str">
        <f>[20]С6!F12</f>
        <v>-</v>
      </c>
    </row>
    <row r="24" spans="1:3" ht="13.5" thickBot="1" x14ac:dyDescent="0.25">
      <c r="A24" s="1"/>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229</v>
      </c>
      <c r="C28" s="32">
        <f>[20]С1.1!E16</f>
        <v>5100</v>
      </c>
    </row>
    <row r="29" spans="1:3" ht="42.75" x14ac:dyDescent="0.2">
      <c r="A29" s="21" t="s">
        <v>11</v>
      </c>
      <c r="B29" s="31" t="s">
        <v>230</v>
      </c>
      <c r="C29" s="32">
        <f>[20]С1.1!E27</f>
        <v>3063.03</v>
      </c>
    </row>
    <row r="30" spans="1:3" ht="17.25" x14ac:dyDescent="0.2">
      <c r="A30" s="21" t="s">
        <v>13</v>
      </c>
      <c r="B30" s="31" t="s">
        <v>30</v>
      </c>
      <c r="C30" s="34">
        <f>[20]С1.1!E19</f>
        <v>-0.19900000000000001</v>
      </c>
    </row>
    <row r="31" spans="1:3" ht="17.25" x14ac:dyDescent="0.2">
      <c r="A31" s="21" t="s">
        <v>15</v>
      </c>
      <c r="B31" s="31" t="s">
        <v>31</v>
      </c>
      <c r="C31" s="34">
        <f>[20]С1.1!E20</f>
        <v>5.7000000000000002E-2</v>
      </c>
    </row>
    <row r="32" spans="1:3" ht="30" x14ac:dyDescent="0.2">
      <c r="A32" s="21" t="s">
        <v>17</v>
      </c>
      <c r="B32" s="35" t="s">
        <v>231</v>
      </c>
      <c r="C32" s="117">
        <f>[20]С1!F13</f>
        <v>176.4</v>
      </c>
    </row>
    <row r="33" spans="1:3" x14ac:dyDescent="0.2">
      <c r="A33" s="21" t="s">
        <v>19</v>
      </c>
      <c r="B33" s="35" t="s">
        <v>33</v>
      </c>
      <c r="C33" s="37">
        <f>[20]С1!F16</f>
        <v>7000</v>
      </c>
    </row>
    <row r="34" spans="1:3" ht="14.25" x14ac:dyDescent="0.2">
      <c r="A34" s="21" t="s">
        <v>34</v>
      </c>
      <c r="B34" s="39" t="s">
        <v>232</v>
      </c>
      <c r="C34" s="40">
        <f>[20]С1!F17</f>
        <v>0.72857142857142854</v>
      </c>
    </row>
    <row r="35" spans="1:3" ht="15.75" x14ac:dyDescent="0.2">
      <c r="A35" s="118" t="s">
        <v>36</v>
      </c>
      <c r="B35" s="42" t="s">
        <v>37</v>
      </c>
      <c r="C35" s="40">
        <f>[20]С1!F20</f>
        <v>21.588411179999994</v>
      </c>
    </row>
    <row r="36" spans="1:3" ht="15.75" x14ac:dyDescent="0.2">
      <c r="A36" s="118" t="s">
        <v>38</v>
      </c>
      <c r="B36" s="43" t="s">
        <v>39</v>
      </c>
      <c r="C36" s="40">
        <f>[20]С1!F21</f>
        <v>20.818139999999996</v>
      </c>
    </row>
    <row r="37" spans="1:3" ht="14.25" x14ac:dyDescent="0.2">
      <c r="A37" s="118" t="s">
        <v>40</v>
      </c>
      <c r="B37" s="44" t="s">
        <v>41</v>
      </c>
      <c r="C37" s="40">
        <f>[20]С1!F22</f>
        <v>1.0369999999999999</v>
      </c>
    </row>
    <row r="38" spans="1:3" ht="53.25" thickBot="1" x14ac:dyDescent="0.25">
      <c r="A38" s="26" t="s">
        <v>42</v>
      </c>
      <c r="B38" s="45" t="s">
        <v>43</v>
      </c>
      <c r="C38" s="46">
        <f>[20]С1!F23</f>
        <v>1.0469999999999999</v>
      </c>
    </row>
    <row r="39" spans="1:3" ht="13.5" thickBot="1" x14ac:dyDescent="0.25">
      <c r="A39" s="47"/>
      <c r="B39" s="119"/>
      <c r="C39" s="120"/>
    </row>
    <row r="40" spans="1:3" ht="30" customHeight="1" x14ac:dyDescent="0.2">
      <c r="A40" s="49" t="s">
        <v>44</v>
      </c>
      <c r="B40" s="145" t="s">
        <v>45</v>
      </c>
      <c r="C40" s="145"/>
    </row>
    <row r="41" spans="1:3" ht="25.5" x14ac:dyDescent="0.2">
      <c r="A41" s="21" t="s">
        <v>46</v>
      </c>
      <c r="B41" s="35" t="s">
        <v>47</v>
      </c>
      <c r="C41" s="50" t="str">
        <f>[20]С2.1!E12</f>
        <v>V</v>
      </c>
    </row>
    <row r="42" spans="1:3" ht="25.5" x14ac:dyDescent="0.2">
      <c r="A42" s="21" t="s">
        <v>48</v>
      </c>
      <c r="B42" s="31" t="s">
        <v>49</v>
      </c>
      <c r="C42" s="50" t="str">
        <f>[20]С2.1!E13</f>
        <v>6 и менее баллов</v>
      </c>
    </row>
    <row r="43" spans="1:3" ht="25.5" x14ac:dyDescent="0.2">
      <c r="A43" s="21" t="s">
        <v>50</v>
      </c>
      <c r="B43" s="31" t="s">
        <v>233</v>
      </c>
      <c r="C43" s="50" t="str">
        <f>[20]С2.1!E14</f>
        <v>от 200 до 500</v>
      </c>
    </row>
    <row r="44" spans="1:3" ht="25.5" x14ac:dyDescent="0.2">
      <c r="A44" s="21" t="s">
        <v>52</v>
      </c>
      <c r="B44" s="31" t="s">
        <v>234</v>
      </c>
      <c r="C44" s="51" t="str">
        <f>[20]С2.1!E15</f>
        <v>нет</v>
      </c>
    </row>
    <row r="45" spans="1:3" ht="30" x14ac:dyDescent="0.2">
      <c r="A45" s="21" t="s">
        <v>54</v>
      </c>
      <c r="B45" s="31" t="s">
        <v>55</v>
      </c>
      <c r="C45" s="32">
        <f>[20]С2!F18</f>
        <v>35106.652004551666</v>
      </c>
    </row>
    <row r="46" spans="1:3" ht="30" x14ac:dyDescent="0.2">
      <c r="A46" s="21" t="s">
        <v>56</v>
      </c>
      <c r="B46" s="52" t="s">
        <v>57</v>
      </c>
      <c r="C46" s="32">
        <f>IF([20]С2!F19&gt;0,[20]С2!F19,[20]С2!F20)</f>
        <v>23441.524932855718</v>
      </c>
    </row>
    <row r="47" spans="1:3" ht="25.5" x14ac:dyDescent="0.2">
      <c r="A47" s="21" t="s">
        <v>58</v>
      </c>
      <c r="B47" s="53" t="s">
        <v>59</v>
      </c>
      <c r="C47" s="32">
        <f>[20]С2.1!E19</f>
        <v>-37</v>
      </c>
    </row>
    <row r="48" spans="1:3" ht="25.5" x14ac:dyDescent="0.2">
      <c r="A48" s="21" t="s">
        <v>60</v>
      </c>
      <c r="B48" s="53" t="s">
        <v>61</v>
      </c>
      <c r="C48" s="32" t="str">
        <f>[20]С2.1!E22</f>
        <v>нет</v>
      </c>
    </row>
    <row r="49" spans="1:3" ht="38.25" x14ac:dyDescent="0.2">
      <c r="A49" s="21" t="s">
        <v>62</v>
      </c>
      <c r="B49" s="54" t="s">
        <v>63</v>
      </c>
      <c r="C49" s="32">
        <f>[20]С2.2!E10</f>
        <v>1287</v>
      </c>
    </row>
    <row r="50" spans="1:3" ht="25.5" x14ac:dyDescent="0.2">
      <c r="A50" s="21" t="s">
        <v>64</v>
      </c>
      <c r="B50" s="55" t="s">
        <v>65</v>
      </c>
      <c r="C50" s="32">
        <f>[20]С2.2!E12</f>
        <v>5.97</v>
      </c>
    </row>
    <row r="51" spans="1:3" ht="52.5" x14ac:dyDescent="0.2">
      <c r="A51" s="21" t="s">
        <v>66</v>
      </c>
      <c r="B51" s="56" t="s">
        <v>67</v>
      </c>
      <c r="C51" s="32">
        <f>[20]С2.2!E13</f>
        <v>1</v>
      </c>
    </row>
    <row r="52" spans="1:3" ht="27.75" x14ac:dyDescent="0.2">
      <c r="A52" s="21" t="s">
        <v>68</v>
      </c>
      <c r="B52" s="55" t="s">
        <v>69</v>
      </c>
      <c r="C52" s="32">
        <f>[20]С2.2!E14</f>
        <v>12104</v>
      </c>
    </row>
    <row r="53" spans="1:3" ht="25.5" x14ac:dyDescent="0.2">
      <c r="A53" s="21" t="s">
        <v>70</v>
      </c>
      <c r="B53" s="56" t="s">
        <v>71</v>
      </c>
      <c r="C53" s="34">
        <f>[20]С2.2!E15</f>
        <v>4.8000000000000001E-2</v>
      </c>
    </row>
    <row r="54" spans="1:3" x14ac:dyDescent="0.2">
      <c r="A54" s="21" t="s">
        <v>72</v>
      </c>
      <c r="B54" s="56" t="s">
        <v>73</v>
      </c>
      <c r="C54" s="32">
        <f>[20]С2.2!E16</f>
        <v>1</v>
      </c>
    </row>
    <row r="55" spans="1:3" ht="15.75" x14ac:dyDescent="0.2">
      <c r="A55" s="21" t="s">
        <v>74</v>
      </c>
      <c r="B55" s="58" t="s">
        <v>75</v>
      </c>
      <c r="C55" s="32">
        <f>[20]С2!F21</f>
        <v>1</v>
      </c>
    </row>
    <row r="56" spans="1:3" ht="30" x14ac:dyDescent="0.2">
      <c r="A56" s="59" t="s">
        <v>76</v>
      </c>
      <c r="B56" s="31" t="s">
        <v>235</v>
      </c>
      <c r="C56" s="32">
        <f>[20]С2!F13</f>
        <v>183796.83936385796</v>
      </c>
    </row>
    <row r="57" spans="1:3" ht="30" x14ac:dyDescent="0.2">
      <c r="A57" s="59" t="s">
        <v>78</v>
      </c>
      <c r="B57" s="58" t="s">
        <v>236</v>
      </c>
      <c r="C57" s="32">
        <f>[20]С2!F14</f>
        <v>113455</v>
      </c>
    </row>
    <row r="58" spans="1:3" ht="15.75" x14ac:dyDescent="0.2">
      <c r="A58" s="59" t="s">
        <v>80</v>
      </c>
      <c r="B58" s="60" t="s">
        <v>81</v>
      </c>
      <c r="C58" s="40">
        <f>[20]С2!F15</f>
        <v>1.071</v>
      </c>
    </row>
    <row r="59" spans="1:3" ht="15.75" x14ac:dyDescent="0.2">
      <c r="A59" s="59" t="s">
        <v>82</v>
      </c>
      <c r="B59" s="60" t="s">
        <v>83</v>
      </c>
      <c r="C59" s="40">
        <f>[20]С2!F16</f>
        <v>1</v>
      </c>
    </row>
    <row r="60" spans="1:3" ht="17.25" x14ac:dyDescent="0.2">
      <c r="A60" s="59" t="s">
        <v>84</v>
      </c>
      <c r="B60" s="58" t="s">
        <v>85</v>
      </c>
      <c r="C60" s="32">
        <f>[20]С2!F17</f>
        <v>1.01</v>
      </c>
    </row>
    <row r="61" spans="1:3" s="65" customFormat="1" ht="14.25" x14ac:dyDescent="0.2">
      <c r="A61" s="59" t="s">
        <v>86</v>
      </c>
      <c r="B61" s="63" t="s">
        <v>87</v>
      </c>
      <c r="C61" s="64">
        <f>[20]С2!F33</f>
        <v>10</v>
      </c>
    </row>
    <row r="62" spans="1:3" ht="30" x14ac:dyDescent="0.2">
      <c r="A62" s="59" t="s">
        <v>88</v>
      </c>
      <c r="B62" s="66" t="s">
        <v>89</v>
      </c>
      <c r="C62" s="32">
        <f>[20]С2!F26</f>
        <v>1266.3745527115127</v>
      </c>
    </row>
    <row r="63" spans="1:3" ht="17.25" x14ac:dyDescent="0.2">
      <c r="A63" s="59" t="s">
        <v>90</v>
      </c>
      <c r="B63" s="52" t="s">
        <v>237</v>
      </c>
      <c r="C63" s="32">
        <f>[20]С2!F27</f>
        <v>0.201330388</v>
      </c>
    </row>
    <row r="64" spans="1:3" ht="17.25" x14ac:dyDescent="0.2">
      <c r="A64" s="59" t="s">
        <v>92</v>
      </c>
      <c r="B64" s="58" t="s">
        <v>238</v>
      </c>
      <c r="C64" s="64">
        <f>[20]С2!F28</f>
        <v>4200</v>
      </c>
    </row>
    <row r="65" spans="1:3" ht="42.75" x14ac:dyDescent="0.2">
      <c r="A65" s="59" t="s">
        <v>94</v>
      </c>
      <c r="B65" s="31" t="s">
        <v>239</v>
      </c>
      <c r="C65" s="32">
        <f>[20]С2!F22</f>
        <v>38698.422798410109</v>
      </c>
    </row>
    <row r="66" spans="1:3" ht="30" x14ac:dyDescent="0.2">
      <c r="A66" s="59" t="s">
        <v>96</v>
      </c>
      <c r="B66" s="60" t="s">
        <v>240</v>
      </c>
      <c r="C66" s="32">
        <f>[20]С2!F23</f>
        <v>1990</v>
      </c>
    </row>
    <row r="67" spans="1:3" ht="30" x14ac:dyDescent="0.2">
      <c r="A67" s="59" t="s">
        <v>98</v>
      </c>
      <c r="B67" s="52" t="s">
        <v>99</v>
      </c>
      <c r="C67" s="32">
        <f>[20]С2.1!E27</f>
        <v>14307.876789999998</v>
      </c>
    </row>
    <row r="68" spans="1:3" ht="38.25" x14ac:dyDescent="0.2">
      <c r="A68" s="59" t="s">
        <v>100</v>
      </c>
      <c r="B68" s="67" t="s">
        <v>101</v>
      </c>
      <c r="C68" s="51">
        <f>[20]С2.3!E21</f>
        <v>0</v>
      </c>
    </row>
    <row r="69" spans="1:3" ht="25.5" x14ac:dyDescent="0.2">
      <c r="A69" s="59" t="s">
        <v>102</v>
      </c>
      <c r="B69" s="68" t="s">
        <v>103</v>
      </c>
      <c r="C69" s="69">
        <f>[20]С2.3!E11</f>
        <v>9.89</v>
      </c>
    </row>
    <row r="70" spans="1:3" ht="25.5" x14ac:dyDescent="0.2">
      <c r="A70" s="59" t="s">
        <v>104</v>
      </c>
      <c r="B70" s="68" t="s">
        <v>105</v>
      </c>
      <c r="C70" s="64">
        <f>[20]С2.3!E13</f>
        <v>300</v>
      </c>
    </row>
    <row r="71" spans="1:3" ht="25.5" x14ac:dyDescent="0.2">
      <c r="A71" s="59" t="s">
        <v>106</v>
      </c>
      <c r="B71" s="67" t="s">
        <v>107</v>
      </c>
      <c r="C71" s="70">
        <f>IF([20]С2.3!E22&gt;0,[20]С2.3!E22,[20]С2.3!E14)</f>
        <v>61211</v>
      </c>
    </row>
    <row r="72" spans="1:3" ht="38.25" x14ac:dyDescent="0.2">
      <c r="A72" s="59" t="s">
        <v>108</v>
      </c>
      <c r="B72" s="67" t="s">
        <v>109</v>
      </c>
      <c r="C72" s="70">
        <f>IF([20]С2.3!E23&gt;0,[20]С2.3!E23,[20]С2.3!E15)</f>
        <v>45675</v>
      </c>
    </row>
    <row r="73" spans="1:3" ht="30" x14ac:dyDescent="0.2">
      <c r="A73" s="59" t="s">
        <v>110</v>
      </c>
      <c r="B73" s="52" t="s">
        <v>111</v>
      </c>
      <c r="C73" s="32">
        <f>[20]С2.1!E28</f>
        <v>9541.9567200000001</v>
      </c>
    </row>
    <row r="74" spans="1:3" ht="38.25" x14ac:dyDescent="0.2">
      <c r="A74" s="59" t="s">
        <v>112</v>
      </c>
      <c r="B74" s="67" t="s">
        <v>113</v>
      </c>
      <c r="C74" s="51">
        <f>[20]С2.3!E25</f>
        <v>0</v>
      </c>
    </row>
    <row r="75" spans="1:3" ht="25.5" x14ac:dyDescent="0.2">
      <c r="A75" s="59" t="s">
        <v>114</v>
      </c>
      <c r="B75" s="68" t="s">
        <v>115</v>
      </c>
      <c r="C75" s="69">
        <f>[20]С2.3!E12</f>
        <v>0.56000000000000005</v>
      </c>
    </row>
    <row r="76" spans="1:3" ht="25.5" x14ac:dyDescent="0.2">
      <c r="A76" s="59" t="s">
        <v>116</v>
      </c>
      <c r="B76" s="68" t="s">
        <v>105</v>
      </c>
      <c r="C76" s="64">
        <f>[20]С2.3!E13</f>
        <v>300</v>
      </c>
    </row>
    <row r="77" spans="1:3" ht="25.5" x14ac:dyDescent="0.2">
      <c r="A77" s="59" t="s">
        <v>117</v>
      </c>
      <c r="B77" s="71" t="s">
        <v>118</v>
      </c>
      <c r="C77" s="70">
        <f>IF([20]С2.3!E26&gt;0,[20]С2.3!E26,[20]С2.3!E16)</f>
        <v>65637</v>
      </c>
    </row>
    <row r="78" spans="1:3" ht="38.25" x14ac:dyDescent="0.2">
      <c r="A78" s="59" t="s">
        <v>119</v>
      </c>
      <c r="B78" s="71" t="s">
        <v>120</v>
      </c>
      <c r="C78" s="70">
        <f>IF([20]С2.3!E27&gt;0,[20]С2.3!E27,[20]С2.3!E17)</f>
        <v>31684</v>
      </c>
    </row>
    <row r="79" spans="1:3" ht="17.25" x14ac:dyDescent="0.2">
      <c r="A79" s="59" t="s">
        <v>123</v>
      </c>
      <c r="B79" s="31" t="s">
        <v>124</v>
      </c>
      <c r="C79" s="34">
        <f>[20]С2!F29</f>
        <v>9.5962865259740182E-2</v>
      </c>
    </row>
    <row r="80" spans="1:3" ht="30" x14ac:dyDescent="0.2">
      <c r="A80" s="59" t="s">
        <v>125</v>
      </c>
      <c r="B80" s="52" t="s">
        <v>126</v>
      </c>
      <c r="C80" s="72">
        <f>[20]С2!F30</f>
        <v>8.4029304029304031E-2</v>
      </c>
    </row>
    <row r="81" spans="1:3" ht="17.25" x14ac:dyDescent="0.2">
      <c r="A81" s="59" t="s">
        <v>127</v>
      </c>
      <c r="B81" s="73" t="s">
        <v>128</v>
      </c>
      <c r="C81" s="34">
        <f>[20]С2!F31</f>
        <v>0.13880000000000001</v>
      </c>
    </row>
    <row r="82" spans="1:3" s="65" customFormat="1" ht="18" thickBot="1" x14ac:dyDescent="0.25">
      <c r="A82" s="74" t="s">
        <v>129</v>
      </c>
      <c r="B82" s="75" t="s">
        <v>130</v>
      </c>
      <c r="C82" s="76">
        <f>[20]С2!F32</f>
        <v>0.12640000000000001</v>
      </c>
    </row>
    <row r="83" spans="1:3" ht="13.5" thickBot="1" x14ac:dyDescent="0.25">
      <c r="A83" s="47"/>
      <c r="B83" s="48"/>
      <c r="C83" s="14"/>
    </row>
    <row r="84" spans="1:3" s="65" customFormat="1" ht="30" customHeight="1" x14ac:dyDescent="0.2">
      <c r="A84" s="77" t="s">
        <v>131</v>
      </c>
      <c r="B84" s="145" t="s">
        <v>132</v>
      </c>
      <c r="C84" s="145"/>
    </row>
    <row r="85" spans="1:3" s="65" customFormat="1" ht="30" x14ac:dyDescent="0.2">
      <c r="A85" s="78" t="s">
        <v>133</v>
      </c>
      <c r="B85" s="31" t="s">
        <v>134</v>
      </c>
      <c r="C85" s="32">
        <f>[20]С3!F14</f>
        <v>6057.0688307111368</v>
      </c>
    </row>
    <row r="86" spans="1:3" s="65" customFormat="1" ht="42.75" x14ac:dyDescent="0.2">
      <c r="A86" s="78" t="s">
        <v>135</v>
      </c>
      <c r="B86" s="52" t="s">
        <v>136</v>
      </c>
      <c r="C86" s="79">
        <f>[20]С3!F15</f>
        <v>0.2</v>
      </c>
    </row>
    <row r="87" spans="1:3" s="65" customFormat="1" ht="14.25" x14ac:dyDescent="0.2">
      <c r="A87" s="78" t="s">
        <v>137</v>
      </c>
      <c r="B87" s="80" t="s">
        <v>138</v>
      </c>
      <c r="C87" s="64">
        <f>[20]С3!F18</f>
        <v>15</v>
      </c>
    </row>
    <row r="88" spans="1:3" s="65" customFormat="1" ht="17.25" x14ac:dyDescent="0.2">
      <c r="A88" s="78" t="s">
        <v>139</v>
      </c>
      <c r="B88" s="31" t="s">
        <v>140</v>
      </c>
      <c r="C88" s="32">
        <f>[20]С3!F19</f>
        <v>3778.1614077800232</v>
      </c>
    </row>
    <row r="89" spans="1:3" s="65" customFormat="1" ht="55.5" x14ac:dyDescent="0.2">
      <c r="A89" s="78" t="s">
        <v>141</v>
      </c>
      <c r="B89" s="52" t="s">
        <v>142</v>
      </c>
      <c r="C89" s="81">
        <f>[20]С3!F20</f>
        <v>2.1999999999999999E-2</v>
      </c>
    </row>
    <row r="90" spans="1:3" s="65" customFormat="1" ht="14.25" x14ac:dyDescent="0.2">
      <c r="A90" s="78" t="s">
        <v>143</v>
      </c>
      <c r="B90" s="58" t="s">
        <v>87</v>
      </c>
      <c r="C90" s="64">
        <f>[20]С3!F21</f>
        <v>10</v>
      </c>
    </row>
    <row r="91" spans="1:3" s="65" customFormat="1" ht="17.25" x14ac:dyDescent="0.2">
      <c r="A91" s="78" t="s">
        <v>144</v>
      </c>
      <c r="B91" s="31" t="s">
        <v>145</v>
      </c>
      <c r="C91" s="32">
        <f>[20]С3!F22</f>
        <v>3.7991236581345382</v>
      </c>
    </row>
    <row r="92" spans="1:3" s="65" customFormat="1" ht="55.5" x14ac:dyDescent="0.2">
      <c r="A92" s="78" t="s">
        <v>146</v>
      </c>
      <c r="B92" s="52" t="s">
        <v>147</v>
      </c>
      <c r="C92" s="81">
        <f>[20]С3!F23</f>
        <v>3.0000000000000001E-3</v>
      </c>
    </row>
    <row r="93" spans="1:3" s="65" customFormat="1" ht="27.75" thickBot="1" x14ac:dyDescent="0.25">
      <c r="A93" s="82" t="s">
        <v>148</v>
      </c>
      <c r="B93" s="83" t="s">
        <v>241</v>
      </c>
      <c r="C93" s="84">
        <f>[20]С3!F24</f>
        <v>1266.3745527115127</v>
      </c>
    </row>
    <row r="94" spans="1:3" ht="13.5" thickBot="1" x14ac:dyDescent="0.25">
      <c r="A94" s="47"/>
      <c r="B94" s="48"/>
      <c r="C94" s="14"/>
    </row>
    <row r="95" spans="1:3" ht="30" customHeight="1" x14ac:dyDescent="0.2">
      <c r="A95" s="85" t="s">
        <v>149</v>
      </c>
      <c r="B95" s="145" t="s">
        <v>150</v>
      </c>
      <c r="C95" s="145"/>
    </row>
    <row r="96" spans="1:3" ht="30" x14ac:dyDescent="0.2">
      <c r="A96" s="59" t="s">
        <v>151</v>
      </c>
      <c r="B96" s="31" t="s">
        <v>242</v>
      </c>
      <c r="C96" s="32">
        <f>[20]С4!F16</f>
        <v>1652.5</v>
      </c>
    </row>
    <row r="97" spans="1:3" ht="30" x14ac:dyDescent="0.2">
      <c r="A97" s="59" t="s">
        <v>153</v>
      </c>
      <c r="B97" s="58" t="s">
        <v>243</v>
      </c>
      <c r="C97" s="32">
        <f>[20]С4!F17</f>
        <v>73547</v>
      </c>
    </row>
    <row r="98" spans="1:3" ht="17.25" x14ac:dyDescent="0.2">
      <c r="A98" s="59" t="s">
        <v>155</v>
      </c>
      <c r="B98" s="58" t="s">
        <v>156</v>
      </c>
      <c r="C98" s="40">
        <f>[20]С4!F18</f>
        <v>0.02</v>
      </c>
    </row>
    <row r="99" spans="1:3" ht="30" x14ac:dyDescent="0.2">
      <c r="A99" s="59" t="s">
        <v>157</v>
      </c>
      <c r="B99" s="58" t="s">
        <v>158</v>
      </c>
      <c r="C99" s="32">
        <f>[20]С4!F19</f>
        <v>12104</v>
      </c>
    </row>
    <row r="100" spans="1:3" ht="28.5" x14ac:dyDescent="0.2">
      <c r="A100" s="59" t="s">
        <v>159</v>
      </c>
      <c r="B100" s="58" t="s">
        <v>160</v>
      </c>
      <c r="C100" s="40">
        <f>[20]С4!F20</f>
        <v>1.4999999999999999E-2</v>
      </c>
    </row>
    <row r="101" spans="1:3" ht="30" x14ac:dyDescent="0.2">
      <c r="A101" s="59" t="s">
        <v>161</v>
      </c>
      <c r="B101" s="31" t="s">
        <v>244</v>
      </c>
      <c r="C101" s="32">
        <f>[20]С4!F21</f>
        <v>1933.1949342509995</v>
      </c>
    </row>
    <row r="102" spans="1:3" ht="24" customHeight="1" x14ac:dyDescent="0.2">
      <c r="A102" s="59" t="s">
        <v>163</v>
      </c>
      <c r="B102" s="52" t="s">
        <v>164</v>
      </c>
      <c r="C102" s="33">
        <f>IF([20]С4.2!F8="да",[20]С4.2!D21,[20]С4.2!D15)</f>
        <v>0</v>
      </c>
    </row>
    <row r="103" spans="1:3" ht="68.25" x14ac:dyDescent="0.2">
      <c r="A103" s="59" t="s">
        <v>165</v>
      </c>
      <c r="B103" s="52" t="s">
        <v>166</v>
      </c>
      <c r="C103" s="32">
        <f>[20]С4!F22</f>
        <v>3.6112641666666665</v>
      </c>
    </row>
    <row r="104" spans="1:3" ht="30" x14ac:dyDescent="0.2">
      <c r="A104" s="59" t="s">
        <v>167</v>
      </c>
      <c r="B104" s="58" t="s">
        <v>245</v>
      </c>
      <c r="C104" s="32">
        <f>[20]С4!F23</f>
        <v>180</v>
      </c>
    </row>
    <row r="105" spans="1:3" ht="14.25" x14ac:dyDescent="0.2">
      <c r="A105" s="59" t="s">
        <v>169</v>
      </c>
      <c r="B105" s="52" t="s">
        <v>170</v>
      </c>
      <c r="C105" s="32">
        <f>[20]С4!F24</f>
        <v>8497.1999999999989</v>
      </c>
    </row>
    <row r="106" spans="1:3" ht="14.25" x14ac:dyDescent="0.2">
      <c r="A106" s="59" t="s">
        <v>171</v>
      </c>
      <c r="B106" s="58" t="s">
        <v>172</v>
      </c>
      <c r="C106" s="40">
        <f>[20]С4!F25</f>
        <v>0.35</v>
      </c>
    </row>
    <row r="107" spans="1:3" ht="17.25" x14ac:dyDescent="0.2">
      <c r="A107" s="59" t="s">
        <v>173</v>
      </c>
      <c r="B107" s="31" t="s">
        <v>174</v>
      </c>
      <c r="C107" s="32">
        <f>[20]С4!F26</f>
        <v>76.007879999999986</v>
      </c>
    </row>
    <row r="108" spans="1:3" ht="25.5" x14ac:dyDescent="0.2">
      <c r="A108" s="59" t="s">
        <v>175</v>
      </c>
      <c r="B108" s="52" t="s">
        <v>101</v>
      </c>
      <c r="C108" s="33">
        <f>[20]С4.3!E16</f>
        <v>0</v>
      </c>
    </row>
    <row r="109" spans="1:3" ht="25.5" x14ac:dyDescent="0.2">
      <c r="A109" s="59" t="s">
        <v>176</v>
      </c>
      <c r="B109" s="52" t="s">
        <v>177</v>
      </c>
      <c r="C109" s="32">
        <f>[20]С4.3!E17</f>
        <v>18.739999999999998</v>
      </c>
    </row>
    <row r="110" spans="1:3" ht="38.25" x14ac:dyDescent="0.2">
      <c r="A110" s="59" t="s">
        <v>178</v>
      </c>
      <c r="B110" s="52" t="s">
        <v>113</v>
      </c>
      <c r="C110" s="33">
        <f>[20]С4.3!E18</f>
        <v>0</v>
      </c>
    </row>
    <row r="111" spans="1:3" x14ac:dyDescent="0.2">
      <c r="A111" s="59" t="s">
        <v>179</v>
      </c>
      <c r="B111" s="52" t="s">
        <v>180</v>
      </c>
      <c r="C111" s="32">
        <f>[20]С4.3!E19</f>
        <v>50.424999999999997</v>
      </c>
    </row>
    <row r="112" spans="1:3" x14ac:dyDescent="0.2">
      <c r="A112" s="59" t="s">
        <v>181</v>
      </c>
      <c r="B112" s="58" t="s">
        <v>182</v>
      </c>
      <c r="C112" s="32">
        <f>[20]С4.3!E11</f>
        <v>1871</v>
      </c>
    </row>
    <row r="113" spans="1:3" x14ac:dyDescent="0.2">
      <c r="A113" s="59" t="s">
        <v>183</v>
      </c>
      <c r="B113" s="58" t="s">
        <v>184</v>
      </c>
      <c r="C113" s="51">
        <f>[20]С4.3!E12</f>
        <v>1636</v>
      </c>
    </row>
    <row r="114" spans="1:3" x14ac:dyDescent="0.2">
      <c r="A114" s="59" t="s">
        <v>185</v>
      </c>
      <c r="B114" s="58" t="s">
        <v>186</v>
      </c>
      <c r="C114" s="51">
        <f>[20]С4.3!E13</f>
        <v>204</v>
      </c>
    </row>
    <row r="115" spans="1:3" ht="30" x14ac:dyDescent="0.2">
      <c r="A115" s="59" t="s">
        <v>187</v>
      </c>
      <c r="B115" s="31" t="s">
        <v>246</v>
      </c>
      <c r="C115" s="32">
        <f>[20]С4!F27</f>
        <v>1351.1912129385403</v>
      </c>
    </row>
    <row r="116" spans="1:3" ht="25.5" x14ac:dyDescent="0.2">
      <c r="A116" s="59" t="s">
        <v>189</v>
      </c>
      <c r="B116" s="52" t="s">
        <v>247</v>
      </c>
      <c r="C116" s="32">
        <f>[20]С4!F28</f>
        <v>1037.7812695380494</v>
      </c>
    </row>
    <row r="117" spans="1:3" ht="42.75" x14ac:dyDescent="0.2">
      <c r="A117" s="59" t="s">
        <v>191</v>
      </c>
      <c r="B117" s="52" t="s">
        <v>192</v>
      </c>
      <c r="C117" s="32">
        <f>[20]С4!F29</f>
        <v>313.40994340049093</v>
      </c>
    </row>
    <row r="118" spans="1:3" ht="30" x14ac:dyDescent="0.2">
      <c r="A118" s="59" t="s">
        <v>193</v>
      </c>
      <c r="B118" s="39" t="s">
        <v>194</v>
      </c>
      <c r="C118" s="32">
        <f>[20]С4!F30</f>
        <v>1733.0646114081005</v>
      </c>
    </row>
    <row r="119" spans="1:3" ht="42.75" x14ac:dyDescent="0.2">
      <c r="A119" s="59" t="s">
        <v>248</v>
      </c>
      <c r="B119" s="89" t="s">
        <v>249</v>
      </c>
      <c r="C119" s="32">
        <f>[20]С4!F33</f>
        <v>1010.5011744884268</v>
      </c>
    </row>
    <row r="120" spans="1:3" ht="30" x14ac:dyDescent="0.2">
      <c r="A120" s="59" t="s">
        <v>250</v>
      </c>
      <c r="B120" s="121" t="s">
        <v>251</v>
      </c>
      <c r="C120" s="32">
        <f>[20]С4!F35</f>
        <v>17.040680999999999</v>
      </c>
    </row>
    <row r="121" spans="1:3" ht="14.25" x14ac:dyDescent="0.2">
      <c r="A121" s="59" t="s">
        <v>252</v>
      </c>
      <c r="B121" s="55" t="s">
        <v>253</v>
      </c>
      <c r="C121" s="32">
        <f>[20]С4!F36</f>
        <v>14319.9</v>
      </c>
    </row>
    <row r="122" spans="1:3" ht="28.5" thickBot="1" x14ac:dyDescent="0.25">
      <c r="A122" s="74" t="s">
        <v>254</v>
      </c>
      <c r="B122" s="122" t="s">
        <v>255</v>
      </c>
      <c r="C122" s="84">
        <f>[20]С4!F37</f>
        <v>1.19</v>
      </c>
    </row>
    <row r="123" spans="1:3" s="87" customFormat="1" ht="13.5" thickBot="1" x14ac:dyDescent="0.25">
      <c r="A123" s="47"/>
      <c r="B123" s="48"/>
      <c r="C123" s="14"/>
    </row>
    <row r="124" spans="1:3" s="65" customFormat="1" ht="30" customHeight="1" x14ac:dyDescent="0.2">
      <c r="A124" s="77" t="s">
        <v>195</v>
      </c>
      <c r="B124" s="145" t="s">
        <v>196</v>
      </c>
      <c r="C124" s="145"/>
    </row>
    <row r="125" spans="1:3" ht="16.5" thickBot="1" x14ac:dyDescent="0.25">
      <c r="A125" s="26" t="s">
        <v>197</v>
      </c>
      <c r="B125" s="86" t="s">
        <v>198</v>
      </c>
      <c r="C125" s="84">
        <f>[20]С5!F17</f>
        <v>0.02</v>
      </c>
    </row>
    <row r="126" spans="1:3" s="87" customFormat="1" ht="13.5" thickBot="1" x14ac:dyDescent="0.25">
      <c r="A126" s="47"/>
      <c r="B126" s="48"/>
      <c r="C126" s="14"/>
    </row>
    <row r="127" spans="1:3" ht="42.75" customHeight="1" x14ac:dyDescent="0.2">
      <c r="A127" s="85" t="s">
        <v>199</v>
      </c>
      <c r="B127" s="147" t="s">
        <v>200</v>
      </c>
      <c r="C127" s="147"/>
    </row>
    <row r="128" spans="1:3" ht="68.25" x14ac:dyDescent="0.2">
      <c r="A128" s="59" t="s">
        <v>201</v>
      </c>
      <c r="B128" s="88" t="s">
        <v>202</v>
      </c>
      <c r="C128" s="32" t="s">
        <v>256</v>
      </c>
    </row>
    <row r="129" spans="1:3" ht="42.75" hidden="1" x14ac:dyDescent="0.2">
      <c r="A129" s="59" t="s">
        <v>203</v>
      </c>
      <c r="B129" s="89" t="s">
        <v>204</v>
      </c>
      <c r="C129" s="90"/>
    </row>
    <row r="130" spans="1:3" ht="69" thickBot="1" x14ac:dyDescent="0.25">
      <c r="A130" s="74" t="s">
        <v>205</v>
      </c>
      <c r="B130" s="123" t="s">
        <v>206</v>
      </c>
      <c r="C130" s="124" t="s">
        <v>256</v>
      </c>
    </row>
    <row r="131" spans="1:3" ht="62.25" hidden="1" customHeight="1" x14ac:dyDescent="0.2">
      <c r="A131" s="125" t="s">
        <v>207</v>
      </c>
      <c r="B131" s="126" t="s">
        <v>208</v>
      </c>
      <c r="C131" s="127"/>
    </row>
    <row r="132" spans="1:3" ht="68.25" hidden="1" x14ac:dyDescent="0.2">
      <c r="A132" s="59" t="s">
        <v>209</v>
      </c>
      <c r="B132" s="89" t="s">
        <v>257</v>
      </c>
      <c r="C132" s="34"/>
    </row>
    <row r="133" spans="1:3" ht="69" hidden="1" thickBot="1" x14ac:dyDescent="0.25">
      <c r="A133" s="74" t="s">
        <v>211</v>
      </c>
      <c r="B133" s="92" t="s">
        <v>212</v>
      </c>
      <c r="C133" s="76"/>
    </row>
    <row r="134" spans="1:3" s="87" customFormat="1" ht="13.5" thickBot="1" x14ac:dyDescent="0.25">
      <c r="A134" s="47"/>
      <c r="B134" s="48"/>
      <c r="C134" s="14"/>
    </row>
    <row r="135" spans="1:3" ht="26.25" customHeight="1" x14ac:dyDescent="0.2">
      <c r="A135" s="85" t="s">
        <v>213</v>
      </c>
      <c r="B135" s="93" t="s">
        <v>214</v>
      </c>
      <c r="C135" s="94">
        <f>[20]С2!F37</f>
        <v>20.818139999999996</v>
      </c>
    </row>
    <row r="136" spans="1:3" ht="14.25" x14ac:dyDescent="0.2">
      <c r="A136" s="59" t="s">
        <v>215</v>
      </c>
      <c r="B136" s="128" t="s">
        <v>216</v>
      </c>
      <c r="C136" s="32">
        <f>[20]С2!F38</f>
        <v>7</v>
      </c>
    </row>
    <row r="137" spans="1:3" ht="17.25" x14ac:dyDescent="0.2">
      <c r="A137" s="59" t="s">
        <v>217</v>
      </c>
      <c r="B137" s="128" t="s">
        <v>218</v>
      </c>
      <c r="C137" s="32">
        <f>[20]С2!F40</f>
        <v>0.97</v>
      </c>
    </row>
    <row r="138" spans="1:3" ht="15" thickBot="1" x14ac:dyDescent="0.25">
      <c r="A138" s="74" t="s">
        <v>219</v>
      </c>
      <c r="B138" s="129" t="s">
        <v>220</v>
      </c>
      <c r="C138" s="46">
        <f>[20]С2!F42</f>
        <v>0.35</v>
      </c>
    </row>
    <row r="139" spans="1:3" s="87" customFormat="1" ht="13.5" thickBot="1" x14ac:dyDescent="0.25">
      <c r="A139" s="47"/>
      <c r="B139" s="48"/>
      <c r="C139" s="14"/>
    </row>
    <row r="140" spans="1:3" ht="30" x14ac:dyDescent="0.2">
      <c r="A140" s="85" t="s">
        <v>221</v>
      </c>
      <c r="B140" s="95" t="s">
        <v>258</v>
      </c>
      <c r="C140" s="130">
        <f>[20]С2!F35</f>
        <v>1.4976266307379205</v>
      </c>
    </row>
    <row r="141" spans="1:3" ht="22.7" customHeight="1" thickBot="1" x14ac:dyDescent="0.25">
      <c r="A141" s="74" t="s">
        <v>223</v>
      </c>
      <c r="B141" s="141" t="s">
        <v>224</v>
      </c>
      <c r="C141" s="141"/>
    </row>
    <row r="142" spans="1:3" ht="13.5" thickBot="1" x14ac:dyDescent="0.25">
      <c r="A142" s="97"/>
      <c r="B142" s="131" t="s">
        <v>0</v>
      </c>
      <c r="C142" s="132"/>
    </row>
    <row r="143" spans="1:3" x14ac:dyDescent="0.2">
      <c r="A143" s="97"/>
      <c r="B143" s="133">
        <v>2020</v>
      </c>
      <c r="C143" s="134">
        <f>[20]С2.5!$E$11</f>
        <v>-2.9000000000000026E-2</v>
      </c>
    </row>
    <row r="144" spans="1:3" x14ac:dyDescent="0.2">
      <c r="A144" s="97"/>
      <c r="B144" s="104">
        <f>B143+1</f>
        <v>2021</v>
      </c>
      <c r="C144" s="135">
        <f>[20]С2.5!$F$11</f>
        <v>0.245</v>
      </c>
    </row>
    <row r="145" spans="1:3" x14ac:dyDescent="0.2">
      <c r="A145" s="97"/>
      <c r="B145" s="104">
        <f t="shared" ref="B145:B208" si="0">B144+1</f>
        <v>2022</v>
      </c>
      <c r="C145" s="135">
        <f>[20]С2.5!$G$11</f>
        <v>0.114</v>
      </c>
    </row>
    <row r="146" spans="1:3" ht="13.5" thickBot="1" x14ac:dyDescent="0.25">
      <c r="A146" s="97"/>
      <c r="B146" s="106">
        <f t="shared" si="0"/>
        <v>2023</v>
      </c>
      <c r="C146" s="136">
        <f>[20]С2.5!$H$11</f>
        <v>2.4E-2</v>
      </c>
    </row>
    <row r="147" spans="1:3" x14ac:dyDescent="0.2">
      <c r="A147" s="97"/>
      <c r="B147" s="137">
        <f t="shared" si="0"/>
        <v>2024</v>
      </c>
      <c r="C147" s="138">
        <f>[20]С2.5!$I$11</f>
        <v>8.5999999999999993E-2</v>
      </c>
    </row>
    <row r="148" spans="1:3" hidden="1" x14ac:dyDescent="0.2">
      <c r="A148" s="97"/>
      <c r="B148" s="104">
        <f t="shared" si="0"/>
        <v>2025</v>
      </c>
      <c r="C148" s="135">
        <f>[20]С2.5!$J$11</f>
        <v>0.21215960863291</v>
      </c>
    </row>
    <row r="149" spans="1:3" hidden="1" x14ac:dyDescent="0.2">
      <c r="A149" s="97"/>
      <c r="B149" s="104">
        <f t="shared" si="0"/>
        <v>2026</v>
      </c>
      <c r="C149" s="135">
        <f>[20]С2.5!$K$11</f>
        <v>3.5813361771260002E-2</v>
      </c>
    </row>
    <row r="150" spans="1:3" hidden="1" x14ac:dyDescent="0.2">
      <c r="A150" s="97"/>
      <c r="B150" s="104">
        <f t="shared" si="0"/>
        <v>2027</v>
      </c>
      <c r="C150" s="135">
        <f>[20]С2.5!$L$11</f>
        <v>3.2682303599220003E-2</v>
      </c>
    </row>
    <row r="151" spans="1:3" hidden="1" x14ac:dyDescent="0.2">
      <c r="A151" s="97"/>
      <c r="B151" s="104">
        <f t="shared" si="0"/>
        <v>2028</v>
      </c>
      <c r="C151" s="135">
        <f>[20]С2.5!$M$11</f>
        <v>0</v>
      </c>
    </row>
    <row r="152" spans="1:3" hidden="1" x14ac:dyDescent="0.2">
      <c r="A152" s="97"/>
      <c r="B152" s="104">
        <f t="shared" si="0"/>
        <v>2029</v>
      </c>
      <c r="C152" s="135">
        <f>[20]С2.5!$N$11</f>
        <v>0</v>
      </c>
    </row>
    <row r="153" spans="1:3" hidden="1" x14ac:dyDescent="0.2">
      <c r="A153" s="97"/>
      <c r="B153" s="104">
        <f t="shared" si="0"/>
        <v>2030</v>
      </c>
      <c r="C153" s="135">
        <f>[20]С2.5!$O$11</f>
        <v>0</v>
      </c>
    </row>
    <row r="154" spans="1:3" hidden="1" x14ac:dyDescent="0.2">
      <c r="A154" s="97"/>
      <c r="B154" s="104">
        <f t="shared" si="0"/>
        <v>2031</v>
      </c>
      <c r="C154" s="135">
        <f>[20]С2.5!$P$11</f>
        <v>0</v>
      </c>
    </row>
    <row r="155" spans="1:3" hidden="1" x14ac:dyDescent="0.2">
      <c r="A155" s="87"/>
      <c r="B155" s="104">
        <f t="shared" si="0"/>
        <v>2032</v>
      </c>
      <c r="C155" s="135">
        <f>[20]С2.5!$Q$11</f>
        <v>0</v>
      </c>
    </row>
    <row r="156" spans="1:3" hidden="1" x14ac:dyDescent="0.2">
      <c r="A156" s="87"/>
      <c r="B156" s="104">
        <f t="shared" si="0"/>
        <v>2033</v>
      </c>
      <c r="C156" s="135">
        <f>[20]С2.5!$R$11</f>
        <v>0</v>
      </c>
    </row>
    <row r="157" spans="1:3" hidden="1" x14ac:dyDescent="0.2">
      <c r="B157" s="104">
        <f t="shared" si="0"/>
        <v>2034</v>
      </c>
      <c r="C157" s="135">
        <f>[20]С2.5!$S$11</f>
        <v>0</v>
      </c>
    </row>
    <row r="158" spans="1:3" hidden="1" x14ac:dyDescent="0.2">
      <c r="B158" s="104">
        <f t="shared" si="0"/>
        <v>2035</v>
      </c>
      <c r="C158" s="135">
        <f>[20]С2.5!$T$11</f>
        <v>0</v>
      </c>
    </row>
    <row r="159" spans="1:3" hidden="1" x14ac:dyDescent="0.2">
      <c r="B159" s="104">
        <f t="shared" si="0"/>
        <v>2036</v>
      </c>
      <c r="C159" s="135">
        <f>[20]С2.5!$U$11</f>
        <v>0</v>
      </c>
    </row>
    <row r="160" spans="1:3" hidden="1" x14ac:dyDescent="0.2">
      <c r="B160" s="104">
        <f t="shared" si="0"/>
        <v>2037</v>
      </c>
      <c r="C160" s="135">
        <f>[20]С2.5!$V$11</f>
        <v>0</v>
      </c>
    </row>
    <row r="161" spans="2:3" hidden="1" x14ac:dyDescent="0.2">
      <c r="B161" s="104">
        <f t="shared" si="0"/>
        <v>2038</v>
      </c>
      <c r="C161" s="135">
        <f>[20]С2.5!$W$11</f>
        <v>0</v>
      </c>
    </row>
    <row r="162" spans="2:3" hidden="1" x14ac:dyDescent="0.2">
      <c r="B162" s="104">
        <f t="shared" si="0"/>
        <v>2039</v>
      </c>
      <c r="C162" s="135">
        <f>[20]С2.5!$X$11</f>
        <v>0</v>
      </c>
    </row>
    <row r="163" spans="2:3" hidden="1" x14ac:dyDescent="0.2">
      <c r="B163" s="104">
        <f t="shared" si="0"/>
        <v>2040</v>
      </c>
      <c r="C163" s="135">
        <f>[20]С2.5!$Y$11</f>
        <v>0</v>
      </c>
    </row>
    <row r="164" spans="2:3" hidden="1" x14ac:dyDescent="0.2">
      <c r="B164" s="104">
        <f t="shared" si="0"/>
        <v>2041</v>
      </c>
      <c r="C164" s="135">
        <f>[20]С2.5!$Z$11</f>
        <v>0</v>
      </c>
    </row>
    <row r="165" spans="2:3" hidden="1" x14ac:dyDescent="0.2">
      <c r="B165" s="104">
        <f t="shared" si="0"/>
        <v>2042</v>
      </c>
      <c r="C165" s="135">
        <f>[20]С2.5!$AA$11</f>
        <v>0</v>
      </c>
    </row>
    <row r="166" spans="2:3" hidden="1" x14ac:dyDescent="0.2">
      <c r="B166" s="104">
        <f t="shared" si="0"/>
        <v>2043</v>
      </c>
      <c r="C166" s="135">
        <f>[20]С2.5!$AB$11</f>
        <v>0</v>
      </c>
    </row>
    <row r="167" spans="2:3" hidden="1" x14ac:dyDescent="0.2">
      <c r="B167" s="104">
        <f t="shared" si="0"/>
        <v>2044</v>
      </c>
      <c r="C167" s="135">
        <f>[20]С2.5!$AC$11</f>
        <v>0</v>
      </c>
    </row>
    <row r="168" spans="2:3" hidden="1" x14ac:dyDescent="0.2">
      <c r="B168" s="104">
        <f t="shared" si="0"/>
        <v>2045</v>
      </c>
      <c r="C168" s="135">
        <f>[20]С2.5!$AD$11</f>
        <v>0</v>
      </c>
    </row>
    <row r="169" spans="2:3" hidden="1" x14ac:dyDescent="0.2">
      <c r="B169" s="104">
        <f t="shared" si="0"/>
        <v>2046</v>
      </c>
      <c r="C169" s="135">
        <f>[20]С2.5!$AE$11</f>
        <v>0</v>
      </c>
    </row>
    <row r="170" spans="2:3" hidden="1" x14ac:dyDescent="0.2">
      <c r="B170" s="104">
        <f t="shared" si="0"/>
        <v>2047</v>
      </c>
      <c r="C170" s="135">
        <f>[20]С2.5!$AF$11</f>
        <v>0</v>
      </c>
    </row>
    <row r="171" spans="2:3" hidden="1" x14ac:dyDescent="0.2">
      <c r="B171" s="104">
        <f t="shared" si="0"/>
        <v>2048</v>
      </c>
      <c r="C171" s="135">
        <f>[20]С2.5!$AG$11</f>
        <v>0</v>
      </c>
    </row>
    <row r="172" spans="2:3" hidden="1" x14ac:dyDescent="0.2">
      <c r="B172" s="104">
        <f t="shared" si="0"/>
        <v>2049</v>
      </c>
      <c r="C172" s="135">
        <f>[20]С2.5!$AH$11</f>
        <v>0</v>
      </c>
    </row>
    <row r="173" spans="2:3" hidden="1" x14ac:dyDescent="0.2">
      <c r="B173" s="104">
        <f t="shared" si="0"/>
        <v>2050</v>
      </c>
      <c r="C173" s="135">
        <f>[20]С2.5!$AI$11</f>
        <v>0</v>
      </c>
    </row>
    <row r="174" spans="2:3" hidden="1" x14ac:dyDescent="0.2">
      <c r="B174" s="104">
        <f t="shared" si="0"/>
        <v>2051</v>
      </c>
      <c r="C174" s="135">
        <f>[20]С2.5!$AJ$11</f>
        <v>0</v>
      </c>
    </row>
    <row r="175" spans="2:3" hidden="1" x14ac:dyDescent="0.2">
      <c r="B175" s="104">
        <f t="shared" si="0"/>
        <v>2052</v>
      </c>
      <c r="C175" s="135">
        <f>[20]С2.5!$AK$11</f>
        <v>0</v>
      </c>
    </row>
    <row r="176" spans="2:3" hidden="1" x14ac:dyDescent="0.2">
      <c r="B176" s="104">
        <f t="shared" si="0"/>
        <v>2053</v>
      </c>
      <c r="C176" s="135">
        <f>[20]С2.5!$AL$11</f>
        <v>0</v>
      </c>
    </row>
    <row r="177" spans="2:3" hidden="1" x14ac:dyDescent="0.2">
      <c r="B177" s="104">
        <f t="shared" si="0"/>
        <v>2054</v>
      </c>
      <c r="C177" s="135">
        <f>[20]С2.5!$AM$11</f>
        <v>0</v>
      </c>
    </row>
    <row r="178" spans="2:3" hidden="1" x14ac:dyDescent="0.2">
      <c r="B178" s="104">
        <f t="shared" si="0"/>
        <v>2055</v>
      </c>
      <c r="C178" s="135">
        <f>[20]С2.5!$AN$11</f>
        <v>0</v>
      </c>
    </row>
    <row r="179" spans="2:3" hidden="1" x14ac:dyDescent="0.2">
      <c r="B179" s="104">
        <f t="shared" si="0"/>
        <v>2056</v>
      </c>
      <c r="C179" s="135">
        <f>[20]С2.5!$AO$11</f>
        <v>0</v>
      </c>
    </row>
    <row r="180" spans="2:3" hidden="1" x14ac:dyDescent="0.2">
      <c r="B180" s="104">
        <f t="shared" si="0"/>
        <v>2057</v>
      </c>
      <c r="C180" s="135">
        <f>[20]С2.5!$AP$11</f>
        <v>0</v>
      </c>
    </row>
    <row r="181" spans="2:3" hidden="1" x14ac:dyDescent="0.2">
      <c r="B181" s="104">
        <f t="shared" si="0"/>
        <v>2058</v>
      </c>
      <c r="C181" s="135">
        <f>[20]С2.5!$AQ$11</f>
        <v>0</v>
      </c>
    </row>
    <row r="182" spans="2:3" hidden="1" x14ac:dyDescent="0.2">
      <c r="B182" s="104">
        <f t="shared" si="0"/>
        <v>2059</v>
      </c>
      <c r="C182" s="135">
        <f>[20]С2.5!$AR$11</f>
        <v>0</v>
      </c>
    </row>
    <row r="183" spans="2:3" hidden="1" x14ac:dyDescent="0.2">
      <c r="B183" s="104">
        <f t="shared" si="0"/>
        <v>2060</v>
      </c>
      <c r="C183" s="135">
        <f>[20]С2.5!$AS$11</f>
        <v>0</v>
      </c>
    </row>
    <row r="184" spans="2:3" hidden="1" x14ac:dyDescent="0.2">
      <c r="B184" s="104">
        <f t="shared" si="0"/>
        <v>2061</v>
      </c>
      <c r="C184" s="135">
        <f>[20]С2.5!$AT$11</f>
        <v>0</v>
      </c>
    </row>
    <row r="185" spans="2:3" hidden="1" x14ac:dyDescent="0.2">
      <c r="B185" s="104">
        <f t="shared" si="0"/>
        <v>2062</v>
      </c>
      <c r="C185" s="135">
        <f>[20]С2.5!$AU$11</f>
        <v>0</v>
      </c>
    </row>
    <row r="186" spans="2:3" hidden="1" x14ac:dyDescent="0.2">
      <c r="B186" s="104">
        <f t="shared" si="0"/>
        <v>2063</v>
      </c>
      <c r="C186" s="135">
        <f>[20]С2.5!$AV$11</f>
        <v>0</v>
      </c>
    </row>
    <row r="187" spans="2:3" hidden="1" x14ac:dyDescent="0.2">
      <c r="B187" s="104">
        <f t="shared" si="0"/>
        <v>2064</v>
      </c>
      <c r="C187" s="135">
        <f>[20]С2.5!$AW$11</f>
        <v>0</v>
      </c>
    </row>
    <row r="188" spans="2:3" hidden="1" x14ac:dyDescent="0.2">
      <c r="B188" s="104">
        <f t="shared" si="0"/>
        <v>2065</v>
      </c>
      <c r="C188" s="135">
        <f>[20]С2.5!$AX$11</f>
        <v>0</v>
      </c>
    </row>
    <row r="189" spans="2:3" hidden="1" x14ac:dyDescent="0.2">
      <c r="B189" s="104">
        <f t="shared" si="0"/>
        <v>2066</v>
      </c>
      <c r="C189" s="135">
        <f>[20]С2.5!$AY$11</f>
        <v>0</v>
      </c>
    </row>
    <row r="190" spans="2:3" hidden="1" x14ac:dyDescent="0.2">
      <c r="B190" s="104">
        <f t="shared" si="0"/>
        <v>2067</v>
      </c>
      <c r="C190" s="135">
        <f>[20]С2.5!$AZ$11</f>
        <v>0</v>
      </c>
    </row>
    <row r="191" spans="2:3" hidden="1" x14ac:dyDescent="0.2">
      <c r="B191" s="104">
        <f t="shared" si="0"/>
        <v>2068</v>
      </c>
      <c r="C191" s="135">
        <f>[20]С2.5!$BA$11</f>
        <v>0</v>
      </c>
    </row>
    <row r="192" spans="2:3" hidden="1" x14ac:dyDescent="0.2">
      <c r="B192" s="104">
        <f t="shared" si="0"/>
        <v>2069</v>
      </c>
      <c r="C192" s="135">
        <f>[20]С2.5!$BB$11</f>
        <v>0</v>
      </c>
    </row>
    <row r="193" spans="2:3" hidden="1" x14ac:dyDescent="0.2">
      <c r="B193" s="104">
        <f t="shared" si="0"/>
        <v>2070</v>
      </c>
      <c r="C193" s="135">
        <f>[20]С2.5!$BC$11</f>
        <v>0</v>
      </c>
    </row>
    <row r="194" spans="2:3" hidden="1" x14ac:dyDescent="0.2">
      <c r="B194" s="104">
        <f t="shared" si="0"/>
        <v>2071</v>
      </c>
      <c r="C194" s="135">
        <f>[20]С2.5!$BD$11</f>
        <v>0</v>
      </c>
    </row>
    <row r="195" spans="2:3" hidden="1" x14ac:dyDescent="0.2">
      <c r="B195" s="104">
        <f t="shared" si="0"/>
        <v>2072</v>
      </c>
      <c r="C195" s="135">
        <f>[20]С2.5!$BE$11</f>
        <v>0</v>
      </c>
    </row>
    <row r="196" spans="2:3" hidden="1" x14ac:dyDescent="0.2">
      <c r="B196" s="104">
        <f t="shared" si="0"/>
        <v>2073</v>
      </c>
      <c r="C196" s="135">
        <f>[20]С2.5!$BF$11</f>
        <v>0</v>
      </c>
    </row>
    <row r="197" spans="2:3" hidden="1" x14ac:dyDescent="0.2">
      <c r="B197" s="104">
        <f t="shared" si="0"/>
        <v>2074</v>
      </c>
      <c r="C197" s="135">
        <f>[20]С2.5!$BG$11</f>
        <v>0</v>
      </c>
    </row>
    <row r="198" spans="2:3" hidden="1" x14ac:dyDescent="0.2">
      <c r="B198" s="104">
        <f t="shared" si="0"/>
        <v>2075</v>
      </c>
      <c r="C198" s="135">
        <f>[20]С2.5!$BH$11</f>
        <v>0</v>
      </c>
    </row>
    <row r="199" spans="2:3" hidden="1" x14ac:dyDescent="0.2">
      <c r="B199" s="104">
        <f t="shared" si="0"/>
        <v>2076</v>
      </c>
      <c r="C199" s="135">
        <f>[20]С2.5!$BI$11</f>
        <v>0</v>
      </c>
    </row>
    <row r="200" spans="2:3" hidden="1" x14ac:dyDescent="0.2">
      <c r="B200" s="104">
        <f t="shared" si="0"/>
        <v>2077</v>
      </c>
      <c r="C200" s="135">
        <f>[20]С2.5!$BJ$11</f>
        <v>0</v>
      </c>
    </row>
    <row r="201" spans="2:3" hidden="1" x14ac:dyDescent="0.2">
      <c r="B201" s="104">
        <f t="shared" si="0"/>
        <v>2078</v>
      </c>
      <c r="C201" s="135">
        <f>[20]С2.5!$BK$11</f>
        <v>0</v>
      </c>
    </row>
    <row r="202" spans="2:3" hidden="1" x14ac:dyDescent="0.2">
      <c r="B202" s="104">
        <f t="shared" si="0"/>
        <v>2079</v>
      </c>
      <c r="C202" s="135">
        <f>[20]С2.5!$BL$11</f>
        <v>0</v>
      </c>
    </row>
    <row r="203" spans="2:3" hidden="1" x14ac:dyDescent="0.2">
      <c r="B203" s="104">
        <f t="shared" si="0"/>
        <v>2080</v>
      </c>
      <c r="C203" s="135">
        <f>[20]С2.5!$BM$11</f>
        <v>0</v>
      </c>
    </row>
    <row r="204" spans="2:3" hidden="1" x14ac:dyDescent="0.2">
      <c r="B204" s="104">
        <f t="shared" si="0"/>
        <v>2081</v>
      </c>
      <c r="C204" s="135">
        <f>[20]С2.5!$BN$11</f>
        <v>0</v>
      </c>
    </row>
    <row r="205" spans="2:3" hidden="1" x14ac:dyDescent="0.2">
      <c r="B205" s="104">
        <f t="shared" si="0"/>
        <v>2082</v>
      </c>
      <c r="C205" s="135">
        <f>[20]С2.5!$BO$11</f>
        <v>0</v>
      </c>
    </row>
    <row r="206" spans="2:3" hidden="1" x14ac:dyDescent="0.2">
      <c r="B206" s="104">
        <f t="shared" si="0"/>
        <v>2083</v>
      </c>
      <c r="C206" s="135">
        <f>[20]С2.5!$BP$11</f>
        <v>0</v>
      </c>
    </row>
    <row r="207" spans="2:3" hidden="1" x14ac:dyDescent="0.2">
      <c r="B207" s="104">
        <f t="shared" si="0"/>
        <v>2084</v>
      </c>
      <c r="C207" s="135">
        <f>[20]С2.5!$BQ$11</f>
        <v>0</v>
      </c>
    </row>
    <row r="208" spans="2:3" hidden="1" x14ac:dyDescent="0.2">
      <c r="B208" s="104">
        <f t="shared" si="0"/>
        <v>2085</v>
      </c>
      <c r="C208" s="135">
        <f>[20]С2.5!$BR$11</f>
        <v>0</v>
      </c>
    </row>
    <row r="209" spans="2:3" hidden="1" x14ac:dyDescent="0.2">
      <c r="B209" s="104">
        <f t="shared" ref="B209:B223" si="1">B208+1</f>
        <v>2086</v>
      </c>
      <c r="C209" s="135">
        <f>[20]С2.5!$BS$11</f>
        <v>0</v>
      </c>
    </row>
    <row r="210" spans="2:3" hidden="1" x14ac:dyDescent="0.2">
      <c r="B210" s="104">
        <f t="shared" si="1"/>
        <v>2087</v>
      </c>
      <c r="C210" s="135">
        <f>[20]С2.5!$BT$11</f>
        <v>0</v>
      </c>
    </row>
    <row r="211" spans="2:3" hidden="1" x14ac:dyDescent="0.2">
      <c r="B211" s="104">
        <f t="shared" si="1"/>
        <v>2088</v>
      </c>
      <c r="C211" s="135">
        <f>[20]С2.5!$BU$11</f>
        <v>0</v>
      </c>
    </row>
    <row r="212" spans="2:3" hidden="1" x14ac:dyDescent="0.2">
      <c r="B212" s="104">
        <f t="shared" si="1"/>
        <v>2089</v>
      </c>
      <c r="C212" s="135">
        <f>[20]С2.5!$BV$11</f>
        <v>0</v>
      </c>
    </row>
    <row r="213" spans="2:3" hidden="1" x14ac:dyDescent="0.2">
      <c r="B213" s="104">
        <f t="shared" si="1"/>
        <v>2090</v>
      </c>
      <c r="C213" s="135">
        <f>[20]С2.5!$BW$11</f>
        <v>0</v>
      </c>
    </row>
    <row r="214" spans="2:3" hidden="1" x14ac:dyDescent="0.2">
      <c r="B214" s="104">
        <f t="shared" si="1"/>
        <v>2091</v>
      </c>
      <c r="C214" s="135">
        <f>[20]С2.5!$BX$11</f>
        <v>0</v>
      </c>
    </row>
    <row r="215" spans="2:3" hidden="1" x14ac:dyDescent="0.2">
      <c r="B215" s="104">
        <f t="shared" si="1"/>
        <v>2092</v>
      </c>
      <c r="C215" s="135">
        <f>[20]С2.5!$BY$11</f>
        <v>0</v>
      </c>
    </row>
    <row r="216" spans="2:3" hidden="1" x14ac:dyDescent="0.2">
      <c r="B216" s="104">
        <f t="shared" si="1"/>
        <v>2093</v>
      </c>
      <c r="C216" s="135">
        <f>[20]С2.5!$BZ$11</f>
        <v>0</v>
      </c>
    </row>
    <row r="217" spans="2:3" hidden="1" x14ac:dyDescent="0.2">
      <c r="B217" s="104">
        <f t="shared" si="1"/>
        <v>2094</v>
      </c>
      <c r="C217" s="135">
        <f>[20]С2.5!$CA$11</f>
        <v>0</v>
      </c>
    </row>
    <row r="218" spans="2:3" hidden="1" x14ac:dyDescent="0.2">
      <c r="B218" s="104">
        <f t="shared" si="1"/>
        <v>2095</v>
      </c>
      <c r="C218" s="135">
        <f>[20]С2.5!$CB$11</f>
        <v>0</v>
      </c>
    </row>
    <row r="219" spans="2:3" hidden="1" x14ac:dyDescent="0.2">
      <c r="B219" s="104">
        <f t="shared" si="1"/>
        <v>2096</v>
      </c>
      <c r="C219" s="135">
        <f>[20]С2.5!$CC$11</f>
        <v>0</v>
      </c>
    </row>
    <row r="220" spans="2:3" hidden="1" x14ac:dyDescent="0.2">
      <c r="B220" s="104">
        <f t="shared" si="1"/>
        <v>2097</v>
      </c>
      <c r="C220" s="135">
        <f>[20]С2.5!$CD$11</f>
        <v>0</v>
      </c>
    </row>
    <row r="221" spans="2:3" hidden="1" x14ac:dyDescent="0.2">
      <c r="B221" s="104">
        <f t="shared" si="1"/>
        <v>2098</v>
      </c>
      <c r="C221" s="135">
        <f>[20]С2.5!$CE$11</f>
        <v>0</v>
      </c>
    </row>
    <row r="222" spans="2:3" hidden="1" x14ac:dyDescent="0.2">
      <c r="B222" s="104">
        <f t="shared" si="1"/>
        <v>2099</v>
      </c>
      <c r="C222" s="135">
        <f>[20]С2.5!$CF$11</f>
        <v>0</v>
      </c>
    </row>
    <row r="223" spans="2:3" ht="13.5" hidden="1" thickBot="1" x14ac:dyDescent="0.25">
      <c r="B223" s="106">
        <f t="shared" si="1"/>
        <v>2100</v>
      </c>
      <c r="C223" s="136">
        <f>[20]С2.5!$CG$11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6" customWidth="1"/>
    <col min="4" max="246" width="9.140625" style="2"/>
    <col min="247" max="247" width="3.5703125" style="2" customWidth="1"/>
    <col min="248" max="248" width="96.85546875" style="2" customWidth="1"/>
    <col min="249" max="249" width="30.85546875" style="2" customWidth="1"/>
    <col min="250" max="250" width="12.5703125" style="2" customWidth="1"/>
    <col min="251" max="251" width="5.140625" style="2" customWidth="1"/>
    <col min="252" max="252" width="9.140625" style="2"/>
    <col min="253" max="253" width="4.85546875" style="2" customWidth="1"/>
    <col min="254" max="254" width="30.5703125" style="2" customWidth="1"/>
    <col min="255" max="255" width="33.85546875" style="2" customWidth="1"/>
    <col min="256" max="256" width="5.140625" style="2" customWidth="1"/>
    <col min="257" max="258" width="17.5703125" style="2" customWidth="1"/>
    <col min="259" max="502" width="9.140625" style="2"/>
    <col min="503" max="503" width="3.5703125" style="2" customWidth="1"/>
    <col min="504" max="504" width="96.85546875" style="2" customWidth="1"/>
    <col min="505" max="505" width="30.85546875" style="2" customWidth="1"/>
    <col min="506" max="506" width="12.5703125" style="2" customWidth="1"/>
    <col min="507" max="507" width="5.140625" style="2" customWidth="1"/>
    <col min="508" max="508" width="9.140625" style="2"/>
    <col min="509" max="509" width="4.85546875" style="2" customWidth="1"/>
    <col min="510" max="510" width="30.5703125" style="2" customWidth="1"/>
    <col min="511" max="511" width="33.85546875" style="2" customWidth="1"/>
    <col min="512" max="512" width="5.140625" style="2" customWidth="1"/>
    <col min="513" max="514" width="17.5703125" style="2" customWidth="1"/>
    <col min="515" max="758" width="9.140625" style="2"/>
    <col min="759" max="759" width="3.5703125" style="2" customWidth="1"/>
    <col min="760" max="760" width="96.85546875" style="2" customWidth="1"/>
    <col min="761" max="761" width="30.85546875" style="2" customWidth="1"/>
    <col min="762" max="762" width="12.5703125" style="2" customWidth="1"/>
    <col min="763" max="763" width="5.140625" style="2" customWidth="1"/>
    <col min="764" max="764" width="9.140625" style="2"/>
    <col min="765" max="765" width="4.85546875" style="2" customWidth="1"/>
    <col min="766" max="766" width="30.5703125" style="2" customWidth="1"/>
    <col min="767" max="767" width="33.85546875" style="2" customWidth="1"/>
    <col min="768" max="768" width="5.140625" style="2" customWidth="1"/>
    <col min="769" max="770" width="17.5703125" style="2" customWidth="1"/>
    <col min="771" max="1014" width="9.140625" style="2"/>
    <col min="1015" max="1015" width="3.5703125" style="2" customWidth="1"/>
    <col min="1016" max="1016" width="96.85546875" style="2" customWidth="1"/>
    <col min="1017" max="1017" width="30.85546875" style="2" customWidth="1"/>
    <col min="1018" max="1018" width="12.5703125" style="2" customWidth="1"/>
    <col min="1019" max="1019" width="5.140625" style="2" customWidth="1"/>
    <col min="1020" max="1020" width="9.140625" style="2"/>
    <col min="1021" max="1021" width="4.85546875" style="2" customWidth="1"/>
    <col min="1022" max="1022" width="30.5703125" style="2" customWidth="1"/>
    <col min="1023" max="1023" width="33.85546875" style="2" customWidth="1"/>
    <col min="1024" max="1024" width="5.140625" style="2" customWidth="1"/>
    <col min="1025" max="1026" width="17.5703125" style="2" customWidth="1"/>
    <col min="1027" max="1270" width="9.140625" style="2"/>
    <col min="1271" max="1271" width="3.5703125" style="2" customWidth="1"/>
    <col min="1272" max="1272" width="96.85546875" style="2" customWidth="1"/>
    <col min="1273" max="1273" width="30.85546875" style="2" customWidth="1"/>
    <col min="1274" max="1274" width="12.5703125" style="2" customWidth="1"/>
    <col min="1275" max="1275" width="5.140625" style="2" customWidth="1"/>
    <col min="1276" max="1276" width="9.140625" style="2"/>
    <col min="1277" max="1277" width="4.85546875" style="2" customWidth="1"/>
    <col min="1278" max="1278" width="30.5703125" style="2" customWidth="1"/>
    <col min="1279" max="1279" width="33.85546875" style="2" customWidth="1"/>
    <col min="1280" max="1280" width="5.140625" style="2" customWidth="1"/>
    <col min="1281" max="1282" width="17.5703125" style="2" customWidth="1"/>
    <col min="1283" max="1526" width="9.140625" style="2"/>
    <col min="1527" max="1527" width="3.5703125" style="2" customWidth="1"/>
    <col min="1528" max="1528" width="96.85546875" style="2" customWidth="1"/>
    <col min="1529" max="1529" width="30.85546875" style="2" customWidth="1"/>
    <col min="1530" max="1530" width="12.5703125" style="2" customWidth="1"/>
    <col min="1531" max="1531" width="5.140625" style="2" customWidth="1"/>
    <col min="1532" max="1532" width="9.140625" style="2"/>
    <col min="1533" max="1533" width="4.85546875" style="2" customWidth="1"/>
    <col min="1534" max="1534" width="30.5703125" style="2" customWidth="1"/>
    <col min="1535" max="1535" width="33.85546875" style="2" customWidth="1"/>
    <col min="1536" max="1536" width="5.140625" style="2" customWidth="1"/>
    <col min="1537" max="1538" width="17.5703125" style="2" customWidth="1"/>
    <col min="1539" max="1782" width="9.140625" style="2"/>
    <col min="1783" max="1783" width="3.5703125" style="2" customWidth="1"/>
    <col min="1784" max="1784" width="96.85546875" style="2" customWidth="1"/>
    <col min="1785" max="1785" width="30.85546875" style="2" customWidth="1"/>
    <col min="1786" max="1786" width="12.5703125" style="2" customWidth="1"/>
    <col min="1787" max="1787" width="5.140625" style="2" customWidth="1"/>
    <col min="1788" max="1788" width="9.140625" style="2"/>
    <col min="1789" max="1789" width="4.85546875" style="2" customWidth="1"/>
    <col min="1790" max="1790" width="30.5703125" style="2" customWidth="1"/>
    <col min="1791" max="1791" width="33.85546875" style="2" customWidth="1"/>
    <col min="1792" max="1792" width="5.140625" style="2" customWidth="1"/>
    <col min="1793" max="1794" width="17.5703125" style="2" customWidth="1"/>
    <col min="1795" max="2038" width="9.140625" style="2"/>
    <col min="2039" max="2039" width="3.5703125" style="2" customWidth="1"/>
    <col min="2040" max="2040" width="96.85546875" style="2" customWidth="1"/>
    <col min="2041" max="2041" width="30.85546875" style="2" customWidth="1"/>
    <col min="2042" max="2042" width="12.5703125" style="2" customWidth="1"/>
    <col min="2043" max="2043" width="5.140625" style="2" customWidth="1"/>
    <col min="2044" max="2044" width="9.140625" style="2"/>
    <col min="2045" max="2045" width="4.85546875" style="2" customWidth="1"/>
    <col min="2046" max="2046" width="30.5703125" style="2" customWidth="1"/>
    <col min="2047" max="2047" width="33.85546875" style="2" customWidth="1"/>
    <col min="2048" max="2048" width="5.140625" style="2" customWidth="1"/>
    <col min="2049" max="2050" width="17.5703125" style="2" customWidth="1"/>
    <col min="2051" max="2294" width="9.140625" style="2"/>
    <col min="2295" max="2295" width="3.5703125" style="2" customWidth="1"/>
    <col min="2296" max="2296" width="96.85546875" style="2" customWidth="1"/>
    <col min="2297" max="2297" width="30.85546875" style="2" customWidth="1"/>
    <col min="2298" max="2298" width="12.5703125" style="2" customWidth="1"/>
    <col min="2299" max="2299" width="5.140625" style="2" customWidth="1"/>
    <col min="2300" max="2300" width="9.140625" style="2"/>
    <col min="2301" max="2301" width="4.85546875" style="2" customWidth="1"/>
    <col min="2302" max="2302" width="30.5703125" style="2" customWidth="1"/>
    <col min="2303" max="2303" width="33.85546875" style="2" customWidth="1"/>
    <col min="2304" max="2304" width="5.140625" style="2" customWidth="1"/>
    <col min="2305" max="2306" width="17.5703125" style="2" customWidth="1"/>
    <col min="2307" max="2550" width="9.140625" style="2"/>
    <col min="2551" max="2551" width="3.5703125" style="2" customWidth="1"/>
    <col min="2552" max="2552" width="96.85546875" style="2" customWidth="1"/>
    <col min="2553" max="2553" width="30.85546875" style="2" customWidth="1"/>
    <col min="2554" max="2554" width="12.5703125" style="2" customWidth="1"/>
    <col min="2555" max="2555" width="5.140625" style="2" customWidth="1"/>
    <col min="2556" max="2556" width="9.140625" style="2"/>
    <col min="2557" max="2557" width="4.85546875" style="2" customWidth="1"/>
    <col min="2558" max="2558" width="30.5703125" style="2" customWidth="1"/>
    <col min="2559" max="2559" width="33.85546875" style="2" customWidth="1"/>
    <col min="2560" max="2560" width="5.140625" style="2" customWidth="1"/>
    <col min="2561" max="2562" width="17.5703125" style="2" customWidth="1"/>
    <col min="2563" max="2806" width="9.140625" style="2"/>
    <col min="2807" max="2807" width="3.5703125" style="2" customWidth="1"/>
    <col min="2808" max="2808" width="96.85546875" style="2" customWidth="1"/>
    <col min="2809" max="2809" width="30.85546875" style="2" customWidth="1"/>
    <col min="2810" max="2810" width="12.5703125" style="2" customWidth="1"/>
    <col min="2811" max="2811" width="5.140625" style="2" customWidth="1"/>
    <col min="2812" max="2812" width="9.140625" style="2"/>
    <col min="2813" max="2813" width="4.85546875" style="2" customWidth="1"/>
    <col min="2814" max="2814" width="30.5703125" style="2" customWidth="1"/>
    <col min="2815" max="2815" width="33.85546875" style="2" customWidth="1"/>
    <col min="2816" max="2816" width="5.140625" style="2" customWidth="1"/>
    <col min="2817" max="2818" width="17.5703125" style="2" customWidth="1"/>
    <col min="2819" max="3062" width="9.140625" style="2"/>
    <col min="3063" max="3063" width="3.5703125" style="2" customWidth="1"/>
    <col min="3064" max="3064" width="96.85546875" style="2" customWidth="1"/>
    <col min="3065" max="3065" width="30.85546875" style="2" customWidth="1"/>
    <col min="3066" max="3066" width="12.5703125" style="2" customWidth="1"/>
    <col min="3067" max="3067" width="5.140625" style="2" customWidth="1"/>
    <col min="3068" max="3068" width="9.140625" style="2"/>
    <col min="3069" max="3069" width="4.85546875" style="2" customWidth="1"/>
    <col min="3070" max="3070" width="30.5703125" style="2" customWidth="1"/>
    <col min="3071" max="3071" width="33.85546875" style="2" customWidth="1"/>
    <col min="3072" max="3072" width="5.140625" style="2" customWidth="1"/>
    <col min="3073" max="3074" width="17.5703125" style="2" customWidth="1"/>
    <col min="3075" max="3318" width="9.140625" style="2"/>
    <col min="3319" max="3319" width="3.5703125" style="2" customWidth="1"/>
    <col min="3320" max="3320" width="96.85546875" style="2" customWidth="1"/>
    <col min="3321" max="3321" width="30.85546875" style="2" customWidth="1"/>
    <col min="3322" max="3322" width="12.5703125" style="2" customWidth="1"/>
    <col min="3323" max="3323" width="5.140625" style="2" customWidth="1"/>
    <col min="3324" max="3324" width="9.140625" style="2"/>
    <col min="3325" max="3325" width="4.85546875" style="2" customWidth="1"/>
    <col min="3326" max="3326" width="30.5703125" style="2" customWidth="1"/>
    <col min="3327" max="3327" width="33.85546875" style="2" customWidth="1"/>
    <col min="3328" max="3328" width="5.140625" style="2" customWidth="1"/>
    <col min="3329" max="3330" width="17.5703125" style="2" customWidth="1"/>
    <col min="3331" max="3574" width="9.140625" style="2"/>
    <col min="3575" max="3575" width="3.5703125" style="2" customWidth="1"/>
    <col min="3576" max="3576" width="96.85546875" style="2" customWidth="1"/>
    <col min="3577" max="3577" width="30.85546875" style="2" customWidth="1"/>
    <col min="3578" max="3578" width="12.5703125" style="2" customWidth="1"/>
    <col min="3579" max="3579" width="5.140625" style="2" customWidth="1"/>
    <col min="3580" max="3580" width="9.140625" style="2"/>
    <col min="3581" max="3581" width="4.85546875" style="2" customWidth="1"/>
    <col min="3582" max="3582" width="30.5703125" style="2" customWidth="1"/>
    <col min="3583" max="3583" width="33.85546875" style="2" customWidth="1"/>
    <col min="3584" max="3584" width="5.140625" style="2" customWidth="1"/>
    <col min="3585" max="3586" width="17.5703125" style="2" customWidth="1"/>
    <col min="3587" max="3830" width="9.140625" style="2"/>
    <col min="3831" max="3831" width="3.5703125" style="2" customWidth="1"/>
    <col min="3832" max="3832" width="96.85546875" style="2" customWidth="1"/>
    <col min="3833" max="3833" width="30.85546875" style="2" customWidth="1"/>
    <col min="3834" max="3834" width="12.5703125" style="2" customWidth="1"/>
    <col min="3835" max="3835" width="5.140625" style="2" customWidth="1"/>
    <col min="3836" max="3836" width="9.140625" style="2"/>
    <col min="3837" max="3837" width="4.85546875" style="2" customWidth="1"/>
    <col min="3838" max="3838" width="30.5703125" style="2" customWidth="1"/>
    <col min="3839" max="3839" width="33.85546875" style="2" customWidth="1"/>
    <col min="3840" max="3840" width="5.140625" style="2" customWidth="1"/>
    <col min="3841" max="3842" width="17.5703125" style="2" customWidth="1"/>
    <col min="3843" max="4086" width="9.140625" style="2"/>
    <col min="4087" max="4087" width="3.5703125" style="2" customWidth="1"/>
    <col min="4088" max="4088" width="96.85546875" style="2" customWidth="1"/>
    <col min="4089" max="4089" width="30.85546875" style="2" customWidth="1"/>
    <col min="4090" max="4090" width="12.5703125" style="2" customWidth="1"/>
    <col min="4091" max="4091" width="5.140625" style="2" customWidth="1"/>
    <col min="4092" max="4092" width="9.140625" style="2"/>
    <col min="4093" max="4093" width="4.85546875" style="2" customWidth="1"/>
    <col min="4094" max="4094" width="30.5703125" style="2" customWidth="1"/>
    <col min="4095" max="4095" width="33.85546875" style="2" customWidth="1"/>
    <col min="4096" max="4096" width="5.140625" style="2" customWidth="1"/>
    <col min="4097" max="4098" width="17.5703125" style="2" customWidth="1"/>
    <col min="4099" max="4342" width="9.140625" style="2"/>
    <col min="4343" max="4343" width="3.5703125" style="2" customWidth="1"/>
    <col min="4344" max="4344" width="96.85546875" style="2" customWidth="1"/>
    <col min="4345" max="4345" width="30.85546875" style="2" customWidth="1"/>
    <col min="4346" max="4346" width="12.5703125" style="2" customWidth="1"/>
    <col min="4347" max="4347" width="5.140625" style="2" customWidth="1"/>
    <col min="4348" max="4348" width="9.140625" style="2"/>
    <col min="4349" max="4349" width="4.85546875" style="2" customWidth="1"/>
    <col min="4350" max="4350" width="30.5703125" style="2" customWidth="1"/>
    <col min="4351" max="4351" width="33.85546875" style="2" customWidth="1"/>
    <col min="4352" max="4352" width="5.140625" style="2" customWidth="1"/>
    <col min="4353" max="4354" width="17.5703125" style="2" customWidth="1"/>
    <col min="4355" max="4598" width="9.140625" style="2"/>
    <col min="4599" max="4599" width="3.5703125" style="2" customWidth="1"/>
    <col min="4600" max="4600" width="96.85546875" style="2" customWidth="1"/>
    <col min="4601" max="4601" width="30.85546875" style="2" customWidth="1"/>
    <col min="4602" max="4602" width="12.5703125" style="2" customWidth="1"/>
    <col min="4603" max="4603" width="5.140625" style="2" customWidth="1"/>
    <col min="4604" max="4604" width="9.140625" style="2"/>
    <col min="4605" max="4605" width="4.85546875" style="2" customWidth="1"/>
    <col min="4606" max="4606" width="30.5703125" style="2" customWidth="1"/>
    <col min="4607" max="4607" width="33.85546875" style="2" customWidth="1"/>
    <col min="4608" max="4608" width="5.140625" style="2" customWidth="1"/>
    <col min="4609" max="4610" width="17.5703125" style="2" customWidth="1"/>
    <col min="4611" max="4854" width="9.140625" style="2"/>
    <col min="4855" max="4855" width="3.5703125" style="2" customWidth="1"/>
    <col min="4856" max="4856" width="96.85546875" style="2" customWidth="1"/>
    <col min="4857" max="4857" width="30.85546875" style="2" customWidth="1"/>
    <col min="4858" max="4858" width="12.5703125" style="2" customWidth="1"/>
    <col min="4859" max="4859" width="5.140625" style="2" customWidth="1"/>
    <col min="4860" max="4860" width="9.140625" style="2"/>
    <col min="4861" max="4861" width="4.85546875" style="2" customWidth="1"/>
    <col min="4862" max="4862" width="30.5703125" style="2" customWidth="1"/>
    <col min="4863" max="4863" width="33.85546875" style="2" customWidth="1"/>
    <col min="4864" max="4864" width="5.140625" style="2" customWidth="1"/>
    <col min="4865" max="4866" width="17.5703125" style="2" customWidth="1"/>
    <col min="4867" max="5110" width="9.140625" style="2"/>
    <col min="5111" max="5111" width="3.5703125" style="2" customWidth="1"/>
    <col min="5112" max="5112" width="96.85546875" style="2" customWidth="1"/>
    <col min="5113" max="5113" width="30.85546875" style="2" customWidth="1"/>
    <col min="5114" max="5114" width="12.5703125" style="2" customWidth="1"/>
    <col min="5115" max="5115" width="5.140625" style="2" customWidth="1"/>
    <col min="5116" max="5116" width="9.140625" style="2"/>
    <col min="5117" max="5117" width="4.85546875" style="2" customWidth="1"/>
    <col min="5118" max="5118" width="30.5703125" style="2" customWidth="1"/>
    <col min="5119" max="5119" width="33.85546875" style="2" customWidth="1"/>
    <col min="5120" max="5120" width="5.140625" style="2" customWidth="1"/>
    <col min="5121" max="5122" width="17.5703125" style="2" customWidth="1"/>
    <col min="5123" max="5366" width="9.140625" style="2"/>
    <col min="5367" max="5367" width="3.5703125" style="2" customWidth="1"/>
    <col min="5368" max="5368" width="96.85546875" style="2" customWidth="1"/>
    <col min="5369" max="5369" width="30.85546875" style="2" customWidth="1"/>
    <col min="5370" max="5370" width="12.5703125" style="2" customWidth="1"/>
    <col min="5371" max="5371" width="5.140625" style="2" customWidth="1"/>
    <col min="5372" max="5372" width="9.140625" style="2"/>
    <col min="5373" max="5373" width="4.85546875" style="2" customWidth="1"/>
    <col min="5374" max="5374" width="30.5703125" style="2" customWidth="1"/>
    <col min="5375" max="5375" width="33.85546875" style="2" customWidth="1"/>
    <col min="5376" max="5376" width="5.140625" style="2" customWidth="1"/>
    <col min="5377" max="5378" width="17.5703125" style="2" customWidth="1"/>
    <col min="5379" max="5622" width="9.140625" style="2"/>
    <col min="5623" max="5623" width="3.5703125" style="2" customWidth="1"/>
    <col min="5624" max="5624" width="96.85546875" style="2" customWidth="1"/>
    <col min="5625" max="5625" width="30.85546875" style="2" customWidth="1"/>
    <col min="5626" max="5626" width="12.5703125" style="2" customWidth="1"/>
    <col min="5627" max="5627" width="5.140625" style="2" customWidth="1"/>
    <col min="5628" max="5628" width="9.140625" style="2"/>
    <col min="5629" max="5629" width="4.85546875" style="2" customWidth="1"/>
    <col min="5630" max="5630" width="30.5703125" style="2" customWidth="1"/>
    <col min="5631" max="5631" width="33.85546875" style="2" customWidth="1"/>
    <col min="5632" max="5632" width="5.140625" style="2" customWidth="1"/>
    <col min="5633" max="5634" width="17.5703125" style="2" customWidth="1"/>
    <col min="5635" max="5878" width="9.140625" style="2"/>
    <col min="5879" max="5879" width="3.5703125" style="2" customWidth="1"/>
    <col min="5880" max="5880" width="96.85546875" style="2" customWidth="1"/>
    <col min="5881" max="5881" width="30.85546875" style="2" customWidth="1"/>
    <col min="5882" max="5882" width="12.5703125" style="2" customWidth="1"/>
    <col min="5883" max="5883" width="5.140625" style="2" customWidth="1"/>
    <col min="5884" max="5884" width="9.140625" style="2"/>
    <col min="5885" max="5885" width="4.85546875" style="2" customWidth="1"/>
    <col min="5886" max="5886" width="30.5703125" style="2" customWidth="1"/>
    <col min="5887" max="5887" width="33.85546875" style="2" customWidth="1"/>
    <col min="5888" max="5888" width="5.140625" style="2" customWidth="1"/>
    <col min="5889" max="5890" width="17.5703125" style="2" customWidth="1"/>
    <col min="5891" max="6134" width="9.140625" style="2"/>
    <col min="6135" max="6135" width="3.5703125" style="2" customWidth="1"/>
    <col min="6136" max="6136" width="96.85546875" style="2" customWidth="1"/>
    <col min="6137" max="6137" width="30.85546875" style="2" customWidth="1"/>
    <col min="6138" max="6138" width="12.5703125" style="2" customWidth="1"/>
    <col min="6139" max="6139" width="5.140625" style="2" customWidth="1"/>
    <col min="6140" max="6140" width="9.140625" style="2"/>
    <col min="6141" max="6141" width="4.85546875" style="2" customWidth="1"/>
    <col min="6142" max="6142" width="30.5703125" style="2" customWidth="1"/>
    <col min="6143" max="6143" width="33.85546875" style="2" customWidth="1"/>
    <col min="6144" max="6144" width="5.140625" style="2" customWidth="1"/>
    <col min="6145" max="6146" width="17.5703125" style="2" customWidth="1"/>
    <col min="6147" max="6390" width="9.140625" style="2"/>
    <col min="6391" max="6391" width="3.5703125" style="2" customWidth="1"/>
    <col min="6392" max="6392" width="96.85546875" style="2" customWidth="1"/>
    <col min="6393" max="6393" width="30.85546875" style="2" customWidth="1"/>
    <col min="6394" max="6394" width="12.5703125" style="2" customWidth="1"/>
    <col min="6395" max="6395" width="5.140625" style="2" customWidth="1"/>
    <col min="6396" max="6396" width="9.140625" style="2"/>
    <col min="6397" max="6397" width="4.85546875" style="2" customWidth="1"/>
    <col min="6398" max="6398" width="30.5703125" style="2" customWidth="1"/>
    <col min="6399" max="6399" width="33.85546875" style="2" customWidth="1"/>
    <col min="6400" max="6400" width="5.140625" style="2" customWidth="1"/>
    <col min="6401" max="6402" width="17.5703125" style="2" customWidth="1"/>
    <col min="6403" max="6646" width="9.140625" style="2"/>
    <col min="6647" max="6647" width="3.5703125" style="2" customWidth="1"/>
    <col min="6648" max="6648" width="96.85546875" style="2" customWidth="1"/>
    <col min="6649" max="6649" width="30.85546875" style="2" customWidth="1"/>
    <col min="6650" max="6650" width="12.5703125" style="2" customWidth="1"/>
    <col min="6651" max="6651" width="5.140625" style="2" customWidth="1"/>
    <col min="6652" max="6652" width="9.140625" style="2"/>
    <col min="6653" max="6653" width="4.85546875" style="2" customWidth="1"/>
    <col min="6654" max="6654" width="30.5703125" style="2" customWidth="1"/>
    <col min="6655" max="6655" width="33.85546875" style="2" customWidth="1"/>
    <col min="6656" max="6656" width="5.140625" style="2" customWidth="1"/>
    <col min="6657" max="6658" width="17.5703125" style="2" customWidth="1"/>
    <col min="6659" max="6902" width="9.140625" style="2"/>
    <col min="6903" max="6903" width="3.5703125" style="2" customWidth="1"/>
    <col min="6904" max="6904" width="96.85546875" style="2" customWidth="1"/>
    <col min="6905" max="6905" width="30.85546875" style="2" customWidth="1"/>
    <col min="6906" max="6906" width="12.5703125" style="2" customWidth="1"/>
    <col min="6907" max="6907" width="5.140625" style="2" customWidth="1"/>
    <col min="6908" max="6908" width="9.140625" style="2"/>
    <col min="6909" max="6909" width="4.85546875" style="2" customWidth="1"/>
    <col min="6910" max="6910" width="30.5703125" style="2" customWidth="1"/>
    <col min="6911" max="6911" width="33.85546875" style="2" customWidth="1"/>
    <col min="6912" max="6912" width="5.140625" style="2" customWidth="1"/>
    <col min="6913" max="6914" width="17.5703125" style="2" customWidth="1"/>
    <col min="6915" max="7158" width="9.140625" style="2"/>
    <col min="7159" max="7159" width="3.5703125" style="2" customWidth="1"/>
    <col min="7160" max="7160" width="96.85546875" style="2" customWidth="1"/>
    <col min="7161" max="7161" width="30.85546875" style="2" customWidth="1"/>
    <col min="7162" max="7162" width="12.5703125" style="2" customWidth="1"/>
    <col min="7163" max="7163" width="5.140625" style="2" customWidth="1"/>
    <col min="7164" max="7164" width="9.140625" style="2"/>
    <col min="7165" max="7165" width="4.85546875" style="2" customWidth="1"/>
    <col min="7166" max="7166" width="30.5703125" style="2" customWidth="1"/>
    <col min="7167" max="7167" width="33.85546875" style="2" customWidth="1"/>
    <col min="7168" max="7168" width="5.140625" style="2" customWidth="1"/>
    <col min="7169" max="7170" width="17.5703125" style="2" customWidth="1"/>
    <col min="7171" max="7414" width="9.140625" style="2"/>
    <col min="7415" max="7415" width="3.5703125" style="2" customWidth="1"/>
    <col min="7416" max="7416" width="96.85546875" style="2" customWidth="1"/>
    <col min="7417" max="7417" width="30.85546875" style="2" customWidth="1"/>
    <col min="7418" max="7418" width="12.5703125" style="2" customWidth="1"/>
    <col min="7419" max="7419" width="5.140625" style="2" customWidth="1"/>
    <col min="7420" max="7420" width="9.140625" style="2"/>
    <col min="7421" max="7421" width="4.85546875" style="2" customWidth="1"/>
    <col min="7422" max="7422" width="30.5703125" style="2" customWidth="1"/>
    <col min="7423" max="7423" width="33.85546875" style="2" customWidth="1"/>
    <col min="7424" max="7424" width="5.140625" style="2" customWidth="1"/>
    <col min="7425" max="7426" width="17.5703125" style="2" customWidth="1"/>
    <col min="7427" max="7670" width="9.140625" style="2"/>
    <col min="7671" max="7671" width="3.5703125" style="2" customWidth="1"/>
    <col min="7672" max="7672" width="96.85546875" style="2" customWidth="1"/>
    <col min="7673" max="7673" width="30.85546875" style="2" customWidth="1"/>
    <col min="7674" max="7674" width="12.5703125" style="2" customWidth="1"/>
    <col min="7675" max="7675" width="5.140625" style="2" customWidth="1"/>
    <col min="7676" max="7676" width="9.140625" style="2"/>
    <col min="7677" max="7677" width="4.85546875" style="2" customWidth="1"/>
    <col min="7678" max="7678" width="30.5703125" style="2" customWidth="1"/>
    <col min="7679" max="7679" width="33.85546875" style="2" customWidth="1"/>
    <col min="7680" max="7680" width="5.140625" style="2" customWidth="1"/>
    <col min="7681" max="7682" width="17.5703125" style="2" customWidth="1"/>
    <col min="7683" max="7926" width="9.140625" style="2"/>
    <col min="7927" max="7927" width="3.5703125" style="2" customWidth="1"/>
    <col min="7928" max="7928" width="96.85546875" style="2" customWidth="1"/>
    <col min="7929" max="7929" width="30.85546875" style="2" customWidth="1"/>
    <col min="7930" max="7930" width="12.5703125" style="2" customWidth="1"/>
    <col min="7931" max="7931" width="5.140625" style="2" customWidth="1"/>
    <col min="7932" max="7932" width="9.140625" style="2"/>
    <col min="7933" max="7933" width="4.85546875" style="2" customWidth="1"/>
    <col min="7934" max="7934" width="30.5703125" style="2" customWidth="1"/>
    <col min="7935" max="7935" width="33.85546875" style="2" customWidth="1"/>
    <col min="7936" max="7936" width="5.140625" style="2" customWidth="1"/>
    <col min="7937" max="7938" width="17.5703125" style="2" customWidth="1"/>
    <col min="7939" max="8182" width="9.140625" style="2"/>
    <col min="8183" max="8183" width="3.5703125" style="2" customWidth="1"/>
    <col min="8184" max="8184" width="96.85546875" style="2" customWidth="1"/>
    <col min="8185" max="8185" width="30.85546875" style="2" customWidth="1"/>
    <col min="8186" max="8186" width="12.5703125" style="2" customWidth="1"/>
    <col min="8187" max="8187" width="5.140625" style="2" customWidth="1"/>
    <col min="8188" max="8188" width="9.140625" style="2"/>
    <col min="8189" max="8189" width="4.85546875" style="2" customWidth="1"/>
    <col min="8190" max="8190" width="30.5703125" style="2" customWidth="1"/>
    <col min="8191" max="8191" width="33.85546875" style="2" customWidth="1"/>
    <col min="8192" max="8192" width="5.140625" style="2" customWidth="1"/>
    <col min="8193" max="8194" width="17.5703125" style="2" customWidth="1"/>
    <col min="8195" max="8438" width="9.140625" style="2"/>
    <col min="8439" max="8439" width="3.5703125" style="2" customWidth="1"/>
    <col min="8440" max="8440" width="96.85546875" style="2" customWidth="1"/>
    <col min="8441" max="8441" width="30.85546875" style="2" customWidth="1"/>
    <col min="8442" max="8442" width="12.5703125" style="2" customWidth="1"/>
    <col min="8443" max="8443" width="5.140625" style="2" customWidth="1"/>
    <col min="8444" max="8444" width="9.140625" style="2"/>
    <col min="8445" max="8445" width="4.85546875" style="2" customWidth="1"/>
    <col min="8446" max="8446" width="30.5703125" style="2" customWidth="1"/>
    <col min="8447" max="8447" width="33.85546875" style="2" customWidth="1"/>
    <col min="8448" max="8448" width="5.140625" style="2" customWidth="1"/>
    <col min="8449" max="8450" width="17.5703125" style="2" customWidth="1"/>
    <col min="8451" max="8694" width="9.140625" style="2"/>
    <col min="8695" max="8695" width="3.5703125" style="2" customWidth="1"/>
    <col min="8696" max="8696" width="96.85546875" style="2" customWidth="1"/>
    <col min="8697" max="8697" width="30.85546875" style="2" customWidth="1"/>
    <col min="8698" max="8698" width="12.5703125" style="2" customWidth="1"/>
    <col min="8699" max="8699" width="5.140625" style="2" customWidth="1"/>
    <col min="8700" max="8700" width="9.140625" style="2"/>
    <col min="8701" max="8701" width="4.85546875" style="2" customWidth="1"/>
    <col min="8702" max="8702" width="30.5703125" style="2" customWidth="1"/>
    <col min="8703" max="8703" width="33.85546875" style="2" customWidth="1"/>
    <col min="8704" max="8704" width="5.140625" style="2" customWidth="1"/>
    <col min="8705" max="8706" width="17.5703125" style="2" customWidth="1"/>
    <col min="8707" max="8950" width="9.140625" style="2"/>
    <col min="8951" max="8951" width="3.5703125" style="2" customWidth="1"/>
    <col min="8952" max="8952" width="96.85546875" style="2" customWidth="1"/>
    <col min="8953" max="8953" width="30.85546875" style="2" customWidth="1"/>
    <col min="8954" max="8954" width="12.5703125" style="2" customWidth="1"/>
    <col min="8955" max="8955" width="5.140625" style="2" customWidth="1"/>
    <col min="8956" max="8956" width="9.140625" style="2"/>
    <col min="8957" max="8957" width="4.85546875" style="2" customWidth="1"/>
    <col min="8958" max="8958" width="30.5703125" style="2" customWidth="1"/>
    <col min="8959" max="8959" width="33.85546875" style="2" customWidth="1"/>
    <col min="8960" max="8960" width="5.140625" style="2" customWidth="1"/>
    <col min="8961" max="8962" width="17.5703125" style="2" customWidth="1"/>
    <col min="8963" max="9206" width="9.140625" style="2"/>
    <col min="9207" max="9207" width="3.5703125" style="2" customWidth="1"/>
    <col min="9208" max="9208" width="96.85546875" style="2" customWidth="1"/>
    <col min="9209" max="9209" width="30.85546875" style="2" customWidth="1"/>
    <col min="9210" max="9210" width="12.5703125" style="2" customWidth="1"/>
    <col min="9211" max="9211" width="5.140625" style="2" customWidth="1"/>
    <col min="9212" max="9212" width="9.140625" style="2"/>
    <col min="9213" max="9213" width="4.85546875" style="2" customWidth="1"/>
    <col min="9214" max="9214" width="30.5703125" style="2" customWidth="1"/>
    <col min="9215" max="9215" width="33.85546875" style="2" customWidth="1"/>
    <col min="9216" max="9216" width="5.140625" style="2" customWidth="1"/>
    <col min="9217" max="9218" width="17.5703125" style="2" customWidth="1"/>
    <col min="9219" max="9462" width="9.140625" style="2"/>
    <col min="9463" max="9463" width="3.5703125" style="2" customWidth="1"/>
    <col min="9464" max="9464" width="96.85546875" style="2" customWidth="1"/>
    <col min="9465" max="9465" width="30.85546875" style="2" customWidth="1"/>
    <col min="9466" max="9466" width="12.5703125" style="2" customWidth="1"/>
    <col min="9467" max="9467" width="5.140625" style="2" customWidth="1"/>
    <col min="9468" max="9468" width="9.140625" style="2"/>
    <col min="9469" max="9469" width="4.85546875" style="2" customWidth="1"/>
    <col min="9470" max="9470" width="30.5703125" style="2" customWidth="1"/>
    <col min="9471" max="9471" width="33.85546875" style="2" customWidth="1"/>
    <col min="9472" max="9472" width="5.140625" style="2" customWidth="1"/>
    <col min="9473" max="9474" width="17.5703125" style="2" customWidth="1"/>
    <col min="9475" max="9718" width="9.140625" style="2"/>
    <col min="9719" max="9719" width="3.5703125" style="2" customWidth="1"/>
    <col min="9720" max="9720" width="96.85546875" style="2" customWidth="1"/>
    <col min="9721" max="9721" width="30.85546875" style="2" customWidth="1"/>
    <col min="9722" max="9722" width="12.5703125" style="2" customWidth="1"/>
    <col min="9723" max="9723" width="5.140625" style="2" customWidth="1"/>
    <col min="9724" max="9724" width="9.140625" style="2"/>
    <col min="9725" max="9725" width="4.85546875" style="2" customWidth="1"/>
    <col min="9726" max="9726" width="30.5703125" style="2" customWidth="1"/>
    <col min="9727" max="9727" width="33.85546875" style="2" customWidth="1"/>
    <col min="9728" max="9728" width="5.140625" style="2" customWidth="1"/>
    <col min="9729" max="9730" width="17.5703125" style="2" customWidth="1"/>
    <col min="9731" max="9974" width="9.140625" style="2"/>
    <col min="9975" max="9975" width="3.5703125" style="2" customWidth="1"/>
    <col min="9976" max="9976" width="96.85546875" style="2" customWidth="1"/>
    <col min="9977" max="9977" width="30.85546875" style="2" customWidth="1"/>
    <col min="9978" max="9978" width="12.5703125" style="2" customWidth="1"/>
    <col min="9979" max="9979" width="5.140625" style="2" customWidth="1"/>
    <col min="9980" max="9980" width="9.140625" style="2"/>
    <col min="9981" max="9981" width="4.85546875" style="2" customWidth="1"/>
    <col min="9982" max="9982" width="30.5703125" style="2" customWidth="1"/>
    <col min="9983" max="9983" width="33.85546875" style="2" customWidth="1"/>
    <col min="9984" max="9984" width="5.140625" style="2" customWidth="1"/>
    <col min="9985" max="9986" width="17.5703125" style="2" customWidth="1"/>
    <col min="9987" max="10230" width="9.140625" style="2"/>
    <col min="10231" max="10231" width="3.5703125" style="2" customWidth="1"/>
    <col min="10232" max="10232" width="96.85546875" style="2" customWidth="1"/>
    <col min="10233" max="10233" width="30.85546875" style="2" customWidth="1"/>
    <col min="10234" max="10234" width="12.5703125" style="2" customWidth="1"/>
    <col min="10235" max="10235" width="5.140625" style="2" customWidth="1"/>
    <col min="10236" max="10236" width="9.140625" style="2"/>
    <col min="10237" max="10237" width="4.85546875" style="2" customWidth="1"/>
    <col min="10238" max="10238" width="30.5703125" style="2" customWidth="1"/>
    <col min="10239" max="10239" width="33.85546875" style="2" customWidth="1"/>
    <col min="10240" max="10240" width="5.140625" style="2" customWidth="1"/>
    <col min="10241" max="10242" width="17.5703125" style="2" customWidth="1"/>
    <col min="10243" max="10486" width="9.140625" style="2"/>
    <col min="10487" max="10487" width="3.5703125" style="2" customWidth="1"/>
    <col min="10488" max="10488" width="96.85546875" style="2" customWidth="1"/>
    <col min="10489" max="10489" width="30.85546875" style="2" customWidth="1"/>
    <col min="10490" max="10490" width="12.5703125" style="2" customWidth="1"/>
    <col min="10491" max="10491" width="5.140625" style="2" customWidth="1"/>
    <col min="10492" max="10492" width="9.140625" style="2"/>
    <col min="10493" max="10493" width="4.85546875" style="2" customWidth="1"/>
    <col min="10494" max="10494" width="30.5703125" style="2" customWidth="1"/>
    <col min="10495" max="10495" width="33.85546875" style="2" customWidth="1"/>
    <col min="10496" max="10496" width="5.140625" style="2" customWidth="1"/>
    <col min="10497" max="10498" width="17.5703125" style="2" customWidth="1"/>
    <col min="10499" max="10742" width="9.140625" style="2"/>
    <col min="10743" max="10743" width="3.5703125" style="2" customWidth="1"/>
    <col min="10744" max="10744" width="96.85546875" style="2" customWidth="1"/>
    <col min="10745" max="10745" width="30.85546875" style="2" customWidth="1"/>
    <col min="10746" max="10746" width="12.5703125" style="2" customWidth="1"/>
    <col min="10747" max="10747" width="5.140625" style="2" customWidth="1"/>
    <col min="10748" max="10748" width="9.140625" style="2"/>
    <col min="10749" max="10749" width="4.85546875" style="2" customWidth="1"/>
    <col min="10750" max="10750" width="30.5703125" style="2" customWidth="1"/>
    <col min="10751" max="10751" width="33.85546875" style="2" customWidth="1"/>
    <col min="10752" max="10752" width="5.140625" style="2" customWidth="1"/>
    <col min="10753" max="10754" width="17.5703125" style="2" customWidth="1"/>
    <col min="10755" max="10998" width="9.140625" style="2"/>
    <col min="10999" max="10999" width="3.5703125" style="2" customWidth="1"/>
    <col min="11000" max="11000" width="96.85546875" style="2" customWidth="1"/>
    <col min="11001" max="11001" width="30.85546875" style="2" customWidth="1"/>
    <col min="11002" max="11002" width="12.5703125" style="2" customWidth="1"/>
    <col min="11003" max="11003" width="5.140625" style="2" customWidth="1"/>
    <col min="11004" max="11004" width="9.140625" style="2"/>
    <col min="11005" max="11005" width="4.85546875" style="2" customWidth="1"/>
    <col min="11006" max="11006" width="30.5703125" style="2" customWidth="1"/>
    <col min="11007" max="11007" width="33.85546875" style="2" customWidth="1"/>
    <col min="11008" max="11008" width="5.140625" style="2" customWidth="1"/>
    <col min="11009" max="11010" width="17.5703125" style="2" customWidth="1"/>
    <col min="11011" max="11254" width="9.140625" style="2"/>
    <col min="11255" max="11255" width="3.5703125" style="2" customWidth="1"/>
    <col min="11256" max="11256" width="96.85546875" style="2" customWidth="1"/>
    <col min="11257" max="11257" width="30.85546875" style="2" customWidth="1"/>
    <col min="11258" max="11258" width="12.5703125" style="2" customWidth="1"/>
    <col min="11259" max="11259" width="5.140625" style="2" customWidth="1"/>
    <col min="11260" max="11260" width="9.140625" style="2"/>
    <col min="11261" max="11261" width="4.85546875" style="2" customWidth="1"/>
    <col min="11262" max="11262" width="30.5703125" style="2" customWidth="1"/>
    <col min="11263" max="11263" width="33.85546875" style="2" customWidth="1"/>
    <col min="11264" max="11264" width="5.140625" style="2" customWidth="1"/>
    <col min="11265" max="11266" width="17.5703125" style="2" customWidth="1"/>
    <col min="11267" max="11510" width="9.140625" style="2"/>
    <col min="11511" max="11511" width="3.5703125" style="2" customWidth="1"/>
    <col min="11512" max="11512" width="96.85546875" style="2" customWidth="1"/>
    <col min="11513" max="11513" width="30.85546875" style="2" customWidth="1"/>
    <col min="11514" max="11514" width="12.5703125" style="2" customWidth="1"/>
    <col min="11515" max="11515" width="5.140625" style="2" customWidth="1"/>
    <col min="11516" max="11516" width="9.140625" style="2"/>
    <col min="11517" max="11517" width="4.85546875" style="2" customWidth="1"/>
    <col min="11518" max="11518" width="30.5703125" style="2" customWidth="1"/>
    <col min="11519" max="11519" width="33.85546875" style="2" customWidth="1"/>
    <col min="11520" max="11520" width="5.140625" style="2" customWidth="1"/>
    <col min="11521" max="11522" width="17.5703125" style="2" customWidth="1"/>
    <col min="11523" max="11766" width="9.140625" style="2"/>
    <col min="11767" max="11767" width="3.5703125" style="2" customWidth="1"/>
    <col min="11768" max="11768" width="96.85546875" style="2" customWidth="1"/>
    <col min="11769" max="11769" width="30.85546875" style="2" customWidth="1"/>
    <col min="11770" max="11770" width="12.5703125" style="2" customWidth="1"/>
    <col min="11771" max="11771" width="5.140625" style="2" customWidth="1"/>
    <col min="11772" max="11772" width="9.140625" style="2"/>
    <col min="11773" max="11773" width="4.85546875" style="2" customWidth="1"/>
    <col min="11774" max="11774" width="30.5703125" style="2" customWidth="1"/>
    <col min="11775" max="11775" width="33.85546875" style="2" customWidth="1"/>
    <col min="11776" max="11776" width="5.140625" style="2" customWidth="1"/>
    <col min="11777" max="11778" width="17.5703125" style="2" customWidth="1"/>
    <col min="11779" max="12022" width="9.140625" style="2"/>
    <col min="12023" max="12023" width="3.5703125" style="2" customWidth="1"/>
    <col min="12024" max="12024" width="96.85546875" style="2" customWidth="1"/>
    <col min="12025" max="12025" width="30.85546875" style="2" customWidth="1"/>
    <col min="12026" max="12026" width="12.5703125" style="2" customWidth="1"/>
    <col min="12027" max="12027" width="5.140625" style="2" customWidth="1"/>
    <col min="12028" max="12028" width="9.140625" style="2"/>
    <col min="12029" max="12029" width="4.85546875" style="2" customWidth="1"/>
    <col min="12030" max="12030" width="30.5703125" style="2" customWidth="1"/>
    <col min="12031" max="12031" width="33.85546875" style="2" customWidth="1"/>
    <col min="12032" max="12032" width="5.140625" style="2" customWidth="1"/>
    <col min="12033" max="12034" width="17.5703125" style="2" customWidth="1"/>
    <col min="12035" max="12278" width="9.140625" style="2"/>
    <col min="12279" max="12279" width="3.5703125" style="2" customWidth="1"/>
    <col min="12280" max="12280" width="96.85546875" style="2" customWidth="1"/>
    <col min="12281" max="12281" width="30.85546875" style="2" customWidth="1"/>
    <col min="12282" max="12282" width="12.5703125" style="2" customWidth="1"/>
    <col min="12283" max="12283" width="5.140625" style="2" customWidth="1"/>
    <col min="12284" max="12284" width="9.140625" style="2"/>
    <col min="12285" max="12285" width="4.85546875" style="2" customWidth="1"/>
    <col min="12286" max="12286" width="30.5703125" style="2" customWidth="1"/>
    <col min="12287" max="12287" width="33.85546875" style="2" customWidth="1"/>
    <col min="12288" max="12288" width="5.140625" style="2" customWidth="1"/>
    <col min="12289" max="12290" width="17.5703125" style="2" customWidth="1"/>
    <col min="12291" max="12534" width="9.140625" style="2"/>
    <col min="12535" max="12535" width="3.5703125" style="2" customWidth="1"/>
    <col min="12536" max="12536" width="96.85546875" style="2" customWidth="1"/>
    <col min="12537" max="12537" width="30.85546875" style="2" customWidth="1"/>
    <col min="12538" max="12538" width="12.5703125" style="2" customWidth="1"/>
    <col min="12539" max="12539" width="5.140625" style="2" customWidth="1"/>
    <col min="12540" max="12540" width="9.140625" style="2"/>
    <col min="12541" max="12541" width="4.85546875" style="2" customWidth="1"/>
    <col min="12542" max="12542" width="30.5703125" style="2" customWidth="1"/>
    <col min="12543" max="12543" width="33.85546875" style="2" customWidth="1"/>
    <col min="12544" max="12544" width="5.140625" style="2" customWidth="1"/>
    <col min="12545" max="12546" width="17.5703125" style="2" customWidth="1"/>
    <col min="12547" max="12790" width="9.140625" style="2"/>
    <col min="12791" max="12791" width="3.5703125" style="2" customWidth="1"/>
    <col min="12792" max="12792" width="96.85546875" style="2" customWidth="1"/>
    <col min="12793" max="12793" width="30.85546875" style="2" customWidth="1"/>
    <col min="12794" max="12794" width="12.5703125" style="2" customWidth="1"/>
    <col min="12795" max="12795" width="5.140625" style="2" customWidth="1"/>
    <col min="12796" max="12796" width="9.140625" style="2"/>
    <col min="12797" max="12797" width="4.85546875" style="2" customWidth="1"/>
    <col min="12798" max="12798" width="30.5703125" style="2" customWidth="1"/>
    <col min="12799" max="12799" width="33.85546875" style="2" customWidth="1"/>
    <col min="12800" max="12800" width="5.140625" style="2" customWidth="1"/>
    <col min="12801" max="12802" width="17.5703125" style="2" customWidth="1"/>
    <col min="12803" max="13046" width="9.140625" style="2"/>
    <col min="13047" max="13047" width="3.5703125" style="2" customWidth="1"/>
    <col min="13048" max="13048" width="96.85546875" style="2" customWidth="1"/>
    <col min="13049" max="13049" width="30.85546875" style="2" customWidth="1"/>
    <col min="13050" max="13050" width="12.5703125" style="2" customWidth="1"/>
    <col min="13051" max="13051" width="5.140625" style="2" customWidth="1"/>
    <col min="13052" max="13052" width="9.140625" style="2"/>
    <col min="13053" max="13053" width="4.85546875" style="2" customWidth="1"/>
    <col min="13054" max="13054" width="30.5703125" style="2" customWidth="1"/>
    <col min="13055" max="13055" width="33.85546875" style="2" customWidth="1"/>
    <col min="13056" max="13056" width="5.140625" style="2" customWidth="1"/>
    <col min="13057" max="13058" width="17.5703125" style="2" customWidth="1"/>
    <col min="13059" max="13302" width="9.140625" style="2"/>
    <col min="13303" max="13303" width="3.5703125" style="2" customWidth="1"/>
    <col min="13304" max="13304" width="96.85546875" style="2" customWidth="1"/>
    <col min="13305" max="13305" width="30.85546875" style="2" customWidth="1"/>
    <col min="13306" max="13306" width="12.5703125" style="2" customWidth="1"/>
    <col min="13307" max="13307" width="5.140625" style="2" customWidth="1"/>
    <col min="13308" max="13308" width="9.140625" style="2"/>
    <col min="13309" max="13309" width="4.85546875" style="2" customWidth="1"/>
    <col min="13310" max="13310" width="30.5703125" style="2" customWidth="1"/>
    <col min="13311" max="13311" width="33.85546875" style="2" customWidth="1"/>
    <col min="13312" max="13312" width="5.140625" style="2" customWidth="1"/>
    <col min="13313" max="13314" width="17.5703125" style="2" customWidth="1"/>
    <col min="13315" max="13558" width="9.140625" style="2"/>
    <col min="13559" max="13559" width="3.5703125" style="2" customWidth="1"/>
    <col min="13560" max="13560" width="96.85546875" style="2" customWidth="1"/>
    <col min="13561" max="13561" width="30.85546875" style="2" customWidth="1"/>
    <col min="13562" max="13562" width="12.5703125" style="2" customWidth="1"/>
    <col min="13563" max="13563" width="5.140625" style="2" customWidth="1"/>
    <col min="13564" max="13564" width="9.140625" style="2"/>
    <col min="13565" max="13565" width="4.85546875" style="2" customWidth="1"/>
    <col min="13566" max="13566" width="30.5703125" style="2" customWidth="1"/>
    <col min="13567" max="13567" width="33.85546875" style="2" customWidth="1"/>
    <col min="13568" max="13568" width="5.140625" style="2" customWidth="1"/>
    <col min="13569" max="13570" width="17.5703125" style="2" customWidth="1"/>
    <col min="13571" max="13814" width="9.140625" style="2"/>
    <col min="13815" max="13815" width="3.5703125" style="2" customWidth="1"/>
    <col min="13816" max="13816" width="96.85546875" style="2" customWidth="1"/>
    <col min="13817" max="13817" width="30.85546875" style="2" customWidth="1"/>
    <col min="13818" max="13818" width="12.5703125" style="2" customWidth="1"/>
    <col min="13819" max="13819" width="5.140625" style="2" customWidth="1"/>
    <col min="13820" max="13820" width="9.140625" style="2"/>
    <col min="13821" max="13821" width="4.85546875" style="2" customWidth="1"/>
    <col min="13822" max="13822" width="30.5703125" style="2" customWidth="1"/>
    <col min="13823" max="13823" width="33.85546875" style="2" customWidth="1"/>
    <col min="13824" max="13824" width="5.140625" style="2" customWidth="1"/>
    <col min="13825" max="13826" width="17.5703125" style="2" customWidth="1"/>
    <col min="13827" max="14070" width="9.140625" style="2"/>
    <col min="14071" max="14071" width="3.5703125" style="2" customWidth="1"/>
    <col min="14072" max="14072" width="96.85546875" style="2" customWidth="1"/>
    <col min="14073" max="14073" width="30.85546875" style="2" customWidth="1"/>
    <col min="14074" max="14074" width="12.5703125" style="2" customWidth="1"/>
    <col min="14075" max="14075" width="5.140625" style="2" customWidth="1"/>
    <col min="14076" max="14076" width="9.140625" style="2"/>
    <col min="14077" max="14077" width="4.85546875" style="2" customWidth="1"/>
    <col min="14078" max="14078" width="30.5703125" style="2" customWidth="1"/>
    <col min="14079" max="14079" width="33.85546875" style="2" customWidth="1"/>
    <col min="14080" max="14080" width="5.140625" style="2" customWidth="1"/>
    <col min="14081" max="14082" width="17.5703125" style="2" customWidth="1"/>
    <col min="14083" max="14326" width="9.140625" style="2"/>
    <col min="14327" max="14327" width="3.5703125" style="2" customWidth="1"/>
    <col min="14328" max="14328" width="96.85546875" style="2" customWidth="1"/>
    <col min="14329" max="14329" width="30.85546875" style="2" customWidth="1"/>
    <col min="14330" max="14330" width="12.5703125" style="2" customWidth="1"/>
    <col min="14331" max="14331" width="5.140625" style="2" customWidth="1"/>
    <col min="14332" max="14332" width="9.140625" style="2"/>
    <col min="14333" max="14333" width="4.85546875" style="2" customWidth="1"/>
    <col min="14334" max="14334" width="30.5703125" style="2" customWidth="1"/>
    <col min="14335" max="14335" width="33.85546875" style="2" customWidth="1"/>
    <col min="14336" max="14336" width="5.140625" style="2" customWidth="1"/>
    <col min="14337" max="14338" width="17.5703125" style="2" customWidth="1"/>
    <col min="14339" max="14582" width="9.140625" style="2"/>
    <col min="14583" max="14583" width="3.5703125" style="2" customWidth="1"/>
    <col min="14584" max="14584" width="96.85546875" style="2" customWidth="1"/>
    <col min="14585" max="14585" width="30.85546875" style="2" customWidth="1"/>
    <col min="14586" max="14586" width="12.5703125" style="2" customWidth="1"/>
    <col min="14587" max="14587" width="5.140625" style="2" customWidth="1"/>
    <col min="14588" max="14588" width="9.140625" style="2"/>
    <col min="14589" max="14589" width="4.85546875" style="2" customWidth="1"/>
    <col min="14590" max="14590" width="30.5703125" style="2" customWidth="1"/>
    <col min="14591" max="14591" width="33.85546875" style="2" customWidth="1"/>
    <col min="14592" max="14592" width="5.140625" style="2" customWidth="1"/>
    <col min="14593" max="14594" width="17.5703125" style="2" customWidth="1"/>
    <col min="14595" max="14838" width="9.140625" style="2"/>
    <col min="14839" max="14839" width="3.5703125" style="2" customWidth="1"/>
    <col min="14840" max="14840" width="96.85546875" style="2" customWidth="1"/>
    <col min="14841" max="14841" width="30.85546875" style="2" customWidth="1"/>
    <col min="14842" max="14842" width="12.5703125" style="2" customWidth="1"/>
    <col min="14843" max="14843" width="5.140625" style="2" customWidth="1"/>
    <col min="14844" max="14844" width="9.140625" style="2"/>
    <col min="14845" max="14845" width="4.85546875" style="2" customWidth="1"/>
    <col min="14846" max="14846" width="30.5703125" style="2" customWidth="1"/>
    <col min="14847" max="14847" width="33.85546875" style="2" customWidth="1"/>
    <col min="14848" max="14848" width="5.140625" style="2" customWidth="1"/>
    <col min="14849" max="14850" width="17.5703125" style="2" customWidth="1"/>
    <col min="14851" max="15094" width="9.140625" style="2"/>
    <col min="15095" max="15095" width="3.5703125" style="2" customWidth="1"/>
    <col min="15096" max="15096" width="96.85546875" style="2" customWidth="1"/>
    <col min="15097" max="15097" width="30.85546875" style="2" customWidth="1"/>
    <col min="15098" max="15098" width="12.5703125" style="2" customWidth="1"/>
    <col min="15099" max="15099" width="5.140625" style="2" customWidth="1"/>
    <col min="15100" max="15100" width="9.140625" style="2"/>
    <col min="15101" max="15101" width="4.85546875" style="2" customWidth="1"/>
    <col min="15102" max="15102" width="30.5703125" style="2" customWidth="1"/>
    <col min="15103" max="15103" width="33.85546875" style="2" customWidth="1"/>
    <col min="15104" max="15104" width="5.140625" style="2" customWidth="1"/>
    <col min="15105" max="15106" width="17.5703125" style="2" customWidth="1"/>
    <col min="15107" max="15350" width="9.140625" style="2"/>
    <col min="15351" max="15351" width="3.5703125" style="2" customWidth="1"/>
    <col min="15352" max="15352" width="96.85546875" style="2" customWidth="1"/>
    <col min="15353" max="15353" width="30.85546875" style="2" customWidth="1"/>
    <col min="15354" max="15354" width="12.5703125" style="2" customWidth="1"/>
    <col min="15355" max="15355" width="5.140625" style="2" customWidth="1"/>
    <col min="15356" max="15356" width="9.140625" style="2"/>
    <col min="15357" max="15357" width="4.85546875" style="2" customWidth="1"/>
    <col min="15358" max="15358" width="30.5703125" style="2" customWidth="1"/>
    <col min="15359" max="15359" width="33.85546875" style="2" customWidth="1"/>
    <col min="15360" max="15360" width="5.140625" style="2" customWidth="1"/>
    <col min="15361" max="15362" width="17.5703125" style="2" customWidth="1"/>
    <col min="15363" max="15606" width="9.140625" style="2"/>
    <col min="15607" max="15607" width="3.5703125" style="2" customWidth="1"/>
    <col min="15608" max="15608" width="96.85546875" style="2" customWidth="1"/>
    <col min="15609" max="15609" width="30.85546875" style="2" customWidth="1"/>
    <col min="15610" max="15610" width="12.5703125" style="2" customWidth="1"/>
    <col min="15611" max="15611" width="5.140625" style="2" customWidth="1"/>
    <col min="15612" max="15612" width="9.140625" style="2"/>
    <col min="15613" max="15613" width="4.85546875" style="2" customWidth="1"/>
    <col min="15614" max="15614" width="30.5703125" style="2" customWidth="1"/>
    <col min="15615" max="15615" width="33.85546875" style="2" customWidth="1"/>
    <col min="15616" max="15616" width="5.140625" style="2" customWidth="1"/>
    <col min="15617" max="15618" width="17.5703125" style="2" customWidth="1"/>
    <col min="15619" max="15862" width="9.140625" style="2"/>
    <col min="15863" max="15863" width="3.5703125" style="2" customWidth="1"/>
    <col min="15864" max="15864" width="96.85546875" style="2" customWidth="1"/>
    <col min="15865" max="15865" width="30.85546875" style="2" customWidth="1"/>
    <col min="15866" max="15866" width="12.5703125" style="2" customWidth="1"/>
    <col min="15867" max="15867" width="5.140625" style="2" customWidth="1"/>
    <col min="15868" max="15868" width="9.140625" style="2"/>
    <col min="15869" max="15869" width="4.85546875" style="2" customWidth="1"/>
    <col min="15870" max="15870" width="30.5703125" style="2" customWidth="1"/>
    <col min="15871" max="15871" width="33.85546875" style="2" customWidth="1"/>
    <col min="15872" max="15872" width="5.140625" style="2" customWidth="1"/>
    <col min="15873" max="15874" width="17.5703125" style="2" customWidth="1"/>
    <col min="15875" max="16118" width="9.140625" style="2"/>
    <col min="16119" max="16119" width="3.5703125" style="2" customWidth="1"/>
    <col min="16120" max="16120" width="96.85546875" style="2" customWidth="1"/>
    <col min="16121" max="16121" width="30.85546875" style="2" customWidth="1"/>
    <col min="16122" max="16122" width="12.5703125" style="2" customWidth="1"/>
    <col min="16123" max="16123" width="5.140625" style="2" customWidth="1"/>
    <col min="16124" max="16124" width="9.140625" style="2"/>
    <col min="16125" max="16125" width="4.85546875" style="2" customWidth="1"/>
    <col min="16126" max="16126" width="30.5703125" style="2" customWidth="1"/>
    <col min="16127" max="16127" width="33.85546875" style="2" customWidth="1"/>
    <col min="16128" max="16128" width="5.140625" style="2" customWidth="1"/>
    <col min="16129" max="16130" width="17.5703125" style="2" customWidth="1"/>
    <col min="16131" max="16384" width="9.140625" style="2"/>
  </cols>
  <sheetData>
    <row r="1" spans="1:3" ht="48" customHeight="1" x14ac:dyDescent="0.2">
      <c r="A1" s="111"/>
      <c r="B1" s="143" t="s">
        <v>225</v>
      </c>
      <c r="C1" s="143"/>
    </row>
    <row r="2" spans="1:3" x14ac:dyDescent="0.2">
      <c r="A2" s="1"/>
      <c r="B2" s="3" t="s">
        <v>2</v>
      </c>
      <c r="C2" s="4">
        <v>45317</v>
      </c>
    </row>
    <row r="3" spans="1:3" x14ac:dyDescent="0.2">
      <c r="A3" s="1"/>
      <c r="B3" s="112" t="s">
        <v>3</v>
      </c>
    </row>
    <row r="4" spans="1:3" ht="25.5" x14ac:dyDescent="0.2">
      <c r="A4" s="7"/>
      <c r="B4" s="8" t="str">
        <f>[3]И1!D13</f>
        <v>Субъект Российской Федерации</v>
      </c>
      <c r="C4" s="9" t="str">
        <f>[3]И1!E13</f>
        <v>Новосибирская область</v>
      </c>
    </row>
    <row r="5" spans="1:3" ht="38.25" x14ac:dyDescent="0.2">
      <c r="A5" s="7"/>
      <c r="B5" s="8" t="str">
        <f>[3]И1!D14</f>
        <v>Тип муниципального образования (выберите из списка)</v>
      </c>
      <c r="C5" s="9" t="str">
        <f>[3]И1!E14</f>
        <v>деревня Березовка, Ордынский муниципальный район</v>
      </c>
    </row>
    <row r="6" spans="1:3" x14ac:dyDescent="0.2">
      <c r="A6" s="7"/>
      <c r="B6" s="8" t="str">
        <f>IF([3]И1!E15="","",[3]И1!D15)</f>
        <v/>
      </c>
      <c r="C6" s="9" t="str">
        <f>IF([3]И1!E15="","",[3]И1!E15)</f>
        <v/>
      </c>
    </row>
    <row r="7" spans="1:3" x14ac:dyDescent="0.2">
      <c r="A7" s="7"/>
      <c r="B7" s="8" t="str">
        <f>[3]И1!D16</f>
        <v>Код ОКТМО</v>
      </c>
      <c r="C7" s="10" t="str">
        <f>[3]И1!E16</f>
        <v>50642403101</v>
      </c>
    </row>
    <row r="8" spans="1:3" x14ac:dyDescent="0.2">
      <c r="A8" s="7"/>
      <c r="B8" s="11" t="str">
        <f>[3]И1!D17</f>
        <v>Система теплоснабжения</v>
      </c>
      <c r="C8" s="12">
        <f>[3]И1!E17</f>
        <v>0</v>
      </c>
    </row>
    <row r="9" spans="1:3" x14ac:dyDescent="0.2">
      <c r="A9" s="7"/>
      <c r="B9" s="8" t="str">
        <f>[3]И1!D8</f>
        <v>Период регулирования (i)-й</v>
      </c>
      <c r="C9" s="13">
        <f>[3]И1!E8</f>
        <v>2024</v>
      </c>
    </row>
    <row r="10" spans="1:3" x14ac:dyDescent="0.2">
      <c r="A10" s="7"/>
      <c r="B10" s="8" t="str">
        <f>[3]И1!D9</f>
        <v>Период регулирования (i-1)-й</v>
      </c>
      <c r="C10" s="13">
        <f>[3]И1!E9</f>
        <v>2023</v>
      </c>
    </row>
    <row r="11" spans="1:3" x14ac:dyDescent="0.2">
      <c r="A11" s="7"/>
      <c r="B11" s="8" t="str">
        <f>[3]И1!D10</f>
        <v>Период регулирования (i-2)-й</v>
      </c>
      <c r="C11" s="13">
        <f>[3]И1!E10</f>
        <v>2022</v>
      </c>
    </row>
    <row r="12" spans="1:3" x14ac:dyDescent="0.2">
      <c r="A12" s="7"/>
      <c r="B12" s="8" t="str">
        <f>[3]И1!D11</f>
        <v>Базовый год (б)</v>
      </c>
      <c r="C12" s="13">
        <f>[3]И1!E11</f>
        <v>2019</v>
      </c>
    </row>
    <row r="13" spans="1:3" ht="38.25" x14ac:dyDescent="0.2">
      <c r="A13" s="7"/>
      <c r="B13" s="8" t="str">
        <f>[3]И1!D18</f>
        <v>Вид топлива, использование которого преобладает в системе теплоснабжения</v>
      </c>
      <c r="C13" s="14" t="str">
        <f>[3]С1.1!E13</f>
        <v>уголь (вид угля не указан в топливном балансе)</v>
      </c>
    </row>
    <row r="14" spans="1:3" ht="31.7" customHeight="1" thickBot="1" x14ac:dyDescent="0.25">
      <c r="A14" s="146" t="s">
        <v>4</v>
      </c>
      <c r="B14" s="146"/>
      <c r="C14" s="146"/>
    </row>
    <row r="15" spans="1:3" x14ac:dyDescent="0.2">
      <c r="A15" s="15" t="s">
        <v>5</v>
      </c>
      <c r="B15" s="113" t="s">
        <v>6</v>
      </c>
      <c r="C15" s="114" t="s">
        <v>7</v>
      </c>
    </row>
    <row r="16" spans="1:3" x14ac:dyDescent="0.2">
      <c r="A16" s="18">
        <v>1</v>
      </c>
      <c r="B16" s="115">
        <v>2</v>
      </c>
      <c r="C16" s="116">
        <v>3</v>
      </c>
    </row>
    <row r="17" spans="1:3" x14ac:dyDescent="0.2">
      <c r="A17" s="21">
        <v>1</v>
      </c>
      <c r="B17" s="22" t="s">
        <v>8</v>
      </c>
      <c r="C17" s="23">
        <f>SUM(C18:C22)</f>
        <v>3659.4447139562831</v>
      </c>
    </row>
    <row r="18" spans="1:3" ht="42.75" x14ac:dyDescent="0.2">
      <c r="A18" s="21" t="s">
        <v>9</v>
      </c>
      <c r="B18" s="24" t="s">
        <v>10</v>
      </c>
      <c r="C18" s="25">
        <f>[3]С1!F12</f>
        <v>681.72722270675411</v>
      </c>
    </row>
    <row r="19" spans="1:3" ht="42.75" x14ac:dyDescent="0.2">
      <c r="A19" s="21" t="s">
        <v>11</v>
      </c>
      <c r="B19" s="24" t="s">
        <v>12</v>
      </c>
      <c r="C19" s="25">
        <f>[3]С2!F12</f>
        <v>1988.7336845318171</v>
      </c>
    </row>
    <row r="20" spans="1:3" ht="30" x14ac:dyDescent="0.2">
      <c r="A20" s="21" t="s">
        <v>13</v>
      </c>
      <c r="B20" s="24" t="s">
        <v>14</v>
      </c>
      <c r="C20" s="25">
        <f>[3]С3!F12</f>
        <v>472.61808029676507</v>
      </c>
    </row>
    <row r="21" spans="1:3" ht="42.75" x14ac:dyDescent="0.2">
      <c r="A21" s="21" t="s">
        <v>15</v>
      </c>
      <c r="B21" s="24" t="s">
        <v>226</v>
      </c>
      <c r="C21" s="25">
        <f>[3]С4!F12</f>
        <v>444.61190850023547</v>
      </c>
    </row>
    <row r="22" spans="1:3" ht="30" x14ac:dyDescent="0.2">
      <c r="A22" s="21" t="s">
        <v>17</v>
      </c>
      <c r="B22" s="24" t="s">
        <v>227</v>
      </c>
      <c r="C22" s="25">
        <f>[3]С5!F12</f>
        <v>71.753817920711441</v>
      </c>
    </row>
    <row r="23" spans="1:3" ht="43.5" thickBot="1" x14ac:dyDescent="0.25">
      <c r="A23" s="26" t="s">
        <v>19</v>
      </c>
      <c r="B23" s="140" t="s">
        <v>228</v>
      </c>
      <c r="C23" s="27" t="str">
        <f>[3]С6!F12</f>
        <v>-</v>
      </c>
    </row>
    <row r="24" spans="1:3" ht="13.5" thickBot="1" x14ac:dyDescent="0.25">
      <c r="A24" s="1"/>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229</v>
      </c>
      <c r="C28" s="32">
        <f>[3]С1.1!E16</f>
        <v>5100</v>
      </c>
    </row>
    <row r="29" spans="1:3" ht="42.75" x14ac:dyDescent="0.2">
      <c r="A29" s="21" t="s">
        <v>11</v>
      </c>
      <c r="B29" s="31" t="s">
        <v>230</v>
      </c>
      <c r="C29" s="32">
        <f>[3]С1.1!E27</f>
        <v>3063.03</v>
      </c>
    </row>
    <row r="30" spans="1:3" ht="17.25" x14ac:dyDescent="0.2">
      <c r="A30" s="21" t="s">
        <v>13</v>
      </c>
      <c r="B30" s="31" t="s">
        <v>30</v>
      </c>
      <c r="C30" s="34">
        <f>[3]С1.1!E19</f>
        <v>-0.19900000000000001</v>
      </c>
    </row>
    <row r="31" spans="1:3" ht="17.25" x14ac:dyDescent="0.2">
      <c r="A31" s="21" t="s">
        <v>15</v>
      </c>
      <c r="B31" s="31" t="s">
        <v>31</v>
      </c>
      <c r="C31" s="34">
        <f>[3]С1.1!E20</f>
        <v>5.7000000000000002E-2</v>
      </c>
    </row>
    <row r="32" spans="1:3" ht="30" x14ac:dyDescent="0.2">
      <c r="A32" s="21" t="s">
        <v>17</v>
      </c>
      <c r="B32" s="35" t="s">
        <v>231</v>
      </c>
      <c r="C32" s="117">
        <f>[3]С1!F13</f>
        <v>176.4</v>
      </c>
    </row>
    <row r="33" spans="1:3" x14ac:dyDescent="0.2">
      <c r="A33" s="21" t="s">
        <v>19</v>
      </c>
      <c r="B33" s="35" t="s">
        <v>33</v>
      </c>
      <c r="C33" s="37">
        <f>[3]С1!F16</f>
        <v>7000</v>
      </c>
    </row>
    <row r="34" spans="1:3" ht="14.25" x14ac:dyDescent="0.2">
      <c r="A34" s="21" t="s">
        <v>34</v>
      </c>
      <c r="B34" s="39" t="s">
        <v>232</v>
      </c>
      <c r="C34" s="40">
        <f>[3]С1!F17</f>
        <v>0.72857142857142854</v>
      </c>
    </row>
    <row r="35" spans="1:3" ht="15.75" x14ac:dyDescent="0.2">
      <c r="A35" s="118" t="s">
        <v>36</v>
      </c>
      <c r="B35" s="42" t="s">
        <v>37</v>
      </c>
      <c r="C35" s="40">
        <f>[3]С1!F20</f>
        <v>21.588411179999994</v>
      </c>
    </row>
    <row r="36" spans="1:3" ht="15.75" x14ac:dyDescent="0.2">
      <c r="A36" s="118" t="s">
        <v>38</v>
      </c>
      <c r="B36" s="43" t="s">
        <v>39</v>
      </c>
      <c r="C36" s="40">
        <f>[3]С1!F21</f>
        <v>20.818139999999996</v>
      </c>
    </row>
    <row r="37" spans="1:3" ht="14.25" x14ac:dyDescent="0.2">
      <c r="A37" s="118" t="s">
        <v>40</v>
      </c>
      <c r="B37" s="44" t="s">
        <v>41</v>
      </c>
      <c r="C37" s="40">
        <f>[3]С1!F22</f>
        <v>1.0369999999999999</v>
      </c>
    </row>
    <row r="38" spans="1:3" ht="53.25" thickBot="1" x14ac:dyDescent="0.25">
      <c r="A38" s="26" t="s">
        <v>42</v>
      </c>
      <c r="B38" s="45" t="s">
        <v>43</v>
      </c>
      <c r="C38" s="46">
        <f>[3]С1!F23</f>
        <v>1.0469999999999999</v>
      </c>
    </row>
    <row r="39" spans="1:3" ht="13.5" thickBot="1" x14ac:dyDescent="0.25">
      <c r="A39" s="47"/>
      <c r="B39" s="119"/>
      <c r="C39" s="120"/>
    </row>
    <row r="40" spans="1:3" ht="30" customHeight="1" x14ac:dyDescent="0.2">
      <c r="A40" s="49" t="s">
        <v>44</v>
      </c>
      <c r="B40" s="145" t="s">
        <v>45</v>
      </c>
      <c r="C40" s="145"/>
    </row>
    <row r="41" spans="1:3" ht="25.5" x14ac:dyDescent="0.2">
      <c r="A41" s="21" t="s">
        <v>46</v>
      </c>
      <c r="B41" s="35" t="s">
        <v>47</v>
      </c>
      <c r="C41" s="50" t="str">
        <f>[3]С2.1!E12</f>
        <v>V</v>
      </c>
    </row>
    <row r="42" spans="1:3" ht="25.5" x14ac:dyDescent="0.2">
      <c r="A42" s="21" t="s">
        <v>48</v>
      </c>
      <c r="B42" s="31" t="s">
        <v>49</v>
      </c>
      <c r="C42" s="50" t="str">
        <f>[3]С2.1!E13</f>
        <v>6 и менее баллов</v>
      </c>
    </row>
    <row r="43" spans="1:3" ht="25.5" x14ac:dyDescent="0.2">
      <c r="A43" s="21" t="s">
        <v>50</v>
      </c>
      <c r="B43" s="31" t="s">
        <v>233</v>
      </c>
      <c r="C43" s="50" t="str">
        <f>[3]С2.1!E14</f>
        <v>от 200 до 500</v>
      </c>
    </row>
    <row r="44" spans="1:3" ht="25.5" x14ac:dyDescent="0.2">
      <c r="A44" s="21" t="s">
        <v>52</v>
      </c>
      <c r="B44" s="31" t="s">
        <v>234</v>
      </c>
      <c r="C44" s="51" t="str">
        <f>[3]С2.1!E15</f>
        <v>нет</v>
      </c>
    </row>
    <row r="45" spans="1:3" ht="30" x14ac:dyDescent="0.2">
      <c r="A45" s="21" t="s">
        <v>54</v>
      </c>
      <c r="B45" s="31" t="s">
        <v>55</v>
      </c>
      <c r="C45" s="32">
        <f>[3]С2!F18</f>
        <v>35106.652004551666</v>
      </c>
    </row>
    <row r="46" spans="1:3" ht="30" x14ac:dyDescent="0.2">
      <c r="A46" s="21" t="s">
        <v>56</v>
      </c>
      <c r="B46" s="52" t="s">
        <v>57</v>
      </c>
      <c r="C46" s="32">
        <f>IF([3]С2!F19&gt;0,[3]С2!F19,[3]С2!F20)</f>
        <v>23441.524932855718</v>
      </c>
    </row>
    <row r="47" spans="1:3" ht="25.5" x14ac:dyDescent="0.2">
      <c r="A47" s="21" t="s">
        <v>58</v>
      </c>
      <c r="B47" s="53" t="s">
        <v>59</v>
      </c>
      <c r="C47" s="32">
        <f>[3]С2.1!E19</f>
        <v>-37</v>
      </c>
    </row>
    <row r="48" spans="1:3" ht="25.5" x14ac:dyDescent="0.2">
      <c r="A48" s="21" t="s">
        <v>60</v>
      </c>
      <c r="B48" s="53" t="s">
        <v>61</v>
      </c>
      <c r="C48" s="32" t="str">
        <f>[3]С2.1!E22</f>
        <v>нет</v>
      </c>
    </row>
    <row r="49" spans="1:3" ht="38.25" x14ac:dyDescent="0.2">
      <c r="A49" s="21" t="s">
        <v>62</v>
      </c>
      <c r="B49" s="54" t="s">
        <v>63</v>
      </c>
      <c r="C49" s="32">
        <f>[3]С2.2!E10</f>
        <v>1287</v>
      </c>
    </row>
    <row r="50" spans="1:3" ht="25.5" x14ac:dyDescent="0.2">
      <c r="A50" s="21" t="s">
        <v>64</v>
      </c>
      <c r="B50" s="55" t="s">
        <v>65</v>
      </c>
      <c r="C50" s="32">
        <f>[3]С2.2!E12</f>
        <v>5.97</v>
      </c>
    </row>
    <row r="51" spans="1:3" ht="52.5" x14ac:dyDescent="0.2">
      <c r="A51" s="21" t="s">
        <v>66</v>
      </c>
      <c r="B51" s="56" t="s">
        <v>67</v>
      </c>
      <c r="C51" s="32">
        <f>[3]С2.2!E13</f>
        <v>1</v>
      </c>
    </row>
    <row r="52" spans="1:3" ht="27.75" x14ac:dyDescent="0.2">
      <c r="A52" s="21" t="s">
        <v>68</v>
      </c>
      <c r="B52" s="55" t="s">
        <v>69</v>
      </c>
      <c r="C52" s="32">
        <f>[3]С2.2!E14</f>
        <v>12104</v>
      </c>
    </row>
    <row r="53" spans="1:3" ht="25.5" x14ac:dyDescent="0.2">
      <c r="A53" s="21" t="s">
        <v>70</v>
      </c>
      <c r="B53" s="56" t="s">
        <v>71</v>
      </c>
      <c r="C53" s="34">
        <f>[3]С2.2!E15</f>
        <v>4.8000000000000001E-2</v>
      </c>
    </row>
    <row r="54" spans="1:3" x14ac:dyDescent="0.2">
      <c r="A54" s="21" t="s">
        <v>72</v>
      </c>
      <c r="B54" s="56" t="s">
        <v>73</v>
      </c>
      <c r="C54" s="32">
        <f>[3]С2.2!E16</f>
        <v>1</v>
      </c>
    </row>
    <row r="55" spans="1:3" ht="15.75" x14ac:dyDescent="0.2">
      <c r="A55" s="21" t="s">
        <v>74</v>
      </c>
      <c r="B55" s="58" t="s">
        <v>75</v>
      </c>
      <c r="C55" s="32">
        <f>[3]С2!F21</f>
        <v>1</v>
      </c>
    </row>
    <row r="56" spans="1:3" ht="30" x14ac:dyDescent="0.2">
      <c r="A56" s="59" t="s">
        <v>76</v>
      </c>
      <c r="B56" s="31" t="s">
        <v>235</v>
      </c>
      <c r="C56" s="32">
        <f>[3]С2!F13</f>
        <v>183796.83936385796</v>
      </c>
    </row>
    <row r="57" spans="1:3" ht="30" x14ac:dyDescent="0.2">
      <c r="A57" s="59" t="s">
        <v>78</v>
      </c>
      <c r="B57" s="58" t="s">
        <v>236</v>
      </c>
      <c r="C57" s="32">
        <f>[3]С2!F14</f>
        <v>113455</v>
      </c>
    </row>
    <row r="58" spans="1:3" ht="15.75" x14ac:dyDescent="0.2">
      <c r="A58" s="59" t="s">
        <v>80</v>
      </c>
      <c r="B58" s="60" t="s">
        <v>81</v>
      </c>
      <c r="C58" s="40">
        <f>[3]С2!F15</f>
        <v>1.071</v>
      </c>
    </row>
    <row r="59" spans="1:3" ht="15.75" x14ac:dyDescent="0.2">
      <c r="A59" s="59" t="s">
        <v>82</v>
      </c>
      <c r="B59" s="60" t="s">
        <v>83</v>
      </c>
      <c r="C59" s="40">
        <f>[3]С2!F16</f>
        <v>1</v>
      </c>
    </row>
    <row r="60" spans="1:3" ht="17.25" x14ac:dyDescent="0.2">
      <c r="A60" s="59" t="s">
        <v>84</v>
      </c>
      <c r="B60" s="58" t="s">
        <v>85</v>
      </c>
      <c r="C60" s="32">
        <f>[3]С2!F17</f>
        <v>1.01</v>
      </c>
    </row>
    <row r="61" spans="1:3" s="65" customFormat="1" ht="14.25" x14ac:dyDescent="0.2">
      <c r="A61" s="59" t="s">
        <v>86</v>
      </c>
      <c r="B61" s="63" t="s">
        <v>87</v>
      </c>
      <c r="C61" s="64">
        <f>[3]С2!F33</f>
        <v>10</v>
      </c>
    </row>
    <row r="62" spans="1:3" ht="30" x14ac:dyDescent="0.2">
      <c r="A62" s="59" t="s">
        <v>88</v>
      </c>
      <c r="B62" s="66" t="s">
        <v>89</v>
      </c>
      <c r="C62" s="32">
        <f>[3]С2!F26</f>
        <v>1266.3745527115127</v>
      </c>
    </row>
    <row r="63" spans="1:3" ht="17.25" x14ac:dyDescent="0.2">
      <c r="A63" s="59" t="s">
        <v>90</v>
      </c>
      <c r="B63" s="52" t="s">
        <v>237</v>
      </c>
      <c r="C63" s="32">
        <f>[3]С2!F27</f>
        <v>0.201330388</v>
      </c>
    </row>
    <row r="64" spans="1:3" ht="17.25" x14ac:dyDescent="0.2">
      <c r="A64" s="59" t="s">
        <v>92</v>
      </c>
      <c r="B64" s="58" t="s">
        <v>238</v>
      </c>
      <c r="C64" s="64">
        <f>[3]С2!F28</f>
        <v>4200</v>
      </c>
    </row>
    <row r="65" spans="1:3" ht="42.75" x14ac:dyDescent="0.2">
      <c r="A65" s="59" t="s">
        <v>94</v>
      </c>
      <c r="B65" s="31" t="s">
        <v>239</v>
      </c>
      <c r="C65" s="32">
        <f>[3]С2!F22</f>
        <v>38698.422798410109</v>
      </c>
    </row>
    <row r="66" spans="1:3" ht="30" x14ac:dyDescent="0.2">
      <c r="A66" s="59" t="s">
        <v>96</v>
      </c>
      <c r="B66" s="60" t="s">
        <v>240</v>
      </c>
      <c r="C66" s="32">
        <f>[3]С2!F23</f>
        <v>1990</v>
      </c>
    </row>
    <row r="67" spans="1:3" ht="30" x14ac:dyDescent="0.2">
      <c r="A67" s="59" t="s">
        <v>98</v>
      </c>
      <c r="B67" s="52" t="s">
        <v>99</v>
      </c>
      <c r="C67" s="32">
        <f>[3]С2.1!E27</f>
        <v>14307.876789999998</v>
      </c>
    </row>
    <row r="68" spans="1:3" ht="38.25" x14ac:dyDescent="0.2">
      <c r="A68" s="59" t="s">
        <v>100</v>
      </c>
      <c r="B68" s="67" t="s">
        <v>101</v>
      </c>
      <c r="C68" s="51">
        <f>[3]С2.3!E21</f>
        <v>0</v>
      </c>
    </row>
    <row r="69" spans="1:3" ht="25.5" x14ac:dyDescent="0.2">
      <c r="A69" s="59" t="s">
        <v>102</v>
      </c>
      <c r="B69" s="68" t="s">
        <v>103</v>
      </c>
      <c r="C69" s="69">
        <f>[3]С2.3!E11</f>
        <v>9.89</v>
      </c>
    </row>
    <row r="70" spans="1:3" ht="25.5" x14ac:dyDescent="0.2">
      <c r="A70" s="59" t="s">
        <v>104</v>
      </c>
      <c r="B70" s="68" t="s">
        <v>105</v>
      </c>
      <c r="C70" s="64">
        <f>[3]С2.3!E13</f>
        <v>300</v>
      </c>
    </row>
    <row r="71" spans="1:3" ht="25.5" x14ac:dyDescent="0.2">
      <c r="A71" s="59" t="s">
        <v>106</v>
      </c>
      <c r="B71" s="67" t="s">
        <v>107</v>
      </c>
      <c r="C71" s="70">
        <f>IF([3]С2.3!E22&gt;0,[3]С2.3!E22,[3]С2.3!E14)</f>
        <v>61211</v>
      </c>
    </row>
    <row r="72" spans="1:3" ht="38.25" x14ac:dyDescent="0.2">
      <c r="A72" s="59" t="s">
        <v>108</v>
      </c>
      <c r="B72" s="67" t="s">
        <v>109</v>
      </c>
      <c r="C72" s="70">
        <f>IF([3]С2.3!E23&gt;0,[3]С2.3!E23,[3]С2.3!E15)</f>
        <v>45675</v>
      </c>
    </row>
    <row r="73" spans="1:3" ht="30" x14ac:dyDescent="0.2">
      <c r="A73" s="59" t="s">
        <v>110</v>
      </c>
      <c r="B73" s="52" t="s">
        <v>111</v>
      </c>
      <c r="C73" s="32">
        <f>[3]С2.1!E28</f>
        <v>9541.9567200000001</v>
      </c>
    </row>
    <row r="74" spans="1:3" ht="38.25" x14ac:dyDescent="0.2">
      <c r="A74" s="59" t="s">
        <v>112</v>
      </c>
      <c r="B74" s="67" t="s">
        <v>113</v>
      </c>
      <c r="C74" s="51">
        <f>[3]С2.3!E25</f>
        <v>0</v>
      </c>
    </row>
    <row r="75" spans="1:3" ht="25.5" x14ac:dyDescent="0.2">
      <c r="A75" s="59" t="s">
        <v>114</v>
      </c>
      <c r="B75" s="68" t="s">
        <v>115</v>
      </c>
      <c r="C75" s="69">
        <f>[3]С2.3!E12</f>
        <v>0.56000000000000005</v>
      </c>
    </row>
    <row r="76" spans="1:3" ht="25.5" x14ac:dyDescent="0.2">
      <c r="A76" s="59" t="s">
        <v>116</v>
      </c>
      <c r="B76" s="68" t="s">
        <v>105</v>
      </c>
      <c r="C76" s="64">
        <f>[3]С2.3!E13</f>
        <v>300</v>
      </c>
    </row>
    <row r="77" spans="1:3" ht="25.5" x14ac:dyDescent="0.2">
      <c r="A77" s="59" t="s">
        <v>117</v>
      </c>
      <c r="B77" s="71" t="s">
        <v>118</v>
      </c>
      <c r="C77" s="70">
        <f>IF([3]С2.3!E26&gt;0,[3]С2.3!E26,[3]С2.3!E16)</f>
        <v>65637</v>
      </c>
    </row>
    <row r="78" spans="1:3" ht="38.25" x14ac:dyDescent="0.2">
      <c r="A78" s="59" t="s">
        <v>119</v>
      </c>
      <c r="B78" s="71" t="s">
        <v>120</v>
      </c>
      <c r="C78" s="70">
        <f>IF([3]С2.3!E27&gt;0,[3]С2.3!E27,[3]С2.3!E17)</f>
        <v>31684</v>
      </c>
    </row>
    <row r="79" spans="1:3" ht="17.25" x14ac:dyDescent="0.2">
      <c r="A79" s="59" t="s">
        <v>123</v>
      </c>
      <c r="B79" s="31" t="s">
        <v>124</v>
      </c>
      <c r="C79" s="34">
        <f>[3]С2!F29</f>
        <v>9.5962865259740182E-2</v>
      </c>
    </row>
    <row r="80" spans="1:3" ht="30" x14ac:dyDescent="0.2">
      <c r="A80" s="59" t="s">
        <v>125</v>
      </c>
      <c r="B80" s="52" t="s">
        <v>126</v>
      </c>
      <c r="C80" s="72">
        <f>[3]С2!F30</f>
        <v>8.4029304029304031E-2</v>
      </c>
    </row>
    <row r="81" spans="1:3" ht="17.25" x14ac:dyDescent="0.2">
      <c r="A81" s="59" t="s">
        <v>127</v>
      </c>
      <c r="B81" s="73" t="s">
        <v>128</v>
      </c>
      <c r="C81" s="34">
        <f>[3]С2!F31</f>
        <v>0.13880000000000001</v>
      </c>
    </row>
    <row r="82" spans="1:3" s="65" customFormat="1" ht="18" thickBot="1" x14ac:dyDescent="0.25">
      <c r="A82" s="74" t="s">
        <v>129</v>
      </c>
      <c r="B82" s="75" t="s">
        <v>130</v>
      </c>
      <c r="C82" s="76">
        <f>[3]С2!F32</f>
        <v>0.12640000000000001</v>
      </c>
    </row>
    <row r="83" spans="1:3" ht="13.5" thickBot="1" x14ac:dyDescent="0.25">
      <c r="A83" s="47"/>
      <c r="B83" s="48"/>
      <c r="C83" s="14"/>
    </row>
    <row r="84" spans="1:3" s="65" customFormat="1" ht="30" customHeight="1" x14ac:dyDescent="0.2">
      <c r="A84" s="77" t="s">
        <v>131</v>
      </c>
      <c r="B84" s="145" t="s">
        <v>132</v>
      </c>
      <c r="C84" s="145"/>
    </row>
    <row r="85" spans="1:3" s="65" customFormat="1" ht="30" x14ac:dyDescent="0.2">
      <c r="A85" s="78" t="s">
        <v>133</v>
      </c>
      <c r="B85" s="31" t="s">
        <v>134</v>
      </c>
      <c r="C85" s="32">
        <f>[3]С3!F14</f>
        <v>6057.0688307111368</v>
      </c>
    </row>
    <row r="86" spans="1:3" s="65" customFormat="1" ht="42.75" x14ac:dyDescent="0.2">
      <c r="A86" s="78" t="s">
        <v>135</v>
      </c>
      <c r="B86" s="52" t="s">
        <v>136</v>
      </c>
      <c r="C86" s="79">
        <f>[3]С3!F15</f>
        <v>0.2</v>
      </c>
    </row>
    <row r="87" spans="1:3" s="65" customFormat="1" ht="14.25" x14ac:dyDescent="0.2">
      <c r="A87" s="78" t="s">
        <v>137</v>
      </c>
      <c r="B87" s="80" t="s">
        <v>138</v>
      </c>
      <c r="C87" s="64">
        <f>[3]С3!F18</f>
        <v>15</v>
      </c>
    </row>
    <row r="88" spans="1:3" s="65" customFormat="1" ht="17.25" x14ac:dyDescent="0.2">
      <c r="A88" s="78" t="s">
        <v>139</v>
      </c>
      <c r="B88" s="31" t="s">
        <v>140</v>
      </c>
      <c r="C88" s="32">
        <f>[3]С3!F19</f>
        <v>3778.1614077800232</v>
      </c>
    </row>
    <row r="89" spans="1:3" s="65" customFormat="1" ht="55.5" x14ac:dyDescent="0.2">
      <c r="A89" s="78" t="s">
        <v>141</v>
      </c>
      <c r="B89" s="52" t="s">
        <v>142</v>
      </c>
      <c r="C89" s="81">
        <f>[3]С3!F20</f>
        <v>2.1999999999999999E-2</v>
      </c>
    </row>
    <row r="90" spans="1:3" s="65" customFormat="1" ht="14.25" x14ac:dyDescent="0.2">
      <c r="A90" s="78" t="s">
        <v>143</v>
      </c>
      <c r="B90" s="58" t="s">
        <v>87</v>
      </c>
      <c r="C90" s="64">
        <f>[3]С3!F21</f>
        <v>10</v>
      </c>
    </row>
    <row r="91" spans="1:3" s="65" customFormat="1" ht="17.25" x14ac:dyDescent="0.2">
      <c r="A91" s="78" t="s">
        <v>144</v>
      </c>
      <c r="B91" s="31" t="s">
        <v>145</v>
      </c>
      <c r="C91" s="32">
        <f>[3]С3!F22</f>
        <v>3.7991236581345382</v>
      </c>
    </row>
    <row r="92" spans="1:3" s="65" customFormat="1" ht="55.5" x14ac:dyDescent="0.2">
      <c r="A92" s="78" t="s">
        <v>146</v>
      </c>
      <c r="B92" s="52" t="s">
        <v>147</v>
      </c>
      <c r="C92" s="81">
        <f>[3]С3!F23</f>
        <v>3.0000000000000001E-3</v>
      </c>
    </row>
    <row r="93" spans="1:3" s="65" customFormat="1" ht="27.75" thickBot="1" x14ac:dyDescent="0.25">
      <c r="A93" s="82" t="s">
        <v>148</v>
      </c>
      <c r="B93" s="83" t="s">
        <v>241</v>
      </c>
      <c r="C93" s="84">
        <f>[3]С3!F24</f>
        <v>1266.3745527115127</v>
      </c>
    </row>
    <row r="94" spans="1:3" ht="13.5" thickBot="1" x14ac:dyDescent="0.25">
      <c r="A94" s="47"/>
      <c r="B94" s="48"/>
      <c r="C94" s="14"/>
    </row>
    <row r="95" spans="1:3" ht="30" customHeight="1" x14ac:dyDescent="0.2">
      <c r="A95" s="85" t="s">
        <v>149</v>
      </c>
      <c r="B95" s="145" t="s">
        <v>150</v>
      </c>
      <c r="C95" s="145"/>
    </row>
    <row r="96" spans="1:3" ht="30" x14ac:dyDescent="0.2">
      <c r="A96" s="59" t="s">
        <v>151</v>
      </c>
      <c r="B96" s="31" t="s">
        <v>242</v>
      </c>
      <c r="C96" s="32">
        <f>[3]С4!F16</f>
        <v>1652.5</v>
      </c>
    </row>
    <row r="97" spans="1:3" ht="30" x14ac:dyDescent="0.2">
      <c r="A97" s="59" t="s">
        <v>153</v>
      </c>
      <c r="B97" s="58" t="s">
        <v>243</v>
      </c>
      <c r="C97" s="32">
        <f>[3]С4!F17</f>
        <v>73547</v>
      </c>
    </row>
    <row r="98" spans="1:3" ht="17.25" x14ac:dyDescent="0.2">
      <c r="A98" s="59" t="s">
        <v>155</v>
      </c>
      <c r="B98" s="58" t="s">
        <v>156</v>
      </c>
      <c r="C98" s="40">
        <f>[3]С4!F18</f>
        <v>0.02</v>
      </c>
    </row>
    <row r="99" spans="1:3" ht="30" x14ac:dyDescent="0.2">
      <c r="A99" s="59" t="s">
        <v>157</v>
      </c>
      <c r="B99" s="58" t="s">
        <v>158</v>
      </c>
      <c r="C99" s="32">
        <f>[3]С4!F19</f>
        <v>12104</v>
      </c>
    </row>
    <row r="100" spans="1:3" ht="28.5" x14ac:dyDescent="0.2">
      <c r="A100" s="59" t="s">
        <v>159</v>
      </c>
      <c r="B100" s="58" t="s">
        <v>160</v>
      </c>
      <c r="C100" s="40">
        <f>[3]С4!F20</f>
        <v>1.4999999999999999E-2</v>
      </c>
    </row>
    <row r="101" spans="1:3" ht="30" x14ac:dyDescent="0.2">
      <c r="A101" s="59" t="s">
        <v>161</v>
      </c>
      <c r="B101" s="31" t="s">
        <v>244</v>
      </c>
      <c r="C101" s="32">
        <f>[3]С4!F21</f>
        <v>1933.1949342509995</v>
      </c>
    </row>
    <row r="102" spans="1:3" ht="24" customHeight="1" x14ac:dyDescent="0.2">
      <c r="A102" s="59" t="s">
        <v>163</v>
      </c>
      <c r="B102" s="52" t="s">
        <v>164</v>
      </c>
      <c r="C102" s="33">
        <f>IF([3]С4.2!F8="да",[3]С4.2!D21,[3]С4.2!D15)</f>
        <v>0</v>
      </c>
    </row>
    <row r="103" spans="1:3" ht="68.25" x14ac:dyDescent="0.2">
      <c r="A103" s="59" t="s">
        <v>165</v>
      </c>
      <c r="B103" s="52" t="s">
        <v>166</v>
      </c>
      <c r="C103" s="32">
        <f>[3]С4!F22</f>
        <v>3.6112641666666665</v>
      </c>
    </row>
    <row r="104" spans="1:3" ht="30" x14ac:dyDescent="0.2">
      <c r="A104" s="59" t="s">
        <v>167</v>
      </c>
      <c r="B104" s="58" t="s">
        <v>245</v>
      </c>
      <c r="C104" s="32">
        <f>[3]С4!F23</f>
        <v>180</v>
      </c>
    </row>
    <row r="105" spans="1:3" ht="14.25" x14ac:dyDescent="0.2">
      <c r="A105" s="59" t="s">
        <v>169</v>
      </c>
      <c r="B105" s="52" t="s">
        <v>170</v>
      </c>
      <c r="C105" s="32">
        <f>[3]С4!F24</f>
        <v>8497.1999999999989</v>
      </c>
    </row>
    <row r="106" spans="1:3" ht="14.25" x14ac:dyDescent="0.2">
      <c r="A106" s="59" t="s">
        <v>171</v>
      </c>
      <c r="B106" s="58" t="s">
        <v>172</v>
      </c>
      <c r="C106" s="40">
        <f>[3]С4!F25</f>
        <v>0.35</v>
      </c>
    </row>
    <row r="107" spans="1:3" ht="17.25" x14ac:dyDescent="0.2">
      <c r="A107" s="59" t="s">
        <v>173</v>
      </c>
      <c r="B107" s="31" t="s">
        <v>174</v>
      </c>
      <c r="C107" s="32">
        <f>[3]С4!F26</f>
        <v>85.855050000000006</v>
      </c>
    </row>
    <row r="108" spans="1:3" ht="25.5" x14ac:dyDescent="0.2">
      <c r="A108" s="59" t="s">
        <v>175</v>
      </c>
      <c r="B108" s="52" t="s">
        <v>101</v>
      </c>
      <c r="C108" s="33">
        <f>[3]С4.3!E16</f>
        <v>0</v>
      </c>
    </row>
    <row r="109" spans="1:3" ht="25.5" x14ac:dyDescent="0.2">
      <c r="A109" s="59" t="s">
        <v>176</v>
      </c>
      <c r="B109" s="52" t="s">
        <v>177</v>
      </c>
      <c r="C109" s="32">
        <f>[3]С4.3!E17</f>
        <v>21.07</v>
      </c>
    </row>
    <row r="110" spans="1:3" ht="38.25" x14ac:dyDescent="0.2">
      <c r="A110" s="59" t="s">
        <v>178</v>
      </c>
      <c r="B110" s="52" t="s">
        <v>113</v>
      </c>
      <c r="C110" s="33">
        <f>[3]С4.3!E18</f>
        <v>0</v>
      </c>
    </row>
    <row r="111" spans="1:3" x14ac:dyDescent="0.2">
      <c r="A111" s="59" t="s">
        <v>179</v>
      </c>
      <c r="B111" s="52" t="s">
        <v>180</v>
      </c>
      <c r="C111" s="32">
        <f>[3]С4.3!E19</f>
        <v>58.64</v>
      </c>
    </row>
    <row r="112" spans="1:3" x14ac:dyDescent="0.2">
      <c r="A112" s="59" t="s">
        <v>181</v>
      </c>
      <c r="B112" s="58" t="s">
        <v>182</v>
      </c>
      <c r="C112" s="32">
        <f>[3]С4.3!E11</f>
        <v>1871</v>
      </c>
    </row>
    <row r="113" spans="1:3" x14ac:dyDescent="0.2">
      <c r="A113" s="59" t="s">
        <v>183</v>
      </c>
      <c r="B113" s="58" t="s">
        <v>184</v>
      </c>
      <c r="C113" s="51">
        <f>[3]С4.3!E12</f>
        <v>1636</v>
      </c>
    </row>
    <row r="114" spans="1:3" x14ac:dyDescent="0.2">
      <c r="A114" s="59" t="s">
        <v>185</v>
      </c>
      <c r="B114" s="58" t="s">
        <v>186</v>
      </c>
      <c r="C114" s="51">
        <f>[3]С4.3!E13</f>
        <v>204</v>
      </c>
    </row>
    <row r="115" spans="1:3" ht="30" x14ac:dyDescent="0.2">
      <c r="A115" s="59" t="s">
        <v>187</v>
      </c>
      <c r="B115" s="31" t="s">
        <v>246</v>
      </c>
      <c r="C115" s="32">
        <f>[3]С4!F27</f>
        <v>1351.1912129385403</v>
      </c>
    </row>
    <row r="116" spans="1:3" ht="25.5" x14ac:dyDescent="0.2">
      <c r="A116" s="59" t="s">
        <v>189</v>
      </c>
      <c r="B116" s="52" t="s">
        <v>247</v>
      </c>
      <c r="C116" s="32">
        <f>[3]С4!F28</f>
        <v>1037.7812695380494</v>
      </c>
    </row>
    <row r="117" spans="1:3" ht="42.75" x14ac:dyDescent="0.2">
      <c r="A117" s="59" t="s">
        <v>191</v>
      </c>
      <c r="B117" s="52" t="s">
        <v>192</v>
      </c>
      <c r="C117" s="32">
        <f>[3]С4!F29</f>
        <v>313.40994340049093</v>
      </c>
    </row>
    <row r="118" spans="1:3" ht="30" x14ac:dyDescent="0.2">
      <c r="A118" s="59" t="s">
        <v>193</v>
      </c>
      <c r="B118" s="39" t="s">
        <v>194</v>
      </c>
      <c r="C118" s="32">
        <f>[3]С4!F30</f>
        <v>1733.8019806095706</v>
      </c>
    </row>
    <row r="119" spans="1:3" ht="42.75" x14ac:dyDescent="0.2">
      <c r="A119" s="59" t="s">
        <v>248</v>
      </c>
      <c r="B119" s="89" t="s">
        <v>249</v>
      </c>
      <c r="C119" s="32">
        <f>[3]С4!F33</f>
        <v>1010.5011744884268</v>
      </c>
    </row>
    <row r="120" spans="1:3" ht="30" x14ac:dyDescent="0.2">
      <c r="A120" s="59" t="s">
        <v>250</v>
      </c>
      <c r="B120" s="121" t="s">
        <v>251</v>
      </c>
      <c r="C120" s="32">
        <f>[3]С4!F35</f>
        <v>17.040680999999999</v>
      </c>
    </row>
    <row r="121" spans="1:3" ht="14.25" x14ac:dyDescent="0.2">
      <c r="A121" s="59" t="s">
        <v>252</v>
      </c>
      <c r="B121" s="55" t="s">
        <v>253</v>
      </c>
      <c r="C121" s="32">
        <f>[3]С4!F36</f>
        <v>14319.9</v>
      </c>
    </row>
    <row r="122" spans="1:3" ht="28.5" thickBot="1" x14ac:dyDescent="0.25">
      <c r="A122" s="74" t="s">
        <v>254</v>
      </c>
      <c r="B122" s="122" t="s">
        <v>255</v>
      </c>
      <c r="C122" s="84">
        <f>[3]С4!F37</f>
        <v>1.19</v>
      </c>
    </row>
    <row r="123" spans="1:3" s="87" customFormat="1" ht="13.5" thickBot="1" x14ac:dyDescent="0.25">
      <c r="A123" s="47"/>
      <c r="B123" s="48"/>
      <c r="C123" s="14"/>
    </row>
    <row r="124" spans="1:3" s="65" customFormat="1" ht="30" customHeight="1" x14ac:dyDescent="0.2">
      <c r="A124" s="77" t="s">
        <v>195</v>
      </c>
      <c r="B124" s="145" t="s">
        <v>196</v>
      </c>
      <c r="C124" s="145"/>
    </row>
    <row r="125" spans="1:3" ht="16.5" thickBot="1" x14ac:dyDescent="0.25">
      <c r="A125" s="26" t="s">
        <v>197</v>
      </c>
      <c r="B125" s="86" t="s">
        <v>198</v>
      </c>
      <c r="C125" s="84">
        <f>[3]С5!F17</f>
        <v>0.02</v>
      </c>
    </row>
    <row r="126" spans="1:3" s="87" customFormat="1" ht="13.5" thickBot="1" x14ac:dyDescent="0.25">
      <c r="A126" s="47"/>
      <c r="B126" s="48"/>
      <c r="C126" s="14"/>
    </row>
    <row r="127" spans="1:3" ht="42.75" customHeight="1" x14ac:dyDescent="0.2">
      <c r="A127" s="85" t="s">
        <v>199</v>
      </c>
      <c r="B127" s="147" t="s">
        <v>200</v>
      </c>
      <c r="C127" s="147"/>
    </row>
    <row r="128" spans="1:3" ht="68.25" x14ac:dyDescent="0.2">
      <c r="A128" s="59" t="s">
        <v>201</v>
      </c>
      <c r="B128" s="88" t="s">
        <v>202</v>
      </c>
      <c r="C128" s="32" t="s">
        <v>256</v>
      </c>
    </row>
    <row r="129" spans="1:3" ht="42.75" hidden="1" x14ac:dyDescent="0.2">
      <c r="A129" s="59" t="s">
        <v>203</v>
      </c>
      <c r="B129" s="89" t="s">
        <v>204</v>
      </c>
      <c r="C129" s="90"/>
    </row>
    <row r="130" spans="1:3" ht="69" thickBot="1" x14ac:dyDescent="0.25">
      <c r="A130" s="74" t="s">
        <v>205</v>
      </c>
      <c r="B130" s="123" t="s">
        <v>206</v>
      </c>
      <c r="C130" s="124" t="s">
        <v>256</v>
      </c>
    </row>
    <row r="131" spans="1:3" ht="62.25" hidden="1" customHeight="1" x14ac:dyDescent="0.2">
      <c r="A131" s="125" t="s">
        <v>207</v>
      </c>
      <c r="B131" s="126" t="s">
        <v>208</v>
      </c>
      <c r="C131" s="127"/>
    </row>
    <row r="132" spans="1:3" ht="68.25" hidden="1" x14ac:dyDescent="0.2">
      <c r="A132" s="59" t="s">
        <v>209</v>
      </c>
      <c r="B132" s="89" t="s">
        <v>257</v>
      </c>
      <c r="C132" s="34"/>
    </row>
    <row r="133" spans="1:3" ht="69" hidden="1" thickBot="1" x14ac:dyDescent="0.25">
      <c r="A133" s="74" t="s">
        <v>211</v>
      </c>
      <c r="B133" s="92" t="s">
        <v>212</v>
      </c>
      <c r="C133" s="76"/>
    </row>
    <row r="134" spans="1:3" s="87" customFormat="1" ht="13.5" thickBot="1" x14ac:dyDescent="0.25">
      <c r="A134" s="47"/>
      <c r="B134" s="48"/>
      <c r="C134" s="14"/>
    </row>
    <row r="135" spans="1:3" ht="26.25" customHeight="1" x14ac:dyDescent="0.2">
      <c r="A135" s="85" t="s">
        <v>213</v>
      </c>
      <c r="B135" s="93" t="s">
        <v>214</v>
      </c>
      <c r="C135" s="94">
        <f>[3]С2!F37</f>
        <v>20.818139999999996</v>
      </c>
    </row>
    <row r="136" spans="1:3" ht="14.25" x14ac:dyDescent="0.2">
      <c r="A136" s="59" t="s">
        <v>215</v>
      </c>
      <c r="B136" s="128" t="s">
        <v>216</v>
      </c>
      <c r="C136" s="32">
        <f>[3]С2!F38</f>
        <v>7</v>
      </c>
    </row>
    <row r="137" spans="1:3" ht="17.25" x14ac:dyDescent="0.2">
      <c r="A137" s="59" t="s">
        <v>217</v>
      </c>
      <c r="B137" s="128" t="s">
        <v>218</v>
      </c>
      <c r="C137" s="32">
        <f>[3]С2!F40</f>
        <v>0.97</v>
      </c>
    </row>
    <row r="138" spans="1:3" ht="15" thickBot="1" x14ac:dyDescent="0.25">
      <c r="A138" s="74" t="s">
        <v>219</v>
      </c>
      <c r="B138" s="129" t="s">
        <v>220</v>
      </c>
      <c r="C138" s="46">
        <f>[3]С2!F42</f>
        <v>0.35</v>
      </c>
    </row>
    <row r="139" spans="1:3" s="87" customFormat="1" ht="13.5" thickBot="1" x14ac:dyDescent="0.25">
      <c r="A139" s="47"/>
      <c r="B139" s="48"/>
      <c r="C139" s="14"/>
    </row>
    <row r="140" spans="1:3" ht="30" x14ac:dyDescent="0.2">
      <c r="A140" s="85" t="s">
        <v>221</v>
      </c>
      <c r="B140" s="95" t="s">
        <v>258</v>
      </c>
      <c r="C140" s="130">
        <f>[3]С2!F35</f>
        <v>1.4976266307379205</v>
      </c>
    </row>
    <row r="141" spans="1:3" ht="22.7" customHeight="1" thickBot="1" x14ac:dyDescent="0.25">
      <c r="A141" s="74" t="s">
        <v>223</v>
      </c>
      <c r="B141" s="141" t="s">
        <v>224</v>
      </c>
      <c r="C141" s="141"/>
    </row>
    <row r="142" spans="1:3" ht="13.5" thickBot="1" x14ac:dyDescent="0.25">
      <c r="A142" s="97"/>
      <c r="B142" s="131" t="s">
        <v>0</v>
      </c>
      <c r="C142" s="132"/>
    </row>
    <row r="143" spans="1:3" x14ac:dyDescent="0.2">
      <c r="A143" s="97"/>
      <c r="B143" s="133">
        <v>2020</v>
      </c>
      <c r="C143" s="134">
        <f>[3]С2.5!$E$11</f>
        <v>-2.9000000000000026E-2</v>
      </c>
    </row>
    <row r="144" spans="1:3" x14ac:dyDescent="0.2">
      <c r="A144" s="97"/>
      <c r="B144" s="104">
        <f>B143+1</f>
        <v>2021</v>
      </c>
      <c r="C144" s="135">
        <f>[3]С2.5!$F$11</f>
        <v>0.245</v>
      </c>
    </row>
    <row r="145" spans="1:3" x14ac:dyDescent="0.2">
      <c r="A145" s="97"/>
      <c r="B145" s="104">
        <f t="shared" ref="B145:B208" si="0">B144+1</f>
        <v>2022</v>
      </c>
      <c r="C145" s="135">
        <f>[3]С2.5!$G$11</f>
        <v>0.114</v>
      </c>
    </row>
    <row r="146" spans="1:3" ht="13.5" thickBot="1" x14ac:dyDescent="0.25">
      <c r="A146" s="97"/>
      <c r="B146" s="106">
        <f t="shared" si="0"/>
        <v>2023</v>
      </c>
      <c r="C146" s="136">
        <f>[3]С2.5!$H$11</f>
        <v>2.4E-2</v>
      </c>
    </row>
    <row r="147" spans="1:3" x14ac:dyDescent="0.2">
      <c r="A147" s="97"/>
      <c r="B147" s="137">
        <f t="shared" si="0"/>
        <v>2024</v>
      </c>
      <c r="C147" s="138">
        <f>[3]С2.5!$I$11</f>
        <v>8.5999999999999993E-2</v>
      </c>
    </row>
    <row r="148" spans="1:3" hidden="1" x14ac:dyDescent="0.2">
      <c r="A148" s="97"/>
      <c r="B148" s="104">
        <f t="shared" si="0"/>
        <v>2025</v>
      </c>
      <c r="C148" s="135">
        <f>[3]С2.5!$J$11</f>
        <v>0.21215960863291</v>
      </c>
    </row>
    <row r="149" spans="1:3" hidden="1" x14ac:dyDescent="0.2">
      <c r="A149" s="97"/>
      <c r="B149" s="104">
        <f t="shared" si="0"/>
        <v>2026</v>
      </c>
      <c r="C149" s="135">
        <f>[3]С2.5!$K$11</f>
        <v>3.5813361771260002E-2</v>
      </c>
    </row>
    <row r="150" spans="1:3" hidden="1" x14ac:dyDescent="0.2">
      <c r="A150" s="97"/>
      <c r="B150" s="104">
        <f t="shared" si="0"/>
        <v>2027</v>
      </c>
      <c r="C150" s="135">
        <f>[3]С2.5!$L$11</f>
        <v>3.2682303599220003E-2</v>
      </c>
    </row>
    <row r="151" spans="1:3" hidden="1" x14ac:dyDescent="0.2">
      <c r="A151" s="97"/>
      <c r="B151" s="104">
        <f t="shared" si="0"/>
        <v>2028</v>
      </c>
      <c r="C151" s="135">
        <f>[3]С2.5!$M$11</f>
        <v>0</v>
      </c>
    </row>
    <row r="152" spans="1:3" hidden="1" x14ac:dyDescent="0.2">
      <c r="A152" s="97"/>
      <c r="B152" s="104">
        <f t="shared" si="0"/>
        <v>2029</v>
      </c>
      <c r="C152" s="135">
        <f>[3]С2.5!$N$11</f>
        <v>0</v>
      </c>
    </row>
    <row r="153" spans="1:3" hidden="1" x14ac:dyDescent="0.2">
      <c r="A153" s="97"/>
      <c r="B153" s="104">
        <f t="shared" si="0"/>
        <v>2030</v>
      </c>
      <c r="C153" s="135">
        <f>[3]С2.5!$O$11</f>
        <v>0</v>
      </c>
    </row>
    <row r="154" spans="1:3" hidden="1" x14ac:dyDescent="0.2">
      <c r="A154" s="97"/>
      <c r="B154" s="104">
        <f t="shared" si="0"/>
        <v>2031</v>
      </c>
      <c r="C154" s="135">
        <f>[3]С2.5!$P$11</f>
        <v>0</v>
      </c>
    </row>
    <row r="155" spans="1:3" hidden="1" x14ac:dyDescent="0.2">
      <c r="A155" s="87"/>
      <c r="B155" s="104">
        <f t="shared" si="0"/>
        <v>2032</v>
      </c>
      <c r="C155" s="135">
        <f>[3]С2.5!$Q$11</f>
        <v>0</v>
      </c>
    </row>
    <row r="156" spans="1:3" hidden="1" x14ac:dyDescent="0.2">
      <c r="A156" s="87"/>
      <c r="B156" s="104">
        <f t="shared" si="0"/>
        <v>2033</v>
      </c>
      <c r="C156" s="135">
        <f>[3]С2.5!$R$11</f>
        <v>0</v>
      </c>
    </row>
    <row r="157" spans="1:3" hidden="1" x14ac:dyDescent="0.2">
      <c r="B157" s="104">
        <f t="shared" si="0"/>
        <v>2034</v>
      </c>
      <c r="C157" s="135">
        <f>[3]С2.5!$S$11</f>
        <v>0</v>
      </c>
    </row>
    <row r="158" spans="1:3" hidden="1" x14ac:dyDescent="0.2">
      <c r="B158" s="104">
        <f t="shared" si="0"/>
        <v>2035</v>
      </c>
      <c r="C158" s="135">
        <f>[3]С2.5!$T$11</f>
        <v>0</v>
      </c>
    </row>
    <row r="159" spans="1:3" hidden="1" x14ac:dyDescent="0.2">
      <c r="B159" s="104">
        <f t="shared" si="0"/>
        <v>2036</v>
      </c>
      <c r="C159" s="135">
        <f>[3]С2.5!$U$11</f>
        <v>0</v>
      </c>
    </row>
    <row r="160" spans="1:3" hidden="1" x14ac:dyDescent="0.2">
      <c r="B160" s="104">
        <f t="shared" si="0"/>
        <v>2037</v>
      </c>
      <c r="C160" s="135">
        <f>[3]С2.5!$V$11</f>
        <v>0</v>
      </c>
    </row>
    <row r="161" spans="2:3" hidden="1" x14ac:dyDescent="0.2">
      <c r="B161" s="104">
        <f t="shared" si="0"/>
        <v>2038</v>
      </c>
      <c r="C161" s="135">
        <f>[3]С2.5!$W$11</f>
        <v>0</v>
      </c>
    </row>
    <row r="162" spans="2:3" hidden="1" x14ac:dyDescent="0.2">
      <c r="B162" s="104">
        <f t="shared" si="0"/>
        <v>2039</v>
      </c>
      <c r="C162" s="135">
        <f>[3]С2.5!$X$11</f>
        <v>0</v>
      </c>
    </row>
    <row r="163" spans="2:3" hidden="1" x14ac:dyDescent="0.2">
      <c r="B163" s="104">
        <f t="shared" si="0"/>
        <v>2040</v>
      </c>
      <c r="C163" s="135">
        <f>[3]С2.5!$Y$11</f>
        <v>0</v>
      </c>
    </row>
    <row r="164" spans="2:3" hidden="1" x14ac:dyDescent="0.2">
      <c r="B164" s="104">
        <f t="shared" si="0"/>
        <v>2041</v>
      </c>
      <c r="C164" s="135">
        <f>[3]С2.5!$Z$11</f>
        <v>0</v>
      </c>
    </row>
    <row r="165" spans="2:3" hidden="1" x14ac:dyDescent="0.2">
      <c r="B165" s="104">
        <f t="shared" si="0"/>
        <v>2042</v>
      </c>
      <c r="C165" s="135">
        <f>[3]С2.5!$AA$11</f>
        <v>0</v>
      </c>
    </row>
    <row r="166" spans="2:3" hidden="1" x14ac:dyDescent="0.2">
      <c r="B166" s="104">
        <f t="shared" si="0"/>
        <v>2043</v>
      </c>
      <c r="C166" s="135">
        <f>[3]С2.5!$AB$11</f>
        <v>0</v>
      </c>
    </row>
    <row r="167" spans="2:3" hidden="1" x14ac:dyDescent="0.2">
      <c r="B167" s="104">
        <f t="shared" si="0"/>
        <v>2044</v>
      </c>
      <c r="C167" s="135">
        <f>[3]С2.5!$AC$11</f>
        <v>0</v>
      </c>
    </row>
    <row r="168" spans="2:3" hidden="1" x14ac:dyDescent="0.2">
      <c r="B168" s="104">
        <f t="shared" si="0"/>
        <v>2045</v>
      </c>
      <c r="C168" s="135">
        <f>[3]С2.5!$AD$11</f>
        <v>0</v>
      </c>
    </row>
    <row r="169" spans="2:3" hidden="1" x14ac:dyDescent="0.2">
      <c r="B169" s="104">
        <f t="shared" si="0"/>
        <v>2046</v>
      </c>
      <c r="C169" s="135">
        <f>[3]С2.5!$AE$11</f>
        <v>0</v>
      </c>
    </row>
    <row r="170" spans="2:3" hidden="1" x14ac:dyDescent="0.2">
      <c r="B170" s="104">
        <f t="shared" si="0"/>
        <v>2047</v>
      </c>
      <c r="C170" s="135">
        <f>[3]С2.5!$AF$11</f>
        <v>0</v>
      </c>
    </row>
    <row r="171" spans="2:3" hidden="1" x14ac:dyDescent="0.2">
      <c r="B171" s="104">
        <f t="shared" si="0"/>
        <v>2048</v>
      </c>
      <c r="C171" s="135">
        <f>[3]С2.5!$AG$11</f>
        <v>0</v>
      </c>
    </row>
    <row r="172" spans="2:3" hidden="1" x14ac:dyDescent="0.2">
      <c r="B172" s="104">
        <f t="shared" si="0"/>
        <v>2049</v>
      </c>
      <c r="C172" s="135">
        <f>[3]С2.5!$AH$11</f>
        <v>0</v>
      </c>
    </row>
    <row r="173" spans="2:3" hidden="1" x14ac:dyDescent="0.2">
      <c r="B173" s="104">
        <f t="shared" si="0"/>
        <v>2050</v>
      </c>
      <c r="C173" s="135">
        <f>[3]С2.5!$AI$11</f>
        <v>0</v>
      </c>
    </row>
    <row r="174" spans="2:3" hidden="1" x14ac:dyDescent="0.2">
      <c r="B174" s="104">
        <f t="shared" si="0"/>
        <v>2051</v>
      </c>
      <c r="C174" s="135">
        <f>[3]С2.5!$AJ$11</f>
        <v>0</v>
      </c>
    </row>
    <row r="175" spans="2:3" hidden="1" x14ac:dyDescent="0.2">
      <c r="B175" s="104">
        <f t="shared" si="0"/>
        <v>2052</v>
      </c>
      <c r="C175" s="135">
        <f>[3]С2.5!$AK$11</f>
        <v>0</v>
      </c>
    </row>
    <row r="176" spans="2:3" hidden="1" x14ac:dyDescent="0.2">
      <c r="B176" s="104">
        <f t="shared" si="0"/>
        <v>2053</v>
      </c>
      <c r="C176" s="135">
        <f>[3]С2.5!$AL$11</f>
        <v>0</v>
      </c>
    </row>
    <row r="177" spans="2:3" hidden="1" x14ac:dyDescent="0.2">
      <c r="B177" s="104">
        <f t="shared" si="0"/>
        <v>2054</v>
      </c>
      <c r="C177" s="135">
        <f>[3]С2.5!$AM$11</f>
        <v>0</v>
      </c>
    </row>
    <row r="178" spans="2:3" hidden="1" x14ac:dyDescent="0.2">
      <c r="B178" s="104">
        <f t="shared" si="0"/>
        <v>2055</v>
      </c>
      <c r="C178" s="135">
        <f>[3]С2.5!$AN$11</f>
        <v>0</v>
      </c>
    </row>
    <row r="179" spans="2:3" hidden="1" x14ac:dyDescent="0.2">
      <c r="B179" s="104">
        <f t="shared" si="0"/>
        <v>2056</v>
      </c>
      <c r="C179" s="135">
        <f>[3]С2.5!$AO$11</f>
        <v>0</v>
      </c>
    </row>
    <row r="180" spans="2:3" hidden="1" x14ac:dyDescent="0.2">
      <c r="B180" s="104">
        <f t="shared" si="0"/>
        <v>2057</v>
      </c>
      <c r="C180" s="135">
        <f>[3]С2.5!$AP$11</f>
        <v>0</v>
      </c>
    </row>
    <row r="181" spans="2:3" hidden="1" x14ac:dyDescent="0.2">
      <c r="B181" s="104">
        <f t="shared" si="0"/>
        <v>2058</v>
      </c>
      <c r="C181" s="135">
        <f>[3]С2.5!$AQ$11</f>
        <v>0</v>
      </c>
    </row>
    <row r="182" spans="2:3" hidden="1" x14ac:dyDescent="0.2">
      <c r="B182" s="104">
        <f t="shared" si="0"/>
        <v>2059</v>
      </c>
      <c r="C182" s="135">
        <f>[3]С2.5!$AR$11</f>
        <v>0</v>
      </c>
    </row>
    <row r="183" spans="2:3" hidden="1" x14ac:dyDescent="0.2">
      <c r="B183" s="104">
        <f t="shared" si="0"/>
        <v>2060</v>
      </c>
      <c r="C183" s="135">
        <f>[3]С2.5!$AS$11</f>
        <v>0</v>
      </c>
    </row>
    <row r="184" spans="2:3" hidden="1" x14ac:dyDescent="0.2">
      <c r="B184" s="104">
        <f t="shared" si="0"/>
        <v>2061</v>
      </c>
      <c r="C184" s="135">
        <f>[3]С2.5!$AT$11</f>
        <v>0</v>
      </c>
    </row>
    <row r="185" spans="2:3" hidden="1" x14ac:dyDescent="0.2">
      <c r="B185" s="104">
        <f t="shared" si="0"/>
        <v>2062</v>
      </c>
      <c r="C185" s="135">
        <f>[3]С2.5!$AU$11</f>
        <v>0</v>
      </c>
    </row>
    <row r="186" spans="2:3" hidden="1" x14ac:dyDescent="0.2">
      <c r="B186" s="104">
        <f t="shared" si="0"/>
        <v>2063</v>
      </c>
      <c r="C186" s="135">
        <f>[3]С2.5!$AV$11</f>
        <v>0</v>
      </c>
    </row>
    <row r="187" spans="2:3" hidden="1" x14ac:dyDescent="0.2">
      <c r="B187" s="104">
        <f t="shared" si="0"/>
        <v>2064</v>
      </c>
      <c r="C187" s="135">
        <f>[3]С2.5!$AW$11</f>
        <v>0</v>
      </c>
    </row>
    <row r="188" spans="2:3" hidden="1" x14ac:dyDescent="0.2">
      <c r="B188" s="104">
        <f t="shared" si="0"/>
        <v>2065</v>
      </c>
      <c r="C188" s="135">
        <f>[3]С2.5!$AX$11</f>
        <v>0</v>
      </c>
    </row>
    <row r="189" spans="2:3" hidden="1" x14ac:dyDescent="0.2">
      <c r="B189" s="104">
        <f t="shared" si="0"/>
        <v>2066</v>
      </c>
      <c r="C189" s="135">
        <f>[3]С2.5!$AY$11</f>
        <v>0</v>
      </c>
    </row>
    <row r="190" spans="2:3" hidden="1" x14ac:dyDescent="0.2">
      <c r="B190" s="104">
        <f t="shared" si="0"/>
        <v>2067</v>
      </c>
      <c r="C190" s="135">
        <f>[3]С2.5!$AZ$11</f>
        <v>0</v>
      </c>
    </row>
    <row r="191" spans="2:3" hidden="1" x14ac:dyDescent="0.2">
      <c r="B191" s="104">
        <f t="shared" si="0"/>
        <v>2068</v>
      </c>
      <c r="C191" s="135">
        <f>[3]С2.5!$BA$11</f>
        <v>0</v>
      </c>
    </row>
    <row r="192" spans="2:3" hidden="1" x14ac:dyDescent="0.2">
      <c r="B192" s="104">
        <f t="shared" si="0"/>
        <v>2069</v>
      </c>
      <c r="C192" s="135">
        <f>[3]С2.5!$BB$11</f>
        <v>0</v>
      </c>
    </row>
    <row r="193" spans="2:3" hidden="1" x14ac:dyDescent="0.2">
      <c r="B193" s="104">
        <f t="shared" si="0"/>
        <v>2070</v>
      </c>
      <c r="C193" s="135">
        <f>[3]С2.5!$BC$11</f>
        <v>0</v>
      </c>
    </row>
    <row r="194" spans="2:3" hidden="1" x14ac:dyDescent="0.2">
      <c r="B194" s="104">
        <f t="shared" si="0"/>
        <v>2071</v>
      </c>
      <c r="C194" s="135">
        <f>[3]С2.5!$BD$11</f>
        <v>0</v>
      </c>
    </row>
    <row r="195" spans="2:3" hidden="1" x14ac:dyDescent="0.2">
      <c r="B195" s="104">
        <f t="shared" si="0"/>
        <v>2072</v>
      </c>
      <c r="C195" s="135">
        <f>[3]С2.5!$BE$11</f>
        <v>0</v>
      </c>
    </row>
    <row r="196" spans="2:3" hidden="1" x14ac:dyDescent="0.2">
      <c r="B196" s="104">
        <f t="shared" si="0"/>
        <v>2073</v>
      </c>
      <c r="C196" s="135">
        <f>[3]С2.5!$BF$11</f>
        <v>0</v>
      </c>
    </row>
    <row r="197" spans="2:3" hidden="1" x14ac:dyDescent="0.2">
      <c r="B197" s="104">
        <f t="shared" si="0"/>
        <v>2074</v>
      </c>
      <c r="C197" s="135">
        <f>[3]С2.5!$BG$11</f>
        <v>0</v>
      </c>
    </row>
    <row r="198" spans="2:3" hidden="1" x14ac:dyDescent="0.2">
      <c r="B198" s="104">
        <f t="shared" si="0"/>
        <v>2075</v>
      </c>
      <c r="C198" s="135">
        <f>[3]С2.5!$BH$11</f>
        <v>0</v>
      </c>
    </row>
    <row r="199" spans="2:3" hidden="1" x14ac:dyDescent="0.2">
      <c r="B199" s="104">
        <f t="shared" si="0"/>
        <v>2076</v>
      </c>
      <c r="C199" s="135">
        <f>[3]С2.5!$BI$11</f>
        <v>0</v>
      </c>
    </row>
    <row r="200" spans="2:3" hidden="1" x14ac:dyDescent="0.2">
      <c r="B200" s="104">
        <f t="shared" si="0"/>
        <v>2077</v>
      </c>
      <c r="C200" s="135">
        <f>[3]С2.5!$BJ$11</f>
        <v>0</v>
      </c>
    </row>
    <row r="201" spans="2:3" hidden="1" x14ac:dyDescent="0.2">
      <c r="B201" s="104">
        <f t="shared" si="0"/>
        <v>2078</v>
      </c>
      <c r="C201" s="135">
        <f>[3]С2.5!$BK$11</f>
        <v>0</v>
      </c>
    </row>
    <row r="202" spans="2:3" hidden="1" x14ac:dyDescent="0.2">
      <c r="B202" s="104">
        <f t="shared" si="0"/>
        <v>2079</v>
      </c>
      <c r="C202" s="135">
        <f>[3]С2.5!$BL$11</f>
        <v>0</v>
      </c>
    </row>
    <row r="203" spans="2:3" hidden="1" x14ac:dyDescent="0.2">
      <c r="B203" s="104">
        <f t="shared" si="0"/>
        <v>2080</v>
      </c>
      <c r="C203" s="135">
        <f>[3]С2.5!$BM$11</f>
        <v>0</v>
      </c>
    </row>
    <row r="204" spans="2:3" hidden="1" x14ac:dyDescent="0.2">
      <c r="B204" s="104">
        <f t="shared" si="0"/>
        <v>2081</v>
      </c>
      <c r="C204" s="135">
        <f>[3]С2.5!$BN$11</f>
        <v>0</v>
      </c>
    </row>
    <row r="205" spans="2:3" hidden="1" x14ac:dyDescent="0.2">
      <c r="B205" s="104">
        <f t="shared" si="0"/>
        <v>2082</v>
      </c>
      <c r="C205" s="135">
        <f>[3]С2.5!$BO$11</f>
        <v>0</v>
      </c>
    </row>
    <row r="206" spans="2:3" hidden="1" x14ac:dyDescent="0.2">
      <c r="B206" s="104">
        <f t="shared" si="0"/>
        <v>2083</v>
      </c>
      <c r="C206" s="135">
        <f>[3]С2.5!$BP$11</f>
        <v>0</v>
      </c>
    </row>
    <row r="207" spans="2:3" hidden="1" x14ac:dyDescent="0.2">
      <c r="B207" s="104">
        <f t="shared" si="0"/>
        <v>2084</v>
      </c>
      <c r="C207" s="135">
        <f>[3]С2.5!$BQ$11</f>
        <v>0</v>
      </c>
    </row>
    <row r="208" spans="2:3" hidden="1" x14ac:dyDescent="0.2">
      <c r="B208" s="104">
        <f t="shared" si="0"/>
        <v>2085</v>
      </c>
      <c r="C208" s="135">
        <f>[3]С2.5!$BR$11</f>
        <v>0</v>
      </c>
    </row>
    <row r="209" spans="2:3" hidden="1" x14ac:dyDescent="0.2">
      <c r="B209" s="104">
        <f t="shared" ref="B209:B223" si="1">B208+1</f>
        <v>2086</v>
      </c>
      <c r="C209" s="135">
        <f>[3]С2.5!$BS$11</f>
        <v>0</v>
      </c>
    </row>
    <row r="210" spans="2:3" hidden="1" x14ac:dyDescent="0.2">
      <c r="B210" s="104">
        <f t="shared" si="1"/>
        <v>2087</v>
      </c>
      <c r="C210" s="135">
        <f>[3]С2.5!$BT$11</f>
        <v>0</v>
      </c>
    </row>
    <row r="211" spans="2:3" hidden="1" x14ac:dyDescent="0.2">
      <c r="B211" s="104">
        <f t="shared" si="1"/>
        <v>2088</v>
      </c>
      <c r="C211" s="135">
        <f>[3]С2.5!$BU$11</f>
        <v>0</v>
      </c>
    </row>
    <row r="212" spans="2:3" hidden="1" x14ac:dyDescent="0.2">
      <c r="B212" s="104">
        <f t="shared" si="1"/>
        <v>2089</v>
      </c>
      <c r="C212" s="135">
        <f>[3]С2.5!$BV$11</f>
        <v>0</v>
      </c>
    </row>
    <row r="213" spans="2:3" hidden="1" x14ac:dyDescent="0.2">
      <c r="B213" s="104">
        <f t="shared" si="1"/>
        <v>2090</v>
      </c>
      <c r="C213" s="135">
        <f>[3]С2.5!$BW$11</f>
        <v>0</v>
      </c>
    </row>
    <row r="214" spans="2:3" hidden="1" x14ac:dyDescent="0.2">
      <c r="B214" s="104">
        <f t="shared" si="1"/>
        <v>2091</v>
      </c>
      <c r="C214" s="135">
        <f>[3]С2.5!$BX$11</f>
        <v>0</v>
      </c>
    </row>
    <row r="215" spans="2:3" hidden="1" x14ac:dyDescent="0.2">
      <c r="B215" s="104">
        <f t="shared" si="1"/>
        <v>2092</v>
      </c>
      <c r="C215" s="135">
        <f>[3]С2.5!$BY$11</f>
        <v>0</v>
      </c>
    </row>
    <row r="216" spans="2:3" hidden="1" x14ac:dyDescent="0.2">
      <c r="B216" s="104">
        <f t="shared" si="1"/>
        <v>2093</v>
      </c>
      <c r="C216" s="135">
        <f>[3]С2.5!$BZ$11</f>
        <v>0</v>
      </c>
    </row>
    <row r="217" spans="2:3" hidden="1" x14ac:dyDescent="0.2">
      <c r="B217" s="104">
        <f t="shared" si="1"/>
        <v>2094</v>
      </c>
      <c r="C217" s="135">
        <f>[3]С2.5!$CA$11</f>
        <v>0</v>
      </c>
    </row>
    <row r="218" spans="2:3" hidden="1" x14ac:dyDescent="0.2">
      <c r="B218" s="104">
        <f t="shared" si="1"/>
        <v>2095</v>
      </c>
      <c r="C218" s="135">
        <f>[3]С2.5!$CB$11</f>
        <v>0</v>
      </c>
    </row>
    <row r="219" spans="2:3" hidden="1" x14ac:dyDescent="0.2">
      <c r="B219" s="104">
        <f t="shared" si="1"/>
        <v>2096</v>
      </c>
      <c r="C219" s="135">
        <f>[3]С2.5!$CC$11</f>
        <v>0</v>
      </c>
    </row>
    <row r="220" spans="2:3" hidden="1" x14ac:dyDescent="0.2">
      <c r="B220" s="104">
        <f t="shared" si="1"/>
        <v>2097</v>
      </c>
      <c r="C220" s="135">
        <f>[3]С2.5!$CD$11</f>
        <v>0</v>
      </c>
    </row>
    <row r="221" spans="2:3" hidden="1" x14ac:dyDescent="0.2">
      <c r="B221" s="104">
        <f t="shared" si="1"/>
        <v>2098</v>
      </c>
      <c r="C221" s="135">
        <f>[3]С2.5!$CE$11</f>
        <v>0</v>
      </c>
    </row>
    <row r="222" spans="2:3" hidden="1" x14ac:dyDescent="0.2">
      <c r="B222" s="104">
        <f t="shared" si="1"/>
        <v>2099</v>
      </c>
      <c r="C222" s="135">
        <f>[3]С2.5!$CF$11</f>
        <v>0</v>
      </c>
    </row>
    <row r="223" spans="2:3" ht="13.5" hidden="1" thickBot="1" x14ac:dyDescent="0.25">
      <c r="B223" s="106">
        <f t="shared" si="1"/>
        <v>2100</v>
      </c>
      <c r="C223" s="136">
        <f>[3]С2.5!$CG$11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6" customWidth="1"/>
    <col min="4" max="245" width="9.140625" style="2"/>
    <col min="246" max="246" width="3.5703125" style="2" customWidth="1"/>
    <col min="247" max="247" width="96.85546875" style="2" customWidth="1"/>
    <col min="248" max="248" width="30.85546875" style="2" customWidth="1"/>
    <col min="249" max="249" width="12.5703125" style="2" customWidth="1"/>
    <col min="250" max="250" width="5.140625" style="2" customWidth="1"/>
    <col min="251" max="251" width="9.140625" style="2"/>
    <col min="252" max="252" width="4.85546875" style="2" customWidth="1"/>
    <col min="253" max="253" width="30.5703125" style="2" customWidth="1"/>
    <col min="254" max="254" width="33.85546875" style="2" customWidth="1"/>
    <col min="255" max="255" width="5.140625" style="2" customWidth="1"/>
    <col min="256" max="257" width="17.5703125" style="2" customWidth="1"/>
    <col min="258" max="501" width="9.140625" style="2"/>
    <col min="502" max="502" width="3.5703125" style="2" customWidth="1"/>
    <col min="503" max="503" width="96.85546875" style="2" customWidth="1"/>
    <col min="504" max="504" width="30.85546875" style="2" customWidth="1"/>
    <col min="505" max="505" width="12.5703125" style="2" customWidth="1"/>
    <col min="506" max="506" width="5.140625" style="2" customWidth="1"/>
    <col min="507" max="507" width="9.140625" style="2"/>
    <col min="508" max="508" width="4.85546875" style="2" customWidth="1"/>
    <col min="509" max="509" width="30.5703125" style="2" customWidth="1"/>
    <col min="510" max="510" width="33.85546875" style="2" customWidth="1"/>
    <col min="511" max="511" width="5.140625" style="2" customWidth="1"/>
    <col min="512" max="513" width="17.5703125" style="2" customWidth="1"/>
    <col min="514" max="757" width="9.140625" style="2"/>
    <col min="758" max="758" width="3.5703125" style="2" customWidth="1"/>
    <col min="759" max="759" width="96.85546875" style="2" customWidth="1"/>
    <col min="760" max="760" width="30.85546875" style="2" customWidth="1"/>
    <col min="761" max="761" width="12.5703125" style="2" customWidth="1"/>
    <col min="762" max="762" width="5.140625" style="2" customWidth="1"/>
    <col min="763" max="763" width="9.140625" style="2"/>
    <col min="764" max="764" width="4.85546875" style="2" customWidth="1"/>
    <col min="765" max="765" width="30.5703125" style="2" customWidth="1"/>
    <col min="766" max="766" width="33.85546875" style="2" customWidth="1"/>
    <col min="767" max="767" width="5.140625" style="2" customWidth="1"/>
    <col min="768" max="769" width="17.5703125" style="2" customWidth="1"/>
    <col min="770" max="1013" width="9.140625" style="2"/>
    <col min="1014" max="1014" width="3.5703125" style="2" customWidth="1"/>
    <col min="1015" max="1015" width="96.85546875" style="2" customWidth="1"/>
    <col min="1016" max="1016" width="30.85546875" style="2" customWidth="1"/>
    <col min="1017" max="1017" width="12.5703125" style="2" customWidth="1"/>
    <col min="1018" max="1018" width="5.140625" style="2" customWidth="1"/>
    <col min="1019" max="1019" width="9.140625" style="2"/>
    <col min="1020" max="1020" width="4.85546875" style="2" customWidth="1"/>
    <col min="1021" max="1021" width="30.5703125" style="2" customWidth="1"/>
    <col min="1022" max="1022" width="33.85546875" style="2" customWidth="1"/>
    <col min="1023" max="1023" width="5.140625" style="2" customWidth="1"/>
    <col min="1024" max="1025" width="17.5703125" style="2" customWidth="1"/>
    <col min="1026" max="1269" width="9.140625" style="2"/>
    <col min="1270" max="1270" width="3.5703125" style="2" customWidth="1"/>
    <col min="1271" max="1271" width="96.85546875" style="2" customWidth="1"/>
    <col min="1272" max="1272" width="30.85546875" style="2" customWidth="1"/>
    <col min="1273" max="1273" width="12.5703125" style="2" customWidth="1"/>
    <col min="1274" max="1274" width="5.140625" style="2" customWidth="1"/>
    <col min="1275" max="1275" width="9.140625" style="2"/>
    <col min="1276" max="1276" width="4.85546875" style="2" customWidth="1"/>
    <col min="1277" max="1277" width="30.5703125" style="2" customWidth="1"/>
    <col min="1278" max="1278" width="33.85546875" style="2" customWidth="1"/>
    <col min="1279" max="1279" width="5.140625" style="2" customWidth="1"/>
    <col min="1280" max="1281" width="17.5703125" style="2" customWidth="1"/>
    <col min="1282" max="1525" width="9.140625" style="2"/>
    <col min="1526" max="1526" width="3.5703125" style="2" customWidth="1"/>
    <col min="1527" max="1527" width="96.85546875" style="2" customWidth="1"/>
    <col min="1528" max="1528" width="30.85546875" style="2" customWidth="1"/>
    <col min="1529" max="1529" width="12.5703125" style="2" customWidth="1"/>
    <col min="1530" max="1530" width="5.140625" style="2" customWidth="1"/>
    <col min="1531" max="1531" width="9.140625" style="2"/>
    <col min="1532" max="1532" width="4.85546875" style="2" customWidth="1"/>
    <col min="1533" max="1533" width="30.5703125" style="2" customWidth="1"/>
    <col min="1534" max="1534" width="33.85546875" style="2" customWidth="1"/>
    <col min="1535" max="1535" width="5.140625" style="2" customWidth="1"/>
    <col min="1536" max="1537" width="17.5703125" style="2" customWidth="1"/>
    <col min="1538" max="1781" width="9.140625" style="2"/>
    <col min="1782" max="1782" width="3.5703125" style="2" customWidth="1"/>
    <col min="1783" max="1783" width="96.85546875" style="2" customWidth="1"/>
    <col min="1784" max="1784" width="30.85546875" style="2" customWidth="1"/>
    <col min="1785" max="1785" width="12.5703125" style="2" customWidth="1"/>
    <col min="1786" max="1786" width="5.140625" style="2" customWidth="1"/>
    <col min="1787" max="1787" width="9.140625" style="2"/>
    <col min="1788" max="1788" width="4.85546875" style="2" customWidth="1"/>
    <col min="1789" max="1789" width="30.5703125" style="2" customWidth="1"/>
    <col min="1790" max="1790" width="33.85546875" style="2" customWidth="1"/>
    <col min="1791" max="1791" width="5.140625" style="2" customWidth="1"/>
    <col min="1792" max="1793" width="17.5703125" style="2" customWidth="1"/>
    <col min="1794" max="2037" width="9.140625" style="2"/>
    <col min="2038" max="2038" width="3.5703125" style="2" customWidth="1"/>
    <col min="2039" max="2039" width="96.85546875" style="2" customWidth="1"/>
    <col min="2040" max="2040" width="30.85546875" style="2" customWidth="1"/>
    <col min="2041" max="2041" width="12.5703125" style="2" customWidth="1"/>
    <col min="2042" max="2042" width="5.140625" style="2" customWidth="1"/>
    <col min="2043" max="2043" width="9.140625" style="2"/>
    <col min="2044" max="2044" width="4.85546875" style="2" customWidth="1"/>
    <col min="2045" max="2045" width="30.5703125" style="2" customWidth="1"/>
    <col min="2046" max="2046" width="33.85546875" style="2" customWidth="1"/>
    <col min="2047" max="2047" width="5.140625" style="2" customWidth="1"/>
    <col min="2048" max="2049" width="17.5703125" style="2" customWidth="1"/>
    <col min="2050" max="2293" width="9.140625" style="2"/>
    <col min="2294" max="2294" width="3.5703125" style="2" customWidth="1"/>
    <col min="2295" max="2295" width="96.85546875" style="2" customWidth="1"/>
    <col min="2296" max="2296" width="30.85546875" style="2" customWidth="1"/>
    <col min="2297" max="2297" width="12.5703125" style="2" customWidth="1"/>
    <col min="2298" max="2298" width="5.140625" style="2" customWidth="1"/>
    <col min="2299" max="2299" width="9.140625" style="2"/>
    <col min="2300" max="2300" width="4.85546875" style="2" customWidth="1"/>
    <col min="2301" max="2301" width="30.5703125" style="2" customWidth="1"/>
    <col min="2302" max="2302" width="33.85546875" style="2" customWidth="1"/>
    <col min="2303" max="2303" width="5.140625" style="2" customWidth="1"/>
    <col min="2304" max="2305" width="17.5703125" style="2" customWidth="1"/>
    <col min="2306" max="2549" width="9.140625" style="2"/>
    <col min="2550" max="2550" width="3.5703125" style="2" customWidth="1"/>
    <col min="2551" max="2551" width="96.85546875" style="2" customWidth="1"/>
    <col min="2552" max="2552" width="30.85546875" style="2" customWidth="1"/>
    <col min="2553" max="2553" width="12.5703125" style="2" customWidth="1"/>
    <col min="2554" max="2554" width="5.140625" style="2" customWidth="1"/>
    <col min="2555" max="2555" width="9.140625" style="2"/>
    <col min="2556" max="2556" width="4.85546875" style="2" customWidth="1"/>
    <col min="2557" max="2557" width="30.5703125" style="2" customWidth="1"/>
    <col min="2558" max="2558" width="33.85546875" style="2" customWidth="1"/>
    <col min="2559" max="2559" width="5.140625" style="2" customWidth="1"/>
    <col min="2560" max="2561" width="17.5703125" style="2" customWidth="1"/>
    <col min="2562" max="2805" width="9.140625" style="2"/>
    <col min="2806" max="2806" width="3.5703125" style="2" customWidth="1"/>
    <col min="2807" max="2807" width="96.85546875" style="2" customWidth="1"/>
    <col min="2808" max="2808" width="30.85546875" style="2" customWidth="1"/>
    <col min="2809" max="2809" width="12.5703125" style="2" customWidth="1"/>
    <col min="2810" max="2810" width="5.140625" style="2" customWidth="1"/>
    <col min="2811" max="2811" width="9.140625" style="2"/>
    <col min="2812" max="2812" width="4.85546875" style="2" customWidth="1"/>
    <col min="2813" max="2813" width="30.5703125" style="2" customWidth="1"/>
    <col min="2814" max="2814" width="33.85546875" style="2" customWidth="1"/>
    <col min="2815" max="2815" width="5.140625" style="2" customWidth="1"/>
    <col min="2816" max="2817" width="17.5703125" style="2" customWidth="1"/>
    <col min="2818" max="3061" width="9.140625" style="2"/>
    <col min="3062" max="3062" width="3.5703125" style="2" customWidth="1"/>
    <col min="3063" max="3063" width="96.85546875" style="2" customWidth="1"/>
    <col min="3064" max="3064" width="30.85546875" style="2" customWidth="1"/>
    <col min="3065" max="3065" width="12.5703125" style="2" customWidth="1"/>
    <col min="3066" max="3066" width="5.140625" style="2" customWidth="1"/>
    <col min="3067" max="3067" width="9.140625" style="2"/>
    <col min="3068" max="3068" width="4.85546875" style="2" customWidth="1"/>
    <col min="3069" max="3069" width="30.5703125" style="2" customWidth="1"/>
    <col min="3070" max="3070" width="33.85546875" style="2" customWidth="1"/>
    <col min="3071" max="3071" width="5.140625" style="2" customWidth="1"/>
    <col min="3072" max="3073" width="17.5703125" style="2" customWidth="1"/>
    <col min="3074" max="3317" width="9.140625" style="2"/>
    <col min="3318" max="3318" width="3.5703125" style="2" customWidth="1"/>
    <col min="3319" max="3319" width="96.85546875" style="2" customWidth="1"/>
    <col min="3320" max="3320" width="30.85546875" style="2" customWidth="1"/>
    <col min="3321" max="3321" width="12.5703125" style="2" customWidth="1"/>
    <col min="3322" max="3322" width="5.140625" style="2" customWidth="1"/>
    <col min="3323" max="3323" width="9.140625" style="2"/>
    <col min="3324" max="3324" width="4.85546875" style="2" customWidth="1"/>
    <col min="3325" max="3325" width="30.5703125" style="2" customWidth="1"/>
    <col min="3326" max="3326" width="33.85546875" style="2" customWidth="1"/>
    <col min="3327" max="3327" width="5.140625" style="2" customWidth="1"/>
    <col min="3328" max="3329" width="17.5703125" style="2" customWidth="1"/>
    <col min="3330" max="3573" width="9.140625" style="2"/>
    <col min="3574" max="3574" width="3.5703125" style="2" customWidth="1"/>
    <col min="3575" max="3575" width="96.85546875" style="2" customWidth="1"/>
    <col min="3576" max="3576" width="30.85546875" style="2" customWidth="1"/>
    <col min="3577" max="3577" width="12.5703125" style="2" customWidth="1"/>
    <col min="3578" max="3578" width="5.140625" style="2" customWidth="1"/>
    <col min="3579" max="3579" width="9.140625" style="2"/>
    <col min="3580" max="3580" width="4.85546875" style="2" customWidth="1"/>
    <col min="3581" max="3581" width="30.5703125" style="2" customWidth="1"/>
    <col min="3582" max="3582" width="33.85546875" style="2" customWidth="1"/>
    <col min="3583" max="3583" width="5.140625" style="2" customWidth="1"/>
    <col min="3584" max="3585" width="17.5703125" style="2" customWidth="1"/>
    <col min="3586" max="3829" width="9.140625" style="2"/>
    <col min="3830" max="3830" width="3.5703125" style="2" customWidth="1"/>
    <col min="3831" max="3831" width="96.85546875" style="2" customWidth="1"/>
    <col min="3832" max="3832" width="30.85546875" style="2" customWidth="1"/>
    <col min="3833" max="3833" width="12.5703125" style="2" customWidth="1"/>
    <col min="3834" max="3834" width="5.140625" style="2" customWidth="1"/>
    <col min="3835" max="3835" width="9.140625" style="2"/>
    <col min="3836" max="3836" width="4.85546875" style="2" customWidth="1"/>
    <col min="3837" max="3837" width="30.5703125" style="2" customWidth="1"/>
    <col min="3838" max="3838" width="33.85546875" style="2" customWidth="1"/>
    <col min="3839" max="3839" width="5.140625" style="2" customWidth="1"/>
    <col min="3840" max="3841" width="17.5703125" style="2" customWidth="1"/>
    <col min="3842" max="4085" width="9.140625" style="2"/>
    <col min="4086" max="4086" width="3.5703125" style="2" customWidth="1"/>
    <col min="4087" max="4087" width="96.85546875" style="2" customWidth="1"/>
    <col min="4088" max="4088" width="30.85546875" style="2" customWidth="1"/>
    <col min="4089" max="4089" width="12.5703125" style="2" customWidth="1"/>
    <col min="4090" max="4090" width="5.140625" style="2" customWidth="1"/>
    <col min="4091" max="4091" width="9.140625" style="2"/>
    <col min="4092" max="4092" width="4.85546875" style="2" customWidth="1"/>
    <col min="4093" max="4093" width="30.5703125" style="2" customWidth="1"/>
    <col min="4094" max="4094" width="33.85546875" style="2" customWidth="1"/>
    <col min="4095" max="4095" width="5.140625" style="2" customWidth="1"/>
    <col min="4096" max="4097" width="17.5703125" style="2" customWidth="1"/>
    <col min="4098" max="4341" width="9.140625" style="2"/>
    <col min="4342" max="4342" width="3.5703125" style="2" customWidth="1"/>
    <col min="4343" max="4343" width="96.85546875" style="2" customWidth="1"/>
    <col min="4344" max="4344" width="30.85546875" style="2" customWidth="1"/>
    <col min="4345" max="4345" width="12.5703125" style="2" customWidth="1"/>
    <col min="4346" max="4346" width="5.140625" style="2" customWidth="1"/>
    <col min="4347" max="4347" width="9.140625" style="2"/>
    <col min="4348" max="4348" width="4.85546875" style="2" customWidth="1"/>
    <col min="4349" max="4349" width="30.5703125" style="2" customWidth="1"/>
    <col min="4350" max="4350" width="33.85546875" style="2" customWidth="1"/>
    <col min="4351" max="4351" width="5.140625" style="2" customWidth="1"/>
    <col min="4352" max="4353" width="17.5703125" style="2" customWidth="1"/>
    <col min="4354" max="4597" width="9.140625" style="2"/>
    <col min="4598" max="4598" width="3.5703125" style="2" customWidth="1"/>
    <col min="4599" max="4599" width="96.85546875" style="2" customWidth="1"/>
    <col min="4600" max="4600" width="30.85546875" style="2" customWidth="1"/>
    <col min="4601" max="4601" width="12.5703125" style="2" customWidth="1"/>
    <col min="4602" max="4602" width="5.140625" style="2" customWidth="1"/>
    <col min="4603" max="4603" width="9.140625" style="2"/>
    <col min="4604" max="4604" width="4.85546875" style="2" customWidth="1"/>
    <col min="4605" max="4605" width="30.5703125" style="2" customWidth="1"/>
    <col min="4606" max="4606" width="33.85546875" style="2" customWidth="1"/>
    <col min="4607" max="4607" width="5.140625" style="2" customWidth="1"/>
    <col min="4608" max="4609" width="17.5703125" style="2" customWidth="1"/>
    <col min="4610" max="4853" width="9.140625" style="2"/>
    <col min="4854" max="4854" width="3.5703125" style="2" customWidth="1"/>
    <col min="4855" max="4855" width="96.85546875" style="2" customWidth="1"/>
    <col min="4856" max="4856" width="30.85546875" style="2" customWidth="1"/>
    <col min="4857" max="4857" width="12.5703125" style="2" customWidth="1"/>
    <col min="4858" max="4858" width="5.140625" style="2" customWidth="1"/>
    <col min="4859" max="4859" width="9.140625" style="2"/>
    <col min="4860" max="4860" width="4.85546875" style="2" customWidth="1"/>
    <col min="4861" max="4861" width="30.5703125" style="2" customWidth="1"/>
    <col min="4862" max="4862" width="33.85546875" style="2" customWidth="1"/>
    <col min="4863" max="4863" width="5.140625" style="2" customWidth="1"/>
    <col min="4864" max="4865" width="17.5703125" style="2" customWidth="1"/>
    <col min="4866" max="5109" width="9.140625" style="2"/>
    <col min="5110" max="5110" width="3.5703125" style="2" customWidth="1"/>
    <col min="5111" max="5111" width="96.85546875" style="2" customWidth="1"/>
    <col min="5112" max="5112" width="30.85546875" style="2" customWidth="1"/>
    <col min="5113" max="5113" width="12.5703125" style="2" customWidth="1"/>
    <col min="5114" max="5114" width="5.140625" style="2" customWidth="1"/>
    <col min="5115" max="5115" width="9.140625" style="2"/>
    <col min="5116" max="5116" width="4.85546875" style="2" customWidth="1"/>
    <col min="5117" max="5117" width="30.5703125" style="2" customWidth="1"/>
    <col min="5118" max="5118" width="33.85546875" style="2" customWidth="1"/>
    <col min="5119" max="5119" width="5.140625" style="2" customWidth="1"/>
    <col min="5120" max="5121" width="17.5703125" style="2" customWidth="1"/>
    <col min="5122" max="5365" width="9.140625" style="2"/>
    <col min="5366" max="5366" width="3.5703125" style="2" customWidth="1"/>
    <col min="5367" max="5367" width="96.85546875" style="2" customWidth="1"/>
    <col min="5368" max="5368" width="30.85546875" style="2" customWidth="1"/>
    <col min="5369" max="5369" width="12.5703125" style="2" customWidth="1"/>
    <col min="5370" max="5370" width="5.140625" style="2" customWidth="1"/>
    <col min="5371" max="5371" width="9.140625" style="2"/>
    <col min="5372" max="5372" width="4.85546875" style="2" customWidth="1"/>
    <col min="5373" max="5373" width="30.5703125" style="2" customWidth="1"/>
    <col min="5374" max="5374" width="33.85546875" style="2" customWidth="1"/>
    <col min="5375" max="5375" width="5.140625" style="2" customWidth="1"/>
    <col min="5376" max="5377" width="17.5703125" style="2" customWidth="1"/>
    <col min="5378" max="5621" width="9.140625" style="2"/>
    <col min="5622" max="5622" width="3.5703125" style="2" customWidth="1"/>
    <col min="5623" max="5623" width="96.85546875" style="2" customWidth="1"/>
    <col min="5624" max="5624" width="30.85546875" style="2" customWidth="1"/>
    <col min="5625" max="5625" width="12.5703125" style="2" customWidth="1"/>
    <col min="5626" max="5626" width="5.140625" style="2" customWidth="1"/>
    <col min="5627" max="5627" width="9.140625" style="2"/>
    <col min="5628" max="5628" width="4.85546875" style="2" customWidth="1"/>
    <col min="5629" max="5629" width="30.5703125" style="2" customWidth="1"/>
    <col min="5630" max="5630" width="33.85546875" style="2" customWidth="1"/>
    <col min="5631" max="5631" width="5.140625" style="2" customWidth="1"/>
    <col min="5632" max="5633" width="17.5703125" style="2" customWidth="1"/>
    <col min="5634" max="5877" width="9.140625" style="2"/>
    <col min="5878" max="5878" width="3.5703125" style="2" customWidth="1"/>
    <col min="5879" max="5879" width="96.85546875" style="2" customWidth="1"/>
    <col min="5880" max="5880" width="30.85546875" style="2" customWidth="1"/>
    <col min="5881" max="5881" width="12.5703125" style="2" customWidth="1"/>
    <col min="5882" max="5882" width="5.140625" style="2" customWidth="1"/>
    <col min="5883" max="5883" width="9.140625" style="2"/>
    <col min="5884" max="5884" width="4.85546875" style="2" customWidth="1"/>
    <col min="5885" max="5885" width="30.5703125" style="2" customWidth="1"/>
    <col min="5886" max="5886" width="33.85546875" style="2" customWidth="1"/>
    <col min="5887" max="5887" width="5.140625" style="2" customWidth="1"/>
    <col min="5888" max="5889" width="17.5703125" style="2" customWidth="1"/>
    <col min="5890" max="6133" width="9.140625" style="2"/>
    <col min="6134" max="6134" width="3.5703125" style="2" customWidth="1"/>
    <col min="6135" max="6135" width="96.85546875" style="2" customWidth="1"/>
    <col min="6136" max="6136" width="30.85546875" style="2" customWidth="1"/>
    <col min="6137" max="6137" width="12.5703125" style="2" customWidth="1"/>
    <col min="6138" max="6138" width="5.140625" style="2" customWidth="1"/>
    <col min="6139" max="6139" width="9.140625" style="2"/>
    <col min="6140" max="6140" width="4.85546875" style="2" customWidth="1"/>
    <col min="6141" max="6141" width="30.5703125" style="2" customWidth="1"/>
    <col min="6142" max="6142" width="33.85546875" style="2" customWidth="1"/>
    <col min="6143" max="6143" width="5.140625" style="2" customWidth="1"/>
    <col min="6144" max="6145" width="17.5703125" style="2" customWidth="1"/>
    <col min="6146" max="6389" width="9.140625" style="2"/>
    <col min="6390" max="6390" width="3.5703125" style="2" customWidth="1"/>
    <col min="6391" max="6391" width="96.85546875" style="2" customWidth="1"/>
    <col min="6392" max="6392" width="30.85546875" style="2" customWidth="1"/>
    <col min="6393" max="6393" width="12.5703125" style="2" customWidth="1"/>
    <col min="6394" max="6394" width="5.140625" style="2" customWidth="1"/>
    <col min="6395" max="6395" width="9.140625" style="2"/>
    <col min="6396" max="6396" width="4.85546875" style="2" customWidth="1"/>
    <col min="6397" max="6397" width="30.5703125" style="2" customWidth="1"/>
    <col min="6398" max="6398" width="33.85546875" style="2" customWidth="1"/>
    <col min="6399" max="6399" width="5.140625" style="2" customWidth="1"/>
    <col min="6400" max="6401" width="17.5703125" style="2" customWidth="1"/>
    <col min="6402" max="6645" width="9.140625" style="2"/>
    <col min="6646" max="6646" width="3.5703125" style="2" customWidth="1"/>
    <col min="6647" max="6647" width="96.85546875" style="2" customWidth="1"/>
    <col min="6648" max="6648" width="30.85546875" style="2" customWidth="1"/>
    <col min="6649" max="6649" width="12.5703125" style="2" customWidth="1"/>
    <col min="6650" max="6650" width="5.140625" style="2" customWidth="1"/>
    <col min="6651" max="6651" width="9.140625" style="2"/>
    <col min="6652" max="6652" width="4.85546875" style="2" customWidth="1"/>
    <col min="6653" max="6653" width="30.5703125" style="2" customWidth="1"/>
    <col min="6654" max="6654" width="33.85546875" style="2" customWidth="1"/>
    <col min="6655" max="6655" width="5.140625" style="2" customWidth="1"/>
    <col min="6656" max="6657" width="17.5703125" style="2" customWidth="1"/>
    <col min="6658" max="6901" width="9.140625" style="2"/>
    <col min="6902" max="6902" width="3.5703125" style="2" customWidth="1"/>
    <col min="6903" max="6903" width="96.85546875" style="2" customWidth="1"/>
    <col min="6904" max="6904" width="30.85546875" style="2" customWidth="1"/>
    <col min="6905" max="6905" width="12.5703125" style="2" customWidth="1"/>
    <col min="6906" max="6906" width="5.140625" style="2" customWidth="1"/>
    <col min="6907" max="6907" width="9.140625" style="2"/>
    <col min="6908" max="6908" width="4.85546875" style="2" customWidth="1"/>
    <col min="6909" max="6909" width="30.5703125" style="2" customWidth="1"/>
    <col min="6910" max="6910" width="33.85546875" style="2" customWidth="1"/>
    <col min="6911" max="6911" width="5.140625" style="2" customWidth="1"/>
    <col min="6912" max="6913" width="17.5703125" style="2" customWidth="1"/>
    <col min="6914" max="7157" width="9.140625" style="2"/>
    <col min="7158" max="7158" width="3.5703125" style="2" customWidth="1"/>
    <col min="7159" max="7159" width="96.85546875" style="2" customWidth="1"/>
    <col min="7160" max="7160" width="30.85546875" style="2" customWidth="1"/>
    <col min="7161" max="7161" width="12.5703125" style="2" customWidth="1"/>
    <col min="7162" max="7162" width="5.140625" style="2" customWidth="1"/>
    <col min="7163" max="7163" width="9.140625" style="2"/>
    <col min="7164" max="7164" width="4.85546875" style="2" customWidth="1"/>
    <col min="7165" max="7165" width="30.5703125" style="2" customWidth="1"/>
    <col min="7166" max="7166" width="33.85546875" style="2" customWidth="1"/>
    <col min="7167" max="7167" width="5.140625" style="2" customWidth="1"/>
    <col min="7168" max="7169" width="17.5703125" style="2" customWidth="1"/>
    <col min="7170" max="7413" width="9.140625" style="2"/>
    <col min="7414" max="7414" width="3.5703125" style="2" customWidth="1"/>
    <col min="7415" max="7415" width="96.85546875" style="2" customWidth="1"/>
    <col min="7416" max="7416" width="30.85546875" style="2" customWidth="1"/>
    <col min="7417" max="7417" width="12.5703125" style="2" customWidth="1"/>
    <col min="7418" max="7418" width="5.140625" style="2" customWidth="1"/>
    <col min="7419" max="7419" width="9.140625" style="2"/>
    <col min="7420" max="7420" width="4.85546875" style="2" customWidth="1"/>
    <col min="7421" max="7421" width="30.5703125" style="2" customWidth="1"/>
    <col min="7422" max="7422" width="33.85546875" style="2" customWidth="1"/>
    <col min="7423" max="7423" width="5.140625" style="2" customWidth="1"/>
    <col min="7424" max="7425" width="17.5703125" style="2" customWidth="1"/>
    <col min="7426" max="7669" width="9.140625" style="2"/>
    <col min="7670" max="7670" width="3.5703125" style="2" customWidth="1"/>
    <col min="7671" max="7671" width="96.85546875" style="2" customWidth="1"/>
    <col min="7672" max="7672" width="30.85546875" style="2" customWidth="1"/>
    <col min="7673" max="7673" width="12.5703125" style="2" customWidth="1"/>
    <col min="7674" max="7674" width="5.140625" style="2" customWidth="1"/>
    <col min="7675" max="7675" width="9.140625" style="2"/>
    <col min="7676" max="7676" width="4.85546875" style="2" customWidth="1"/>
    <col min="7677" max="7677" width="30.5703125" style="2" customWidth="1"/>
    <col min="7678" max="7678" width="33.85546875" style="2" customWidth="1"/>
    <col min="7679" max="7679" width="5.140625" style="2" customWidth="1"/>
    <col min="7680" max="7681" width="17.5703125" style="2" customWidth="1"/>
    <col min="7682" max="7925" width="9.140625" style="2"/>
    <col min="7926" max="7926" width="3.5703125" style="2" customWidth="1"/>
    <col min="7927" max="7927" width="96.85546875" style="2" customWidth="1"/>
    <col min="7928" max="7928" width="30.85546875" style="2" customWidth="1"/>
    <col min="7929" max="7929" width="12.5703125" style="2" customWidth="1"/>
    <col min="7930" max="7930" width="5.140625" style="2" customWidth="1"/>
    <col min="7931" max="7931" width="9.140625" style="2"/>
    <col min="7932" max="7932" width="4.85546875" style="2" customWidth="1"/>
    <col min="7933" max="7933" width="30.5703125" style="2" customWidth="1"/>
    <col min="7934" max="7934" width="33.85546875" style="2" customWidth="1"/>
    <col min="7935" max="7935" width="5.140625" style="2" customWidth="1"/>
    <col min="7936" max="7937" width="17.5703125" style="2" customWidth="1"/>
    <col min="7938" max="8181" width="9.140625" style="2"/>
    <col min="8182" max="8182" width="3.5703125" style="2" customWidth="1"/>
    <col min="8183" max="8183" width="96.85546875" style="2" customWidth="1"/>
    <col min="8184" max="8184" width="30.85546875" style="2" customWidth="1"/>
    <col min="8185" max="8185" width="12.5703125" style="2" customWidth="1"/>
    <col min="8186" max="8186" width="5.140625" style="2" customWidth="1"/>
    <col min="8187" max="8187" width="9.140625" style="2"/>
    <col min="8188" max="8188" width="4.85546875" style="2" customWidth="1"/>
    <col min="8189" max="8189" width="30.5703125" style="2" customWidth="1"/>
    <col min="8190" max="8190" width="33.85546875" style="2" customWidth="1"/>
    <col min="8191" max="8191" width="5.140625" style="2" customWidth="1"/>
    <col min="8192" max="8193" width="17.5703125" style="2" customWidth="1"/>
    <col min="8194" max="8437" width="9.140625" style="2"/>
    <col min="8438" max="8438" width="3.5703125" style="2" customWidth="1"/>
    <col min="8439" max="8439" width="96.85546875" style="2" customWidth="1"/>
    <col min="8440" max="8440" width="30.85546875" style="2" customWidth="1"/>
    <col min="8441" max="8441" width="12.5703125" style="2" customWidth="1"/>
    <col min="8442" max="8442" width="5.140625" style="2" customWidth="1"/>
    <col min="8443" max="8443" width="9.140625" style="2"/>
    <col min="8444" max="8444" width="4.85546875" style="2" customWidth="1"/>
    <col min="8445" max="8445" width="30.5703125" style="2" customWidth="1"/>
    <col min="8446" max="8446" width="33.85546875" style="2" customWidth="1"/>
    <col min="8447" max="8447" width="5.140625" style="2" customWidth="1"/>
    <col min="8448" max="8449" width="17.5703125" style="2" customWidth="1"/>
    <col min="8450" max="8693" width="9.140625" style="2"/>
    <col min="8694" max="8694" width="3.5703125" style="2" customWidth="1"/>
    <col min="8695" max="8695" width="96.85546875" style="2" customWidth="1"/>
    <col min="8696" max="8696" width="30.85546875" style="2" customWidth="1"/>
    <col min="8697" max="8697" width="12.5703125" style="2" customWidth="1"/>
    <col min="8698" max="8698" width="5.140625" style="2" customWidth="1"/>
    <col min="8699" max="8699" width="9.140625" style="2"/>
    <col min="8700" max="8700" width="4.85546875" style="2" customWidth="1"/>
    <col min="8701" max="8701" width="30.5703125" style="2" customWidth="1"/>
    <col min="8702" max="8702" width="33.85546875" style="2" customWidth="1"/>
    <col min="8703" max="8703" width="5.140625" style="2" customWidth="1"/>
    <col min="8704" max="8705" width="17.5703125" style="2" customWidth="1"/>
    <col min="8706" max="8949" width="9.140625" style="2"/>
    <col min="8950" max="8950" width="3.5703125" style="2" customWidth="1"/>
    <col min="8951" max="8951" width="96.85546875" style="2" customWidth="1"/>
    <col min="8952" max="8952" width="30.85546875" style="2" customWidth="1"/>
    <col min="8953" max="8953" width="12.5703125" style="2" customWidth="1"/>
    <col min="8954" max="8954" width="5.140625" style="2" customWidth="1"/>
    <col min="8955" max="8955" width="9.140625" style="2"/>
    <col min="8956" max="8956" width="4.85546875" style="2" customWidth="1"/>
    <col min="8957" max="8957" width="30.5703125" style="2" customWidth="1"/>
    <col min="8958" max="8958" width="33.85546875" style="2" customWidth="1"/>
    <col min="8959" max="8959" width="5.140625" style="2" customWidth="1"/>
    <col min="8960" max="8961" width="17.5703125" style="2" customWidth="1"/>
    <col min="8962" max="9205" width="9.140625" style="2"/>
    <col min="9206" max="9206" width="3.5703125" style="2" customWidth="1"/>
    <col min="9207" max="9207" width="96.85546875" style="2" customWidth="1"/>
    <col min="9208" max="9208" width="30.85546875" style="2" customWidth="1"/>
    <col min="9209" max="9209" width="12.5703125" style="2" customWidth="1"/>
    <col min="9210" max="9210" width="5.140625" style="2" customWidth="1"/>
    <col min="9211" max="9211" width="9.140625" style="2"/>
    <col min="9212" max="9212" width="4.85546875" style="2" customWidth="1"/>
    <col min="9213" max="9213" width="30.5703125" style="2" customWidth="1"/>
    <col min="9214" max="9214" width="33.85546875" style="2" customWidth="1"/>
    <col min="9215" max="9215" width="5.140625" style="2" customWidth="1"/>
    <col min="9216" max="9217" width="17.5703125" style="2" customWidth="1"/>
    <col min="9218" max="9461" width="9.140625" style="2"/>
    <col min="9462" max="9462" width="3.5703125" style="2" customWidth="1"/>
    <col min="9463" max="9463" width="96.85546875" style="2" customWidth="1"/>
    <col min="9464" max="9464" width="30.85546875" style="2" customWidth="1"/>
    <col min="9465" max="9465" width="12.5703125" style="2" customWidth="1"/>
    <col min="9466" max="9466" width="5.140625" style="2" customWidth="1"/>
    <col min="9467" max="9467" width="9.140625" style="2"/>
    <col min="9468" max="9468" width="4.85546875" style="2" customWidth="1"/>
    <col min="9469" max="9469" width="30.5703125" style="2" customWidth="1"/>
    <col min="9470" max="9470" width="33.85546875" style="2" customWidth="1"/>
    <col min="9471" max="9471" width="5.140625" style="2" customWidth="1"/>
    <col min="9472" max="9473" width="17.5703125" style="2" customWidth="1"/>
    <col min="9474" max="9717" width="9.140625" style="2"/>
    <col min="9718" max="9718" width="3.5703125" style="2" customWidth="1"/>
    <col min="9719" max="9719" width="96.85546875" style="2" customWidth="1"/>
    <col min="9720" max="9720" width="30.85546875" style="2" customWidth="1"/>
    <col min="9721" max="9721" width="12.5703125" style="2" customWidth="1"/>
    <col min="9722" max="9722" width="5.140625" style="2" customWidth="1"/>
    <col min="9723" max="9723" width="9.140625" style="2"/>
    <col min="9724" max="9724" width="4.85546875" style="2" customWidth="1"/>
    <col min="9725" max="9725" width="30.5703125" style="2" customWidth="1"/>
    <col min="9726" max="9726" width="33.85546875" style="2" customWidth="1"/>
    <col min="9727" max="9727" width="5.140625" style="2" customWidth="1"/>
    <col min="9728" max="9729" width="17.5703125" style="2" customWidth="1"/>
    <col min="9730" max="9973" width="9.140625" style="2"/>
    <col min="9974" max="9974" width="3.5703125" style="2" customWidth="1"/>
    <col min="9975" max="9975" width="96.85546875" style="2" customWidth="1"/>
    <col min="9976" max="9976" width="30.85546875" style="2" customWidth="1"/>
    <col min="9977" max="9977" width="12.5703125" style="2" customWidth="1"/>
    <col min="9978" max="9978" width="5.140625" style="2" customWidth="1"/>
    <col min="9979" max="9979" width="9.140625" style="2"/>
    <col min="9980" max="9980" width="4.85546875" style="2" customWidth="1"/>
    <col min="9981" max="9981" width="30.5703125" style="2" customWidth="1"/>
    <col min="9982" max="9982" width="33.85546875" style="2" customWidth="1"/>
    <col min="9983" max="9983" width="5.140625" style="2" customWidth="1"/>
    <col min="9984" max="9985" width="17.5703125" style="2" customWidth="1"/>
    <col min="9986" max="10229" width="9.140625" style="2"/>
    <col min="10230" max="10230" width="3.5703125" style="2" customWidth="1"/>
    <col min="10231" max="10231" width="96.85546875" style="2" customWidth="1"/>
    <col min="10232" max="10232" width="30.85546875" style="2" customWidth="1"/>
    <col min="10233" max="10233" width="12.5703125" style="2" customWidth="1"/>
    <col min="10234" max="10234" width="5.140625" style="2" customWidth="1"/>
    <col min="10235" max="10235" width="9.140625" style="2"/>
    <col min="10236" max="10236" width="4.85546875" style="2" customWidth="1"/>
    <col min="10237" max="10237" width="30.5703125" style="2" customWidth="1"/>
    <col min="10238" max="10238" width="33.85546875" style="2" customWidth="1"/>
    <col min="10239" max="10239" width="5.140625" style="2" customWidth="1"/>
    <col min="10240" max="10241" width="17.5703125" style="2" customWidth="1"/>
    <col min="10242" max="10485" width="9.140625" style="2"/>
    <col min="10486" max="10486" width="3.5703125" style="2" customWidth="1"/>
    <col min="10487" max="10487" width="96.85546875" style="2" customWidth="1"/>
    <col min="10488" max="10488" width="30.85546875" style="2" customWidth="1"/>
    <col min="10489" max="10489" width="12.5703125" style="2" customWidth="1"/>
    <col min="10490" max="10490" width="5.140625" style="2" customWidth="1"/>
    <col min="10491" max="10491" width="9.140625" style="2"/>
    <col min="10492" max="10492" width="4.85546875" style="2" customWidth="1"/>
    <col min="10493" max="10493" width="30.5703125" style="2" customWidth="1"/>
    <col min="10494" max="10494" width="33.85546875" style="2" customWidth="1"/>
    <col min="10495" max="10495" width="5.140625" style="2" customWidth="1"/>
    <col min="10496" max="10497" width="17.5703125" style="2" customWidth="1"/>
    <col min="10498" max="10741" width="9.140625" style="2"/>
    <col min="10742" max="10742" width="3.5703125" style="2" customWidth="1"/>
    <col min="10743" max="10743" width="96.85546875" style="2" customWidth="1"/>
    <col min="10744" max="10744" width="30.85546875" style="2" customWidth="1"/>
    <col min="10745" max="10745" width="12.5703125" style="2" customWidth="1"/>
    <col min="10746" max="10746" width="5.140625" style="2" customWidth="1"/>
    <col min="10747" max="10747" width="9.140625" style="2"/>
    <col min="10748" max="10748" width="4.85546875" style="2" customWidth="1"/>
    <col min="10749" max="10749" width="30.5703125" style="2" customWidth="1"/>
    <col min="10750" max="10750" width="33.85546875" style="2" customWidth="1"/>
    <col min="10751" max="10751" width="5.140625" style="2" customWidth="1"/>
    <col min="10752" max="10753" width="17.5703125" style="2" customWidth="1"/>
    <col min="10754" max="10997" width="9.140625" style="2"/>
    <col min="10998" max="10998" width="3.5703125" style="2" customWidth="1"/>
    <col min="10999" max="10999" width="96.85546875" style="2" customWidth="1"/>
    <col min="11000" max="11000" width="30.85546875" style="2" customWidth="1"/>
    <col min="11001" max="11001" width="12.5703125" style="2" customWidth="1"/>
    <col min="11002" max="11002" width="5.140625" style="2" customWidth="1"/>
    <col min="11003" max="11003" width="9.140625" style="2"/>
    <col min="11004" max="11004" width="4.85546875" style="2" customWidth="1"/>
    <col min="11005" max="11005" width="30.5703125" style="2" customWidth="1"/>
    <col min="11006" max="11006" width="33.85546875" style="2" customWidth="1"/>
    <col min="11007" max="11007" width="5.140625" style="2" customWidth="1"/>
    <col min="11008" max="11009" width="17.5703125" style="2" customWidth="1"/>
    <col min="11010" max="11253" width="9.140625" style="2"/>
    <col min="11254" max="11254" width="3.5703125" style="2" customWidth="1"/>
    <col min="11255" max="11255" width="96.85546875" style="2" customWidth="1"/>
    <col min="11256" max="11256" width="30.85546875" style="2" customWidth="1"/>
    <col min="11257" max="11257" width="12.5703125" style="2" customWidth="1"/>
    <col min="11258" max="11258" width="5.140625" style="2" customWidth="1"/>
    <col min="11259" max="11259" width="9.140625" style="2"/>
    <col min="11260" max="11260" width="4.85546875" style="2" customWidth="1"/>
    <col min="11261" max="11261" width="30.5703125" style="2" customWidth="1"/>
    <col min="11262" max="11262" width="33.85546875" style="2" customWidth="1"/>
    <col min="11263" max="11263" width="5.140625" style="2" customWidth="1"/>
    <col min="11264" max="11265" width="17.5703125" style="2" customWidth="1"/>
    <col min="11266" max="11509" width="9.140625" style="2"/>
    <col min="11510" max="11510" width="3.5703125" style="2" customWidth="1"/>
    <col min="11511" max="11511" width="96.85546875" style="2" customWidth="1"/>
    <col min="11512" max="11512" width="30.85546875" style="2" customWidth="1"/>
    <col min="11513" max="11513" width="12.5703125" style="2" customWidth="1"/>
    <col min="11514" max="11514" width="5.140625" style="2" customWidth="1"/>
    <col min="11515" max="11515" width="9.140625" style="2"/>
    <col min="11516" max="11516" width="4.85546875" style="2" customWidth="1"/>
    <col min="11517" max="11517" width="30.5703125" style="2" customWidth="1"/>
    <col min="11518" max="11518" width="33.85546875" style="2" customWidth="1"/>
    <col min="11519" max="11519" width="5.140625" style="2" customWidth="1"/>
    <col min="11520" max="11521" width="17.5703125" style="2" customWidth="1"/>
    <col min="11522" max="11765" width="9.140625" style="2"/>
    <col min="11766" max="11766" width="3.5703125" style="2" customWidth="1"/>
    <col min="11767" max="11767" width="96.85546875" style="2" customWidth="1"/>
    <col min="11768" max="11768" width="30.85546875" style="2" customWidth="1"/>
    <col min="11769" max="11769" width="12.5703125" style="2" customWidth="1"/>
    <col min="11770" max="11770" width="5.140625" style="2" customWidth="1"/>
    <col min="11771" max="11771" width="9.140625" style="2"/>
    <col min="11772" max="11772" width="4.85546875" style="2" customWidth="1"/>
    <col min="11773" max="11773" width="30.5703125" style="2" customWidth="1"/>
    <col min="11774" max="11774" width="33.85546875" style="2" customWidth="1"/>
    <col min="11775" max="11775" width="5.140625" style="2" customWidth="1"/>
    <col min="11776" max="11777" width="17.5703125" style="2" customWidth="1"/>
    <col min="11778" max="12021" width="9.140625" style="2"/>
    <col min="12022" max="12022" width="3.5703125" style="2" customWidth="1"/>
    <col min="12023" max="12023" width="96.85546875" style="2" customWidth="1"/>
    <col min="12024" max="12024" width="30.85546875" style="2" customWidth="1"/>
    <col min="12025" max="12025" width="12.5703125" style="2" customWidth="1"/>
    <col min="12026" max="12026" width="5.140625" style="2" customWidth="1"/>
    <col min="12027" max="12027" width="9.140625" style="2"/>
    <col min="12028" max="12028" width="4.85546875" style="2" customWidth="1"/>
    <col min="12029" max="12029" width="30.5703125" style="2" customWidth="1"/>
    <col min="12030" max="12030" width="33.85546875" style="2" customWidth="1"/>
    <col min="12031" max="12031" width="5.140625" style="2" customWidth="1"/>
    <col min="12032" max="12033" width="17.5703125" style="2" customWidth="1"/>
    <col min="12034" max="12277" width="9.140625" style="2"/>
    <col min="12278" max="12278" width="3.5703125" style="2" customWidth="1"/>
    <col min="12279" max="12279" width="96.85546875" style="2" customWidth="1"/>
    <col min="12280" max="12280" width="30.85546875" style="2" customWidth="1"/>
    <col min="12281" max="12281" width="12.5703125" style="2" customWidth="1"/>
    <col min="12282" max="12282" width="5.140625" style="2" customWidth="1"/>
    <col min="12283" max="12283" width="9.140625" style="2"/>
    <col min="12284" max="12284" width="4.85546875" style="2" customWidth="1"/>
    <col min="12285" max="12285" width="30.5703125" style="2" customWidth="1"/>
    <col min="12286" max="12286" width="33.85546875" style="2" customWidth="1"/>
    <col min="12287" max="12287" width="5.140625" style="2" customWidth="1"/>
    <col min="12288" max="12289" width="17.5703125" style="2" customWidth="1"/>
    <col min="12290" max="12533" width="9.140625" style="2"/>
    <col min="12534" max="12534" width="3.5703125" style="2" customWidth="1"/>
    <col min="12535" max="12535" width="96.85546875" style="2" customWidth="1"/>
    <col min="12536" max="12536" width="30.85546875" style="2" customWidth="1"/>
    <col min="12537" max="12537" width="12.5703125" style="2" customWidth="1"/>
    <col min="12538" max="12538" width="5.140625" style="2" customWidth="1"/>
    <col min="12539" max="12539" width="9.140625" style="2"/>
    <col min="12540" max="12540" width="4.85546875" style="2" customWidth="1"/>
    <col min="12541" max="12541" width="30.5703125" style="2" customWidth="1"/>
    <col min="12542" max="12542" width="33.85546875" style="2" customWidth="1"/>
    <col min="12543" max="12543" width="5.140625" style="2" customWidth="1"/>
    <col min="12544" max="12545" width="17.5703125" style="2" customWidth="1"/>
    <col min="12546" max="12789" width="9.140625" style="2"/>
    <col min="12790" max="12790" width="3.5703125" style="2" customWidth="1"/>
    <col min="12791" max="12791" width="96.85546875" style="2" customWidth="1"/>
    <col min="12792" max="12792" width="30.85546875" style="2" customWidth="1"/>
    <col min="12793" max="12793" width="12.5703125" style="2" customWidth="1"/>
    <col min="12794" max="12794" width="5.140625" style="2" customWidth="1"/>
    <col min="12795" max="12795" width="9.140625" style="2"/>
    <col min="12796" max="12796" width="4.85546875" style="2" customWidth="1"/>
    <col min="12797" max="12797" width="30.5703125" style="2" customWidth="1"/>
    <col min="12798" max="12798" width="33.85546875" style="2" customWidth="1"/>
    <col min="12799" max="12799" width="5.140625" style="2" customWidth="1"/>
    <col min="12800" max="12801" width="17.5703125" style="2" customWidth="1"/>
    <col min="12802" max="13045" width="9.140625" style="2"/>
    <col min="13046" max="13046" width="3.5703125" style="2" customWidth="1"/>
    <col min="13047" max="13047" width="96.85546875" style="2" customWidth="1"/>
    <col min="13048" max="13048" width="30.85546875" style="2" customWidth="1"/>
    <col min="13049" max="13049" width="12.5703125" style="2" customWidth="1"/>
    <col min="13050" max="13050" width="5.140625" style="2" customWidth="1"/>
    <col min="13051" max="13051" width="9.140625" style="2"/>
    <col min="13052" max="13052" width="4.85546875" style="2" customWidth="1"/>
    <col min="13053" max="13053" width="30.5703125" style="2" customWidth="1"/>
    <col min="13054" max="13054" width="33.85546875" style="2" customWidth="1"/>
    <col min="13055" max="13055" width="5.140625" style="2" customWidth="1"/>
    <col min="13056" max="13057" width="17.5703125" style="2" customWidth="1"/>
    <col min="13058" max="13301" width="9.140625" style="2"/>
    <col min="13302" max="13302" width="3.5703125" style="2" customWidth="1"/>
    <col min="13303" max="13303" width="96.85546875" style="2" customWidth="1"/>
    <col min="13304" max="13304" width="30.85546875" style="2" customWidth="1"/>
    <col min="13305" max="13305" width="12.5703125" style="2" customWidth="1"/>
    <col min="13306" max="13306" width="5.140625" style="2" customWidth="1"/>
    <col min="13307" max="13307" width="9.140625" style="2"/>
    <col min="13308" max="13308" width="4.85546875" style="2" customWidth="1"/>
    <col min="13309" max="13309" width="30.5703125" style="2" customWidth="1"/>
    <col min="13310" max="13310" width="33.85546875" style="2" customWidth="1"/>
    <col min="13311" max="13311" width="5.140625" style="2" customWidth="1"/>
    <col min="13312" max="13313" width="17.5703125" style="2" customWidth="1"/>
    <col min="13314" max="13557" width="9.140625" style="2"/>
    <col min="13558" max="13558" width="3.5703125" style="2" customWidth="1"/>
    <col min="13559" max="13559" width="96.85546875" style="2" customWidth="1"/>
    <col min="13560" max="13560" width="30.85546875" style="2" customWidth="1"/>
    <col min="13561" max="13561" width="12.5703125" style="2" customWidth="1"/>
    <col min="13562" max="13562" width="5.140625" style="2" customWidth="1"/>
    <col min="13563" max="13563" width="9.140625" style="2"/>
    <col min="13564" max="13564" width="4.85546875" style="2" customWidth="1"/>
    <col min="13565" max="13565" width="30.5703125" style="2" customWidth="1"/>
    <col min="13566" max="13566" width="33.85546875" style="2" customWidth="1"/>
    <col min="13567" max="13567" width="5.140625" style="2" customWidth="1"/>
    <col min="13568" max="13569" width="17.5703125" style="2" customWidth="1"/>
    <col min="13570" max="13813" width="9.140625" style="2"/>
    <col min="13814" max="13814" width="3.5703125" style="2" customWidth="1"/>
    <col min="13815" max="13815" width="96.85546875" style="2" customWidth="1"/>
    <col min="13816" max="13816" width="30.85546875" style="2" customWidth="1"/>
    <col min="13817" max="13817" width="12.5703125" style="2" customWidth="1"/>
    <col min="13818" max="13818" width="5.140625" style="2" customWidth="1"/>
    <col min="13819" max="13819" width="9.140625" style="2"/>
    <col min="13820" max="13820" width="4.85546875" style="2" customWidth="1"/>
    <col min="13821" max="13821" width="30.5703125" style="2" customWidth="1"/>
    <col min="13822" max="13822" width="33.85546875" style="2" customWidth="1"/>
    <col min="13823" max="13823" width="5.140625" style="2" customWidth="1"/>
    <col min="13824" max="13825" width="17.5703125" style="2" customWidth="1"/>
    <col min="13826" max="14069" width="9.140625" style="2"/>
    <col min="14070" max="14070" width="3.5703125" style="2" customWidth="1"/>
    <col min="14071" max="14071" width="96.85546875" style="2" customWidth="1"/>
    <col min="14072" max="14072" width="30.85546875" style="2" customWidth="1"/>
    <col min="14073" max="14073" width="12.5703125" style="2" customWidth="1"/>
    <col min="14074" max="14074" width="5.140625" style="2" customWidth="1"/>
    <col min="14075" max="14075" width="9.140625" style="2"/>
    <col min="14076" max="14076" width="4.85546875" style="2" customWidth="1"/>
    <col min="14077" max="14077" width="30.5703125" style="2" customWidth="1"/>
    <col min="14078" max="14078" width="33.85546875" style="2" customWidth="1"/>
    <col min="14079" max="14079" width="5.140625" style="2" customWidth="1"/>
    <col min="14080" max="14081" width="17.5703125" style="2" customWidth="1"/>
    <col min="14082" max="14325" width="9.140625" style="2"/>
    <col min="14326" max="14326" width="3.5703125" style="2" customWidth="1"/>
    <col min="14327" max="14327" width="96.85546875" style="2" customWidth="1"/>
    <col min="14328" max="14328" width="30.85546875" style="2" customWidth="1"/>
    <col min="14329" max="14329" width="12.5703125" style="2" customWidth="1"/>
    <col min="14330" max="14330" width="5.140625" style="2" customWidth="1"/>
    <col min="14331" max="14331" width="9.140625" style="2"/>
    <col min="14332" max="14332" width="4.85546875" style="2" customWidth="1"/>
    <col min="14333" max="14333" width="30.5703125" style="2" customWidth="1"/>
    <col min="14334" max="14334" width="33.85546875" style="2" customWidth="1"/>
    <col min="14335" max="14335" width="5.140625" style="2" customWidth="1"/>
    <col min="14336" max="14337" width="17.5703125" style="2" customWidth="1"/>
    <col min="14338" max="14581" width="9.140625" style="2"/>
    <col min="14582" max="14582" width="3.5703125" style="2" customWidth="1"/>
    <col min="14583" max="14583" width="96.85546875" style="2" customWidth="1"/>
    <col min="14584" max="14584" width="30.85546875" style="2" customWidth="1"/>
    <col min="14585" max="14585" width="12.5703125" style="2" customWidth="1"/>
    <col min="14586" max="14586" width="5.140625" style="2" customWidth="1"/>
    <col min="14587" max="14587" width="9.140625" style="2"/>
    <col min="14588" max="14588" width="4.85546875" style="2" customWidth="1"/>
    <col min="14589" max="14589" width="30.5703125" style="2" customWidth="1"/>
    <col min="14590" max="14590" width="33.85546875" style="2" customWidth="1"/>
    <col min="14591" max="14591" width="5.140625" style="2" customWidth="1"/>
    <col min="14592" max="14593" width="17.5703125" style="2" customWidth="1"/>
    <col min="14594" max="14837" width="9.140625" style="2"/>
    <col min="14838" max="14838" width="3.5703125" style="2" customWidth="1"/>
    <col min="14839" max="14839" width="96.85546875" style="2" customWidth="1"/>
    <col min="14840" max="14840" width="30.85546875" style="2" customWidth="1"/>
    <col min="14841" max="14841" width="12.5703125" style="2" customWidth="1"/>
    <col min="14842" max="14842" width="5.140625" style="2" customWidth="1"/>
    <col min="14843" max="14843" width="9.140625" style="2"/>
    <col min="14844" max="14844" width="4.85546875" style="2" customWidth="1"/>
    <col min="14845" max="14845" width="30.5703125" style="2" customWidth="1"/>
    <col min="14846" max="14846" width="33.85546875" style="2" customWidth="1"/>
    <col min="14847" max="14847" width="5.140625" style="2" customWidth="1"/>
    <col min="14848" max="14849" width="17.5703125" style="2" customWidth="1"/>
    <col min="14850" max="15093" width="9.140625" style="2"/>
    <col min="15094" max="15094" width="3.5703125" style="2" customWidth="1"/>
    <col min="15095" max="15095" width="96.85546875" style="2" customWidth="1"/>
    <col min="15096" max="15096" width="30.85546875" style="2" customWidth="1"/>
    <col min="15097" max="15097" width="12.5703125" style="2" customWidth="1"/>
    <col min="15098" max="15098" width="5.140625" style="2" customWidth="1"/>
    <col min="15099" max="15099" width="9.140625" style="2"/>
    <col min="15100" max="15100" width="4.85546875" style="2" customWidth="1"/>
    <col min="15101" max="15101" width="30.5703125" style="2" customWidth="1"/>
    <col min="15102" max="15102" width="33.85546875" style="2" customWidth="1"/>
    <col min="15103" max="15103" width="5.140625" style="2" customWidth="1"/>
    <col min="15104" max="15105" width="17.5703125" style="2" customWidth="1"/>
    <col min="15106" max="15349" width="9.140625" style="2"/>
    <col min="15350" max="15350" width="3.5703125" style="2" customWidth="1"/>
    <col min="15351" max="15351" width="96.85546875" style="2" customWidth="1"/>
    <col min="15352" max="15352" width="30.85546875" style="2" customWidth="1"/>
    <col min="15353" max="15353" width="12.5703125" style="2" customWidth="1"/>
    <col min="15354" max="15354" width="5.140625" style="2" customWidth="1"/>
    <col min="15355" max="15355" width="9.140625" style="2"/>
    <col min="15356" max="15356" width="4.85546875" style="2" customWidth="1"/>
    <col min="15357" max="15357" width="30.5703125" style="2" customWidth="1"/>
    <col min="15358" max="15358" width="33.85546875" style="2" customWidth="1"/>
    <col min="15359" max="15359" width="5.140625" style="2" customWidth="1"/>
    <col min="15360" max="15361" width="17.5703125" style="2" customWidth="1"/>
    <col min="15362" max="15605" width="9.140625" style="2"/>
    <col min="15606" max="15606" width="3.5703125" style="2" customWidth="1"/>
    <col min="15607" max="15607" width="96.85546875" style="2" customWidth="1"/>
    <col min="15608" max="15608" width="30.85546875" style="2" customWidth="1"/>
    <col min="15609" max="15609" width="12.5703125" style="2" customWidth="1"/>
    <col min="15610" max="15610" width="5.140625" style="2" customWidth="1"/>
    <col min="15611" max="15611" width="9.140625" style="2"/>
    <col min="15612" max="15612" width="4.85546875" style="2" customWidth="1"/>
    <col min="15613" max="15613" width="30.5703125" style="2" customWidth="1"/>
    <col min="15614" max="15614" width="33.85546875" style="2" customWidth="1"/>
    <col min="15615" max="15615" width="5.140625" style="2" customWidth="1"/>
    <col min="15616" max="15617" width="17.5703125" style="2" customWidth="1"/>
    <col min="15618" max="15861" width="9.140625" style="2"/>
    <col min="15862" max="15862" width="3.5703125" style="2" customWidth="1"/>
    <col min="15863" max="15863" width="96.85546875" style="2" customWidth="1"/>
    <col min="15864" max="15864" width="30.85546875" style="2" customWidth="1"/>
    <col min="15865" max="15865" width="12.5703125" style="2" customWidth="1"/>
    <col min="15866" max="15866" width="5.140625" style="2" customWidth="1"/>
    <col min="15867" max="15867" width="9.140625" style="2"/>
    <col min="15868" max="15868" width="4.85546875" style="2" customWidth="1"/>
    <col min="15869" max="15869" width="30.5703125" style="2" customWidth="1"/>
    <col min="15870" max="15870" width="33.85546875" style="2" customWidth="1"/>
    <col min="15871" max="15871" width="5.140625" style="2" customWidth="1"/>
    <col min="15872" max="15873" width="17.5703125" style="2" customWidth="1"/>
    <col min="15874" max="16117" width="9.140625" style="2"/>
    <col min="16118" max="16118" width="3.5703125" style="2" customWidth="1"/>
    <col min="16119" max="16119" width="96.85546875" style="2" customWidth="1"/>
    <col min="16120" max="16120" width="30.85546875" style="2" customWidth="1"/>
    <col min="16121" max="16121" width="12.5703125" style="2" customWidth="1"/>
    <col min="16122" max="16122" width="5.140625" style="2" customWidth="1"/>
    <col min="16123" max="16123" width="9.140625" style="2"/>
    <col min="16124" max="16124" width="4.85546875" style="2" customWidth="1"/>
    <col min="16125" max="16125" width="30.5703125" style="2" customWidth="1"/>
    <col min="16126" max="16126" width="33.85546875" style="2" customWidth="1"/>
    <col min="16127" max="16127" width="5.140625" style="2" customWidth="1"/>
    <col min="16128" max="16129" width="17.5703125" style="2" customWidth="1"/>
    <col min="16130" max="16384" width="9.140625" style="2"/>
  </cols>
  <sheetData>
    <row r="1" spans="1:3" ht="48" customHeight="1" x14ac:dyDescent="0.2">
      <c r="A1" s="111"/>
      <c r="B1" s="143" t="s">
        <v>225</v>
      </c>
      <c r="C1" s="143"/>
    </row>
    <row r="2" spans="1:3" x14ac:dyDescent="0.2">
      <c r="A2" s="1"/>
      <c r="B2" s="3" t="s">
        <v>2</v>
      </c>
      <c r="C2" s="4">
        <v>45317</v>
      </c>
    </row>
    <row r="3" spans="1:3" x14ac:dyDescent="0.2">
      <c r="A3" s="1"/>
      <c r="B3" s="112" t="s">
        <v>3</v>
      </c>
    </row>
    <row r="4" spans="1:3" ht="25.5" x14ac:dyDescent="0.2">
      <c r="A4" s="7"/>
      <c r="B4" s="8" t="str">
        <f>[21]И1!D13</f>
        <v>Субъект Российской Федерации</v>
      </c>
      <c r="C4" s="9" t="str">
        <f>[21]И1!E13</f>
        <v>Новосибирская область</v>
      </c>
    </row>
    <row r="5" spans="1:3" ht="38.25" x14ac:dyDescent="0.2">
      <c r="A5" s="7"/>
      <c r="B5" s="8" t="str">
        <f>[21]И1!D14</f>
        <v>Тип муниципального образования (выберите из списка)</v>
      </c>
      <c r="C5" s="9" t="str">
        <f>[21]И1!E14</f>
        <v>село Филиппово, Ордынский муниципальный район</v>
      </c>
    </row>
    <row r="6" spans="1:3" x14ac:dyDescent="0.2">
      <c r="A6" s="7"/>
      <c r="B6" s="8" t="str">
        <f>IF([21]И1!E15="","",[21]И1!D15)</f>
        <v/>
      </c>
      <c r="C6" s="9" t="str">
        <f>IF([21]И1!E15="","",[21]И1!E15)</f>
        <v/>
      </c>
    </row>
    <row r="7" spans="1:3" x14ac:dyDescent="0.2">
      <c r="A7" s="7"/>
      <c r="B7" s="8" t="str">
        <f>[21]И1!D16</f>
        <v>Код ОКТМО</v>
      </c>
      <c r="C7" s="10" t="str">
        <f>[21]И1!E16</f>
        <v>50642434101</v>
      </c>
    </row>
    <row r="8" spans="1:3" x14ac:dyDescent="0.2">
      <c r="A8" s="7"/>
      <c r="B8" s="11" t="str">
        <f>[21]И1!D17</f>
        <v>Система теплоснабжения</v>
      </c>
      <c r="C8" s="12">
        <f>[21]И1!E17</f>
        <v>0</v>
      </c>
    </row>
    <row r="9" spans="1:3" x14ac:dyDescent="0.2">
      <c r="A9" s="7"/>
      <c r="B9" s="8" t="str">
        <f>[21]И1!D8</f>
        <v>Период регулирования (i)-й</v>
      </c>
      <c r="C9" s="13">
        <f>[21]И1!E8</f>
        <v>2024</v>
      </c>
    </row>
    <row r="10" spans="1:3" x14ac:dyDescent="0.2">
      <c r="A10" s="7"/>
      <c r="B10" s="8" t="str">
        <f>[21]И1!D9</f>
        <v>Период регулирования (i-1)-й</v>
      </c>
      <c r="C10" s="13">
        <f>[21]И1!E9</f>
        <v>2023</v>
      </c>
    </row>
    <row r="11" spans="1:3" x14ac:dyDescent="0.2">
      <c r="A11" s="7"/>
      <c r="B11" s="8" t="str">
        <f>[21]И1!D10</f>
        <v>Период регулирования (i-2)-й</v>
      </c>
      <c r="C11" s="13">
        <f>[21]И1!E10</f>
        <v>2022</v>
      </c>
    </row>
    <row r="12" spans="1:3" x14ac:dyDescent="0.2">
      <c r="A12" s="7"/>
      <c r="B12" s="8" t="str">
        <f>[21]И1!D11</f>
        <v>Базовый год (б)</v>
      </c>
      <c r="C12" s="13">
        <f>[21]И1!E11</f>
        <v>2019</v>
      </c>
    </row>
    <row r="13" spans="1:3" ht="38.25" x14ac:dyDescent="0.2">
      <c r="A13" s="7"/>
      <c r="B13" s="8" t="str">
        <f>[21]И1!D18</f>
        <v>Вид топлива, использование которого преобладает в системе теплоснабжения</v>
      </c>
      <c r="C13" s="14" t="str">
        <f>[21]С1.1!E13</f>
        <v>уголь (вид угля не указан в топливном балансе)</v>
      </c>
    </row>
    <row r="14" spans="1:3" ht="31.7" customHeight="1" thickBot="1" x14ac:dyDescent="0.25">
      <c r="A14" s="146" t="s">
        <v>4</v>
      </c>
      <c r="B14" s="146"/>
      <c r="C14" s="146"/>
    </row>
    <row r="15" spans="1:3" x14ac:dyDescent="0.2">
      <c r="A15" s="15" t="s">
        <v>5</v>
      </c>
      <c r="B15" s="113" t="s">
        <v>6</v>
      </c>
      <c r="C15" s="114" t="s">
        <v>7</v>
      </c>
    </row>
    <row r="16" spans="1:3" x14ac:dyDescent="0.2">
      <c r="A16" s="18">
        <v>1</v>
      </c>
      <c r="B16" s="115">
        <v>2</v>
      </c>
      <c r="C16" s="116">
        <v>3</v>
      </c>
    </row>
    <row r="17" spans="1:3" x14ac:dyDescent="0.2">
      <c r="A17" s="21">
        <v>1</v>
      </c>
      <c r="B17" s="22" t="s">
        <v>8</v>
      </c>
      <c r="C17" s="23">
        <f>SUM(C18:C22)</f>
        <v>3554.6359485339776</v>
      </c>
    </row>
    <row r="18" spans="1:3" ht="42.75" x14ac:dyDescent="0.2">
      <c r="A18" s="21" t="s">
        <v>9</v>
      </c>
      <c r="B18" s="24" t="s">
        <v>10</v>
      </c>
      <c r="C18" s="25">
        <f>[21]С1!F12</f>
        <v>681.72722270675411</v>
      </c>
    </row>
    <row r="19" spans="1:3" ht="42.75" x14ac:dyDescent="0.2">
      <c r="A19" s="21" t="s">
        <v>11</v>
      </c>
      <c r="B19" s="24" t="s">
        <v>12</v>
      </c>
      <c r="C19" s="25">
        <f>[21]С2!F12</f>
        <v>1988.7336845318171</v>
      </c>
    </row>
    <row r="20" spans="1:3" ht="30" x14ac:dyDescent="0.2">
      <c r="A20" s="21" t="s">
        <v>13</v>
      </c>
      <c r="B20" s="24" t="s">
        <v>14</v>
      </c>
      <c r="C20" s="25">
        <f>[21]С3!F12</f>
        <v>472.61808029676507</v>
      </c>
    </row>
    <row r="21" spans="1:3" ht="42.75" x14ac:dyDescent="0.2">
      <c r="A21" s="21" t="s">
        <v>15</v>
      </c>
      <c r="B21" s="24" t="s">
        <v>226</v>
      </c>
      <c r="C21" s="25">
        <f>[21]С4!F12</f>
        <v>341.85821690974007</v>
      </c>
    </row>
    <row r="22" spans="1:3" ht="30" x14ac:dyDescent="0.2">
      <c r="A22" s="21" t="s">
        <v>17</v>
      </c>
      <c r="B22" s="24" t="s">
        <v>227</v>
      </c>
      <c r="C22" s="25">
        <f>[21]С5!F12</f>
        <v>69.69874408890152</v>
      </c>
    </row>
    <row r="23" spans="1:3" ht="43.5" thickBot="1" x14ac:dyDescent="0.25">
      <c r="A23" s="26" t="s">
        <v>19</v>
      </c>
      <c r="B23" s="140" t="s">
        <v>228</v>
      </c>
      <c r="C23" s="27" t="str">
        <f>[21]С6!F12</f>
        <v>-</v>
      </c>
    </row>
    <row r="24" spans="1:3" ht="13.5" thickBot="1" x14ac:dyDescent="0.25">
      <c r="A24" s="1"/>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229</v>
      </c>
      <c r="C28" s="32">
        <f>[21]С1.1!E16</f>
        <v>5100</v>
      </c>
    </row>
    <row r="29" spans="1:3" ht="42.75" x14ac:dyDescent="0.2">
      <c r="A29" s="21" t="s">
        <v>11</v>
      </c>
      <c r="B29" s="31" t="s">
        <v>230</v>
      </c>
      <c r="C29" s="32">
        <f>[21]С1.1!E27</f>
        <v>3063.03</v>
      </c>
    </row>
    <row r="30" spans="1:3" ht="17.25" x14ac:dyDescent="0.2">
      <c r="A30" s="21" t="s">
        <v>13</v>
      </c>
      <c r="B30" s="31" t="s">
        <v>30</v>
      </c>
      <c r="C30" s="34">
        <f>[21]С1.1!E19</f>
        <v>-0.19900000000000001</v>
      </c>
    </row>
    <row r="31" spans="1:3" ht="17.25" x14ac:dyDescent="0.2">
      <c r="A31" s="21" t="s">
        <v>15</v>
      </c>
      <c r="B31" s="31" t="s">
        <v>31</v>
      </c>
      <c r="C31" s="34">
        <f>[21]С1.1!E20</f>
        <v>5.7000000000000002E-2</v>
      </c>
    </row>
    <row r="32" spans="1:3" ht="30" x14ac:dyDescent="0.2">
      <c r="A32" s="21" t="s">
        <v>17</v>
      </c>
      <c r="B32" s="35" t="s">
        <v>231</v>
      </c>
      <c r="C32" s="117">
        <f>[21]С1!F13</f>
        <v>176.4</v>
      </c>
    </row>
    <row r="33" spans="1:3" x14ac:dyDescent="0.2">
      <c r="A33" s="21" t="s">
        <v>19</v>
      </c>
      <c r="B33" s="35" t="s">
        <v>33</v>
      </c>
      <c r="C33" s="37">
        <f>[21]С1!F16</f>
        <v>7000</v>
      </c>
    </row>
    <row r="34" spans="1:3" ht="14.25" x14ac:dyDescent="0.2">
      <c r="A34" s="21" t="s">
        <v>34</v>
      </c>
      <c r="B34" s="39" t="s">
        <v>232</v>
      </c>
      <c r="C34" s="40">
        <f>[21]С1!F17</f>
        <v>0.72857142857142854</v>
      </c>
    </row>
    <row r="35" spans="1:3" ht="15.75" x14ac:dyDescent="0.2">
      <c r="A35" s="118" t="s">
        <v>36</v>
      </c>
      <c r="B35" s="42" t="s">
        <v>37</v>
      </c>
      <c r="C35" s="40">
        <f>[21]С1!F20</f>
        <v>21.588411179999994</v>
      </c>
    </row>
    <row r="36" spans="1:3" ht="15.75" x14ac:dyDescent="0.2">
      <c r="A36" s="118" t="s">
        <v>38</v>
      </c>
      <c r="B36" s="43" t="s">
        <v>39</v>
      </c>
      <c r="C36" s="40">
        <f>[21]С1!F21</f>
        <v>20.818139999999996</v>
      </c>
    </row>
    <row r="37" spans="1:3" ht="14.25" x14ac:dyDescent="0.2">
      <c r="A37" s="118" t="s">
        <v>40</v>
      </c>
      <c r="B37" s="44" t="s">
        <v>41</v>
      </c>
      <c r="C37" s="40">
        <f>[21]С1!F22</f>
        <v>1.0369999999999999</v>
      </c>
    </row>
    <row r="38" spans="1:3" ht="53.25" thickBot="1" x14ac:dyDescent="0.25">
      <c r="A38" s="26" t="s">
        <v>42</v>
      </c>
      <c r="B38" s="45" t="s">
        <v>43</v>
      </c>
      <c r="C38" s="46">
        <f>[21]С1!F23</f>
        <v>1.0469999999999999</v>
      </c>
    </row>
    <row r="39" spans="1:3" ht="13.5" thickBot="1" x14ac:dyDescent="0.25">
      <c r="A39" s="47"/>
      <c r="B39" s="119"/>
      <c r="C39" s="120"/>
    </row>
    <row r="40" spans="1:3" ht="30" customHeight="1" x14ac:dyDescent="0.2">
      <c r="A40" s="49" t="s">
        <v>44</v>
      </c>
      <c r="B40" s="145" t="s">
        <v>45</v>
      </c>
      <c r="C40" s="145"/>
    </row>
    <row r="41" spans="1:3" ht="25.5" x14ac:dyDescent="0.2">
      <c r="A41" s="21" t="s">
        <v>46</v>
      </c>
      <c r="B41" s="35" t="s">
        <v>47</v>
      </c>
      <c r="C41" s="50" t="str">
        <f>[21]С2.1!E12</f>
        <v>V</v>
      </c>
    </row>
    <row r="42" spans="1:3" ht="25.5" x14ac:dyDescent="0.2">
      <c r="A42" s="21" t="s">
        <v>48</v>
      </c>
      <c r="B42" s="31" t="s">
        <v>49</v>
      </c>
      <c r="C42" s="50" t="str">
        <f>[21]С2.1!E13</f>
        <v>6 и менее баллов</v>
      </c>
    </row>
    <row r="43" spans="1:3" ht="25.5" x14ac:dyDescent="0.2">
      <c r="A43" s="21" t="s">
        <v>50</v>
      </c>
      <c r="B43" s="31" t="s">
        <v>233</v>
      </c>
      <c r="C43" s="50" t="str">
        <f>[21]С2.1!E14</f>
        <v>от 200 до 500</v>
      </c>
    </row>
    <row r="44" spans="1:3" ht="25.5" x14ac:dyDescent="0.2">
      <c r="A44" s="21" t="s">
        <v>52</v>
      </c>
      <c r="B44" s="31" t="s">
        <v>234</v>
      </c>
      <c r="C44" s="51" t="str">
        <f>[21]С2.1!E15</f>
        <v>нет</v>
      </c>
    </row>
    <row r="45" spans="1:3" ht="30" x14ac:dyDescent="0.2">
      <c r="A45" s="21" t="s">
        <v>54</v>
      </c>
      <c r="B45" s="31" t="s">
        <v>55</v>
      </c>
      <c r="C45" s="32">
        <f>[21]С2!F18</f>
        <v>35106.652004551666</v>
      </c>
    </row>
    <row r="46" spans="1:3" ht="30" x14ac:dyDescent="0.2">
      <c r="A46" s="21" t="s">
        <v>56</v>
      </c>
      <c r="B46" s="52" t="s">
        <v>57</v>
      </c>
      <c r="C46" s="32">
        <f>IF([21]С2!F19&gt;0,[21]С2!F19,[21]С2!F20)</f>
        <v>23441.524932855718</v>
      </c>
    </row>
    <row r="47" spans="1:3" ht="25.5" x14ac:dyDescent="0.2">
      <c r="A47" s="21" t="s">
        <v>58</v>
      </c>
      <c r="B47" s="53" t="s">
        <v>59</v>
      </c>
      <c r="C47" s="32">
        <f>[21]С2.1!E19</f>
        <v>-37</v>
      </c>
    </row>
    <row r="48" spans="1:3" ht="25.5" x14ac:dyDescent="0.2">
      <c r="A48" s="21" t="s">
        <v>60</v>
      </c>
      <c r="B48" s="53" t="s">
        <v>61</v>
      </c>
      <c r="C48" s="32" t="str">
        <f>[21]С2.1!E22</f>
        <v>нет</v>
      </c>
    </row>
    <row r="49" spans="1:3" ht="38.25" x14ac:dyDescent="0.2">
      <c r="A49" s="21" t="s">
        <v>62</v>
      </c>
      <c r="B49" s="54" t="s">
        <v>63</v>
      </c>
      <c r="C49" s="32">
        <f>[21]С2.2!E10</f>
        <v>1287</v>
      </c>
    </row>
    <row r="50" spans="1:3" ht="25.5" x14ac:dyDescent="0.2">
      <c r="A50" s="21" t="s">
        <v>64</v>
      </c>
      <c r="B50" s="55" t="s">
        <v>65</v>
      </c>
      <c r="C50" s="32">
        <f>[21]С2.2!E12</f>
        <v>5.97</v>
      </c>
    </row>
    <row r="51" spans="1:3" ht="52.5" x14ac:dyDescent="0.2">
      <c r="A51" s="21" t="s">
        <v>66</v>
      </c>
      <c r="B51" s="56" t="s">
        <v>67</v>
      </c>
      <c r="C51" s="32">
        <f>[21]С2.2!E13</f>
        <v>1</v>
      </c>
    </row>
    <row r="52" spans="1:3" ht="27.75" x14ac:dyDescent="0.2">
      <c r="A52" s="21" t="s">
        <v>68</v>
      </c>
      <c r="B52" s="55" t="s">
        <v>69</v>
      </c>
      <c r="C52" s="32">
        <f>[21]С2.2!E14</f>
        <v>12104</v>
      </c>
    </row>
    <row r="53" spans="1:3" ht="25.5" x14ac:dyDescent="0.2">
      <c r="A53" s="21" t="s">
        <v>70</v>
      </c>
      <c r="B53" s="56" t="s">
        <v>71</v>
      </c>
      <c r="C53" s="34">
        <f>[21]С2.2!E15</f>
        <v>4.8000000000000001E-2</v>
      </c>
    </row>
    <row r="54" spans="1:3" x14ac:dyDescent="0.2">
      <c r="A54" s="21" t="s">
        <v>72</v>
      </c>
      <c r="B54" s="56" t="s">
        <v>73</v>
      </c>
      <c r="C54" s="32">
        <f>[21]С2.2!E16</f>
        <v>1</v>
      </c>
    </row>
    <row r="55" spans="1:3" ht="15.75" x14ac:dyDescent="0.2">
      <c r="A55" s="21" t="s">
        <v>74</v>
      </c>
      <c r="B55" s="58" t="s">
        <v>75</v>
      </c>
      <c r="C55" s="32">
        <f>[21]С2!F21</f>
        <v>1</v>
      </c>
    </row>
    <row r="56" spans="1:3" ht="30" x14ac:dyDescent="0.2">
      <c r="A56" s="59" t="s">
        <v>76</v>
      </c>
      <c r="B56" s="31" t="s">
        <v>235</v>
      </c>
      <c r="C56" s="32">
        <f>[21]С2!F13</f>
        <v>183796.83936385796</v>
      </c>
    </row>
    <row r="57" spans="1:3" ht="30" x14ac:dyDescent="0.2">
      <c r="A57" s="59" t="s">
        <v>78</v>
      </c>
      <c r="B57" s="58" t="s">
        <v>236</v>
      </c>
      <c r="C57" s="32">
        <f>[21]С2!F14</f>
        <v>113455</v>
      </c>
    </row>
    <row r="58" spans="1:3" ht="15.75" x14ac:dyDescent="0.2">
      <c r="A58" s="59" t="s">
        <v>80</v>
      </c>
      <c r="B58" s="60" t="s">
        <v>81</v>
      </c>
      <c r="C58" s="40">
        <f>[21]С2!F15</f>
        <v>1.071</v>
      </c>
    </row>
    <row r="59" spans="1:3" ht="15.75" x14ac:dyDescent="0.2">
      <c r="A59" s="59" t="s">
        <v>82</v>
      </c>
      <c r="B59" s="60" t="s">
        <v>83</v>
      </c>
      <c r="C59" s="40">
        <f>[21]С2!F16</f>
        <v>1</v>
      </c>
    </row>
    <row r="60" spans="1:3" ht="17.25" x14ac:dyDescent="0.2">
      <c r="A60" s="59" t="s">
        <v>84</v>
      </c>
      <c r="B60" s="58" t="s">
        <v>85</v>
      </c>
      <c r="C60" s="32">
        <f>[21]С2!F17</f>
        <v>1.01</v>
      </c>
    </row>
    <row r="61" spans="1:3" s="65" customFormat="1" ht="14.25" x14ac:dyDescent="0.2">
      <c r="A61" s="59" t="s">
        <v>86</v>
      </c>
      <c r="B61" s="63" t="s">
        <v>87</v>
      </c>
      <c r="C61" s="64">
        <f>[21]С2!F33</f>
        <v>10</v>
      </c>
    </row>
    <row r="62" spans="1:3" ht="30" x14ac:dyDescent="0.2">
      <c r="A62" s="59" t="s">
        <v>88</v>
      </c>
      <c r="B62" s="66" t="s">
        <v>89</v>
      </c>
      <c r="C62" s="32">
        <f>[21]С2!F26</f>
        <v>1266.3745527115127</v>
      </c>
    </row>
    <row r="63" spans="1:3" ht="17.25" x14ac:dyDescent="0.2">
      <c r="A63" s="59" t="s">
        <v>90</v>
      </c>
      <c r="B63" s="52" t="s">
        <v>237</v>
      </c>
      <c r="C63" s="32">
        <f>[21]С2!F27</f>
        <v>0.201330388</v>
      </c>
    </row>
    <row r="64" spans="1:3" ht="17.25" x14ac:dyDescent="0.2">
      <c r="A64" s="59" t="s">
        <v>92</v>
      </c>
      <c r="B64" s="58" t="s">
        <v>238</v>
      </c>
      <c r="C64" s="64">
        <f>[21]С2!F28</f>
        <v>4200</v>
      </c>
    </row>
    <row r="65" spans="1:3" ht="42.75" x14ac:dyDescent="0.2">
      <c r="A65" s="59" t="s">
        <v>94</v>
      </c>
      <c r="B65" s="31" t="s">
        <v>239</v>
      </c>
      <c r="C65" s="32">
        <f>[21]С2!F22</f>
        <v>38698.422798410109</v>
      </c>
    </row>
    <row r="66" spans="1:3" ht="30" x14ac:dyDescent="0.2">
      <c r="A66" s="59" t="s">
        <v>96</v>
      </c>
      <c r="B66" s="60" t="s">
        <v>240</v>
      </c>
      <c r="C66" s="32">
        <f>[21]С2!F23</f>
        <v>1990</v>
      </c>
    </row>
    <row r="67" spans="1:3" ht="30" x14ac:dyDescent="0.2">
      <c r="A67" s="59" t="s">
        <v>98</v>
      </c>
      <c r="B67" s="52" t="s">
        <v>99</v>
      </c>
      <c r="C67" s="32">
        <f>[21]С2.1!E27</f>
        <v>14307.876789999998</v>
      </c>
    </row>
    <row r="68" spans="1:3" ht="38.25" x14ac:dyDescent="0.2">
      <c r="A68" s="59" t="s">
        <v>100</v>
      </c>
      <c r="B68" s="67" t="s">
        <v>101</v>
      </c>
      <c r="C68" s="51">
        <f>[21]С2.3!E21</f>
        <v>0</v>
      </c>
    </row>
    <row r="69" spans="1:3" ht="25.5" x14ac:dyDescent="0.2">
      <c r="A69" s="59" t="s">
        <v>102</v>
      </c>
      <c r="B69" s="68" t="s">
        <v>103</v>
      </c>
      <c r="C69" s="69">
        <f>[21]С2.3!E11</f>
        <v>9.89</v>
      </c>
    </row>
    <row r="70" spans="1:3" ht="25.5" x14ac:dyDescent="0.2">
      <c r="A70" s="59" t="s">
        <v>104</v>
      </c>
      <c r="B70" s="68" t="s">
        <v>105</v>
      </c>
      <c r="C70" s="64">
        <f>[21]С2.3!E13</f>
        <v>300</v>
      </c>
    </row>
    <row r="71" spans="1:3" ht="25.5" x14ac:dyDescent="0.2">
      <c r="A71" s="59" t="s">
        <v>106</v>
      </c>
      <c r="B71" s="67" t="s">
        <v>107</v>
      </c>
      <c r="C71" s="70">
        <f>IF([21]С2.3!E22&gt;0,[21]С2.3!E22,[21]С2.3!E14)</f>
        <v>61211</v>
      </c>
    </row>
    <row r="72" spans="1:3" ht="38.25" x14ac:dyDescent="0.2">
      <c r="A72" s="59" t="s">
        <v>108</v>
      </c>
      <c r="B72" s="67" t="s">
        <v>109</v>
      </c>
      <c r="C72" s="70">
        <f>IF([21]С2.3!E23&gt;0,[21]С2.3!E23,[21]С2.3!E15)</f>
        <v>45675</v>
      </c>
    </row>
    <row r="73" spans="1:3" ht="30" x14ac:dyDescent="0.2">
      <c r="A73" s="59" t="s">
        <v>110</v>
      </c>
      <c r="B73" s="52" t="s">
        <v>111</v>
      </c>
      <c r="C73" s="32">
        <f>[21]С2.1!E28</f>
        <v>9541.9567200000001</v>
      </c>
    </row>
    <row r="74" spans="1:3" ht="38.25" x14ac:dyDescent="0.2">
      <c r="A74" s="59" t="s">
        <v>112</v>
      </c>
      <c r="B74" s="67" t="s">
        <v>113</v>
      </c>
      <c r="C74" s="51">
        <f>[21]С2.3!E25</f>
        <v>0</v>
      </c>
    </row>
    <row r="75" spans="1:3" ht="25.5" x14ac:dyDescent="0.2">
      <c r="A75" s="59" t="s">
        <v>114</v>
      </c>
      <c r="B75" s="68" t="s">
        <v>115</v>
      </c>
      <c r="C75" s="69">
        <f>[21]С2.3!E12</f>
        <v>0.56000000000000005</v>
      </c>
    </row>
    <row r="76" spans="1:3" ht="25.5" x14ac:dyDescent="0.2">
      <c r="A76" s="59" t="s">
        <v>116</v>
      </c>
      <c r="B76" s="68" t="s">
        <v>105</v>
      </c>
      <c r="C76" s="64">
        <f>[21]С2.3!E13</f>
        <v>300</v>
      </c>
    </row>
    <row r="77" spans="1:3" ht="25.5" x14ac:dyDescent="0.2">
      <c r="A77" s="59" t="s">
        <v>117</v>
      </c>
      <c r="B77" s="71" t="s">
        <v>118</v>
      </c>
      <c r="C77" s="70">
        <f>IF([21]С2.3!E26&gt;0,[21]С2.3!E26,[21]С2.3!E16)</f>
        <v>65637</v>
      </c>
    </row>
    <row r="78" spans="1:3" ht="38.25" x14ac:dyDescent="0.2">
      <c r="A78" s="59" t="s">
        <v>119</v>
      </c>
      <c r="B78" s="71" t="s">
        <v>120</v>
      </c>
      <c r="C78" s="70">
        <f>IF([21]С2.3!E27&gt;0,[21]С2.3!E27,[21]С2.3!E17)</f>
        <v>31684</v>
      </c>
    </row>
    <row r="79" spans="1:3" ht="17.25" x14ac:dyDescent="0.2">
      <c r="A79" s="59" t="s">
        <v>123</v>
      </c>
      <c r="B79" s="31" t="s">
        <v>124</v>
      </c>
      <c r="C79" s="34">
        <f>[21]С2!F29</f>
        <v>9.5962865259740182E-2</v>
      </c>
    </row>
    <row r="80" spans="1:3" ht="30" x14ac:dyDescent="0.2">
      <c r="A80" s="59" t="s">
        <v>125</v>
      </c>
      <c r="B80" s="52" t="s">
        <v>126</v>
      </c>
      <c r="C80" s="72">
        <f>[21]С2!F30</f>
        <v>8.4029304029304031E-2</v>
      </c>
    </row>
    <row r="81" spans="1:3" ht="17.25" x14ac:dyDescent="0.2">
      <c r="A81" s="59" t="s">
        <v>127</v>
      </c>
      <c r="B81" s="73" t="s">
        <v>128</v>
      </c>
      <c r="C81" s="34">
        <f>[21]С2!F31</f>
        <v>0.13880000000000001</v>
      </c>
    </row>
    <row r="82" spans="1:3" s="65" customFormat="1" ht="18" thickBot="1" x14ac:dyDescent="0.25">
      <c r="A82" s="74" t="s">
        <v>129</v>
      </c>
      <c r="B82" s="75" t="s">
        <v>130</v>
      </c>
      <c r="C82" s="76">
        <f>[21]С2!F32</f>
        <v>0.12640000000000001</v>
      </c>
    </row>
    <row r="83" spans="1:3" ht="13.5" thickBot="1" x14ac:dyDescent="0.25">
      <c r="A83" s="47"/>
      <c r="B83" s="48"/>
      <c r="C83" s="14"/>
    </row>
    <row r="84" spans="1:3" s="65" customFormat="1" ht="30" customHeight="1" x14ac:dyDescent="0.2">
      <c r="A84" s="77" t="s">
        <v>131</v>
      </c>
      <c r="B84" s="145" t="s">
        <v>132</v>
      </c>
      <c r="C84" s="145"/>
    </row>
    <row r="85" spans="1:3" s="65" customFormat="1" ht="30" x14ac:dyDescent="0.2">
      <c r="A85" s="78" t="s">
        <v>133</v>
      </c>
      <c r="B85" s="31" t="s">
        <v>134</v>
      </c>
      <c r="C85" s="32">
        <f>[21]С3!F14</f>
        <v>6057.0688307111368</v>
      </c>
    </row>
    <row r="86" spans="1:3" s="65" customFormat="1" ht="42.75" x14ac:dyDescent="0.2">
      <c r="A86" s="78" t="s">
        <v>135</v>
      </c>
      <c r="B86" s="52" t="s">
        <v>136</v>
      </c>
      <c r="C86" s="79">
        <f>[21]С3!F15</f>
        <v>0.2</v>
      </c>
    </row>
    <row r="87" spans="1:3" s="65" customFormat="1" ht="14.25" x14ac:dyDescent="0.2">
      <c r="A87" s="78" t="s">
        <v>137</v>
      </c>
      <c r="B87" s="80" t="s">
        <v>138</v>
      </c>
      <c r="C87" s="64">
        <f>[21]С3!F18</f>
        <v>15</v>
      </c>
    </row>
    <row r="88" spans="1:3" s="65" customFormat="1" ht="17.25" x14ac:dyDescent="0.2">
      <c r="A88" s="78" t="s">
        <v>139</v>
      </c>
      <c r="B88" s="31" t="s">
        <v>140</v>
      </c>
      <c r="C88" s="32">
        <f>[21]С3!F19</f>
        <v>3778.1614077800232</v>
      </c>
    </row>
    <row r="89" spans="1:3" s="65" customFormat="1" ht="55.5" x14ac:dyDescent="0.2">
      <c r="A89" s="78" t="s">
        <v>141</v>
      </c>
      <c r="B89" s="52" t="s">
        <v>142</v>
      </c>
      <c r="C89" s="81">
        <f>[21]С3!F20</f>
        <v>2.1999999999999999E-2</v>
      </c>
    </row>
    <row r="90" spans="1:3" s="65" customFormat="1" ht="14.25" x14ac:dyDescent="0.2">
      <c r="A90" s="78" t="s">
        <v>143</v>
      </c>
      <c r="B90" s="58" t="s">
        <v>87</v>
      </c>
      <c r="C90" s="64">
        <f>[21]С3!F21</f>
        <v>10</v>
      </c>
    </row>
    <row r="91" spans="1:3" s="65" customFormat="1" ht="17.25" x14ac:dyDescent="0.2">
      <c r="A91" s="78" t="s">
        <v>144</v>
      </c>
      <c r="B91" s="31" t="s">
        <v>145</v>
      </c>
      <c r="C91" s="32">
        <f>[21]С3!F22</f>
        <v>3.7991236581345382</v>
      </c>
    </row>
    <row r="92" spans="1:3" s="65" customFormat="1" ht="55.5" x14ac:dyDescent="0.2">
      <c r="A92" s="78" t="s">
        <v>146</v>
      </c>
      <c r="B92" s="52" t="s">
        <v>147</v>
      </c>
      <c r="C92" s="81">
        <f>[21]С3!F23</f>
        <v>3.0000000000000001E-3</v>
      </c>
    </row>
    <row r="93" spans="1:3" s="65" customFormat="1" ht="27.75" thickBot="1" x14ac:dyDescent="0.25">
      <c r="A93" s="82" t="s">
        <v>148</v>
      </c>
      <c r="B93" s="83" t="s">
        <v>241</v>
      </c>
      <c r="C93" s="84">
        <f>[21]С3!F24</f>
        <v>1266.3745527115127</v>
      </c>
    </row>
    <row r="94" spans="1:3" ht="13.5" thickBot="1" x14ac:dyDescent="0.25">
      <c r="A94" s="47"/>
      <c r="B94" s="48"/>
      <c r="C94" s="14"/>
    </row>
    <row r="95" spans="1:3" ht="30" customHeight="1" x14ac:dyDescent="0.2">
      <c r="A95" s="85" t="s">
        <v>149</v>
      </c>
      <c r="B95" s="145" t="s">
        <v>150</v>
      </c>
      <c r="C95" s="145"/>
    </row>
    <row r="96" spans="1:3" ht="30" x14ac:dyDescent="0.2">
      <c r="A96" s="59" t="s">
        <v>151</v>
      </c>
      <c r="B96" s="31" t="s">
        <v>242</v>
      </c>
      <c r="C96" s="32">
        <f>[21]С4!F16</f>
        <v>1652.5</v>
      </c>
    </row>
    <row r="97" spans="1:3" ht="30" x14ac:dyDescent="0.2">
      <c r="A97" s="59" t="s">
        <v>153</v>
      </c>
      <c r="B97" s="58" t="s">
        <v>243</v>
      </c>
      <c r="C97" s="32">
        <f>[21]С4!F17</f>
        <v>73547</v>
      </c>
    </row>
    <row r="98" spans="1:3" ht="17.25" x14ac:dyDescent="0.2">
      <c r="A98" s="59" t="s">
        <v>155</v>
      </c>
      <c r="B98" s="58" t="s">
        <v>156</v>
      </c>
      <c r="C98" s="40">
        <f>[21]С4!F18</f>
        <v>0.02</v>
      </c>
    </row>
    <row r="99" spans="1:3" ht="30" x14ac:dyDescent="0.2">
      <c r="A99" s="59" t="s">
        <v>157</v>
      </c>
      <c r="B99" s="58" t="s">
        <v>158</v>
      </c>
      <c r="C99" s="32">
        <f>[21]С4!F19</f>
        <v>12104</v>
      </c>
    </row>
    <row r="100" spans="1:3" ht="28.5" x14ac:dyDescent="0.2">
      <c r="A100" s="59" t="s">
        <v>159</v>
      </c>
      <c r="B100" s="58" t="s">
        <v>160</v>
      </c>
      <c r="C100" s="40">
        <f>[21]С4!F20</f>
        <v>1.4999999999999999E-2</v>
      </c>
    </row>
    <row r="101" spans="1:3" ht="30" x14ac:dyDescent="0.2">
      <c r="A101" s="59" t="s">
        <v>161</v>
      </c>
      <c r="B101" s="31" t="s">
        <v>244</v>
      </c>
      <c r="C101" s="32">
        <f>[21]С4!F21</f>
        <v>1933.1949342509995</v>
      </c>
    </row>
    <row r="102" spans="1:3" ht="24" customHeight="1" x14ac:dyDescent="0.2">
      <c r="A102" s="59" t="s">
        <v>163</v>
      </c>
      <c r="B102" s="52" t="s">
        <v>164</v>
      </c>
      <c r="C102" s="33">
        <f>IF([21]С4.2!F8="да",[21]С4.2!D21,[21]С4.2!D15)</f>
        <v>0</v>
      </c>
    </row>
    <row r="103" spans="1:3" ht="68.25" x14ac:dyDescent="0.2">
      <c r="A103" s="59" t="s">
        <v>165</v>
      </c>
      <c r="B103" s="52" t="s">
        <v>166</v>
      </c>
      <c r="C103" s="32">
        <f>[21]С4!F22</f>
        <v>3.6112641666666665</v>
      </c>
    </row>
    <row r="104" spans="1:3" ht="30" x14ac:dyDescent="0.2">
      <c r="A104" s="59" t="s">
        <v>167</v>
      </c>
      <c r="B104" s="58" t="s">
        <v>245</v>
      </c>
      <c r="C104" s="32">
        <f>[21]С4!F23</f>
        <v>180</v>
      </c>
    </row>
    <row r="105" spans="1:3" ht="14.25" x14ac:dyDescent="0.2">
      <c r="A105" s="59" t="s">
        <v>169</v>
      </c>
      <c r="B105" s="52" t="s">
        <v>170</v>
      </c>
      <c r="C105" s="32">
        <f>[21]С4!F24</f>
        <v>8497.1999999999989</v>
      </c>
    </row>
    <row r="106" spans="1:3" ht="14.25" x14ac:dyDescent="0.2">
      <c r="A106" s="59" t="s">
        <v>171</v>
      </c>
      <c r="B106" s="58" t="s">
        <v>172</v>
      </c>
      <c r="C106" s="40">
        <f>[21]С4!F25</f>
        <v>0.35</v>
      </c>
    </row>
    <row r="107" spans="1:3" ht="17.25" x14ac:dyDescent="0.2">
      <c r="A107" s="59" t="s">
        <v>173</v>
      </c>
      <c r="B107" s="31" t="s">
        <v>174</v>
      </c>
      <c r="C107" s="32">
        <f>[21]С4!F26</f>
        <v>76.709279999999993</v>
      </c>
    </row>
    <row r="108" spans="1:3" ht="25.5" x14ac:dyDescent="0.2">
      <c r="A108" s="59" t="s">
        <v>175</v>
      </c>
      <c r="B108" s="52" t="s">
        <v>101</v>
      </c>
      <c r="C108" s="33">
        <f>[21]С4.3!E16</f>
        <v>0</v>
      </c>
    </row>
    <row r="109" spans="1:3" ht="25.5" x14ac:dyDescent="0.2">
      <c r="A109" s="59" t="s">
        <v>176</v>
      </c>
      <c r="B109" s="52" t="s">
        <v>177</v>
      </c>
      <c r="C109" s="32">
        <f>[21]С4.3!E17</f>
        <v>18.940000000000001</v>
      </c>
    </row>
    <row r="110" spans="1:3" ht="38.25" x14ac:dyDescent="0.2">
      <c r="A110" s="59" t="s">
        <v>178</v>
      </c>
      <c r="B110" s="52" t="s">
        <v>113</v>
      </c>
      <c r="C110" s="33">
        <f>[21]С4.3!E18</f>
        <v>0</v>
      </c>
    </row>
    <row r="111" spans="1:3" x14ac:dyDescent="0.2">
      <c r="A111" s="59" t="s">
        <v>179</v>
      </c>
      <c r="B111" s="52" t="s">
        <v>180</v>
      </c>
      <c r="C111" s="32">
        <f>[21]С4.3!E19</f>
        <v>50.424999999999997</v>
      </c>
    </row>
    <row r="112" spans="1:3" x14ac:dyDescent="0.2">
      <c r="A112" s="59" t="s">
        <v>181</v>
      </c>
      <c r="B112" s="58" t="s">
        <v>182</v>
      </c>
      <c r="C112" s="32">
        <f>[21]С4.3!E11</f>
        <v>1871</v>
      </c>
    </row>
    <row r="113" spans="1:3" x14ac:dyDescent="0.2">
      <c r="A113" s="59" t="s">
        <v>183</v>
      </c>
      <c r="B113" s="58" t="s">
        <v>184</v>
      </c>
      <c r="C113" s="51">
        <f>[21]С4.3!E12</f>
        <v>1636</v>
      </c>
    </row>
    <row r="114" spans="1:3" x14ac:dyDescent="0.2">
      <c r="A114" s="59" t="s">
        <v>185</v>
      </c>
      <c r="B114" s="58" t="s">
        <v>186</v>
      </c>
      <c r="C114" s="51">
        <f>[21]С4.3!E13</f>
        <v>204</v>
      </c>
    </row>
    <row r="115" spans="1:3" ht="30" x14ac:dyDescent="0.2">
      <c r="A115" s="59" t="s">
        <v>187</v>
      </c>
      <c r="B115" s="31" t="s">
        <v>246</v>
      </c>
      <c r="C115" s="32">
        <f>[21]С4!F27</f>
        <v>0</v>
      </c>
    </row>
    <row r="116" spans="1:3" ht="25.5" x14ac:dyDescent="0.2">
      <c r="A116" s="59" t="s">
        <v>189</v>
      </c>
      <c r="B116" s="52" t="s">
        <v>247</v>
      </c>
      <c r="C116" s="32">
        <f>[21]С4!F28</f>
        <v>0</v>
      </c>
    </row>
    <row r="117" spans="1:3" ht="42.75" x14ac:dyDescent="0.2">
      <c r="A117" s="59" t="s">
        <v>191</v>
      </c>
      <c r="B117" s="52" t="s">
        <v>192</v>
      </c>
      <c r="C117" s="32">
        <f>[21]С4!F29</f>
        <v>0</v>
      </c>
    </row>
    <row r="118" spans="1:3" ht="30" x14ac:dyDescent="0.2">
      <c r="A118" s="59" t="s">
        <v>193</v>
      </c>
      <c r="B118" s="39" t="s">
        <v>194</v>
      </c>
      <c r="C118" s="32">
        <f>[21]С4!F30</f>
        <v>1631.9381359882489</v>
      </c>
    </row>
    <row r="119" spans="1:3" ht="42.75" x14ac:dyDescent="0.2">
      <c r="A119" s="59" t="s">
        <v>248</v>
      </c>
      <c r="B119" s="89" t="s">
        <v>249</v>
      </c>
      <c r="C119" s="32">
        <f>[21]С4!F33</f>
        <v>1010.5011744884268</v>
      </c>
    </row>
    <row r="120" spans="1:3" ht="30" x14ac:dyDescent="0.2">
      <c r="A120" s="59" t="s">
        <v>250</v>
      </c>
      <c r="B120" s="121" t="s">
        <v>251</v>
      </c>
      <c r="C120" s="32">
        <f>[21]С4!F35</f>
        <v>17.040680999999999</v>
      </c>
    </row>
    <row r="121" spans="1:3" ht="14.25" x14ac:dyDescent="0.2">
      <c r="A121" s="59" t="s">
        <v>252</v>
      </c>
      <c r="B121" s="55" t="s">
        <v>253</v>
      </c>
      <c r="C121" s="32">
        <f>[21]С4!F36</f>
        <v>14319.9</v>
      </c>
    </row>
    <row r="122" spans="1:3" ht="28.5" thickBot="1" x14ac:dyDescent="0.25">
      <c r="A122" s="74" t="s">
        <v>254</v>
      </c>
      <c r="B122" s="122" t="s">
        <v>255</v>
      </c>
      <c r="C122" s="84">
        <f>[21]С4!F37</f>
        <v>1.19</v>
      </c>
    </row>
    <row r="123" spans="1:3" s="87" customFormat="1" ht="13.5" thickBot="1" x14ac:dyDescent="0.25">
      <c r="A123" s="47"/>
      <c r="B123" s="48"/>
      <c r="C123" s="14"/>
    </row>
    <row r="124" spans="1:3" s="65" customFormat="1" ht="30" customHeight="1" x14ac:dyDescent="0.2">
      <c r="A124" s="77" t="s">
        <v>195</v>
      </c>
      <c r="B124" s="145" t="s">
        <v>196</v>
      </c>
      <c r="C124" s="145"/>
    </row>
    <row r="125" spans="1:3" ht="16.5" thickBot="1" x14ac:dyDescent="0.25">
      <c r="A125" s="26" t="s">
        <v>197</v>
      </c>
      <c r="B125" s="86" t="s">
        <v>198</v>
      </c>
      <c r="C125" s="84">
        <f>[21]С5!F17</f>
        <v>0.02</v>
      </c>
    </row>
    <row r="126" spans="1:3" s="87" customFormat="1" ht="13.5" thickBot="1" x14ac:dyDescent="0.25">
      <c r="A126" s="47"/>
      <c r="B126" s="48"/>
      <c r="C126" s="14"/>
    </row>
    <row r="127" spans="1:3" ht="42.75" customHeight="1" x14ac:dyDescent="0.2">
      <c r="A127" s="85" t="s">
        <v>199</v>
      </c>
      <c r="B127" s="147" t="s">
        <v>200</v>
      </c>
      <c r="C127" s="147"/>
    </row>
    <row r="128" spans="1:3" ht="68.25" x14ac:dyDescent="0.2">
      <c r="A128" s="59" t="s">
        <v>201</v>
      </c>
      <c r="B128" s="88" t="s">
        <v>202</v>
      </c>
      <c r="C128" s="32" t="s">
        <v>256</v>
      </c>
    </row>
    <row r="129" spans="1:3" ht="42.75" hidden="1" x14ac:dyDescent="0.2">
      <c r="A129" s="59" t="s">
        <v>203</v>
      </c>
      <c r="B129" s="89" t="s">
        <v>204</v>
      </c>
      <c r="C129" s="90"/>
    </row>
    <row r="130" spans="1:3" ht="69" thickBot="1" x14ac:dyDescent="0.25">
      <c r="A130" s="74" t="s">
        <v>205</v>
      </c>
      <c r="B130" s="123" t="s">
        <v>206</v>
      </c>
      <c r="C130" s="124" t="s">
        <v>256</v>
      </c>
    </row>
    <row r="131" spans="1:3" ht="62.25" hidden="1" customHeight="1" x14ac:dyDescent="0.2">
      <c r="A131" s="125" t="s">
        <v>207</v>
      </c>
      <c r="B131" s="126" t="s">
        <v>208</v>
      </c>
      <c r="C131" s="127"/>
    </row>
    <row r="132" spans="1:3" ht="68.25" hidden="1" x14ac:dyDescent="0.2">
      <c r="A132" s="59" t="s">
        <v>209</v>
      </c>
      <c r="B132" s="89" t="s">
        <v>257</v>
      </c>
      <c r="C132" s="34"/>
    </row>
    <row r="133" spans="1:3" ht="69" hidden="1" thickBot="1" x14ac:dyDescent="0.25">
      <c r="A133" s="74" t="s">
        <v>211</v>
      </c>
      <c r="B133" s="92" t="s">
        <v>212</v>
      </c>
      <c r="C133" s="76"/>
    </row>
    <row r="134" spans="1:3" s="87" customFormat="1" ht="13.5" thickBot="1" x14ac:dyDescent="0.25">
      <c r="A134" s="47"/>
      <c r="B134" s="48"/>
      <c r="C134" s="14"/>
    </row>
    <row r="135" spans="1:3" ht="26.25" customHeight="1" x14ac:dyDescent="0.2">
      <c r="A135" s="85" t="s">
        <v>213</v>
      </c>
      <c r="B135" s="93" t="s">
        <v>214</v>
      </c>
      <c r="C135" s="94">
        <f>[21]С2!F37</f>
        <v>20.818139999999996</v>
      </c>
    </row>
    <row r="136" spans="1:3" ht="14.25" x14ac:dyDescent="0.2">
      <c r="A136" s="59" t="s">
        <v>215</v>
      </c>
      <c r="B136" s="128" t="s">
        <v>216</v>
      </c>
      <c r="C136" s="32">
        <f>[21]С2!F38</f>
        <v>7</v>
      </c>
    </row>
    <row r="137" spans="1:3" ht="17.25" x14ac:dyDescent="0.2">
      <c r="A137" s="59" t="s">
        <v>217</v>
      </c>
      <c r="B137" s="128" t="s">
        <v>218</v>
      </c>
      <c r="C137" s="32">
        <f>[21]С2!F40</f>
        <v>0.97</v>
      </c>
    </row>
    <row r="138" spans="1:3" ht="15" thickBot="1" x14ac:dyDescent="0.25">
      <c r="A138" s="74" t="s">
        <v>219</v>
      </c>
      <c r="B138" s="129" t="s">
        <v>220</v>
      </c>
      <c r="C138" s="46">
        <f>[21]С2!F42</f>
        <v>0.35</v>
      </c>
    </row>
    <row r="139" spans="1:3" s="87" customFormat="1" ht="13.5" thickBot="1" x14ac:dyDescent="0.25">
      <c r="A139" s="47"/>
      <c r="B139" s="48"/>
      <c r="C139" s="14"/>
    </row>
    <row r="140" spans="1:3" ht="30" x14ac:dyDescent="0.2">
      <c r="A140" s="85" t="s">
        <v>221</v>
      </c>
      <c r="B140" s="95" t="s">
        <v>258</v>
      </c>
      <c r="C140" s="130">
        <f>[21]С2!F35</f>
        <v>1.4976266307379205</v>
      </c>
    </row>
    <row r="141" spans="1:3" ht="22.7" customHeight="1" thickBot="1" x14ac:dyDescent="0.25">
      <c r="A141" s="74" t="s">
        <v>223</v>
      </c>
      <c r="B141" s="141" t="s">
        <v>224</v>
      </c>
      <c r="C141" s="141"/>
    </row>
    <row r="142" spans="1:3" ht="13.5" thickBot="1" x14ac:dyDescent="0.25">
      <c r="A142" s="97"/>
      <c r="B142" s="131" t="s">
        <v>0</v>
      </c>
      <c r="C142" s="132"/>
    </row>
    <row r="143" spans="1:3" x14ac:dyDescent="0.2">
      <c r="A143" s="97"/>
      <c r="B143" s="133">
        <v>2020</v>
      </c>
      <c r="C143" s="134">
        <f>[21]С2.5!$E$11</f>
        <v>-2.9000000000000026E-2</v>
      </c>
    </row>
    <row r="144" spans="1:3" x14ac:dyDescent="0.2">
      <c r="A144" s="97"/>
      <c r="B144" s="104">
        <f>B143+1</f>
        <v>2021</v>
      </c>
      <c r="C144" s="135">
        <f>[21]С2.5!$F$11</f>
        <v>0.245</v>
      </c>
    </row>
    <row r="145" spans="1:3" x14ac:dyDescent="0.2">
      <c r="A145" s="97"/>
      <c r="B145" s="104">
        <f t="shared" ref="B145:B208" si="0">B144+1</f>
        <v>2022</v>
      </c>
      <c r="C145" s="135">
        <f>[21]С2.5!$G$11</f>
        <v>0.114</v>
      </c>
    </row>
    <row r="146" spans="1:3" ht="13.5" thickBot="1" x14ac:dyDescent="0.25">
      <c r="A146" s="97"/>
      <c r="B146" s="106">
        <f t="shared" si="0"/>
        <v>2023</v>
      </c>
      <c r="C146" s="136">
        <f>[21]С2.5!$H$11</f>
        <v>2.4E-2</v>
      </c>
    </row>
    <row r="147" spans="1:3" x14ac:dyDescent="0.2">
      <c r="A147" s="97"/>
      <c r="B147" s="137">
        <f t="shared" si="0"/>
        <v>2024</v>
      </c>
      <c r="C147" s="138">
        <f>[21]С2.5!$I$11</f>
        <v>8.5999999999999993E-2</v>
      </c>
    </row>
    <row r="148" spans="1:3" hidden="1" x14ac:dyDescent="0.2">
      <c r="A148" s="97"/>
      <c r="B148" s="104">
        <f t="shared" si="0"/>
        <v>2025</v>
      </c>
      <c r="C148" s="135">
        <f>[21]С2.5!$J$11</f>
        <v>0.21215960863291</v>
      </c>
    </row>
    <row r="149" spans="1:3" hidden="1" x14ac:dyDescent="0.2">
      <c r="A149" s="97"/>
      <c r="B149" s="104">
        <f t="shared" si="0"/>
        <v>2026</v>
      </c>
      <c r="C149" s="135">
        <f>[21]С2.5!$K$11</f>
        <v>3.5813361771260002E-2</v>
      </c>
    </row>
    <row r="150" spans="1:3" hidden="1" x14ac:dyDescent="0.2">
      <c r="A150" s="97"/>
      <c r="B150" s="104">
        <f t="shared" si="0"/>
        <v>2027</v>
      </c>
      <c r="C150" s="135">
        <f>[21]С2.5!$L$11</f>
        <v>3.2682303599220003E-2</v>
      </c>
    </row>
    <row r="151" spans="1:3" hidden="1" x14ac:dyDescent="0.2">
      <c r="A151" s="97"/>
      <c r="B151" s="104">
        <f t="shared" si="0"/>
        <v>2028</v>
      </c>
      <c r="C151" s="135">
        <f>[21]С2.5!$M$11</f>
        <v>0</v>
      </c>
    </row>
    <row r="152" spans="1:3" hidden="1" x14ac:dyDescent="0.2">
      <c r="A152" s="97"/>
      <c r="B152" s="104">
        <f t="shared" si="0"/>
        <v>2029</v>
      </c>
      <c r="C152" s="135">
        <f>[21]С2.5!$N$11</f>
        <v>0</v>
      </c>
    </row>
    <row r="153" spans="1:3" hidden="1" x14ac:dyDescent="0.2">
      <c r="A153" s="97"/>
      <c r="B153" s="104">
        <f t="shared" si="0"/>
        <v>2030</v>
      </c>
      <c r="C153" s="135">
        <f>[21]С2.5!$O$11</f>
        <v>0</v>
      </c>
    </row>
    <row r="154" spans="1:3" hidden="1" x14ac:dyDescent="0.2">
      <c r="A154" s="97"/>
      <c r="B154" s="104">
        <f t="shared" si="0"/>
        <v>2031</v>
      </c>
      <c r="C154" s="135">
        <f>[21]С2.5!$P$11</f>
        <v>0</v>
      </c>
    </row>
    <row r="155" spans="1:3" hidden="1" x14ac:dyDescent="0.2">
      <c r="A155" s="87"/>
      <c r="B155" s="104">
        <f t="shared" si="0"/>
        <v>2032</v>
      </c>
      <c r="C155" s="135">
        <f>[21]С2.5!$Q$11</f>
        <v>0</v>
      </c>
    </row>
    <row r="156" spans="1:3" hidden="1" x14ac:dyDescent="0.2">
      <c r="A156" s="87"/>
      <c r="B156" s="104">
        <f t="shared" si="0"/>
        <v>2033</v>
      </c>
      <c r="C156" s="135">
        <f>[21]С2.5!$R$11</f>
        <v>0</v>
      </c>
    </row>
    <row r="157" spans="1:3" hidden="1" x14ac:dyDescent="0.2">
      <c r="B157" s="104">
        <f t="shared" si="0"/>
        <v>2034</v>
      </c>
      <c r="C157" s="135">
        <f>[21]С2.5!$S$11</f>
        <v>0</v>
      </c>
    </row>
    <row r="158" spans="1:3" hidden="1" x14ac:dyDescent="0.2">
      <c r="B158" s="104">
        <f t="shared" si="0"/>
        <v>2035</v>
      </c>
      <c r="C158" s="135">
        <f>[21]С2.5!$T$11</f>
        <v>0</v>
      </c>
    </row>
    <row r="159" spans="1:3" hidden="1" x14ac:dyDescent="0.2">
      <c r="B159" s="104">
        <f t="shared" si="0"/>
        <v>2036</v>
      </c>
      <c r="C159" s="135">
        <f>[21]С2.5!$U$11</f>
        <v>0</v>
      </c>
    </row>
    <row r="160" spans="1:3" hidden="1" x14ac:dyDescent="0.2">
      <c r="B160" s="104">
        <f t="shared" si="0"/>
        <v>2037</v>
      </c>
      <c r="C160" s="135">
        <f>[21]С2.5!$V$11</f>
        <v>0</v>
      </c>
    </row>
    <row r="161" spans="2:3" hidden="1" x14ac:dyDescent="0.2">
      <c r="B161" s="104">
        <f t="shared" si="0"/>
        <v>2038</v>
      </c>
      <c r="C161" s="135">
        <f>[21]С2.5!$W$11</f>
        <v>0</v>
      </c>
    </row>
    <row r="162" spans="2:3" hidden="1" x14ac:dyDescent="0.2">
      <c r="B162" s="104">
        <f t="shared" si="0"/>
        <v>2039</v>
      </c>
      <c r="C162" s="135">
        <f>[21]С2.5!$X$11</f>
        <v>0</v>
      </c>
    </row>
    <row r="163" spans="2:3" hidden="1" x14ac:dyDescent="0.2">
      <c r="B163" s="104">
        <f t="shared" si="0"/>
        <v>2040</v>
      </c>
      <c r="C163" s="135">
        <f>[21]С2.5!$Y$11</f>
        <v>0</v>
      </c>
    </row>
    <row r="164" spans="2:3" hidden="1" x14ac:dyDescent="0.2">
      <c r="B164" s="104">
        <f t="shared" si="0"/>
        <v>2041</v>
      </c>
      <c r="C164" s="135">
        <f>[21]С2.5!$Z$11</f>
        <v>0</v>
      </c>
    </row>
    <row r="165" spans="2:3" hidden="1" x14ac:dyDescent="0.2">
      <c r="B165" s="104">
        <f t="shared" si="0"/>
        <v>2042</v>
      </c>
      <c r="C165" s="135">
        <f>[21]С2.5!$AA$11</f>
        <v>0</v>
      </c>
    </row>
    <row r="166" spans="2:3" hidden="1" x14ac:dyDescent="0.2">
      <c r="B166" s="104">
        <f t="shared" si="0"/>
        <v>2043</v>
      </c>
      <c r="C166" s="135">
        <f>[21]С2.5!$AB$11</f>
        <v>0</v>
      </c>
    </row>
    <row r="167" spans="2:3" hidden="1" x14ac:dyDescent="0.2">
      <c r="B167" s="104">
        <f t="shared" si="0"/>
        <v>2044</v>
      </c>
      <c r="C167" s="135">
        <f>[21]С2.5!$AC$11</f>
        <v>0</v>
      </c>
    </row>
    <row r="168" spans="2:3" hidden="1" x14ac:dyDescent="0.2">
      <c r="B168" s="104">
        <f t="shared" si="0"/>
        <v>2045</v>
      </c>
      <c r="C168" s="135">
        <f>[21]С2.5!$AD$11</f>
        <v>0</v>
      </c>
    </row>
    <row r="169" spans="2:3" hidden="1" x14ac:dyDescent="0.2">
      <c r="B169" s="104">
        <f t="shared" si="0"/>
        <v>2046</v>
      </c>
      <c r="C169" s="135">
        <f>[21]С2.5!$AE$11</f>
        <v>0</v>
      </c>
    </row>
    <row r="170" spans="2:3" hidden="1" x14ac:dyDescent="0.2">
      <c r="B170" s="104">
        <f t="shared" si="0"/>
        <v>2047</v>
      </c>
      <c r="C170" s="135">
        <f>[21]С2.5!$AF$11</f>
        <v>0</v>
      </c>
    </row>
    <row r="171" spans="2:3" hidden="1" x14ac:dyDescent="0.2">
      <c r="B171" s="104">
        <f t="shared" si="0"/>
        <v>2048</v>
      </c>
      <c r="C171" s="135">
        <f>[21]С2.5!$AG$11</f>
        <v>0</v>
      </c>
    </row>
    <row r="172" spans="2:3" hidden="1" x14ac:dyDescent="0.2">
      <c r="B172" s="104">
        <f t="shared" si="0"/>
        <v>2049</v>
      </c>
      <c r="C172" s="135">
        <f>[21]С2.5!$AH$11</f>
        <v>0</v>
      </c>
    </row>
    <row r="173" spans="2:3" hidden="1" x14ac:dyDescent="0.2">
      <c r="B173" s="104">
        <f t="shared" si="0"/>
        <v>2050</v>
      </c>
      <c r="C173" s="135">
        <f>[21]С2.5!$AI$11</f>
        <v>0</v>
      </c>
    </row>
    <row r="174" spans="2:3" hidden="1" x14ac:dyDescent="0.2">
      <c r="B174" s="104">
        <f t="shared" si="0"/>
        <v>2051</v>
      </c>
      <c r="C174" s="135">
        <f>[21]С2.5!$AJ$11</f>
        <v>0</v>
      </c>
    </row>
    <row r="175" spans="2:3" hidden="1" x14ac:dyDescent="0.2">
      <c r="B175" s="104">
        <f t="shared" si="0"/>
        <v>2052</v>
      </c>
      <c r="C175" s="135">
        <f>[21]С2.5!$AK$11</f>
        <v>0</v>
      </c>
    </row>
    <row r="176" spans="2:3" hidden="1" x14ac:dyDescent="0.2">
      <c r="B176" s="104">
        <f t="shared" si="0"/>
        <v>2053</v>
      </c>
      <c r="C176" s="135">
        <f>[21]С2.5!$AL$11</f>
        <v>0</v>
      </c>
    </row>
    <row r="177" spans="2:3" hidden="1" x14ac:dyDescent="0.2">
      <c r="B177" s="104">
        <f t="shared" si="0"/>
        <v>2054</v>
      </c>
      <c r="C177" s="135">
        <f>[21]С2.5!$AM$11</f>
        <v>0</v>
      </c>
    </row>
    <row r="178" spans="2:3" hidden="1" x14ac:dyDescent="0.2">
      <c r="B178" s="104">
        <f t="shared" si="0"/>
        <v>2055</v>
      </c>
      <c r="C178" s="135">
        <f>[21]С2.5!$AN$11</f>
        <v>0</v>
      </c>
    </row>
    <row r="179" spans="2:3" hidden="1" x14ac:dyDescent="0.2">
      <c r="B179" s="104">
        <f t="shared" si="0"/>
        <v>2056</v>
      </c>
      <c r="C179" s="135">
        <f>[21]С2.5!$AO$11</f>
        <v>0</v>
      </c>
    </row>
    <row r="180" spans="2:3" hidden="1" x14ac:dyDescent="0.2">
      <c r="B180" s="104">
        <f t="shared" si="0"/>
        <v>2057</v>
      </c>
      <c r="C180" s="135">
        <f>[21]С2.5!$AP$11</f>
        <v>0</v>
      </c>
    </row>
    <row r="181" spans="2:3" hidden="1" x14ac:dyDescent="0.2">
      <c r="B181" s="104">
        <f t="shared" si="0"/>
        <v>2058</v>
      </c>
      <c r="C181" s="135">
        <f>[21]С2.5!$AQ$11</f>
        <v>0</v>
      </c>
    </row>
    <row r="182" spans="2:3" hidden="1" x14ac:dyDescent="0.2">
      <c r="B182" s="104">
        <f t="shared" si="0"/>
        <v>2059</v>
      </c>
      <c r="C182" s="135">
        <f>[21]С2.5!$AR$11</f>
        <v>0</v>
      </c>
    </row>
    <row r="183" spans="2:3" hidden="1" x14ac:dyDescent="0.2">
      <c r="B183" s="104">
        <f t="shared" si="0"/>
        <v>2060</v>
      </c>
      <c r="C183" s="135">
        <f>[21]С2.5!$AS$11</f>
        <v>0</v>
      </c>
    </row>
    <row r="184" spans="2:3" hidden="1" x14ac:dyDescent="0.2">
      <c r="B184" s="104">
        <f t="shared" si="0"/>
        <v>2061</v>
      </c>
      <c r="C184" s="135">
        <f>[21]С2.5!$AT$11</f>
        <v>0</v>
      </c>
    </row>
    <row r="185" spans="2:3" hidden="1" x14ac:dyDescent="0.2">
      <c r="B185" s="104">
        <f t="shared" si="0"/>
        <v>2062</v>
      </c>
      <c r="C185" s="135">
        <f>[21]С2.5!$AU$11</f>
        <v>0</v>
      </c>
    </row>
    <row r="186" spans="2:3" hidden="1" x14ac:dyDescent="0.2">
      <c r="B186" s="104">
        <f t="shared" si="0"/>
        <v>2063</v>
      </c>
      <c r="C186" s="135">
        <f>[21]С2.5!$AV$11</f>
        <v>0</v>
      </c>
    </row>
    <row r="187" spans="2:3" hidden="1" x14ac:dyDescent="0.2">
      <c r="B187" s="104">
        <f t="shared" si="0"/>
        <v>2064</v>
      </c>
      <c r="C187" s="135">
        <f>[21]С2.5!$AW$11</f>
        <v>0</v>
      </c>
    </row>
    <row r="188" spans="2:3" hidden="1" x14ac:dyDescent="0.2">
      <c r="B188" s="104">
        <f t="shared" si="0"/>
        <v>2065</v>
      </c>
      <c r="C188" s="135">
        <f>[21]С2.5!$AX$11</f>
        <v>0</v>
      </c>
    </row>
    <row r="189" spans="2:3" hidden="1" x14ac:dyDescent="0.2">
      <c r="B189" s="104">
        <f t="shared" si="0"/>
        <v>2066</v>
      </c>
      <c r="C189" s="135">
        <f>[21]С2.5!$AY$11</f>
        <v>0</v>
      </c>
    </row>
    <row r="190" spans="2:3" hidden="1" x14ac:dyDescent="0.2">
      <c r="B190" s="104">
        <f t="shared" si="0"/>
        <v>2067</v>
      </c>
      <c r="C190" s="135">
        <f>[21]С2.5!$AZ$11</f>
        <v>0</v>
      </c>
    </row>
    <row r="191" spans="2:3" hidden="1" x14ac:dyDescent="0.2">
      <c r="B191" s="104">
        <f t="shared" si="0"/>
        <v>2068</v>
      </c>
      <c r="C191" s="135">
        <f>[21]С2.5!$BA$11</f>
        <v>0</v>
      </c>
    </row>
    <row r="192" spans="2:3" hidden="1" x14ac:dyDescent="0.2">
      <c r="B192" s="104">
        <f t="shared" si="0"/>
        <v>2069</v>
      </c>
      <c r="C192" s="135">
        <f>[21]С2.5!$BB$11</f>
        <v>0</v>
      </c>
    </row>
    <row r="193" spans="2:3" hidden="1" x14ac:dyDescent="0.2">
      <c r="B193" s="104">
        <f t="shared" si="0"/>
        <v>2070</v>
      </c>
      <c r="C193" s="135">
        <f>[21]С2.5!$BC$11</f>
        <v>0</v>
      </c>
    </row>
    <row r="194" spans="2:3" hidden="1" x14ac:dyDescent="0.2">
      <c r="B194" s="104">
        <f t="shared" si="0"/>
        <v>2071</v>
      </c>
      <c r="C194" s="135">
        <f>[21]С2.5!$BD$11</f>
        <v>0</v>
      </c>
    </row>
    <row r="195" spans="2:3" hidden="1" x14ac:dyDescent="0.2">
      <c r="B195" s="104">
        <f t="shared" si="0"/>
        <v>2072</v>
      </c>
      <c r="C195" s="135">
        <f>[21]С2.5!$BE$11</f>
        <v>0</v>
      </c>
    </row>
    <row r="196" spans="2:3" hidden="1" x14ac:dyDescent="0.2">
      <c r="B196" s="104">
        <f t="shared" si="0"/>
        <v>2073</v>
      </c>
      <c r="C196" s="135">
        <f>[21]С2.5!$BF$11</f>
        <v>0</v>
      </c>
    </row>
    <row r="197" spans="2:3" hidden="1" x14ac:dyDescent="0.2">
      <c r="B197" s="104">
        <f t="shared" si="0"/>
        <v>2074</v>
      </c>
      <c r="C197" s="135">
        <f>[21]С2.5!$BG$11</f>
        <v>0</v>
      </c>
    </row>
    <row r="198" spans="2:3" hidden="1" x14ac:dyDescent="0.2">
      <c r="B198" s="104">
        <f t="shared" si="0"/>
        <v>2075</v>
      </c>
      <c r="C198" s="135">
        <f>[21]С2.5!$BH$11</f>
        <v>0</v>
      </c>
    </row>
    <row r="199" spans="2:3" hidden="1" x14ac:dyDescent="0.2">
      <c r="B199" s="104">
        <f t="shared" si="0"/>
        <v>2076</v>
      </c>
      <c r="C199" s="135">
        <f>[21]С2.5!$BI$11</f>
        <v>0</v>
      </c>
    </row>
    <row r="200" spans="2:3" hidden="1" x14ac:dyDescent="0.2">
      <c r="B200" s="104">
        <f t="shared" si="0"/>
        <v>2077</v>
      </c>
      <c r="C200" s="135">
        <f>[21]С2.5!$BJ$11</f>
        <v>0</v>
      </c>
    </row>
    <row r="201" spans="2:3" hidden="1" x14ac:dyDescent="0.2">
      <c r="B201" s="104">
        <f t="shared" si="0"/>
        <v>2078</v>
      </c>
      <c r="C201" s="135">
        <f>[21]С2.5!$BK$11</f>
        <v>0</v>
      </c>
    </row>
    <row r="202" spans="2:3" hidden="1" x14ac:dyDescent="0.2">
      <c r="B202" s="104">
        <f t="shared" si="0"/>
        <v>2079</v>
      </c>
      <c r="C202" s="135">
        <f>[21]С2.5!$BL$11</f>
        <v>0</v>
      </c>
    </row>
    <row r="203" spans="2:3" hidden="1" x14ac:dyDescent="0.2">
      <c r="B203" s="104">
        <f t="shared" si="0"/>
        <v>2080</v>
      </c>
      <c r="C203" s="135">
        <f>[21]С2.5!$BM$11</f>
        <v>0</v>
      </c>
    </row>
    <row r="204" spans="2:3" hidden="1" x14ac:dyDescent="0.2">
      <c r="B204" s="104">
        <f t="shared" si="0"/>
        <v>2081</v>
      </c>
      <c r="C204" s="135">
        <f>[21]С2.5!$BN$11</f>
        <v>0</v>
      </c>
    </row>
    <row r="205" spans="2:3" hidden="1" x14ac:dyDescent="0.2">
      <c r="B205" s="104">
        <f t="shared" si="0"/>
        <v>2082</v>
      </c>
      <c r="C205" s="135">
        <f>[21]С2.5!$BO$11</f>
        <v>0</v>
      </c>
    </row>
    <row r="206" spans="2:3" hidden="1" x14ac:dyDescent="0.2">
      <c r="B206" s="104">
        <f t="shared" si="0"/>
        <v>2083</v>
      </c>
      <c r="C206" s="135">
        <f>[21]С2.5!$BP$11</f>
        <v>0</v>
      </c>
    </row>
    <row r="207" spans="2:3" hidden="1" x14ac:dyDescent="0.2">
      <c r="B207" s="104">
        <f t="shared" si="0"/>
        <v>2084</v>
      </c>
      <c r="C207" s="135">
        <f>[21]С2.5!$BQ$11</f>
        <v>0</v>
      </c>
    </row>
    <row r="208" spans="2:3" hidden="1" x14ac:dyDescent="0.2">
      <c r="B208" s="104">
        <f t="shared" si="0"/>
        <v>2085</v>
      </c>
      <c r="C208" s="135">
        <f>[21]С2.5!$BR$11</f>
        <v>0</v>
      </c>
    </row>
    <row r="209" spans="2:3" hidden="1" x14ac:dyDescent="0.2">
      <c r="B209" s="104">
        <f t="shared" ref="B209:B223" si="1">B208+1</f>
        <v>2086</v>
      </c>
      <c r="C209" s="135">
        <f>[21]С2.5!$BS$11</f>
        <v>0</v>
      </c>
    </row>
    <row r="210" spans="2:3" hidden="1" x14ac:dyDescent="0.2">
      <c r="B210" s="104">
        <f t="shared" si="1"/>
        <v>2087</v>
      </c>
      <c r="C210" s="135">
        <f>[21]С2.5!$BT$11</f>
        <v>0</v>
      </c>
    </row>
    <row r="211" spans="2:3" hidden="1" x14ac:dyDescent="0.2">
      <c r="B211" s="104">
        <f t="shared" si="1"/>
        <v>2088</v>
      </c>
      <c r="C211" s="135">
        <f>[21]С2.5!$BU$11</f>
        <v>0</v>
      </c>
    </row>
    <row r="212" spans="2:3" hidden="1" x14ac:dyDescent="0.2">
      <c r="B212" s="104">
        <f t="shared" si="1"/>
        <v>2089</v>
      </c>
      <c r="C212" s="135">
        <f>[21]С2.5!$BV$11</f>
        <v>0</v>
      </c>
    </row>
    <row r="213" spans="2:3" hidden="1" x14ac:dyDescent="0.2">
      <c r="B213" s="104">
        <f t="shared" si="1"/>
        <v>2090</v>
      </c>
      <c r="C213" s="135">
        <f>[21]С2.5!$BW$11</f>
        <v>0</v>
      </c>
    </row>
    <row r="214" spans="2:3" hidden="1" x14ac:dyDescent="0.2">
      <c r="B214" s="104">
        <f t="shared" si="1"/>
        <v>2091</v>
      </c>
      <c r="C214" s="135">
        <f>[21]С2.5!$BX$11</f>
        <v>0</v>
      </c>
    </row>
    <row r="215" spans="2:3" hidden="1" x14ac:dyDescent="0.2">
      <c r="B215" s="104">
        <f t="shared" si="1"/>
        <v>2092</v>
      </c>
      <c r="C215" s="135">
        <f>[21]С2.5!$BY$11</f>
        <v>0</v>
      </c>
    </row>
    <row r="216" spans="2:3" hidden="1" x14ac:dyDescent="0.2">
      <c r="B216" s="104">
        <f t="shared" si="1"/>
        <v>2093</v>
      </c>
      <c r="C216" s="135">
        <f>[21]С2.5!$BZ$11</f>
        <v>0</v>
      </c>
    </row>
    <row r="217" spans="2:3" hidden="1" x14ac:dyDescent="0.2">
      <c r="B217" s="104">
        <f t="shared" si="1"/>
        <v>2094</v>
      </c>
      <c r="C217" s="135">
        <f>[21]С2.5!$CA$11</f>
        <v>0</v>
      </c>
    </row>
    <row r="218" spans="2:3" hidden="1" x14ac:dyDescent="0.2">
      <c r="B218" s="104">
        <f t="shared" si="1"/>
        <v>2095</v>
      </c>
      <c r="C218" s="135">
        <f>[21]С2.5!$CB$11</f>
        <v>0</v>
      </c>
    </row>
    <row r="219" spans="2:3" hidden="1" x14ac:dyDescent="0.2">
      <c r="B219" s="104">
        <f t="shared" si="1"/>
        <v>2096</v>
      </c>
      <c r="C219" s="135">
        <f>[21]С2.5!$CC$11</f>
        <v>0</v>
      </c>
    </row>
    <row r="220" spans="2:3" hidden="1" x14ac:dyDescent="0.2">
      <c r="B220" s="104">
        <f t="shared" si="1"/>
        <v>2097</v>
      </c>
      <c r="C220" s="135">
        <f>[21]С2.5!$CD$11</f>
        <v>0</v>
      </c>
    </row>
    <row r="221" spans="2:3" hidden="1" x14ac:dyDescent="0.2">
      <c r="B221" s="104">
        <f t="shared" si="1"/>
        <v>2098</v>
      </c>
      <c r="C221" s="135">
        <f>[21]С2.5!$CE$11</f>
        <v>0</v>
      </c>
    </row>
    <row r="222" spans="2:3" hidden="1" x14ac:dyDescent="0.2">
      <c r="B222" s="104">
        <f t="shared" si="1"/>
        <v>2099</v>
      </c>
      <c r="C222" s="135">
        <f>[21]С2.5!$CF$11</f>
        <v>0</v>
      </c>
    </row>
    <row r="223" spans="2:3" ht="13.5" hidden="1" thickBot="1" x14ac:dyDescent="0.25">
      <c r="B223" s="106">
        <f t="shared" si="1"/>
        <v>2100</v>
      </c>
      <c r="C223" s="136">
        <f>[21]С2.5!$CG$11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tabSelected="1" zoomScale="85" zoomScaleNormal="85" workbookViewId="0">
      <pane ySplit="1" topLeftCell="A2" activePane="bottomLeft" state="frozen"/>
      <selection pane="bottomLeft" activeCell="C2" sqref="C2"/>
    </sheetView>
  </sheetViews>
  <sheetFormatPr defaultRowHeight="12.75" x14ac:dyDescent="0.2"/>
  <cols>
    <col min="1" max="1" width="7.28515625" style="2" customWidth="1"/>
    <col min="2" max="2" width="100.7109375" style="2" customWidth="1"/>
    <col min="3" max="3" width="20.85546875" style="110" customWidth="1"/>
    <col min="4" max="154" width="9.140625" style="2"/>
    <col min="155" max="236" width="0" style="2" hidden="1" customWidth="1"/>
    <col min="237" max="245" width="9.140625" style="2"/>
    <col min="246" max="246" width="3.7109375" style="2" customWidth="1"/>
    <col min="247" max="247" width="96.85546875" style="2" customWidth="1"/>
    <col min="248" max="248" width="30.85546875" style="2" customWidth="1"/>
    <col min="249" max="249" width="12.5703125" style="2" customWidth="1"/>
    <col min="250" max="250" width="5.140625" style="2" customWidth="1"/>
    <col min="251" max="251" width="9.140625" style="2"/>
    <col min="252" max="252" width="4.85546875" style="2" customWidth="1"/>
    <col min="253" max="253" width="30.5703125" style="2" customWidth="1"/>
    <col min="254" max="254" width="33.85546875" style="2" customWidth="1"/>
    <col min="255" max="255" width="5.140625" style="2" customWidth="1"/>
    <col min="256" max="257" width="17.5703125" style="2" customWidth="1"/>
    <col min="258" max="501" width="9.140625" style="2"/>
    <col min="502" max="502" width="3.7109375" style="2" customWidth="1"/>
    <col min="503" max="503" width="96.85546875" style="2" customWidth="1"/>
    <col min="504" max="504" width="30.85546875" style="2" customWidth="1"/>
    <col min="505" max="505" width="12.5703125" style="2" customWidth="1"/>
    <col min="506" max="506" width="5.140625" style="2" customWidth="1"/>
    <col min="507" max="507" width="9.140625" style="2"/>
    <col min="508" max="508" width="4.85546875" style="2" customWidth="1"/>
    <col min="509" max="509" width="30.5703125" style="2" customWidth="1"/>
    <col min="510" max="510" width="33.85546875" style="2" customWidth="1"/>
    <col min="511" max="511" width="5.140625" style="2" customWidth="1"/>
    <col min="512" max="513" width="17.5703125" style="2" customWidth="1"/>
    <col min="514" max="757" width="9.140625" style="2"/>
    <col min="758" max="758" width="3.7109375" style="2" customWidth="1"/>
    <col min="759" max="759" width="96.85546875" style="2" customWidth="1"/>
    <col min="760" max="760" width="30.85546875" style="2" customWidth="1"/>
    <col min="761" max="761" width="12.5703125" style="2" customWidth="1"/>
    <col min="762" max="762" width="5.140625" style="2" customWidth="1"/>
    <col min="763" max="763" width="9.140625" style="2"/>
    <col min="764" max="764" width="4.85546875" style="2" customWidth="1"/>
    <col min="765" max="765" width="30.5703125" style="2" customWidth="1"/>
    <col min="766" max="766" width="33.85546875" style="2" customWidth="1"/>
    <col min="767" max="767" width="5.140625" style="2" customWidth="1"/>
    <col min="768" max="769" width="17.5703125" style="2" customWidth="1"/>
    <col min="770" max="1013" width="9.140625" style="2"/>
    <col min="1014" max="1014" width="3.7109375" style="2" customWidth="1"/>
    <col min="1015" max="1015" width="96.85546875" style="2" customWidth="1"/>
    <col min="1016" max="1016" width="30.85546875" style="2" customWidth="1"/>
    <col min="1017" max="1017" width="12.5703125" style="2" customWidth="1"/>
    <col min="1018" max="1018" width="5.140625" style="2" customWidth="1"/>
    <col min="1019" max="1019" width="9.140625" style="2"/>
    <col min="1020" max="1020" width="4.85546875" style="2" customWidth="1"/>
    <col min="1021" max="1021" width="30.5703125" style="2" customWidth="1"/>
    <col min="1022" max="1022" width="33.85546875" style="2" customWidth="1"/>
    <col min="1023" max="1023" width="5.140625" style="2" customWidth="1"/>
    <col min="1024" max="1025" width="17.5703125" style="2" customWidth="1"/>
    <col min="1026" max="1269" width="9.140625" style="2"/>
    <col min="1270" max="1270" width="3.7109375" style="2" customWidth="1"/>
    <col min="1271" max="1271" width="96.85546875" style="2" customWidth="1"/>
    <col min="1272" max="1272" width="30.85546875" style="2" customWidth="1"/>
    <col min="1273" max="1273" width="12.5703125" style="2" customWidth="1"/>
    <col min="1274" max="1274" width="5.140625" style="2" customWidth="1"/>
    <col min="1275" max="1275" width="9.140625" style="2"/>
    <col min="1276" max="1276" width="4.85546875" style="2" customWidth="1"/>
    <col min="1277" max="1277" width="30.5703125" style="2" customWidth="1"/>
    <col min="1278" max="1278" width="33.85546875" style="2" customWidth="1"/>
    <col min="1279" max="1279" width="5.140625" style="2" customWidth="1"/>
    <col min="1280" max="1281" width="17.5703125" style="2" customWidth="1"/>
    <col min="1282" max="1525" width="9.140625" style="2"/>
    <col min="1526" max="1526" width="3.7109375" style="2" customWidth="1"/>
    <col min="1527" max="1527" width="96.85546875" style="2" customWidth="1"/>
    <col min="1528" max="1528" width="30.85546875" style="2" customWidth="1"/>
    <col min="1529" max="1529" width="12.5703125" style="2" customWidth="1"/>
    <col min="1530" max="1530" width="5.140625" style="2" customWidth="1"/>
    <col min="1531" max="1531" width="9.140625" style="2"/>
    <col min="1532" max="1532" width="4.85546875" style="2" customWidth="1"/>
    <col min="1533" max="1533" width="30.5703125" style="2" customWidth="1"/>
    <col min="1534" max="1534" width="33.85546875" style="2" customWidth="1"/>
    <col min="1535" max="1535" width="5.140625" style="2" customWidth="1"/>
    <col min="1536" max="1537" width="17.5703125" style="2" customWidth="1"/>
    <col min="1538" max="1781" width="9.140625" style="2"/>
    <col min="1782" max="1782" width="3.7109375" style="2" customWidth="1"/>
    <col min="1783" max="1783" width="96.85546875" style="2" customWidth="1"/>
    <col min="1784" max="1784" width="30.85546875" style="2" customWidth="1"/>
    <col min="1785" max="1785" width="12.5703125" style="2" customWidth="1"/>
    <col min="1786" max="1786" width="5.140625" style="2" customWidth="1"/>
    <col min="1787" max="1787" width="9.140625" style="2"/>
    <col min="1788" max="1788" width="4.85546875" style="2" customWidth="1"/>
    <col min="1789" max="1789" width="30.5703125" style="2" customWidth="1"/>
    <col min="1790" max="1790" width="33.85546875" style="2" customWidth="1"/>
    <col min="1791" max="1791" width="5.140625" style="2" customWidth="1"/>
    <col min="1792" max="1793" width="17.5703125" style="2" customWidth="1"/>
    <col min="1794" max="2037" width="9.140625" style="2"/>
    <col min="2038" max="2038" width="3.7109375" style="2" customWidth="1"/>
    <col min="2039" max="2039" width="96.85546875" style="2" customWidth="1"/>
    <col min="2040" max="2040" width="30.85546875" style="2" customWidth="1"/>
    <col min="2041" max="2041" width="12.5703125" style="2" customWidth="1"/>
    <col min="2042" max="2042" width="5.140625" style="2" customWidth="1"/>
    <col min="2043" max="2043" width="9.140625" style="2"/>
    <col min="2044" max="2044" width="4.85546875" style="2" customWidth="1"/>
    <col min="2045" max="2045" width="30.5703125" style="2" customWidth="1"/>
    <col min="2046" max="2046" width="33.85546875" style="2" customWidth="1"/>
    <col min="2047" max="2047" width="5.140625" style="2" customWidth="1"/>
    <col min="2048" max="2049" width="17.5703125" style="2" customWidth="1"/>
    <col min="2050" max="2293" width="9.140625" style="2"/>
    <col min="2294" max="2294" width="3.7109375" style="2" customWidth="1"/>
    <col min="2295" max="2295" width="96.85546875" style="2" customWidth="1"/>
    <col min="2296" max="2296" width="30.85546875" style="2" customWidth="1"/>
    <col min="2297" max="2297" width="12.5703125" style="2" customWidth="1"/>
    <col min="2298" max="2298" width="5.140625" style="2" customWidth="1"/>
    <col min="2299" max="2299" width="9.140625" style="2"/>
    <col min="2300" max="2300" width="4.85546875" style="2" customWidth="1"/>
    <col min="2301" max="2301" width="30.5703125" style="2" customWidth="1"/>
    <col min="2302" max="2302" width="33.85546875" style="2" customWidth="1"/>
    <col min="2303" max="2303" width="5.140625" style="2" customWidth="1"/>
    <col min="2304" max="2305" width="17.5703125" style="2" customWidth="1"/>
    <col min="2306" max="2549" width="9.140625" style="2"/>
    <col min="2550" max="2550" width="3.7109375" style="2" customWidth="1"/>
    <col min="2551" max="2551" width="96.85546875" style="2" customWidth="1"/>
    <col min="2552" max="2552" width="30.85546875" style="2" customWidth="1"/>
    <col min="2553" max="2553" width="12.5703125" style="2" customWidth="1"/>
    <col min="2554" max="2554" width="5.140625" style="2" customWidth="1"/>
    <col min="2555" max="2555" width="9.140625" style="2"/>
    <col min="2556" max="2556" width="4.85546875" style="2" customWidth="1"/>
    <col min="2557" max="2557" width="30.5703125" style="2" customWidth="1"/>
    <col min="2558" max="2558" width="33.85546875" style="2" customWidth="1"/>
    <col min="2559" max="2559" width="5.140625" style="2" customWidth="1"/>
    <col min="2560" max="2561" width="17.5703125" style="2" customWidth="1"/>
    <col min="2562" max="2805" width="9.140625" style="2"/>
    <col min="2806" max="2806" width="3.7109375" style="2" customWidth="1"/>
    <col min="2807" max="2807" width="96.85546875" style="2" customWidth="1"/>
    <col min="2808" max="2808" width="30.85546875" style="2" customWidth="1"/>
    <col min="2809" max="2809" width="12.5703125" style="2" customWidth="1"/>
    <col min="2810" max="2810" width="5.140625" style="2" customWidth="1"/>
    <col min="2811" max="2811" width="9.140625" style="2"/>
    <col min="2812" max="2812" width="4.85546875" style="2" customWidth="1"/>
    <col min="2813" max="2813" width="30.5703125" style="2" customWidth="1"/>
    <col min="2814" max="2814" width="33.85546875" style="2" customWidth="1"/>
    <col min="2815" max="2815" width="5.140625" style="2" customWidth="1"/>
    <col min="2816" max="2817" width="17.5703125" style="2" customWidth="1"/>
    <col min="2818" max="3061" width="9.140625" style="2"/>
    <col min="3062" max="3062" width="3.7109375" style="2" customWidth="1"/>
    <col min="3063" max="3063" width="96.85546875" style="2" customWidth="1"/>
    <col min="3064" max="3064" width="30.85546875" style="2" customWidth="1"/>
    <col min="3065" max="3065" width="12.5703125" style="2" customWidth="1"/>
    <col min="3066" max="3066" width="5.140625" style="2" customWidth="1"/>
    <col min="3067" max="3067" width="9.140625" style="2"/>
    <col min="3068" max="3068" width="4.85546875" style="2" customWidth="1"/>
    <col min="3069" max="3069" width="30.5703125" style="2" customWidth="1"/>
    <col min="3070" max="3070" width="33.85546875" style="2" customWidth="1"/>
    <col min="3071" max="3071" width="5.140625" style="2" customWidth="1"/>
    <col min="3072" max="3073" width="17.5703125" style="2" customWidth="1"/>
    <col min="3074" max="3317" width="9.140625" style="2"/>
    <col min="3318" max="3318" width="3.7109375" style="2" customWidth="1"/>
    <col min="3319" max="3319" width="96.85546875" style="2" customWidth="1"/>
    <col min="3320" max="3320" width="30.85546875" style="2" customWidth="1"/>
    <col min="3321" max="3321" width="12.5703125" style="2" customWidth="1"/>
    <col min="3322" max="3322" width="5.140625" style="2" customWidth="1"/>
    <col min="3323" max="3323" width="9.140625" style="2"/>
    <col min="3324" max="3324" width="4.85546875" style="2" customWidth="1"/>
    <col min="3325" max="3325" width="30.5703125" style="2" customWidth="1"/>
    <col min="3326" max="3326" width="33.85546875" style="2" customWidth="1"/>
    <col min="3327" max="3327" width="5.140625" style="2" customWidth="1"/>
    <col min="3328" max="3329" width="17.5703125" style="2" customWidth="1"/>
    <col min="3330" max="3573" width="9.140625" style="2"/>
    <col min="3574" max="3574" width="3.7109375" style="2" customWidth="1"/>
    <col min="3575" max="3575" width="96.85546875" style="2" customWidth="1"/>
    <col min="3576" max="3576" width="30.85546875" style="2" customWidth="1"/>
    <col min="3577" max="3577" width="12.5703125" style="2" customWidth="1"/>
    <col min="3578" max="3578" width="5.140625" style="2" customWidth="1"/>
    <col min="3579" max="3579" width="9.140625" style="2"/>
    <col min="3580" max="3580" width="4.85546875" style="2" customWidth="1"/>
    <col min="3581" max="3581" width="30.5703125" style="2" customWidth="1"/>
    <col min="3582" max="3582" width="33.85546875" style="2" customWidth="1"/>
    <col min="3583" max="3583" width="5.140625" style="2" customWidth="1"/>
    <col min="3584" max="3585" width="17.5703125" style="2" customWidth="1"/>
    <col min="3586" max="3829" width="9.140625" style="2"/>
    <col min="3830" max="3830" width="3.7109375" style="2" customWidth="1"/>
    <col min="3831" max="3831" width="96.85546875" style="2" customWidth="1"/>
    <col min="3832" max="3832" width="30.85546875" style="2" customWidth="1"/>
    <col min="3833" max="3833" width="12.5703125" style="2" customWidth="1"/>
    <col min="3834" max="3834" width="5.140625" style="2" customWidth="1"/>
    <col min="3835" max="3835" width="9.140625" style="2"/>
    <col min="3836" max="3836" width="4.85546875" style="2" customWidth="1"/>
    <col min="3837" max="3837" width="30.5703125" style="2" customWidth="1"/>
    <col min="3838" max="3838" width="33.85546875" style="2" customWidth="1"/>
    <col min="3839" max="3839" width="5.140625" style="2" customWidth="1"/>
    <col min="3840" max="3841" width="17.5703125" style="2" customWidth="1"/>
    <col min="3842" max="4085" width="9.140625" style="2"/>
    <col min="4086" max="4086" width="3.7109375" style="2" customWidth="1"/>
    <col min="4087" max="4087" width="96.85546875" style="2" customWidth="1"/>
    <col min="4088" max="4088" width="30.85546875" style="2" customWidth="1"/>
    <col min="4089" max="4089" width="12.5703125" style="2" customWidth="1"/>
    <col min="4090" max="4090" width="5.140625" style="2" customWidth="1"/>
    <col min="4091" max="4091" width="9.140625" style="2"/>
    <col min="4092" max="4092" width="4.85546875" style="2" customWidth="1"/>
    <col min="4093" max="4093" width="30.5703125" style="2" customWidth="1"/>
    <col min="4094" max="4094" width="33.85546875" style="2" customWidth="1"/>
    <col min="4095" max="4095" width="5.140625" style="2" customWidth="1"/>
    <col min="4096" max="4097" width="17.5703125" style="2" customWidth="1"/>
    <col min="4098" max="4341" width="9.140625" style="2"/>
    <col min="4342" max="4342" width="3.7109375" style="2" customWidth="1"/>
    <col min="4343" max="4343" width="96.85546875" style="2" customWidth="1"/>
    <col min="4344" max="4344" width="30.85546875" style="2" customWidth="1"/>
    <col min="4345" max="4345" width="12.5703125" style="2" customWidth="1"/>
    <col min="4346" max="4346" width="5.140625" style="2" customWidth="1"/>
    <col min="4347" max="4347" width="9.140625" style="2"/>
    <col min="4348" max="4348" width="4.85546875" style="2" customWidth="1"/>
    <col min="4349" max="4349" width="30.5703125" style="2" customWidth="1"/>
    <col min="4350" max="4350" width="33.85546875" style="2" customWidth="1"/>
    <col min="4351" max="4351" width="5.140625" style="2" customWidth="1"/>
    <col min="4352" max="4353" width="17.5703125" style="2" customWidth="1"/>
    <col min="4354" max="4597" width="9.140625" style="2"/>
    <col min="4598" max="4598" width="3.7109375" style="2" customWidth="1"/>
    <col min="4599" max="4599" width="96.85546875" style="2" customWidth="1"/>
    <col min="4600" max="4600" width="30.85546875" style="2" customWidth="1"/>
    <col min="4601" max="4601" width="12.5703125" style="2" customWidth="1"/>
    <col min="4602" max="4602" width="5.140625" style="2" customWidth="1"/>
    <col min="4603" max="4603" width="9.140625" style="2"/>
    <col min="4604" max="4604" width="4.85546875" style="2" customWidth="1"/>
    <col min="4605" max="4605" width="30.5703125" style="2" customWidth="1"/>
    <col min="4606" max="4606" width="33.85546875" style="2" customWidth="1"/>
    <col min="4607" max="4607" width="5.140625" style="2" customWidth="1"/>
    <col min="4608" max="4609" width="17.5703125" style="2" customWidth="1"/>
    <col min="4610" max="4853" width="9.140625" style="2"/>
    <col min="4854" max="4854" width="3.7109375" style="2" customWidth="1"/>
    <col min="4855" max="4855" width="96.85546875" style="2" customWidth="1"/>
    <col min="4856" max="4856" width="30.85546875" style="2" customWidth="1"/>
    <col min="4857" max="4857" width="12.5703125" style="2" customWidth="1"/>
    <col min="4858" max="4858" width="5.140625" style="2" customWidth="1"/>
    <col min="4859" max="4859" width="9.140625" style="2"/>
    <col min="4860" max="4860" width="4.85546875" style="2" customWidth="1"/>
    <col min="4861" max="4861" width="30.5703125" style="2" customWidth="1"/>
    <col min="4862" max="4862" width="33.85546875" style="2" customWidth="1"/>
    <col min="4863" max="4863" width="5.140625" style="2" customWidth="1"/>
    <col min="4864" max="4865" width="17.5703125" style="2" customWidth="1"/>
    <col min="4866" max="5109" width="9.140625" style="2"/>
    <col min="5110" max="5110" width="3.7109375" style="2" customWidth="1"/>
    <col min="5111" max="5111" width="96.85546875" style="2" customWidth="1"/>
    <col min="5112" max="5112" width="30.85546875" style="2" customWidth="1"/>
    <col min="5113" max="5113" width="12.5703125" style="2" customWidth="1"/>
    <col min="5114" max="5114" width="5.140625" style="2" customWidth="1"/>
    <col min="5115" max="5115" width="9.140625" style="2"/>
    <col min="5116" max="5116" width="4.85546875" style="2" customWidth="1"/>
    <col min="5117" max="5117" width="30.5703125" style="2" customWidth="1"/>
    <col min="5118" max="5118" width="33.85546875" style="2" customWidth="1"/>
    <col min="5119" max="5119" width="5.140625" style="2" customWidth="1"/>
    <col min="5120" max="5121" width="17.5703125" style="2" customWidth="1"/>
    <col min="5122" max="5365" width="9.140625" style="2"/>
    <col min="5366" max="5366" width="3.7109375" style="2" customWidth="1"/>
    <col min="5367" max="5367" width="96.85546875" style="2" customWidth="1"/>
    <col min="5368" max="5368" width="30.85546875" style="2" customWidth="1"/>
    <col min="5369" max="5369" width="12.5703125" style="2" customWidth="1"/>
    <col min="5370" max="5370" width="5.140625" style="2" customWidth="1"/>
    <col min="5371" max="5371" width="9.140625" style="2"/>
    <col min="5372" max="5372" width="4.85546875" style="2" customWidth="1"/>
    <col min="5373" max="5373" width="30.5703125" style="2" customWidth="1"/>
    <col min="5374" max="5374" width="33.85546875" style="2" customWidth="1"/>
    <col min="5375" max="5375" width="5.140625" style="2" customWidth="1"/>
    <col min="5376" max="5377" width="17.5703125" style="2" customWidth="1"/>
    <col min="5378" max="5621" width="9.140625" style="2"/>
    <col min="5622" max="5622" width="3.7109375" style="2" customWidth="1"/>
    <col min="5623" max="5623" width="96.85546875" style="2" customWidth="1"/>
    <col min="5624" max="5624" width="30.85546875" style="2" customWidth="1"/>
    <col min="5625" max="5625" width="12.5703125" style="2" customWidth="1"/>
    <col min="5626" max="5626" width="5.140625" style="2" customWidth="1"/>
    <col min="5627" max="5627" width="9.140625" style="2"/>
    <col min="5628" max="5628" width="4.85546875" style="2" customWidth="1"/>
    <col min="5629" max="5629" width="30.5703125" style="2" customWidth="1"/>
    <col min="5630" max="5630" width="33.85546875" style="2" customWidth="1"/>
    <col min="5631" max="5631" width="5.140625" style="2" customWidth="1"/>
    <col min="5632" max="5633" width="17.5703125" style="2" customWidth="1"/>
    <col min="5634" max="5877" width="9.140625" style="2"/>
    <col min="5878" max="5878" width="3.7109375" style="2" customWidth="1"/>
    <col min="5879" max="5879" width="96.85546875" style="2" customWidth="1"/>
    <col min="5880" max="5880" width="30.85546875" style="2" customWidth="1"/>
    <col min="5881" max="5881" width="12.5703125" style="2" customWidth="1"/>
    <col min="5882" max="5882" width="5.140625" style="2" customWidth="1"/>
    <col min="5883" max="5883" width="9.140625" style="2"/>
    <col min="5884" max="5884" width="4.85546875" style="2" customWidth="1"/>
    <col min="5885" max="5885" width="30.5703125" style="2" customWidth="1"/>
    <col min="5886" max="5886" width="33.85546875" style="2" customWidth="1"/>
    <col min="5887" max="5887" width="5.140625" style="2" customWidth="1"/>
    <col min="5888" max="5889" width="17.5703125" style="2" customWidth="1"/>
    <col min="5890" max="6133" width="9.140625" style="2"/>
    <col min="6134" max="6134" width="3.7109375" style="2" customWidth="1"/>
    <col min="6135" max="6135" width="96.85546875" style="2" customWidth="1"/>
    <col min="6136" max="6136" width="30.85546875" style="2" customWidth="1"/>
    <col min="6137" max="6137" width="12.5703125" style="2" customWidth="1"/>
    <col min="6138" max="6138" width="5.140625" style="2" customWidth="1"/>
    <col min="6139" max="6139" width="9.140625" style="2"/>
    <col min="6140" max="6140" width="4.85546875" style="2" customWidth="1"/>
    <col min="6141" max="6141" width="30.5703125" style="2" customWidth="1"/>
    <col min="6142" max="6142" width="33.85546875" style="2" customWidth="1"/>
    <col min="6143" max="6143" width="5.140625" style="2" customWidth="1"/>
    <col min="6144" max="6145" width="17.5703125" style="2" customWidth="1"/>
    <col min="6146" max="6389" width="9.140625" style="2"/>
    <col min="6390" max="6390" width="3.7109375" style="2" customWidth="1"/>
    <col min="6391" max="6391" width="96.85546875" style="2" customWidth="1"/>
    <col min="6392" max="6392" width="30.85546875" style="2" customWidth="1"/>
    <col min="6393" max="6393" width="12.5703125" style="2" customWidth="1"/>
    <col min="6394" max="6394" width="5.140625" style="2" customWidth="1"/>
    <col min="6395" max="6395" width="9.140625" style="2"/>
    <col min="6396" max="6396" width="4.85546875" style="2" customWidth="1"/>
    <col min="6397" max="6397" width="30.5703125" style="2" customWidth="1"/>
    <col min="6398" max="6398" width="33.85546875" style="2" customWidth="1"/>
    <col min="6399" max="6399" width="5.140625" style="2" customWidth="1"/>
    <col min="6400" max="6401" width="17.5703125" style="2" customWidth="1"/>
    <col min="6402" max="6645" width="9.140625" style="2"/>
    <col min="6646" max="6646" width="3.7109375" style="2" customWidth="1"/>
    <col min="6647" max="6647" width="96.85546875" style="2" customWidth="1"/>
    <col min="6648" max="6648" width="30.85546875" style="2" customWidth="1"/>
    <col min="6649" max="6649" width="12.5703125" style="2" customWidth="1"/>
    <col min="6650" max="6650" width="5.140625" style="2" customWidth="1"/>
    <col min="6651" max="6651" width="9.140625" style="2"/>
    <col min="6652" max="6652" width="4.85546875" style="2" customWidth="1"/>
    <col min="6653" max="6653" width="30.5703125" style="2" customWidth="1"/>
    <col min="6654" max="6654" width="33.85546875" style="2" customWidth="1"/>
    <col min="6655" max="6655" width="5.140625" style="2" customWidth="1"/>
    <col min="6656" max="6657" width="17.5703125" style="2" customWidth="1"/>
    <col min="6658" max="6901" width="9.140625" style="2"/>
    <col min="6902" max="6902" width="3.7109375" style="2" customWidth="1"/>
    <col min="6903" max="6903" width="96.85546875" style="2" customWidth="1"/>
    <col min="6904" max="6904" width="30.85546875" style="2" customWidth="1"/>
    <col min="6905" max="6905" width="12.5703125" style="2" customWidth="1"/>
    <col min="6906" max="6906" width="5.140625" style="2" customWidth="1"/>
    <col min="6907" max="6907" width="9.140625" style="2"/>
    <col min="6908" max="6908" width="4.85546875" style="2" customWidth="1"/>
    <col min="6909" max="6909" width="30.5703125" style="2" customWidth="1"/>
    <col min="6910" max="6910" width="33.85546875" style="2" customWidth="1"/>
    <col min="6911" max="6911" width="5.140625" style="2" customWidth="1"/>
    <col min="6912" max="6913" width="17.5703125" style="2" customWidth="1"/>
    <col min="6914" max="7157" width="9.140625" style="2"/>
    <col min="7158" max="7158" width="3.7109375" style="2" customWidth="1"/>
    <col min="7159" max="7159" width="96.85546875" style="2" customWidth="1"/>
    <col min="7160" max="7160" width="30.85546875" style="2" customWidth="1"/>
    <col min="7161" max="7161" width="12.5703125" style="2" customWidth="1"/>
    <col min="7162" max="7162" width="5.140625" style="2" customWidth="1"/>
    <col min="7163" max="7163" width="9.140625" style="2"/>
    <col min="7164" max="7164" width="4.85546875" style="2" customWidth="1"/>
    <col min="7165" max="7165" width="30.5703125" style="2" customWidth="1"/>
    <col min="7166" max="7166" width="33.85546875" style="2" customWidth="1"/>
    <col min="7167" max="7167" width="5.140625" style="2" customWidth="1"/>
    <col min="7168" max="7169" width="17.5703125" style="2" customWidth="1"/>
    <col min="7170" max="7413" width="9.140625" style="2"/>
    <col min="7414" max="7414" width="3.7109375" style="2" customWidth="1"/>
    <col min="7415" max="7415" width="96.85546875" style="2" customWidth="1"/>
    <col min="7416" max="7416" width="30.85546875" style="2" customWidth="1"/>
    <col min="7417" max="7417" width="12.5703125" style="2" customWidth="1"/>
    <col min="7418" max="7418" width="5.140625" style="2" customWidth="1"/>
    <col min="7419" max="7419" width="9.140625" style="2"/>
    <col min="7420" max="7420" width="4.85546875" style="2" customWidth="1"/>
    <col min="7421" max="7421" width="30.5703125" style="2" customWidth="1"/>
    <col min="7422" max="7422" width="33.85546875" style="2" customWidth="1"/>
    <col min="7423" max="7423" width="5.140625" style="2" customWidth="1"/>
    <col min="7424" max="7425" width="17.5703125" style="2" customWidth="1"/>
    <col min="7426" max="7669" width="9.140625" style="2"/>
    <col min="7670" max="7670" width="3.7109375" style="2" customWidth="1"/>
    <col min="7671" max="7671" width="96.85546875" style="2" customWidth="1"/>
    <col min="7672" max="7672" width="30.85546875" style="2" customWidth="1"/>
    <col min="7673" max="7673" width="12.5703125" style="2" customWidth="1"/>
    <col min="7674" max="7674" width="5.140625" style="2" customWidth="1"/>
    <col min="7675" max="7675" width="9.140625" style="2"/>
    <col min="7676" max="7676" width="4.85546875" style="2" customWidth="1"/>
    <col min="7677" max="7677" width="30.5703125" style="2" customWidth="1"/>
    <col min="7678" max="7678" width="33.85546875" style="2" customWidth="1"/>
    <col min="7679" max="7679" width="5.140625" style="2" customWidth="1"/>
    <col min="7680" max="7681" width="17.5703125" style="2" customWidth="1"/>
    <col min="7682" max="7925" width="9.140625" style="2"/>
    <col min="7926" max="7926" width="3.7109375" style="2" customWidth="1"/>
    <col min="7927" max="7927" width="96.85546875" style="2" customWidth="1"/>
    <col min="7928" max="7928" width="30.85546875" style="2" customWidth="1"/>
    <col min="7929" max="7929" width="12.5703125" style="2" customWidth="1"/>
    <col min="7930" max="7930" width="5.140625" style="2" customWidth="1"/>
    <col min="7931" max="7931" width="9.140625" style="2"/>
    <col min="7932" max="7932" width="4.85546875" style="2" customWidth="1"/>
    <col min="7933" max="7933" width="30.5703125" style="2" customWidth="1"/>
    <col min="7934" max="7934" width="33.85546875" style="2" customWidth="1"/>
    <col min="7935" max="7935" width="5.140625" style="2" customWidth="1"/>
    <col min="7936" max="7937" width="17.5703125" style="2" customWidth="1"/>
    <col min="7938" max="8181" width="9.140625" style="2"/>
    <col min="8182" max="8182" width="3.7109375" style="2" customWidth="1"/>
    <col min="8183" max="8183" width="96.85546875" style="2" customWidth="1"/>
    <col min="8184" max="8184" width="30.85546875" style="2" customWidth="1"/>
    <col min="8185" max="8185" width="12.5703125" style="2" customWidth="1"/>
    <col min="8186" max="8186" width="5.140625" style="2" customWidth="1"/>
    <col min="8187" max="8187" width="9.140625" style="2"/>
    <col min="8188" max="8188" width="4.85546875" style="2" customWidth="1"/>
    <col min="8189" max="8189" width="30.5703125" style="2" customWidth="1"/>
    <col min="8190" max="8190" width="33.85546875" style="2" customWidth="1"/>
    <col min="8191" max="8191" width="5.140625" style="2" customWidth="1"/>
    <col min="8192" max="8193" width="17.5703125" style="2" customWidth="1"/>
    <col min="8194" max="8437" width="9.140625" style="2"/>
    <col min="8438" max="8438" width="3.7109375" style="2" customWidth="1"/>
    <col min="8439" max="8439" width="96.85546875" style="2" customWidth="1"/>
    <col min="8440" max="8440" width="30.85546875" style="2" customWidth="1"/>
    <col min="8441" max="8441" width="12.5703125" style="2" customWidth="1"/>
    <col min="8442" max="8442" width="5.140625" style="2" customWidth="1"/>
    <col min="8443" max="8443" width="9.140625" style="2"/>
    <col min="8444" max="8444" width="4.85546875" style="2" customWidth="1"/>
    <col min="8445" max="8445" width="30.5703125" style="2" customWidth="1"/>
    <col min="8446" max="8446" width="33.85546875" style="2" customWidth="1"/>
    <col min="8447" max="8447" width="5.140625" style="2" customWidth="1"/>
    <col min="8448" max="8449" width="17.5703125" style="2" customWidth="1"/>
    <col min="8450" max="8693" width="9.140625" style="2"/>
    <col min="8694" max="8694" width="3.7109375" style="2" customWidth="1"/>
    <col min="8695" max="8695" width="96.85546875" style="2" customWidth="1"/>
    <col min="8696" max="8696" width="30.85546875" style="2" customWidth="1"/>
    <col min="8697" max="8697" width="12.5703125" style="2" customWidth="1"/>
    <col min="8698" max="8698" width="5.140625" style="2" customWidth="1"/>
    <col min="8699" max="8699" width="9.140625" style="2"/>
    <col min="8700" max="8700" width="4.85546875" style="2" customWidth="1"/>
    <col min="8701" max="8701" width="30.5703125" style="2" customWidth="1"/>
    <col min="8702" max="8702" width="33.85546875" style="2" customWidth="1"/>
    <col min="8703" max="8703" width="5.140625" style="2" customWidth="1"/>
    <col min="8704" max="8705" width="17.5703125" style="2" customWidth="1"/>
    <col min="8706" max="8949" width="9.140625" style="2"/>
    <col min="8950" max="8950" width="3.7109375" style="2" customWidth="1"/>
    <col min="8951" max="8951" width="96.85546875" style="2" customWidth="1"/>
    <col min="8952" max="8952" width="30.85546875" style="2" customWidth="1"/>
    <col min="8953" max="8953" width="12.5703125" style="2" customWidth="1"/>
    <col min="8954" max="8954" width="5.140625" style="2" customWidth="1"/>
    <col min="8955" max="8955" width="9.140625" style="2"/>
    <col min="8956" max="8956" width="4.85546875" style="2" customWidth="1"/>
    <col min="8957" max="8957" width="30.5703125" style="2" customWidth="1"/>
    <col min="8958" max="8958" width="33.85546875" style="2" customWidth="1"/>
    <col min="8959" max="8959" width="5.140625" style="2" customWidth="1"/>
    <col min="8960" max="8961" width="17.5703125" style="2" customWidth="1"/>
    <col min="8962" max="9205" width="9.140625" style="2"/>
    <col min="9206" max="9206" width="3.7109375" style="2" customWidth="1"/>
    <col min="9207" max="9207" width="96.85546875" style="2" customWidth="1"/>
    <col min="9208" max="9208" width="30.85546875" style="2" customWidth="1"/>
    <col min="9209" max="9209" width="12.5703125" style="2" customWidth="1"/>
    <col min="9210" max="9210" width="5.140625" style="2" customWidth="1"/>
    <col min="9211" max="9211" width="9.140625" style="2"/>
    <col min="9212" max="9212" width="4.85546875" style="2" customWidth="1"/>
    <col min="9213" max="9213" width="30.5703125" style="2" customWidth="1"/>
    <col min="9214" max="9214" width="33.85546875" style="2" customWidth="1"/>
    <col min="9215" max="9215" width="5.140625" style="2" customWidth="1"/>
    <col min="9216" max="9217" width="17.5703125" style="2" customWidth="1"/>
    <col min="9218" max="9461" width="9.140625" style="2"/>
    <col min="9462" max="9462" width="3.7109375" style="2" customWidth="1"/>
    <col min="9463" max="9463" width="96.85546875" style="2" customWidth="1"/>
    <col min="9464" max="9464" width="30.85546875" style="2" customWidth="1"/>
    <col min="9465" max="9465" width="12.5703125" style="2" customWidth="1"/>
    <col min="9466" max="9466" width="5.140625" style="2" customWidth="1"/>
    <col min="9467" max="9467" width="9.140625" style="2"/>
    <col min="9468" max="9468" width="4.85546875" style="2" customWidth="1"/>
    <col min="9469" max="9469" width="30.5703125" style="2" customWidth="1"/>
    <col min="9470" max="9470" width="33.85546875" style="2" customWidth="1"/>
    <col min="9471" max="9471" width="5.140625" style="2" customWidth="1"/>
    <col min="9472" max="9473" width="17.5703125" style="2" customWidth="1"/>
    <col min="9474" max="9717" width="9.140625" style="2"/>
    <col min="9718" max="9718" width="3.7109375" style="2" customWidth="1"/>
    <col min="9719" max="9719" width="96.85546875" style="2" customWidth="1"/>
    <col min="9720" max="9720" width="30.85546875" style="2" customWidth="1"/>
    <col min="9721" max="9721" width="12.5703125" style="2" customWidth="1"/>
    <col min="9722" max="9722" width="5.140625" style="2" customWidth="1"/>
    <col min="9723" max="9723" width="9.140625" style="2"/>
    <col min="9724" max="9724" width="4.85546875" style="2" customWidth="1"/>
    <col min="9725" max="9725" width="30.5703125" style="2" customWidth="1"/>
    <col min="9726" max="9726" width="33.85546875" style="2" customWidth="1"/>
    <col min="9727" max="9727" width="5.140625" style="2" customWidth="1"/>
    <col min="9728" max="9729" width="17.5703125" style="2" customWidth="1"/>
    <col min="9730" max="9973" width="9.140625" style="2"/>
    <col min="9974" max="9974" width="3.7109375" style="2" customWidth="1"/>
    <col min="9975" max="9975" width="96.85546875" style="2" customWidth="1"/>
    <col min="9976" max="9976" width="30.85546875" style="2" customWidth="1"/>
    <col min="9977" max="9977" width="12.5703125" style="2" customWidth="1"/>
    <col min="9978" max="9978" width="5.140625" style="2" customWidth="1"/>
    <col min="9979" max="9979" width="9.140625" style="2"/>
    <col min="9980" max="9980" width="4.85546875" style="2" customWidth="1"/>
    <col min="9981" max="9981" width="30.5703125" style="2" customWidth="1"/>
    <col min="9982" max="9982" width="33.85546875" style="2" customWidth="1"/>
    <col min="9983" max="9983" width="5.140625" style="2" customWidth="1"/>
    <col min="9984" max="9985" width="17.5703125" style="2" customWidth="1"/>
    <col min="9986" max="10229" width="9.140625" style="2"/>
    <col min="10230" max="10230" width="3.7109375" style="2" customWidth="1"/>
    <col min="10231" max="10231" width="96.85546875" style="2" customWidth="1"/>
    <col min="10232" max="10232" width="30.85546875" style="2" customWidth="1"/>
    <col min="10233" max="10233" width="12.5703125" style="2" customWidth="1"/>
    <col min="10234" max="10234" width="5.140625" style="2" customWidth="1"/>
    <col min="10235" max="10235" width="9.140625" style="2"/>
    <col min="10236" max="10236" width="4.85546875" style="2" customWidth="1"/>
    <col min="10237" max="10237" width="30.5703125" style="2" customWidth="1"/>
    <col min="10238" max="10238" width="33.85546875" style="2" customWidth="1"/>
    <col min="10239" max="10239" width="5.140625" style="2" customWidth="1"/>
    <col min="10240" max="10241" width="17.5703125" style="2" customWidth="1"/>
    <col min="10242" max="10485" width="9.140625" style="2"/>
    <col min="10486" max="10486" width="3.7109375" style="2" customWidth="1"/>
    <col min="10487" max="10487" width="96.85546875" style="2" customWidth="1"/>
    <col min="10488" max="10488" width="30.85546875" style="2" customWidth="1"/>
    <col min="10489" max="10489" width="12.5703125" style="2" customWidth="1"/>
    <col min="10490" max="10490" width="5.140625" style="2" customWidth="1"/>
    <col min="10491" max="10491" width="9.140625" style="2"/>
    <col min="10492" max="10492" width="4.85546875" style="2" customWidth="1"/>
    <col min="10493" max="10493" width="30.5703125" style="2" customWidth="1"/>
    <col min="10494" max="10494" width="33.85546875" style="2" customWidth="1"/>
    <col min="10495" max="10495" width="5.140625" style="2" customWidth="1"/>
    <col min="10496" max="10497" width="17.5703125" style="2" customWidth="1"/>
    <col min="10498" max="10741" width="9.140625" style="2"/>
    <col min="10742" max="10742" width="3.7109375" style="2" customWidth="1"/>
    <col min="10743" max="10743" width="96.85546875" style="2" customWidth="1"/>
    <col min="10744" max="10744" width="30.85546875" style="2" customWidth="1"/>
    <col min="10745" max="10745" width="12.5703125" style="2" customWidth="1"/>
    <col min="10746" max="10746" width="5.140625" style="2" customWidth="1"/>
    <col min="10747" max="10747" width="9.140625" style="2"/>
    <col min="10748" max="10748" width="4.85546875" style="2" customWidth="1"/>
    <col min="10749" max="10749" width="30.5703125" style="2" customWidth="1"/>
    <col min="10750" max="10750" width="33.85546875" style="2" customWidth="1"/>
    <col min="10751" max="10751" width="5.140625" style="2" customWidth="1"/>
    <col min="10752" max="10753" width="17.5703125" style="2" customWidth="1"/>
    <col min="10754" max="10997" width="9.140625" style="2"/>
    <col min="10998" max="10998" width="3.7109375" style="2" customWidth="1"/>
    <col min="10999" max="10999" width="96.85546875" style="2" customWidth="1"/>
    <col min="11000" max="11000" width="30.85546875" style="2" customWidth="1"/>
    <col min="11001" max="11001" width="12.5703125" style="2" customWidth="1"/>
    <col min="11002" max="11002" width="5.140625" style="2" customWidth="1"/>
    <col min="11003" max="11003" width="9.140625" style="2"/>
    <col min="11004" max="11004" width="4.85546875" style="2" customWidth="1"/>
    <col min="11005" max="11005" width="30.5703125" style="2" customWidth="1"/>
    <col min="11006" max="11006" width="33.85546875" style="2" customWidth="1"/>
    <col min="11007" max="11007" width="5.140625" style="2" customWidth="1"/>
    <col min="11008" max="11009" width="17.5703125" style="2" customWidth="1"/>
    <col min="11010" max="11253" width="9.140625" style="2"/>
    <col min="11254" max="11254" width="3.7109375" style="2" customWidth="1"/>
    <col min="11255" max="11255" width="96.85546875" style="2" customWidth="1"/>
    <col min="11256" max="11256" width="30.85546875" style="2" customWidth="1"/>
    <col min="11257" max="11257" width="12.5703125" style="2" customWidth="1"/>
    <col min="11258" max="11258" width="5.140625" style="2" customWidth="1"/>
    <col min="11259" max="11259" width="9.140625" style="2"/>
    <col min="11260" max="11260" width="4.85546875" style="2" customWidth="1"/>
    <col min="11261" max="11261" width="30.5703125" style="2" customWidth="1"/>
    <col min="11262" max="11262" width="33.85546875" style="2" customWidth="1"/>
    <col min="11263" max="11263" width="5.140625" style="2" customWidth="1"/>
    <col min="11264" max="11265" width="17.5703125" style="2" customWidth="1"/>
    <col min="11266" max="11509" width="9.140625" style="2"/>
    <col min="11510" max="11510" width="3.7109375" style="2" customWidth="1"/>
    <col min="11511" max="11511" width="96.85546875" style="2" customWidth="1"/>
    <col min="11512" max="11512" width="30.85546875" style="2" customWidth="1"/>
    <col min="11513" max="11513" width="12.5703125" style="2" customWidth="1"/>
    <col min="11514" max="11514" width="5.140625" style="2" customWidth="1"/>
    <col min="11515" max="11515" width="9.140625" style="2"/>
    <col min="11516" max="11516" width="4.85546875" style="2" customWidth="1"/>
    <col min="11517" max="11517" width="30.5703125" style="2" customWidth="1"/>
    <col min="11518" max="11518" width="33.85546875" style="2" customWidth="1"/>
    <col min="11519" max="11519" width="5.140625" style="2" customWidth="1"/>
    <col min="11520" max="11521" width="17.5703125" style="2" customWidth="1"/>
    <col min="11522" max="11765" width="9.140625" style="2"/>
    <col min="11766" max="11766" width="3.7109375" style="2" customWidth="1"/>
    <col min="11767" max="11767" width="96.85546875" style="2" customWidth="1"/>
    <col min="11768" max="11768" width="30.85546875" style="2" customWidth="1"/>
    <col min="11769" max="11769" width="12.5703125" style="2" customWidth="1"/>
    <col min="11770" max="11770" width="5.140625" style="2" customWidth="1"/>
    <col min="11771" max="11771" width="9.140625" style="2"/>
    <col min="11772" max="11772" width="4.85546875" style="2" customWidth="1"/>
    <col min="11773" max="11773" width="30.5703125" style="2" customWidth="1"/>
    <col min="11774" max="11774" width="33.85546875" style="2" customWidth="1"/>
    <col min="11775" max="11775" width="5.140625" style="2" customWidth="1"/>
    <col min="11776" max="11777" width="17.5703125" style="2" customWidth="1"/>
    <col min="11778" max="12021" width="9.140625" style="2"/>
    <col min="12022" max="12022" width="3.7109375" style="2" customWidth="1"/>
    <col min="12023" max="12023" width="96.85546875" style="2" customWidth="1"/>
    <col min="12024" max="12024" width="30.85546875" style="2" customWidth="1"/>
    <col min="12025" max="12025" width="12.5703125" style="2" customWidth="1"/>
    <col min="12026" max="12026" width="5.140625" style="2" customWidth="1"/>
    <col min="12027" max="12027" width="9.140625" style="2"/>
    <col min="12028" max="12028" width="4.85546875" style="2" customWidth="1"/>
    <col min="12029" max="12029" width="30.5703125" style="2" customWidth="1"/>
    <col min="12030" max="12030" width="33.85546875" style="2" customWidth="1"/>
    <col min="12031" max="12031" width="5.140625" style="2" customWidth="1"/>
    <col min="12032" max="12033" width="17.5703125" style="2" customWidth="1"/>
    <col min="12034" max="12277" width="9.140625" style="2"/>
    <col min="12278" max="12278" width="3.7109375" style="2" customWidth="1"/>
    <col min="12279" max="12279" width="96.85546875" style="2" customWidth="1"/>
    <col min="12280" max="12280" width="30.85546875" style="2" customWidth="1"/>
    <col min="12281" max="12281" width="12.5703125" style="2" customWidth="1"/>
    <col min="12282" max="12282" width="5.140625" style="2" customWidth="1"/>
    <col min="12283" max="12283" width="9.140625" style="2"/>
    <col min="12284" max="12284" width="4.85546875" style="2" customWidth="1"/>
    <col min="12285" max="12285" width="30.5703125" style="2" customWidth="1"/>
    <col min="12286" max="12286" width="33.85546875" style="2" customWidth="1"/>
    <col min="12287" max="12287" width="5.140625" style="2" customWidth="1"/>
    <col min="12288" max="12289" width="17.5703125" style="2" customWidth="1"/>
    <col min="12290" max="12533" width="9.140625" style="2"/>
    <col min="12534" max="12534" width="3.7109375" style="2" customWidth="1"/>
    <col min="12535" max="12535" width="96.85546875" style="2" customWidth="1"/>
    <col min="12536" max="12536" width="30.85546875" style="2" customWidth="1"/>
    <col min="12537" max="12537" width="12.5703125" style="2" customWidth="1"/>
    <col min="12538" max="12538" width="5.140625" style="2" customWidth="1"/>
    <col min="12539" max="12539" width="9.140625" style="2"/>
    <col min="12540" max="12540" width="4.85546875" style="2" customWidth="1"/>
    <col min="12541" max="12541" width="30.5703125" style="2" customWidth="1"/>
    <col min="12542" max="12542" width="33.85546875" style="2" customWidth="1"/>
    <col min="12543" max="12543" width="5.140625" style="2" customWidth="1"/>
    <col min="12544" max="12545" width="17.5703125" style="2" customWidth="1"/>
    <col min="12546" max="12789" width="9.140625" style="2"/>
    <col min="12790" max="12790" width="3.7109375" style="2" customWidth="1"/>
    <col min="12791" max="12791" width="96.85546875" style="2" customWidth="1"/>
    <col min="12792" max="12792" width="30.85546875" style="2" customWidth="1"/>
    <col min="12793" max="12793" width="12.5703125" style="2" customWidth="1"/>
    <col min="12794" max="12794" width="5.140625" style="2" customWidth="1"/>
    <col min="12795" max="12795" width="9.140625" style="2"/>
    <col min="12796" max="12796" width="4.85546875" style="2" customWidth="1"/>
    <col min="12797" max="12797" width="30.5703125" style="2" customWidth="1"/>
    <col min="12798" max="12798" width="33.85546875" style="2" customWidth="1"/>
    <col min="12799" max="12799" width="5.140625" style="2" customWidth="1"/>
    <col min="12800" max="12801" width="17.5703125" style="2" customWidth="1"/>
    <col min="12802" max="13045" width="9.140625" style="2"/>
    <col min="13046" max="13046" width="3.7109375" style="2" customWidth="1"/>
    <col min="13047" max="13047" width="96.85546875" style="2" customWidth="1"/>
    <col min="13048" max="13048" width="30.85546875" style="2" customWidth="1"/>
    <col min="13049" max="13049" width="12.5703125" style="2" customWidth="1"/>
    <col min="13050" max="13050" width="5.140625" style="2" customWidth="1"/>
    <col min="13051" max="13051" width="9.140625" style="2"/>
    <col min="13052" max="13052" width="4.85546875" style="2" customWidth="1"/>
    <col min="13053" max="13053" width="30.5703125" style="2" customWidth="1"/>
    <col min="13054" max="13054" width="33.85546875" style="2" customWidth="1"/>
    <col min="13055" max="13055" width="5.140625" style="2" customWidth="1"/>
    <col min="13056" max="13057" width="17.5703125" style="2" customWidth="1"/>
    <col min="13058" max="13301" width="9.140625" style="2"/>
    <col min="13302" max="13302" width="3.7109375" style="2" customWidth="1"/>
    <col min="13303" max="13303" width="96.85546875" style="2" customWidth="1"/>
    <col min="13304" max="13304" width="30.85546875" style="2" customWidth="1"/>
    <col min="13305" max="13305" width="12.5703125" style="2" customWidth="1"/>
    <col min="13306" max="13306" width="5.140625" style="2" customWidth="1"/>
    <col min="13307" max="13307" width="9.140625" style="2"/>
    <col min="13308" max="13308" width="4.85546875" style="2" customWidth="1"/>
    <col min="13309" max="13309" width="30.5703125" style="2" customWidth="1"/>
    <col min="13310" max="13310" width="33.85546875" style="2" customWidth="1"/>
    <col min="13311" max="13311" width="5.140625" style="2" customWidth="1"/>
    <col min="13312" max="13313" width="17.5703125" style="2" customWidth="1"/>
    <col min="13314" max="13557" width="9.140625" style="2"/>
    <col min="13558" max="13558" width="3.7109375" style="2" customWidth="1"/>
    <col min="13559" max="13559" width="96.85546875" style="2" customWidth="1"/>
    <col min="13560" max="13560" width="30.85546875" style="2" customWidth="1"/>
    <col min="13561" max="13561" width="12.5703125" style="2" customWidth="1"/>
    <col min="13562" max="13562" width="5.140625" style="2" customWidth="1"/>
    <col min="13563" max="13563" width="9.140625" style="2"/>
    <col min="13564" max="13564" width="4.85546875" style="2" customWidth="1"/>
    <col min="13565" max="13565" width="30.5703125" style="2" customWidth="1"/>
    <col min="13566" max="13566" width="33.85546875" style="2" customWidth="1"/>
    <col min="13567" max="13567" width="5.140625" style="2" customWidth="1"/>
    <col min="13568" max="13569" width="17.5703125" style="2" customWidth="1"/>
    <col min="13570" max="13813" width="9.140625" style="2"/>
    <col min="13814" max="13814" width="3.7109375" style="2" customWidth="1"/>
    <col min="13815" max="13815" width="96.85546875" style="2" customWidth="1"/>
    <col min="13816" max="13816" width="30.85546875" style="2" customWidth="1"/>
    <col min="13817" max="13817" width="12.5703125" style="2" customWidth="1"/>
    <col min="13818" max="13818" width="5.140625" style="2" customWidth="1"/>
    <col min="13819" max="13819" width="9.140625" style="2"/>
    <col min="13820" max="13820" width="4.85546875" style="2" customWidth="1"/>
    <col min="13821" max="13821" width="30.5703125" style="2" customWidth="1"/>
    <col min="13822" max="13822" width="33.85546875" style="2" customWidth="1"/>
    <col min="13823" max="13823" width="5.140625" style="2" customWidth="1"/>
    <col min="13824" max="13825" width="17.5703125" style="2" customWidth="1"/>
    <col min="13826" max="14069" width="9.140625" style="2"/>
    <col min="14070" max="14070" width="3.7109375" style="2" customWidth="1"/>
    <col min="14071" max="14071" width="96.85546875" style="2" customWidth="1"/>
    <col min="14072" max="14072" width="30.85546875" style="2" customWidth="1"/>
    <col min="14073" max="14073" width="12.5703125" style="2" customWidth="1"/>
    <col min="14074" max="14074" width="5.140625" style="2" customWidth="1"/>
    <col min="14075" max="14075" width="9.140625" style="2"/>
    <col min="14076" max="14076" width="4.85546875" style="2" customWidth="1"/>
    <col min="14077" max="14077" width="30.5703125" style="2" customWidth="1"/>
    <col min="14078" max="14078" width="33.85546875" style="2" customWidth="1"/>
    <col min="14079" max="14079" width="5.140625" style="2" customWidth="1"/>
    <col min="14080" max="14081" width="17.5703125" style="2" customWidth="1"/>
    <col min="14082" max="14325" width="9.140625" style="2"/>
    <col min="14326" max="14326" width="3.7109375" style="2" customWidth="1"/>
    <col min="14327" max="14327" width="96.85546875" style="2" customWidth="1"/>
    <col min="14328" max="14328" width="30.85546875" style="2" customWidth="1"/>
    <col min="14329" max="14329" width="12.5703125" style="2" customWidth="1"/>
    <col min="14330" max="14330" width="5.140625" style="2" customWidth="1"/>
    <col min="14331" max="14331" width="9.140625" style="2"/>
    <col min="14332" max="14332" width="4.85546875" style="2" customWidth="1"/>
    <col min="14333" max="14333" width="30.5703125" style="2" customWidth="1"/>
    <col min="14334" max="14334" width="33.85546875" style="2" customWidth="1"/>
    <col min="14335" max="14335" width="5.140625" style="2" customWidth="1"/>
    <col min="14336" max="14337" width="17.5703125" style="2" customWidth="1"/>
    <col min="14338" max="14581" width="9.140625" style="2"/>
    <col min="14582" max="14582" width="3.7109375" style="2" customWidth="1"/>
    <col min="14583" max="14583" width="96.85546875" style="2" customWidth="1"/>
    <col min="14584" max="14584" width="30.85546875" style="2" customWidth="1"/>
    <col min="14585" max="14585" width="12.5703125" style="2" customWidth="1"/>
    <col min="14586" max="14586" width="5.140625" style="2" customWidth="1"/>
    <col min="14587" max="14587" width="9.140625" style="2"/>
    <col min="14588" max="14588" width="4.85546875" style="2" customWidth="1"/>
    <col min="14589" max="14589" width="30.5703125" style="2" customWidth="1"/>
    <col min="14590" max="14590" width="33.85546875" style="2" customWidth="1"/>
    <col min="14591" max="14591" width="5.140625" style="2" customWidth="1"/>
    <col min="14592" max="14593" width="17.5703125" style="2" customWidth="1"/>
    <col min="14594" max="14837" width="9.140625" style="2"/>
    <col min="14838" max="14838" width="3.7109375" style="2" customWidth="1"/>
    <col min="14839" max="14839" width="96.85546875" style="2" customWidth="1"/>
    <col min="14840" max="14840" width="30.85546875" style="2" customWidth="1"/>
    <col min="14841" max="14841" width="12.5703125" style="2" customWidth="1"/>
    <col min="14842" max="14842" width="5.140625" style="2" customWidth="1"/>
    <col min="14843" max="14843" width="9.140625" style="2"/>
    <col min="14844" max="14844" width="4.85546875" style="2" customWidth="1"/>
    <col min="14845" max="14845" width="30.5703125" style="2" customWidth="1"/>
    <col min="14846" max="14846" width="33.85546875" style="2" customWidth="1"/>
    <col min="14847" max="14847" width="5.140625" style="2" customWidth="1"/>
    <col min="14848" max="14849" width="17.5703125" style="2" customWidth="1"/>
    <col min="14850" max="15093" width="9.140625" style="2"/>
    <col min="15094" max="15094" width="3.7109375" style="2" customWidth="1"/>
    <col min="15095" max="15095" width="96.85546875" style="2" customWidth="1"/>
    <col min="15096" max="15096" width="30.85546875" style="2" customWidth="1"/>
    <col min="15097" max="15097" width="12.5703125" style="2" customWidth="1"/>
    <col min="15098" max="15098" width="5.140625" style="2" customWidth="1"/>
    <col min="15099" max="15099" width="9.140625" style="2"/>
    <col min="15100" max="15100" width="4.85546875" style="2" customWidth="1"/>
    <col min="15101" max="15101" width="30.5703125" style="2" customWidth="1"/>
    <col min="15102" max="15102" width="33.85546875" style="2" customWidth="1"/>
    <col min="15103" max="15103" width="5.140625" style="2" customWidth="1"/>
    <col min="15104" max="15105" width="17.5703125" style="2" customWidth="1"/>
    <col min="15106" max="15349" width="9.140625" style="2"/>
    <col min="15350" max="15350" width="3.7109375" style="2" customWidth="1"/>
    <col min="15351" max="15351" width="96.85546875" style="2" customWidth="1"/>
    <col min="15352" max="15352" width="30.85546875" style="2" customWidth="1"/>
    <col min="15353" max="15353" width="12.5703125" style="2" customWidth="1"/>
    <col min="15354" max="15354" width="5.140625" style="2" customWidth="1"/>
    <col min="15355" max="15355" width="9.140625" style="2"/>
    <col min="15356" max="15356" width="4.85546875" style="2" customWidth="1"/>
    <col min="15357" max="15357" width="30.5703125" style="2" customWidth="1"/>
    <col min="15358" max="15358" width="33.85546875" style="2" customWidth="1"/>
    <col min="15359" max="15359" width="5.140625" style="2" customWidth="1"/>
    <col min="15360" max="15361" width="17.5703125" style="2" customWidth="1"/>
    <col min="15362" max="15605" width="9.140625" style="2"/>
    <col min="15606" max="15606" width="3.7109375" style="2" customWidth="1"/>
    <col min="15607" max="15607" width="96.85546875" style="2" customWidth="1"/>
    <col min="15608" max="15608" width="30.85546875" style="2" customWidth="1"/>
    <col min="15609" max="15609" width="12.5703125" style="2" customWidth="1"/>
    <col min="15610" max="15610" width="5.140625" style="2" customWidth="1"/>
    <col min="15611" max="15611" width="9.140625" style="2"/>
    <col min="15612" max="15612" width="4.85546875" style="2" customWidth="1"/>
    <col min="15613" max="15613" width="30.5703125" style="2" customWidth="1"/>
    <col min="15614" max="15614" width="33.85546875" style="2" customWidth="1"/>
    <col min="15615" max="15615" width="5.140625" style="2" customWidth="1"/>
    <col min="15616" max="15617" width="17.5703125" style="2" customWidth="1"/>
    <col min="15618" max="15861" width="9.140625" style="2"/>
    <col min="15862" max="15862" width="3.7109375" style="2" customWidth="1"/>
    <col min="15863" max="15863" width="96.85546875" style="2" customWidth="1"/>
    <col min="15864" max="15864" width="30.85546875" style="2" customWidth="1"/>
    <col min="15865" max="15865" width="12.5703125" style="2" customWidth="1"/>
    <col min="15866" max="15866" width="5.140625" style="2" customWidth="1"/>
    <col min="15867" max="15867" width="9.140625" style="2"/>
    <col min="15868" max="15868" width="4.85546875" style="2" customWidth="1"/>
    <col min="15869" max="15869" width="30.5703125" style="2" customWidth="1"/>
    <col min="15870" max="15870" width="33.85546875" style="2" customWidth="1"/>
    <col min="15871" max="15871" width="5.140625" style="2" customWidth="1"/>
    <col min="15872" max="15873" width="17.5703125" style="2" customWidth="1"/>
    <col min="15874" max="16117" width="9.140625" style="2"/>
    <col min="16118" max="16118" width="3.7109375" style="2" customWidth="1"/>
    <col min="16119" max="16119" width="96.85546875" style="2" customWidth="1"/>
    <col min="16120" max="16120" width="30.85546875" style="2" customWidth="1"/>
    <col min="16121" max="16121" width="12.5703125" style="2" customWidth="1"/>
    <col min="16122" max="16122" width="5.140625" style="2" customWidth="1"/>
    <col min="16123" max="16123" width="9.140625" style="2"/>
    <col min="16124" max="16124" width="4.85546875" style="2" customWidth="1"/>
    <col min="16125" max="16125" width="30.5703125" style="2" customWidth="1"/>
    <col min="16126" max="16126" width="33.85546875" style="2" customWidth="1"/>
    <col min="16127" max="16127" width="5.140625" style="2" customWidth="1"/>
    <col min="16128" max="16129" width="17.5703125" style="2" customWidth="1"/>
    <col min="16130" max="16384" width="9.140625" style="2"/>
  </cols>
  <sheetData>
    <row r="1" spans="1:3" ht="48" customHeight="1" x14ac:dyDescent="0.2">
      <c r="A1" s="1"/>
      <c r="B1" s="143" t="s">
        <v>1</v>
      </c>
      <c r="C1" s="143"/>
    </row>
    <row r="2" spans="1:3" x14ac:dyDescent="0.2">
      <c r="A2" s="1"/>
      <c r="B2" s="3" t="s">
        <v>2</v>
      </c>
      <c r="C2" s="4">
        <v>45317</v>
      </c>
    </row>
    <row r="3" spans="1:3" x14ac:dyDescent="0.2">
      <c r="A3" s="1"/>
      <c r="B3" s="5" t="s">
        <v>3</v>
      </c>
      <c r="C3" s="6"/>
    </row>
    <row r="4" spans="1:3" ht="25.5" x14ac:dyDescent="0.2">
      <c r="A4" s="7"/>
      <c r="B4" s="8" t="str">
        <f>[22]И1!D13</f>
        <v>Субъект Российской Федерации</v>
      </c>
      <c r="C4" s="9" t="str">
        <f>[22]И1!E13</f>
        <v>Новосибирская область</v>
      </c>
    </row>
    <row r="5" spans="1:3" ht="15.95" customHeight="1" x14ac:dyDescent="0.2">
      <c r="A5" s="7"/>
      <c r="B5" s="8" t="str">
        <f>[22]И1!D14</f>
        <v>Тип муниципального образования (выберите из списка)</v>
      </c>
      <c r="C5" s="9" t="str">
        <f>[22]И1!E14</f>
        <v>рабочий поселок Ордынское, Ордынский муниципальный район</v>
      </c>
    </row>
    <row r="6" spans="1:3" x14ac:dyDescent="0.2">
      <c r="A6" s="7"/>
      <c r="B6" s="8" t="str">
        <f>IF([22]И1!E15="","",[22]И1!D15)</f>
        <v/>
      </c>
      <c r="C6" s="6" t="str">
        <f>IF([22]И1!E15="","",[22]И1!E15)</f>
        <v/>
      </c>
    </row>
    <row r="7" spans="1:3" x14ac:dyDescent="0.2">
      <c r="A7" s="7"/>
      <c r="B7" s="8" t="str">
        <f>[22]И1!D16</f>
        <v>Код ОКТМО</v>
      </c>
      <c r="C7" s="10" t="str">
        <f>[22]И1!E16</f>
        <v>50642151051</v>
      </c>
    </row>
    <row r="8" spans="1:3" x14ac:dyDescent="0.2">
      <c r="A8" s="7"/>
      <c r="B8" s="11" t="str">
        <f>[22]И1!D17</f>
        <v>Система теплоснабжения</v>
      </c>
      <c r="C8" s="12">
        <f>[22]И1!E17</f>
        <v>0</v>
      </c>
    </row>
    <row r="9" spans="1:3" x14ac:dyDescent="0.2">
      <c r="A9" s="7"/>
      <c r="B9" s="8" t="str">
        <f>[22]И1!D8</f>
        <v>Период регулирования (i)-й</v>
      </c>
      <c r="C9" s="13">
        <f>[22]И1!E8</f>
        <v>2024</v>
      </c>
    </row>
    <row r="10" spans="1:3" x14ac:dyDescent="0.2">
      <c r="A10" s="7"/>
      <c r="B10" s="8" t="str">
        <f>[22]И1!D9</f>
        <v>Период регулирования (i-1)-й</v>
      </c>
      <c r="C10" s="13">
        <f>[22]И1!E9</f>
        <v>2023</v>
      </c>
    </row>
    <row r="11" spans="1:3" x14ac:dyDescent="0.2">
      <c r="A11" s="7"/>
      <c r="B11" s="8" t="str">
        <f>[22]И1!D10</f>
        <v>Период регулирования (i-2)-й</v>
      </c>
      <c r="C11" s="13">
        <f>[22]И1!E10</f>
        <v>2022</v>
      </c>
    </row>
    <row r="12" spans="1:3" x14ac:dyDescent="0.2">
      <c r="A12" s="7"/>
      <c r="B12" s="8" t="str">
        <f>[22]И1!D11</f>
        <v>Базовый год (б)</v>
      </c>
      <c r="C12" s="13">
        <f>[22]И1!E11</f>
        <v>2019</v>
      </c>
    </row>
    <row r="13" spans="1:3" x14ac:dyDescent="0.2">
      <c r="A13" s="7"/>
      <c r="B13" s="8" t="str">
        <f>[22]И1!D18</f>
        <v>Вид топлива, использование которого преобладает в системе теплоснабжения</v>
      </c>
      <c r="C13" s="14" t="str">
        <f>[22]И1!E18</f>
        <v>Газ</v>
      </c>
    </row>
    <row r="14" spans="1:3" ht="26.25" customHeight="1" thickBot="1" x14ac:dyDescent="0.25">
      <c r="A14" s="142" t="s">
        <v>4</v>
      </c>
      <c r="B14" s="142"/>
      <c r="C14" s="142"/>
    </row>
    <row r="15" spans="1:3" x14ac:dyDescent="0.2">
      <c r="A15" s="15" t="s">
        <v>5</v>
      </c>
      <c r="B15" s="16" t="s">
        <v>6</v>
      </c>
      <c r="C15" s="17" t="s">
        <v>7</v>
      </c>
    </row>
    <row r="16" spans="1:3" x14ac:dyDescent="0.2">
      <c r="A16" s="18">
        <v>1</v>
      </c>
      <c r="B16" s="19">
        <v>2</v>
      </c>
      <c r="C16" s="20">
        <v>3</v>
      </c>
    </row>
    <row r="17" spans="1:3" x14ac:dyDescent="0.2">
      <c r="A17" s="21">
        <v>1</v>
      </c>
      <c r="B17" s="22" t="s">
        <v>8</v>
      </c>
      <c r="C17" s="23">
        <f>SUM(C18:C23)</f>
        <v>2940.839732503764</v>
      </c>
    </row>
    <row r="18" spans="1:3" ht="42.75" x14ac:dyDescent="0.2">
      <c r="A18" s="21" t="s">
        <v>9</v>
      </c>
      <c r="B18" s="24" t="s">
        <v>10</v>
      </c>
      <c r="C18" s="25">
        <f>[22]С1!F12</f>
        <v>994.35037159416254</v>
      </c>
    </row>
    <row r="19" spans="1:3" ht="42.75" x14ac:dyDescent="0.2">
      <c r="A19" s="21" t="s">
        <v>11</v>
      </c>
      <c r="B19" s="24" t="s">
        <v>12</v>
      </c>
      <c r="C19" s="25">
        <f>[22]С2!F12</f>
        <v>1337.2323504196445</v>
      </c>
    </row>
    <row r="20" spans="1:3" ht="30" x14ac:dyDescent="0.2">
      <c r="A20" s="21" t="s">
        <v>13</v>
      </c>
      <c r="B20" s="24" t="s">
        <v>14</v>
      </c>
      <c r="C20" s="25">
        <f>[22]С3!F12</f>
        <v>317.62075127153844</v>
      </c>
    </row>
    <row r="21" spans="1:3" ht="42.75" x14ac:dyDescent="0.2">
      <c r="A21" s="21" t="s">
        <v>15</v>
      </c>
      <c r="B21" s="24" t="s">
        <v>16</v>
      </c>
      <c r="C21" s="25">
        <f>[22]С4!F12</f>
        <v>233.97273505167814</v>
      </c>
    </row>
    <row r="22" spans="1:3" ht="33" customHeight="1" x14ac:dyDescent="0.2">
      <c r="A22" s="21" t="s">
        <v>17</v>
      </c>
      <c r="B22" s="24" t="s">
        <v>18</v>
      </c>
      <c r="C22" s="25">
        <f>[22]С5!F12</f>
        <v>57.663524166740473</v>
      </c>
    </row>
    <row r="23" spans="1:3" ht="45.75" customHeight="1" thickBot="1" x14ac:dyDescent="0.25">
      <c r="A23" s="26" t="s">
        <v>19</v>
      </c>
      <c r="B23" s="140" t="s">
        <v>20</v>
      </c>
      <c r="C23" s="27">
        <f>[22]С6!F12</f>
        <v>0</v>
      </c>
    </row>
    <row r="24" spans="1:3" ht="13.5" thickBot="1" x14ac:dyDescent="0.25">
      <c r="A24" s="1"/>
      <c r="C24" s="6"/>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v>
      </c>
      <c r="C28" s="32">
        <f>[22]С1.1!E16</f>
        <v>7900</v>
      </c>
    </row>
    <row r="29" spans="1:3" ht="42.75" x14ac:dyDescent="0.2">
      <c r="A29" s="21" t="s">
        <v>11</v>
      </c>
      <c r="B29" s="31" t="s">
        <v>23</v>
      </c>
      <c r="C29" s="32">
        <f>[22]С1.1!E32</f>
        <v>5751.37</v>
      </c>
    </row>
    <row r="30" spans="1:3" ht="38.25" x14ac:dyDescent="0.2">
      <c r="A30" s="21" t="s">
        <v>24</v>
      </c>
      <c r="B30" s="31" t="s">
        <v>25</v>
      </c>
      <c r="C30" s="33" t="str">
        <f>[22]С1.1!E25</f>
        <v>ООО "Газпром газораспределение Томск"</v>
      </c>
    </row>
    <row r="31" spans="1:3" ht="38.25" x14ac:dyDescent="0.2">
      <c r="A31" s="21" t="s">
        <v>26</v>
      </c>
      <c r="B31" s="31" t="str">
        <f>[22]С1.1!D26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2">
        <f>[22]С1.1!E26</f>
        <v>4699.5</v>
      </c>
    </row>
    <row r="32" spans="1:3" ht="25.5" x14ac:dyDescent="0.2">
      <c r="A32" s="21" t="s">
        <v>27</v>
      </c>
      <c r="B32" s="31" t="str">
        <f>[22]С1.1!D27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2">
        <f>[22]С1.1!E27</f>
        <v>795.43</v>
      </c>
    </row>
    <row r="33" spans="1:3" ht="25.5" x14ac:dyDescent="0.2">
      <c r="A33" s="21" t="s">
        <v>28</v>
      </c>
      <c r="B33" s="31" t="str">
        <f>[22]С1.1!D28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2">
        <f>[22]С1.1!E28</f>
        <v>136.54</v>
      </c>
    </row>
    <row r="34" spans="1:3" ht="38.25" x14ac:dyDescent="0.2">
      <c r="A34" s="21" t="s">
        <v>29</v>
      </c>
      <c r="B34" s="31" t="str">
        <f>[22]С1.1!D29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2">
        <f>[22]С1.1!E29</f>
        <v>119.9</v>
      </c>
    </row>
    <row r="35" spans="1:3" ht="17.25" x14ac:dyDescent="0.2">
      <c r="A35" s="21" t="s">
        <v>13</v>
      </c>
      <c r="B35" s="31" t="s">
        <v>30</v>
      </c>
      <c r="C35" s="34">
        <f>[22]С1.1!E20</f>
        <v>8.5000000000000006E-2</v>
      </c>
    </row>
    <row r="36" spans="1:3" ht="17.25" x14ac:dyDescent="0.2">
      <c r="A36" s="21" t="s">
        <v>15</v>
      </c>
      <c r="B36" s="31" t="s">
        <v>31</v>
      </c>
      <c r="C36" s="34">
        <f>[22]С1.1!E21</f>
        <v>0.112</v>
      </c>
    </row>
    <row r="37" spans="1:3" ht="30" x14ac:dyDescent="0.2">
      <c r="A37" s="21" t="s">
        <v>17</v>
      </c>
      <c r="B37" s="35" t="s">
        <v>32</v>
      </c>
      <c r="C37" s="36">
        <f>[22]С1!F13</f>
        <v>156.1</v>
      </c>
    </row>
    <row r="38" spans="1:3" x14ac:dyDescent="0.2">
      <c r="A38" s="21" t="s">
        <v>19</v>
      </c>
      <c r="B38" s="35" t="s">
        <v>33</v>
      </c>
      <c r="C38" s="37">
        <f>[22]С1!F16</f>
        <v>7000</v>
      </c>
    </row>
    <row r="39" spans="1:3" ht="14.25" x14ac:dyDescent="0.2">
      <c r="A39" s="38" t="s">
        <v>34</v>
      </c>
      <c r="B39" s="39" t="s">
        <v>35</v>
      </c>
      <c r="C39" s="40">
        <f>[22]С1!F17</f>
        <v>1.1285714285714286</v>
      </c>
    </row>
    <row r="40" spans="1:3" ht="15.75" x14ac:dyDescent="0.2">
      <c r="A40" s="41" t="s">
        <v>36</v>
      </c>
      <c r="B40" s="42" t="s">
        <v>37</v>
      </c>
      <c r="C40" s="40">
        <f>[22]С1!F20</f>
        <v>22.307053372799995</v>
      </c>
    </row>
    <row r="41" spans="1:3" ht="15.75" x14ac:dyDescent="0.2">
      <c r="A41" s="41" t="s">
        <v>38</v>
      </c>
      <c r="B41" s="43" t="s">
        <v>39</v>
      </c>
      <c r="C41" s="40">
        <f>[22]С1!F21</f>
        <v>21.531904799999996</v>
      </c>
    </row>
    <row r="42" spans="1:3" ht="14.25" x14ac:dyDescent="0.2">
      <c r="A42" s="41" t="s">
        <v>40</v>
      </c>
      <c r="B42" s="44" t="s">
        <v>41</v>
      </c>
      <c r="C42" s="40">
        <f>[22]С1!F22</f>
        <v>1.036</v>
      </c>
    </row>
    <row r="43" spans="1:3" ht="53.25" thickBot="1" x14ac:dyDescent="0.25">
      <c r="A43" s="26" t="s">
        <v>42</v>
      </c>
      <c r="B43" s="45" t="s">
        <v>43</v>
      </c>
      <c r="C43" s="46" t="str">
        <f>[22]С1!F23</f>
        <v>-</v>
      </c>
    </row>
    <row r="44" spans="1:3" ht="13.5" thickBot="1" x14ac:dyDescent="0.25">
      <c r="A44" s="47"/>
      <c r="B44" s="48"/>
      <c r="C44" s="14"/>
    </row>
    <row r="45" spans="1:3" ht="30" customHeight="1" x14ac:dyDescent="0.2">
      <c r="A45" s="49" t="s">
        <v>44</v>
      </c>
      <c r="B45" s="145" t="s">
        <v>45</v>
      </c>
      <c r="C45" s="145"/>
    </row>
    <row r="46" spans="1:3" ht="25.5" x14ac:dyDescent="0.2">
      <c r="A46" s="21" t="s">
        <v>46</v>
      </c>
      <c r="B46" s="35" t="s">
        <v>47</v>
      </c>
      <c r="C46" s="50" t="str">
        <f>[22]С2.1!E12</f>
        <v>V</v>
      </c>
    </row>
    <row r="47" spans="1:3" ht="25.5" x14ac:dyDescent="0.2">
      <c r="A47" s="21" t="s">
        <v>48</v>
      </c>
      <c r="B47" s="31" t="s">
        <v>49</v>
      </c>
      <c r="C47" s="50" t="str">
        <f>[22]С2.1!E13</f>
        <v>6 и менее баллов</v>
      </c>
    </row>
    <row r="48" spans="1:3" ht="25.5" x14ac:dyDescent="0.2">
      <c r="A48" s="21" t="s">
        <v>50</v>
      </c>
      <c r="B48" s="31" t="s">
        <v>51</v>
      </c>
      <c r="C48" s="50" t="str">
        <f>[22]С2.1!E14</f>
        <v>от 200 до 500</v>
      </c>
    </row>
    <row r="49" spans="1:3" ht="25.5" x14ac:dyDescent="0.2">
      <c r="A49" s="21" t="s">
        <v>52</v>
      </c>
      <c r="B49" s="31" t="s">
        <v>53</v>
      </c>
      <c r="C49" s="51" t="str">
        <f>[22]С2.1!E15</f>
        <v>нет</v>
      </c>
    </row>
    <row r="50" spans="1:3" ht="30" x14ac:dyDescent="0.2">
      <c r="A50" s="21" t="s">
        <v>54</v>
      </c>
      <c r="B50" s="31" t="s">
        <v>55</v>
      </c>
      <c r="C50" s="32">
        <f>[22]С2!F18</f>
        <v>35106.652004551666</v>
      </c>
    </row>
    <row r="51" spans="1:3" ht="30" x14ac:dyDescent="0.2">
      <c r="A51" s="21" t="s">
        <v>56</v>
      </c>
      <c r="B51" s="52" t="s">
        <v>57</v>
      </c>
      <c r="C51" s="32">
        <f>IF([22]С2!F19&gt;0,[22]С2!F19,[22]С2!F20)</f>
        <v>23441.524932855718</v>
      </c>
    </row>
    <row r="52" spans="1:3" ht="25.5" x14ac:dyDescent="0.2">
      <c r="A52" s="21" t="s">
        <v>58</v>
      </c>
      <c r="B52" s="53" t="s">
        <v>59</v>
      </c>
      <c r="C52" s="32">
        <f>[22]С2.1!E20</f>
        <v>-37</v>
      </c>
    </row>
    <row r="53" spans="1:3" ht="25.5" x14ac:dyDescent="0.2">
      <c r="A53" s="21" t="s">
        <v>60</v>
      </c>
      <c r="B53" s="53" t="s">
        <v>61</v>
      </c>
      <c r="C53" s="32" t="str">
        <f>[22]С2.1!E23</f>
        <v>нет</v>
      </c>
    </row>
    <row r="54" spans="1:3" ht="38.25" x14ac:dyDescent="0.2">
      <c r="A54" s="21" t="s">
        <v>62</v>
      </c>
      <c r="B54" s="54" t="s">
        <v>63</v>
      </c>
      <c r="C54" s="32">
        <f>[22]С2.2!E10</f>
        <v>1287</v>
      </c>
    </row>
    <row r="55" spans="1:3" ht="25.5" x14ac:dyDescent="0.2">
      <c r="A55" s="21" t="s">
        <v>64</v>
      </c>
      <c r="B55" s="55" t="s">
        <v>65</v>
      </c>
      <c r="C55" s="32">
        <f>[22]С2.2!E12</f>
        <v>5.97</v>
      </c>
    </row>
    <row r="56" spans="1:3" ht="52.5" x14ac:dyDescent="0.2">
      <c r="A56" s="21" t="s">
        <v>66</v>
      </c>
      <c r="B56" s="56" t="s">
        <v>67</v>
      </c>
      <c r="C56" s="32">
        <f>[22]С2.2!E13</f>
        <v>1</v>
      </c>
    </row>
    <row r="57" spans="1:3" ht="27.75" x14ac:dyDescent="0.2">
      <c r="A57" s="21" t="s">
        <v>68</v>
      </c>
      <c r="B57" s="55" t="s">
        <v>69</v>
      </c>
      <c r="C57" s="32">
        <f>[22]С2.2!E14</f>
        <v>12104</v>
      </c>
    </row>
    <row r="58" spans="1:3" ht="25.5" x14ac:dyDescent="0.2">
      <c r="A58" s="21" t="s">
        <v>70</v>
      </c>
      <c r="B58" s="56" t="s">
        <v>71</v>
      </c>
      <c r="C58" s="34">
        <f>[22]С2.2!E15</f>
        <v>4.8000000000000001E-2</v>
      </c>
    </row>
    <row r="59" spans="1:3" x14ac:dyDescent="0.2">
      <c r="A59" s="21" t="s">
        <v>72</v>
      </c>
      <c r="B59" s="56" t="s">
        <v>73</v>
      </c>
      <c r="C59" s="57">
        <f>[22]С2.2!E16</f>
        <v>1</v>
      </c>
    </row>
    <row r="60" spans="1:3" ht="15.75" x14ac:dyDescent="0.2">
      <c r="A60" s="21" t="s">
        <v>74</v>
      </c>
      <c r="B60" s="58" t="s">
        <v>75</v>
      </c>
      <c r="C60" s="32">
        <f>[22]С2!F21</f>
        <v>1</v>
      </c>
    </row>
    <row r="61" spans="1:3" ht="30" x14ac:dyDescent="0.2">
      <c r="A61" s="59" t="s">
        <v>76</v>
      </c>
      <c r="B61" s="31" t="s">
        <v>77</v>
      </c>
      <c r="C61" s="32">
        <f>[22]С2!F13</f>
        <v>105136.23090983224</v>
      </c>
    </row>
    <row r="62" spans="1:3" ht="30" x14ac:dyDescent="0.2">
      <c r="A62" s="59" t="s">
        <v>78</v>
      </c>
      <c r="B62" s="60" t="s">
        <v>79</v>
      </c>
      <c r="C62" s="32">
        <f>[22]С2!F14</f>
        <v>64899</v>
      </c>
    </row>
    <row r="63" spans="1:3" ht="15.75" x14ac:dyDescent="0.2">
      <c r="A63" s="59" t="s">
        <v>80</v>
      </c>
      <c r="B63" s="60" t="s">
        <v>81</v>
      </c>
      <c r="C63" s="40">
        <f>[22]С2!F15</f>
        <v>1.071</v>
      </c>
    </row>
    <row r="64" spans="1:3" ht="15.75" x14ac:dyDescent="0.2">
      <c r="A64" s="59" t="s">
        <v>82</v>
      </c>
      <c r="B64" s="60" t="s">
        <v>83</v>
      </c>
      <c r="C64" s="61">
        <f>[22]С2!F16</f>
        <v>1</v>
      </c>
    </row>
    <row r="65" spans="1:3" ht="17.25" x14ac:dyDescent="0.2">
      <c r="A65" s="59" t="s">
        <v>84</v>
      </c>
      <c r="B65" s="60" t="s">
        <v>85</v>
      </c>
      <c r="C65" s="62">
        <f>[22]С2!F17</f>
        <v>1.01</v>
      </c>
    </row>
    <row r="66" spans="1:3" s="65" customFormat="1" ht="14.25" x14ac:dyDescent="0.2">
      <c r="A66" s="59" t="s">
        <v>86</v>
      </c>
      <c r="B66" s="63" t="s">
        <v>87</v>
      </c>
      <c r="C66" s="64">
        <f>[22]С2!F35</f>
        <v>10</v>
      </c>
    </row>
    <row r="67" spans="1:3" ht="30" x14ac:dyDescent="0.2">
      <c r="A67" s="59" t="s">
        <v>88</v>
      </c>
      <c r="B67" s="66" t="s">
        <v>89</v>
      </c>
      <c r="C67" s="32">
        <f>[22]С2!F28</f>
        <v>150.75887532279913</v>
      </c>
    </row>
    <row r="68" spans="1:3" ht="17.25" x14ac:dyDescent="0.2">
      <c r="A68" s="59" t="s">
        <v>90</v>
      </c>
      <c r="B68" s="52" t="s">
        <v>91</v>
      </c>
      <c r="C68" s="40">
        <f>[22]С2!F29</f>
        <v>0.201330388</v>
      </c>
    </row>
    <row r="69" spans="1:3" ht="17.25" x14ac:dyDescent="0.2">
      <c r="A69" s="59" t="s">
        <v>92</v>
      </c>
      <c r="B69" s="58" t="s">
        <v>93</v>
      </c>
      <c r="C69" s="64">
        <f>[22]С2!F30</f>
        <v>500</v>
      </c>
    </row>
    <row r="70" spans="1:3" ht="42.75" x14ac:dyDescent="0.2">
      <c r="A70" s="59" t="s">
        <v>94</v>
      </c>
      <c r="B70" s="31" t="s">
        <v>95</v>
      </c>
      <c r="C70" s="32">
        <f>[22]С2!F22</f>
        <v>39638.324046481182</v>
      </c>
    </row>
    <row r="71" spans="1:3" ht="30" x14ac:dyDescent="0.2">
      <c r="A71" s="59" t="s">
        <v>96</v>
      </c>
      <c r="B71" s="60" t="s">
        <v>97</v>
      </c>
      <c r="C71" s="32">
        <f>[22]С2!F23</f>
        <v>21</v>
      </c>
    </row>
    <row r="72" spans="1:3" ht="30" x14ac:dyDescent="0.2">
      <c r="A72" s="59" t="s">
        <v>98</v>
      </c>
      <c r="B72" s="52" t="s">
        <v>99</v>
      </c>
      <c r="C72" s="32">
        <f>[22]С2.1!E28</f>
        <v>14036.09995</v>
      </c>
    </row>
    <row r="73" spans="1:3" ht="38.25" x14ac:dyDescent="0.2">
      <c r="A73" s="59" t="s">
        <v>100</v>
      </c>
      <c r="B73" s="67" t="s">
        <v>101</v>
      </c>
      <c r="C73" s="51">
        <f>[22]С2.3!E21</f>
        <v>0</v>
      </c>
    </row>
    <row r="74" spans="1:3" ht="25.5" x14ac:dyDescent="0.2">
      <c r="A74" s="59" t="s">
        <v>102</v>
      </c>
      <c r="B74" s="68" t="s">
        <v>103</v>
      </c>
      <c r="C74" s="69">
        <f>[22]С2.3!E11</f>
        <v>5.45</v>
      </c>
    </row>
    <row r="75" spans="1:3" ht="25.5" x14ac:dyDescent="0.2">
      <c r="A75" s="59" t="s">
        <v>104</v>
      </c>
      <c r="B75" s="68" t="s">
        <v>105</v>
      </c>
      <c r="C75" s="64">
        <f>[22]С2.3!E13</f>
        <v>300</v>
      </c>
    </row>
    <row r="76" spans="1:3" ht="25.5" x14ac:dyDescent="0.2">
      <c r="A76" s="59" t="s">
        <v>106</v>
      </c>
      <c r="B76" s="67" t="s">
        <v>107</v>
      </c>
      <c r="C76" s="70">
        <f>IF([22]С2.3!E22&gt;0,[22]С2.3!E22,[22]С2.3!E14)</f>
        <v>61211</v>
      </c>
    </row>
    <row r="77" spans="1:3" ht="38.25" x14ac:dyDescent="0.2">
      <c r="A77" s="59" t="s">
        <v>108</v>
      </c>
      <c r="B77" s="67" t="s">
        <v>109</v>
      </c>
      <c r="C77" s="70">
        <f>IF([22]С2.3!E23&gt;0,[22]С2.3!E23,[22]С2.3!E15)</f>
        <v>45675</v>
      </c>
    </row>
    <row r="78" spans="1:3" ht="30" x14ac:dyDescent="0.2">
      <c r="A78" s="59" t="s">
        <v>110</v>
      </c>
      <c r="B78" s="52" t="s">
        <v>111</v>
      </c>
      <c r="C78" s="32">
        <f>[22]С2.1!E29</f>
        <v>9518.3274000000001</v>
      </c>
    </row>
    <row r="79" spans="1:3" ht="38.25" x14ac:dyDescent="0.2">
      <c r="A79" s="59" t="s">
        <v>112</v>
      </c>
      <c r="B79" s="67" t="s">
        <v>113</v>
      </c>
      <c r="C79" s="51">
        <f>[22]С2.3!E25</f>
        <v>0</v>
      </c>
    </row>
    <row r="80" spans="1:3" ht="25.5" x14ac:dyDescent="0.2">
      <c r="A80" s="59" t="s">
        <v>114</v>
      </c>
      <c r="B80" s="68" t="s">
        <v>115</v>
      </c>
      <c r="C80" s="69">
        <f>[22]С2.3!E12</f>
        <v>0.2</v>
      </c>
    </row>
    <row r="81" spans="1:3" ht="25.5" x14ac:dyDescent="0.2">
      <c r="A81" s="59" t="s">
        <v>116</v>
      </c>
      <c r="B81" s="68" t="s">
        <v>105</v>
      </c>
      <c r="C81" s="64">
        <f>[22]С2.3!E13</f>
        <v>300</v>
      </c>
    </row>
    <row r="82" spans="1:3" ht="25.5" x14ac:dyDescent="0.2">
      <c r="A82" s="59" t="s">
        <v>117</v>
      </c>
      <c r="B82" s="71" t="s">
        <v>118</v>
      </c>
      <c r="C82" s="70">
        <f>IF([22]С2.3!E26&gt;0,[22]С2.3!E26,[22]С2.3!E16)</f>
        <v>65637</v>
      </c>
    </row>
    <row r="83" spans="1:3" ht="38.25" x14ac:dyDescent="0.2">
      <c r="A83" s="59" t="s">
        <v>119</v>
      </c>
      <c r="B83" s="71" t="s">
        <v>120</v>
      </c>
      <c r="C83" s="70">
        <f>IF([22]С2.3!E27&gt;0,[22]С2.3!E27,[22]С2.3!E17)</f>
        <v>31684</v>
      </c>
    </row>
    <row r="84" spans="1:3" ht="30" x14ac:dyDescent="0.2">
      <c r="A84" s="59" t="s">
        <v>121</v>
      </c>
      <c r="B84" s="60" t="s">
        <v>122</v>
      </c>
      <c r="C84" s="70">
        <f>IF([22]С2.1!E19&gt;0,[22]С2.1!E19,[22]С2!F26)</f>
        <v>2892</v>
      </c>
    </row>
    <row r="85" spans="1:3" ht="17.25" x14ac:dyDescent="0.2">
      <c r="A85" s="59" t="s">
        <v>123</v>
      </c>
      <c r="B85" s="31" t="s">
        <v>124</v>
      </c>
      <c r="C85" s="34">
        <f>[22]С2!F31</f>
        <v>9.5962865259740182E-2</v>
      </c>
    </row>
    <row r="86" spans="1:3" ht="30" x14ac:dyDescent="0.2">
      <c r="A86" s="59" t="s">
        <v>125</v>
      </c>
      <c r="B86" s="52" t="s">
        <v>126</v>
      </c>
      <c r="C86" s="72">
        <f>[22]С2!F32</f>
        <v>8.4029304029304031E-2</v>
      </c>
    </row>
    <row r="87" spans="1:3" ht="17.25" x14ac:dyDescent="0.2">
      <c r="A87" s="59" t="s">
        <v>127</v>
      </c>
      <c r="B87" s="73" t="s">
        <v>128</v>
      </c>
      <c r="C87" s="34">
        <f>[22]С2!F33</f>
        <v>0.13880000000000001</v>
      </c>
    </row>
    <row r="88" spans="1:3" s="65" customFormat="1" ht="18" thickBot="1" x14ac:dyDescent="0.25">
      <c r="A88" s="74" t="s">
        <v>129</v>
      </c>
      <c r="B88" s="75" t="s">
        <v>130</v>
      </c>
      <c r="C88" s="76">
        <f>[22]С2!F34</f>
        <v>0.12640000000000001</v>
      </c>
    </row>
    <row r="89" spans="1:3" ht="13.5" thickBot="1" x14ac:dyDescent="0.25">
      <c r="A89" s="47"/>
      <c r="B89" s="48"/>
      <c r="C89" s="14"/>
    </row>
    <row r="90" spans="1:3" s="65" customFormat="1" ht="30" customHeight="1" x14ac:dyDescent="0.2">
      <c r="A90" s="77" t="s">
        <v>131</v>
      </c>
      <c r="B90" s="145" t="s">
        <v>132</v>
      </c>
      <c r="C90" s="145"/>
    </row>
    <row r="91" spans="1:3" s="65" customFormat="1" ht="30" x14ac:dyDescent="0.2">
      <c r="A91" s="78" t="s">
        <v>133</v>
      </c>
      <c r="B91" s="31" t="s">
        <v>134</v>
      </c>
      <c r="C91" s="32">
        <f>[22]С3!F14</f>
        <v>4200.2698001645867</v>
      </c>
    </row>
    <row r="92" spans="1:3" s="65" customFormat="1" ht="42.75" x14ac:dyDescent="0.2">
      <c r="A92" s="78" t="s">
        <v>135</v>
      </c>
      <c r="B92" s="52" t="s">
        <v>136</v>
      </c>
      <c r="C92" s="79">
        <f>[22]С3!F15</f>
        <v>0.2</v>
      </c>
    </row>
    <row r="93" spans="1:3" s="65" customFormat="1" ht="14.25" x14ac:dyDescent="0.2">
      <c r="A93" s="78" t="s">
        <v>137</v>
      </c>
      <c r="B93" s="80" t="s">
        <v>138</v>
      </c>
      <c r="C93" s="64">
        <f>[22]С3!F18</f>
        <v>15</v>
      </c>
    </row>
    <row r="94" spans="1:3" s="65" customFormat="1" ht="17.25" x14ac:dyDescent="0.2">
      <c r="A94" s="78" t="s">
        <v>139</v>
      </c>
      <c r="B94" s="31" t="s">
        <v>140</v>
      </c>
      <c r="C94" s="32">
        <f>[22]С3!F19</f>
        <v>2638.2577020926874</v>
      </c>
    </row>
    <row r="95" spans="1:3" s="65" customFormat="1" ht="55.5" x14ac:dyDescent="0.2">
      <c r="A95" s="78" t="s">
        <v>141</v>
      </c>
      <c r="B95" s="52" t="s">
        <v>142</v>
      </c>
      <c r="C95" s="81">
        <f>[22]С3!F20</f>
        <v>2.1999999999999999E-2</v>
      </c>
    </row>
    <row r="96" spans="1:3" s="65" customFormat="1" ht="14.25" x14ac:dyDescent="0.2">
      <c r="A96" s="78" t="s">
        <v>143</v>
      </c>
      <c r="B96" s="58" t="s">
        <v>87</v>
      </c>
      <c r="C96" s="64">
        <f>[22]С3!F21</f>
        <v>10</v>
      </c>
    </row>
    <row r="97" spans="1:3" s="65" customFormat="1" ht="17.25" x14ac:dyDescent="0.2">
      <c r="A97" s="78" t="s">
        <v>144</v>
      </c>
      <c r="B97" s="31" t="s">
        <v>145</v>
      </c>
      <c r="C97" s="32">
        <f>[22]С3!F22</f>
        <v>0.45227662596839741</v>
      </c>
    </row>
    <row r="98" spans="1:3" s="65" customFormat="1" ht="55.5" x14ac:dyDescent="0.2">
      <c r="A98" s="78" t="s">
        <v>146</v>
      </c>
      <c r="B98" s="52" t="s">
        <v>147</v>
      </c>
      <c r="C98" s="81">
        <f>[22]С3!F23</f>
        <v>3.0000000000000001E-3</v>
      </c>
    </row>
    <row r="99" spans="1:3" s="65" customFormat="1" ht="30.75" thickBot="1" x14ac:dyDescent="0.25">
      <c r="A99" s="82" t="s">
        <v>148</v>
      </c>
      <c r="B99" s="83" t="s">
        <v>89</v>
      </c>
      <c r="C99" s="84">
        <f>[22]С3!F24</f>
        <v>150.75887532279913</v>
      </c>
    </row>
    <row r="100" spans="1:3" ht="13.5" thickBot="1" x14ac:dyDescent="0.25">
      <c r="A100" s="47"/>
      <c r="B100" s="48"/>
      <c r="C100" s="14"/>
    </row>
    <row r="101" spans="1:3" ht="30" customHeight="1" x14ac:dyDescent="0.2">
      <c r="A101" s="85" t="s">
        <v>149</v>
      </c>
      <c r="B101" s="145" t="s">
        <v>150</v>
      </c>
      <c r="C101" s="145"/>
    </row>
    <row r="102" spans="1:3" ht="30" x14ac:dyDescent="0.2">
      <c r="A102" s="59" t="s">
        <v>151</v>
      </c>
      <c r="B102" s="31" t="s">
        <v>152</v>
      </c>
      <c r="C102" s="32">
        <f>[22]С4!F16</f>
        <v>832.33500000000004</v>
      </c>
    </row>
    <row r="103" spans="1:3" ht="30" x14ac:dyDescent="0.2">
      <c r="A103" s="59" t="s">
        <v>153</v>
      </c>
      <c r="B103" s="58" t="s">
        <v>154</v>
      </c>
      <c r="C103" s="32">
        <f>[22]С4!F17</f>
        <v>43385</v>
      </c>
    </row>
    <row r="104" spans="1:3" ht="17.25" x14ac:dyDescent="0.2">
      <c r="A104" s="59" t="s">
        <v>155</v>
      </c>
      <c r="B104" s="58" t="s">
        <v>156</v>
      </c>
      <c r="C104" s="40">
        <f>[22]С4!F18</f>
        <v>1.4999999999999999E-2</v>
      </c>
    </row>
    <row r="105" spans="1:3" ht="30" x14ac:dyDescent="0.2">
      <c r="A105" s="59" t="s">
        <v>157</v>
      </c>
      <c r="B105" s="58" t="s">
        <v>158</v>
      </c>
      <c r="C105" s="32">
        <f>[22]С4!F19</f>
        <v>12104</v>
      </c>
    </row>
    <row r="106" spans="1:3" ht="28.5" x14ac:dyDescent="0.2">
      <c r="A106" s="59" t="s">
        <v>159</v>
      </c>
      <c r="B106" s="58" t="s">
        <v>160</v>
      </c>
      <c r="C106" s="40">
        <f>[22]С4!F20</f>
        <v>1.4999999999999999E-2</v>
      </c>
    </row>
    <row r="107" spans="1:3" ht="30" x14ac:dyDescent="0.2">
      <c r="A107" s="59" t="s">
        <v>161</v>
      </c>
      <c r="B107" s="31" t="s">
        <v>162</v>
      </c>
      <c r="C107" s="32">
        <f>[22]С4!F21</f>
        <v>1221.9019409821399</v>
      </c>
    </row>
    <row r="108" spans="1:3" ht="45.6" customHeight="1" x14ac:dyDescent="0.2">
      <c r="A108" s="59" t="s">
        <v>163</v>
      </c>
      <c r="B108" s="52" t="s">
        <v>164</v>
      </c>
      <c r="C108" s="33" t="str">
        <f>IF([22]С4.2!F8="да",[22]С4.2!D21,[22]С4.2!D15)</f>
        <v>АО "Новосибирскэнергосбыт"</v>
      </c>
    </row>
    <row r="109" spans="1:3" ht="68.25" customHeight="1" x14ac:dyDescent="0.2">
      <c r="A109" s="59" t="s">
        <v>165</v>
      </c>
      <c r="B109" s="52" t="s">
        <v>166</v>
      </c>
      <c r="C109" s="32">
        <f>[22]С4!F22</f>
        <v>3.6112641666666665</v>
      </c>
    </row>
    <row r="110" spans="1:3" ht="30" x14ac:dyDescent="0.2">
      <c r="A110" s="59" t="s">
        <v>167</v>
      </c>
      <c r="B110" s="58" t="s">
        <v>168</v>
      </c>
      <c r="C110" s="64">
        <f>[22]С4!F23</f>
        <v>110</v>
      </c>
    </row>
    <row r="111" spans="1:3" ht="14.25" x14ac:dyDescent="0.2">
      <c r="A111" s="59" t="s">
        <v>169</v>
      </c>
      <c r="B111" s="52" t="s">
        <v>170</v>
      </c>
      <c r="C111" s="32">
        <f>[22]С4!F24</f>
        <v>8497.1999999999989</v>
      </c>
    </row>
    <row r="112" spans="1:3" ht="14.25" x14ac:dyDescent="0.2">
      <c r="A112" s="59" t="s">
        <v>171</v>
      </c>
      <c r="B112" s="58" t="s">
        <v>172</v>
      </c>
      <c r="C112" s="40">
        <f>[22]С4!F25</f>
        <v>0.36199999999999999</v>
      </c>
    </row>
    <row r="113" spans="1:3" ht="17.25" x14ac:dyDescent="0.2">
      <c r="A113" s="59" t="s">
        <v>173</v>
      </c>
      <c r="B113" s="31" t="s">
        <v>174</v>
      </c>
      <c r="C113" s="32">
        <f>[22]С4!F26</f>
        <v>43.625124999999997</v>
      </c>
    </row>
    <row r="114" spans="1:3" ht="25.5" x14ac:dyDescent="0.2">
      <c r="A114" s="59" t="s">
        <v>175</v>
      </c>
      <c r="B114" s="52" t="s">
        <v>101</v>
      </c>
      <c r="C114" s="33">
        <f>[22]С4.3!E16</f>
        <v>0</v>
      </c>
    </row>
    <row r="115" spans="1:3" ht="25.5" x14ac:dyDescent="0.2">
      <c r="A115" s="59" t="s">
        <v>176</v>
      </c>
      <c r="B115" s="52" t="s">
        <v>177</v>
      </c>
      <c r="C115" s="32">
        <f>[22]С4.3!E17</f>
        <v>20.675000000000001</v>
      </c>
    </row>
    <row r="116" spans="1:3" ht="38.25" x14ac:dyDescent="0.2">
      <c r="A116" s="59" t="s">
        <v>178</v>
      </c>
      <c r="B116" s="52" t="s">
        <v>113</v>
      </c>
      <c r="C116" s="33">
        <f>[22]С4.3!E18</f>
        <v>0</v>
      </c>
    </row>
    <row r="117" spans="1:3" x14ac:dyDescent="0.2">
      <c r="A117" s="59" t="s">
        <v>179</v>
      </c>
      <c r="B117" s="52" t="s">
        <v>180</v>
      </c>
      <c r="C117" s="32">
        <f>[22]С4.3!E19</f>
        <v>50.424999999999997</v>
      </c>
    </row>
    <row r="118" spans="1:3" x14ac:dyDescent="0.2">
      <c r="A118" s="59" t="s">
        <v>181</v>
      </c>
      <c r="B118" s="58" t="s">
        <v>182</v>
      </c>
      <c r="C118" s="64">
        <f>[22]С4.3!E11</f>
        <v>1871</v>
      </c>
    </row>
    <row r="119" spans="1:3" x14ac:dyDescent="0.2">
      <c r="A119" s="59" t="s">
        <v>183</v>
      </c>
      <c r="B119" s="58" t="s">
        <v>184</v>
      </c>
      <c r="C119" s="51">
        <f>[22]С4.3!E12</f>
        <v>61</v>
      </c>
    </row>
    <row r="120" spans="1:3" x14ac:dyDescent="0.2">
      <c r="A120" s="59" t="s">
        <v>185</v>
      </c>
      <c r="B120" s="58" t="s">
        <v>186</v>
      </c>
      <c r="C120" s="51">
        <f>[22]С4.3!E13</f>
        <v>73</v>
      </c>
    </row>
    <row r="121" spans="1:3" ht="30" x14ac:dyDescent="0.2">
      <c r="A121" s="59" t="s">
        <v>187</v>
      </c>
      <c r="B121" s="31" t="s">
        <v>188</v>
      </c>
      <c r="C121" s="32">
        <f>[22]С4!F27</f>
        <v>946.59139764731083</v>
      </c>
    </row>
    <row r="122" spans="1:3" ht="25.5" x14ac:dyDescent="0.2">
      <c r="A122" s="59" t="s">
        <v>189</v>
      </c>
      <c r="B122" s="52" t="s">
        <v>190</v>
      </c>
      <c r="C122" s="32">
        <f>[22]С4!F28</f>
        <v>727.02872323142151</v>
      </c>
    </row>
    <row r="123" spans="1:3" ht="42.75" x14ac:dyDescent="0.2">
      <c r="A123" s="59" t="s">
        <v>191</v>
      </c>
      <c r="B123" s="52" t="s">
        <v>192</v>
      </c>
      <c r="C123" s="32">
        <f>[22]С4!F29</f>
        <v>219.56267441588932</v>
      </c>
    </row>
    <row r="124" spans="1:3" ht="30.75" thickBot="1" x14ac:dyDescent="0.25">
      <c r="A124" s="74" t="s">
        <v>193</v>
      </c>
      <c r="B124" s="86" t="s">
        <v>194</v>
      </c>
      <c r="C124" s="84">
        <f>[22]С4!F30</f>
        <v>478.4240737545901</v>
      </c>
    </row>
    <row r="125" spans="1:3" s="87" customFormat="1" ht="13.5" thickBot="1" x14ac:dyDescent="0.25">
      <c r="A125" s="47"/>
      <c r="B125" s="48"/>
      <c r="C125" s="14"/>
    </row>
    <row r="126" spans="1:3" s="65" customFormat="1" ht="30" customHeight="1" x14ac:dyDescent="0.2">
      <c r="A126" s="77" t="s">
        <v>195</v>
      </c>
      <c r="B126" s="145" t="s">
        <v>196</v>
      </c>
      <c r="C126" s="145"/>
    </row>
    <row r="127" spans="1:3" ht="30.6" customHeight="1" thickBot="1" x14ac:dyDescent="0.25">
      <c r="A127" s="26" t="s">
        <v>197</v>
      </c>
      <c r="B127" s="86" t="s">
        <v>198</v>
      </c>
      <c r="C127" s="84">
        <f>[22]С5!F17</f>
        <v>0.02</v>
      </c>
    </row>
    <row r="128" spans="1:3" s="87" customFormat="1" ht="13.5" thickBot="1" x14ac:dyDescent="0.25">
      <c r="A128" s="47"/>
      <c r="B128" s="48"/>
      <c r="C128" s="14"/>
    </row>
    <row r="129" spans="1:3" ht="42.75" customHeight="1" x14ac:dyDescent="0.2">
      <c r="A129" s="85" t="s">
        <v>199</v>
      </c>
      <c r="B129" s="145" t="s">
        <v>200</v>
      </c>
      <c r="C129" s="145"/>
    </row>
    <row r="130" spans="1:3" ht="68.25" x14ac:dyDescent="0.2">
      <c r="A130" s="59" t="s">
        <v>201</v>
      </c>
      <c r="B130" s="88" t="s">
        <v>202</v>
      </c>
      <c r="C130" s="32" t="str">
        <f>IF([22]С6.1!E11="нет",[22]С6!F13,"")</f>
        <v/>
      </c>
    </row>
    <row r="131" spans="1:3" ht="42.75" x14ac:dyDescent="0.2">
      <c r="A131" s="59" t="s">
        <v>203</v>
      </c>
      <c r="B131" s="89" t="s">
        <v>204</v>
      </c>
      <c r="C131" s="90" t="str">
        <f>IF([22]С6.1!E12="нет",[22]С6.1!E17,"")</f>
        <v/>
      </c>
    </row>
    <row r="132" spans="1:3" ht="68.25" x14ac:dyDescent="0.2">
      <c r="A132" s="59" t="s">
        <v>205</v>
      </c>
      <c r="B132" s="88" t="s">
        <v>206</v>
      </c>
      <c r="C132" s="91" t="str">
        <f>IF([22]С6.1!E18="нет",[22]С6!F19,"")</f>
        <v/>
      </c>
    </row>
    <row r="133" spans="1:3" ht="55.5" x14ac:dyDescent="0.2">
      <c r="A133" s="59" t="s">
        <v>207</v>
      </c>
      <c r="B133" s="89" t="s">
        <v>208</v>
      </c>
      <c r="C133" s="34" t="str">
        <f>IF([22]С6.1!E18="нет",[22]С6.1!E19,"")</f>
        <v/>
      </c>
    </row>
    <row r="134" spans="1:3" ht="61.5" customHeight="1" x14ac:dyDescent="0.2">
      <c r="A134" s="59" t="s">
        <v>209</v>
      </c>
      <c r="B134" s="89" t="s">
        <v>210</v>
      </c>
      <c r="C134" s="34" t="str">
        <f>IF([22]С6.1!E18="нет",[22]С6.1!E22,"")</f>
        <v/>
      </c>
    </row>
    <row r="135" spans="1:3" ht="69" thickBot="1" x14ac:dyDescent="0.25">
      <c r="A135" s="74" t="s">
        <v>211</v>
      </c>
      <c r="B135" s="92" t="s">
        <v>212</v>
      </c>
      <c r="C135" s="76" t="str">
        <f>IF([22]С6.1!E18="нет",[22]С6.1!E23,"")</f>
        <v/>
      </c>
    </row>
    <row r="136" spans="1:3" s="87" customFormat="1" ht="13.5" thickBot="1" x14ac:dyDescent="0.25">
      <c r="A136" s="47"/>
      <c r="B136" s="48"/>
      <c r="C136" s="14"/>
    </row>
    <row r="137" spans="1:3" ht="15.75" x14ac:dyDescent="0.2">
      <c r="A137" s="85" t="s">
        <v>213</v>
      </c>
      <c r="B137" s="93" t="s">
        <v>214</v>
      </c>
      <c r="C137" s="94">
        <f>[22]С2!F39</f>
        <v>21.531904799999996</v>
      </c>
    </row>
    <row r="138" spans="1:3" ht="14.25" x14ac:dyDescent="0.2">
      <c r="A138" s="59" t="s">
        <v>215</v>
      </c>
      <c r="B138" s="58" t="s">
        <v>216</v>
      </c>
      <c r="C138" s="32">
        <f>[22]С2!F40</f>
        <v>7</v>
      </c>
    </row>
    <row r="139" spans="1:3" ht="17.25" x14ac:dyDescent="0.2">
      <c r="A139" s="59" t="s">
        <v>217</v>
      </c>
      <c r="B139" s="58" t="s">
        <v>218</v>
      </c>
      <c r="C139" s="32">
        <f>[22]С2!F42</f>
        <v>0.97</v>
      </c>
    </row>
    <row r="140" spans="1:3" ht="15" thickBot="1" x14ac:dyDescent="0.25">
      <c r="A140" s="74" t="s">
        <v>219</v>
      </c>
      <c r="B140" s="75" t="s">
        <v>220</v>
      </c>
      <c r="C140" s="46">
        <f>[22]С2!F44</f>
        <v>0.36199999999999999</v>
      </c>
    </row>
    <row r="141" spans="1:3" s="87" customFormat="1" ht="13.5" thickBot="1" x14ac:dyDescent="0.25">
      <c r="A141" s="47"/>
      <c r="B141" s="48"/>
      <c r="C141" s="14"/>
    </row>
    <row r="142" spans="1:3" ht="17.25" x14ac:dyDescent="0.2">
      <c r="A142" s="85" t="s">
        <v>221</v>
      </c>
      <c r="B142" s="95" t="s">
        <v>222</v>
      </c>
      <c r="C142" s="96">
        <f>[22]С2!F37</f>
        <v>1.4976266307379205</v>
      </c>
    </row>
    <row r="143" spans="1:3" ht="17.25" customHeight="1" thickBot="1" x14ac:dyDescent="0.25">
      <c r="A143" s="74" t="s">
        <v>223</v>
      </c>
      <c r="B143" s="141" t="s">
        <v>224</v>
      </c>
      <c r="C143" s="141"/>
    </row>
    <row r="144" spans="1:3" x14ac:dyDescent="0.2">
      <c r="A144" s="97"/>
      <c r="B144" s="98" t="s">
        <v>0</v>
      </c>
      <c r="C144" s="99"/>
    </row>
    <row r="145" spans="1:3" x14ac:dyDescent="0.2">
      <c r="A145" s="97"/>
      <c r="B145" s="100">
        <v>2020</v>
      </c>
      <c r="C145" s="101">
        <f>[22]С2.5!$E$11</f>
        <v>-2.9000000000000026E-2</v>
      </c>
    </row>
    <row r="146" spans="1:3" x14ac:dyDescent="0.2">
      <c r="B146" s="100">
        <f>B145+1</f>
        <v>2021</v>
      </c>
      <c r="C146" s="102">
        <f>[22]С2.5!$F$11</f>
        <v>0.245</v>
      </c>
    </row>
    <row r="147" spans="1:3" x14ac:dyDescent="0.2">
      <c r="B147" s="100">
        <f t="shared" ref="B147:B210" si="0">B146+1</f>
        <v>2022</v>
      </c>
      <c r="C147" s="103">
        <f>[22]С2.5!$G$11</f>
        <v>0.114</v>
      </c>
    </row>
    <row r="148" spans="1:3" x14ac:dyDescent="0.2">
      <c r="B148" s="104">
        <f t="shared" si="0"/>
        <v>2023</v>
      </c>
      <c r="C148" s="105">
        <f>[22]С2.5!$H$11</f>
        <v>2.4E-2</v>
      </c>
    </row>
    <row r="149" spans="1:3" ht="13.5" thickBot="1" x14ac:dyDescent="0.25">
      <c r="B149" s="104">
        <f t="shared" si="0"/>
        <v>2024</v>
      </c>
      <c r="C149" s="105">
        <f>[22]С2.5!$I$11</f>
        <v>8.5999999999999993E-2</v>
      </c>
    </row>
    <row r="150" spans="1:3" ht="13.5" hidden="1" thickBot="1" x14ac:dyDescent="0.25">
      <c r="B150" s="104">
        <f t="shared" si="0"/>
        <v>2025</v>
      </c>
      <c r="C150" s="105">
        <f>[22]С2.5!$J$11</f>
        <v>0</v>
      </c>
    </row>
    <row r="151" spans="1:3" ht="13.5" hidden="1" thickBot="1" x14ac:dyDescent="0.25">
      <c r="B151" s="104">
        <f t="shared" si="0"/>
        <v>2026</v>
      </c>
      <c r="C151" s="105">
        <f>[22]С2.5!$K$11</f>
        <v>0</v>
      </c>
    </row>
    <row r="152" spans="1:3" ht="13.5" hidden="1" thickBot="1" x14ac:dyDescent="0.25">
      <c r="B152" s="104">
        <f t="shared" si="0"/>
        <v>2027</v>
      </c>
      <c r="C152" s="105">
        <f>[22]С2.5!$L$11</f>
        <v>0</v>
      </c>
    </row>
    <row r="153" spans="1:3" ht="13.5" hidden="1" thickBot="1" x14ac:dyDescent="0.25">
      <c r="B153" s="104">
        <f t="shared" si="0"/>
        <v>2028</v>
      </c>
      <c r="C153" s="105">
        <f>[22]С2.5!$M$11</f>
        <v>0</v>
      </c>
    </row>
    <row r="154" spans="1:3" ht="13.5" hidden="1" thickBot="1" x14ac:dyDescent="0.25">
      <c r="B154" s="104">
        <f t="shared" si="0"/>
        <v>2029</v>
      </c>
      <c r="C154" s="105">
        <f>[22]С2.5!$N$11</f>
        <v>0</v>
      </c>
    </row>
    <row r="155" spans="1:3" ht="13.5" hidden="1" thickBot="1" x14ac:dyDescent="0.25">
      <c r="B155" s="104">
        <f t="shared" si="0"/>
        <v>2030</v>
      </c>
      <c r="C155" s="105">
        <f>[22]С2.5!$O$11</f>
        <v>0</v>
      </c>
    </row>
    <row r="156" spans="1:3" ht="13.5" hidden="1" thickBot="1" x14ac:dyDescent="0.25">
      <c r="B156" s="104">
        <f t="shared" si="0"/>
        <v>2031</v>
      </c>
      <c r="C156" s="105">
        <f>[22]С2.5!$P$11</f>
        <v>0</v>
      </c>
    </row>
    <row r="157" spans="1:3" ht="13.5" hidden="1" thickBot="1" x14ac:dyDescent="0.25">
      <c r="B157" s="104">
        <f t="shared" si="0"/>
        <v>2032</v>
      </c>
      <c r="C157" s="105">
        <f>[22]С2.5!$Q$11</f>
        <v>0</v>
      </c>
    </row>
    <row r="158" spans="1:3" ht="13.5" hidden="1" thickBot="1" x14ac:dyDescent="0.25">
      <c r="B158" s="104">
        <f t="shared" si="0"/>
        <v>2033</v>
      </c>
      <c r="C158" s="105">
        <f>[22]С2.5!$R$11</f>
        <v>0</v>
      </c>
    </row>
    <row r="159" spans="1:3" ht="13.5" hidden="1" thickBot="1" x14ac:dyDescent="0.25">
      <c r="B159" s="104">
        <f t="shared" si="0"/>
        <v>2034</v>
      </c>
      <c r="C159" s="105">
        <f>[22]С2.5!$S$11</f>
        <v>0</v>
      </c>
    </row>
    <row r="160" spans="1:3" ht="13.5" hidden="1" thickBot="1" x14ac:dyDescent="0.25">
      <c r="B160" s="104">
        <f t="shared" si="0"/>
        <v>2035</v>
      </c>
      <c r="C160" s="105">
        <f>[22]С2.5!$T$11</f>
        <v>0</v>
      </c>
    </row>
    <row r="161" spans="2:3" ht="13.5" hidden="1" thickBot="1" x14ac:dyDescent="0.25">
      <c r="B161" s="104">
        <f t="shared" si="0"/>
        <v>2036</v>
      </c>
      <c r="C161" s="105">
        <f>[22]С2.5!$U$11</f>
        <v>0</v>
      </c>
    </row>
    <row r="162" spans="2:3" ht="13.5" hidden="1" thickBot="1" x14ac:dyDescent="0.25">
      <c r="B162" s="104">
        <f t="shared" si="0"/>
        <v>2037</v>
      </c>
      <c r="C162" s="105">
        <f>[22]С2.5!$V$11</f>
        <v>0</v>
      </c>
    </row>
    <row r="163" spans="2:3" ht="13.5" hidden="1" thickBot="1" x14ac:dyDescent="0.25">
      <c r="B163" s="104">
        <f t="shared" si="0"/>
        <v>2038</v>
      </c>
      <c r="C163" s="105">
        <f>[22]С2.5!$W$11</f>
        <v>0</v>
      </c>
    </row>
    <row r="164" spans="2:3" ht="13.5" hidden="1" thickBot="1" x14ac:dyDescent="0.25">
      <c r="B164" s="104">
        <f t="shared" si="0"/>
        <v>2039</v>
      </c>
      <c r="C164" s="105">
        <f>[22]С2.5!$X$11</f>
        <v>0</v>
      </c>
    </row>
    <row r="165" spans="2:3" ht="13.5" hidden="1" thickBot="1" x14ac:dyDescent="0.25">
      <c r="B165" s="104">
        <f t="shared" si="0"/>
        <v>2040</v>
      </c>
      <c r="C165" s="105">
        <f>[22]С2.5!$Y$11</f>
        <v>0</v>
      </c>
    </row>
    <row r="166" spans="2:3" ht="13.5" hidden="1" thickBot="1" x14ac:dyDescent="0.25">
      <c r="B166" s="104">
        <f t="shared" si="0"/>
        <v>2041</v>
      </c>
      <c r="C166" s="105">
        <f>[22]С2.5!$Z$11</f>
        <v>0</v>
      </c>
    </row>
    <row r="167" spans="2:3" ht="13.5" hidden="1" thickBot="1" x14ac:dyDescent="0.25">
      <c r="B167" s="104">
        <f t="shared" si="0"/>
        <v>2042</v>
      </c>
      <c r="C167" s="105">
        <f>[22]С2.5!$AA$11</f>
        <v>0</v>
      </c>
    </row>
    <row r="168" spans="2:3" ht="13.5" hidden="1" thickBot="1" x14ac:dyDescent="0.25">
      <c r="B168" s="104">
        <f t="shared" si="0"/>
        <v>2043</v>
      </c>
      <c r="C168" s="105">
        <f>[22]С2.5!$AB$11</f>
        <v>0</v>
      </c>
    </row>
    <row r="169" spans="2:3" ht="13.5" hidden="1" thickBot="1" x14ac:dyDescent="0.25">
      <c r="B169" s="104">
        <f t="shared" si="0"/>
        <v>2044</v>
      </c>
      <c r="C169" s="105">
        <f>[22]С2.5!$AC$11</f>
        <v>0</v>
      </c>
    </row>
    <row r="170" spans="2:3" ht="13.5" hidden="1" thickBot="1" x14ac:dyDescent="0.25">
      <c r="B170" s="104">
        <f t="shared" si="0"/>
        <v>2045</v>
      </c>
      <c r="C170" s="105">
        <f>[22]С2.5!$AD$11</f>
        <v>0</v>
      </c>
    </row>
    <row r="171" spans="2:3" ht="13.5" hidden="1" thickBot="1" x14ac:dyDescent="0.25">
      <c r="B171" s="104">
        <f t="shared" si="0"/>
        <v>2046</v>
      </c>
      <c r="C171" s="105">
        <f>[22]С2.5!$AE$11</f>
        <v>0</v>
      </c>
    </row>
    <row r="172" spans="2:3" ht="13.5" hidden="1" thickBot="1" x14ac:dyDescent="0.25">
      <c r="B172" s="104">
        <f t="shared" si="0"/>
        <v>2047</v>
      </c>
      <c r="C172" s="105">
        <f>[22]С2.5!$AF$11</f>
        <v>0</v>
      </c>
    </row>
    <row r="173" spans="2:3" ht="13.5" hidden="1" thickBot="1" x14ac:dyDescent="0.25">
      <c r="B173" s="104">
        <f t="shared" si="0"/>
        <v>2048</v>
      </c>
      <c r="C173" s="105">
        <f>[22]С2.5!$AG$11</f>
        <v>0</v>
      </c>
    </row>
    <row r="174" spans="2:3" ht="13.5" hidden="1" thickBot="1" x14ac:dyDescent="0.25">
      <c r="B174" s="104">
        <f t="shared" si="0"/>
        <v>2049</v>
      </c>
      <c r="C174" s="105">
        <f>[22]С2.5!$AH$11</f>
        <v>0</v>
      </c>
    </row>
    <row r="175" spans="2:3" ht="13.5" hidden="1" thickBot="1" x14ac:dyDescent="0.25">
      <c r="B175" s="104">
        <f t="shared" si="0"/>
        <v>2050</v>
      </c>
      <c r="C175" s="105">
        <f>[22]С2.5!$AI$11</f>
        <v>0</v>
      </c>
    </row>
    <row r="176" spans="2:3" ht="13.5" hidden="1" thickBot="1" x14ac:dyDescent="0.25">
      <c r="B176" s="104">
        <f t="shared" si="0"/>
        <v>2051</v>
      </c>
      <c r="C176" s="105">
        <f>[22]С2.5!$AJ$11</f>
        <v>0</v>
      </c>
    </row>
    <row r="177" spans="2:3" ht="13.5" hidden="1" thickBot="1" x14ac:dyDescent="0.25">
      <c r="B177" s="104">
        <f t="shared" si="0"/>
        <v>2052</v>
      </c>
      <c r="C177" s="105">
        <f>[22]С2.5!$AK$11</f>
        <v>0</v>
      </c>
    </row>
    <row r="178" spans="2:3" ht="13.5" hidden="1" thickBot="1" x14ac:dyDescent="0.25">
      <c r="B178" s="104">
        <f t="shared" si="0"/>
        <v>2053</v>
      </c>
      <c r="C178" s="105">
        <f>[22]С2.5!$AL$11</f>
        <v>0</v>
      </c>
    </row>
    <row r="179" spans="2:3" ht="13.5" hidden="1" thickBot="1" x14ac:dyDescent="0.25">
      <c r="B179" s="104">
        <f t="shared" si="0"/>
        <v>2054</v>
      </c>
      <c r="C179" s="105">
        <f>[22]С2.5!$AM$11</f>
        <v>0</v>
      </c>
    </row>
    <row r="180" spans="2:3" ht="13.5" hidden="1" thickBot="1" x14ac:dyDescent="0.25">
      <c r="B180" s="104">
        <f t="shared" si="0"/>
        <v>2055</v>
      </c>
      <c r="C180" s="105">
        <f>[22]С2.5!$AN$11</f>
        <v>0</v>
      </c>
    </row>
    <row r="181" spans="2:3" ht="13.5" hidden="1" thickBot="1" x14ac:dyDescent="0.25">
      <c r="B181" s="104">
        <f t="shared" si="0"/>
        <v>2056</v>
      </c>
      <c r="C181" s="105">
        <f>[22]С2.5!$AO$11</f>
        <v>0</v>
      </c>
    </row>
    <row r="182" spans="2:3" ht="13.5" hidden="1" thickBot="1" x14ac:dyDescent="0.25">
      <c r="B182" s="104">
        <f t="shared" si="0"/>
        <v>2057</v>
      </c>
      <c r="C182" s="105">
        <f>[22]С2.5!$AP$11</f>
        <v>0</v>
      </c>
    </row>
    <row r="183" spans="2:3" ht="13.5" hidden="1" thickBot="1" x14ac:dyDescent="0.25">
      <c r="B183" s="104">
        <f t="shared" si="0"/>
        <v>2058</v>
      </c>
      <c r="C183" s="105">
        <f>[22]С2.5!$AQ$11</f>
        <v>0</v>
      </c>
    </row>
    <row r="184" spans="2:3" ht="13.5" hidden="1" thickBot="1" x14ac:dyDescent="0.25">
      <c r="B184" s="104">
        <f t="shared" si="0"/>
        <v>2059</v>
      </c>
      <c r="C184" s="105">
        <f>[22]С2.5!$AR$11</f>
        <v>0</v>
      </c>
    </row>
    <row r="185" spans="2:3" ht="13.5" hidden="1" thickBot="1" x14ac:dyDescent="0.25">
      <c r="B185" s="104">
        <f t="shared" si="0"/>
        <v>2060</v>
      </c>
      <c r="C185" s="105">
        <f>[22]С2.5!$AS$11</f>
        <v>0</v>
      </c>
    </row>
    <row r="186" spans="2:3" ht="13.5" hidden="1" thickBot="1" x14ac:dyDescent="0.25">
      <c r="B186" s="104">
        <f t="shared" si="0"/>
        <v>2061</v>
      </c>
      <c r="C186" s="105">
        <f>[22]С2.5!$AT$11</f>
        <v>0</v>
      </c>
    </row>
    <row r="187" spans="2:3" ht="13.5" hidden="1" thickBot="1" x14ac:dyDescent="0.25">
      <c r="B187" s="104">
        <f t="shared" si="0"/>
        <v>2062</v>
      </c>
      <c r="C187" s="105">
        <f>[22]С2.5!$AU$11</f>
        <v>0</v>
      </c>
    </row>
    <row r="188" spans="2:3" ht="13.5" hidden="1" thickBot="1" x14ac:dyDescent="0.25">
      <c r="B188" s="104">
        <f t="shared" si="0"/>
        <v>2063</v>
      </c>
      <c r="C188" s="105">
        <f>[22]С2.5!$AV$11</f>
        <v>0</v>
      </c>
    </row>
    <row r="189" spans="2:3" ht="13.5" hidden="1" thickBot="1" x14ac:dyDescent="0.25">
      <c r="B189" s="104">
        <f t="shared" si="0"/>
        <v>2064</v>
      </c>
      <c r="C189" s="105">
        <f>[22]С2.5!$AW$11</f>
        <v>0</v>
      </c>
    </row>
    <row r="190" spans="2:3" ht="13.5" hidden="1" thickBot="1" x14ac:dyDescent="0.25">
      <c r="B190" s="104">
        <f t="shared" si="0"/>
        <v>2065</v>
      </c>
      <c r="C190" s="105">
        <f>[22]С2.5!$AX$11</f>
        <v>0</v>
      </c>
    </row>
    <row r="191" spans="2:3" ht="13.5" hidden="1" thickBot="1" x14ac:dyDescent="0.25">
      <c r="B191" s="104">
        <f t="shared" si="0"/>
        <v>2066</v>
      </c>
      <c r="C191" s="105">
        <f>[22]С2.5!$AY$11</f>
        <v>0</v>
      </c>
    </row>
    <row r="192" spans="2:3" ht="13.5" hidden="1" thickBot="1" x14ac:dyDescent="0.25">
      <c r="B192" s="104">
        <f t="shared" si="0"/>
        <v>2067</v>
      </c>
      <c r="C192" s="105">
        <f>[22]С2.5!$AZ$11</f>
        <v>0</v>
      </c>
    </row>
    <row r="193" spans="2:3" ht="13.5" hidden="1" thickBot="1" x14ac:dyDescent="0.25">
      <c r="B193" s="104">
        <f t="shared" si="0"/>
        <v>2068</v>
      </c>
      <c r="C193" s="105">
        <f>[22]С2.5!$BA$11</f>
        <v>0</v>
      </c>
    </row>
    <row r="194" spans="2:3" ht="13.5" hidden="1" thickBot="1" x14ac:dyDescent="0.25">
      <c r="B194" s="104">
        <f t="shared" si="0"/>
        <v>2069</v>
      </c>
      <c r="C194" s="105">
        <f>[22]С2.5!$BB$11</f>
        <v>0</v>
      </c>
    </row>
    <row r="195" spans="2:3" ht="13.5" hidden="1" thickBot="1" x14ac:dyDescent="0.25">
      <c r="B195" s="104">
        <f t="shared" si="0"/>
        <v>2070</v>
      </c>
      <c r="C195" s="105">
        <f>[22]С2.5!$BC$11</f>
        <v>0</v>
      </c>
    </row>
    <row r="196" spans="2:3" ht="13.5" hidden="1" thickBot="1" x14ac:dyDescent="0.25">
      <c r="B196" s="104">
        <f t="shared" si="0"/>
        <v>2071</v>
      </c>
      <c r="C196" s="105">
        <f>[22]С2.5!$BD$11</f>
        <v>0</v>
      </c>
    </row>
    <row r="197" spans="2:3" ht="13.5" hidden="1" thickBot="1" x14ac:dyDescent="0.25">
      <c r="B197" s="104">
        <f t="shared" si="0"/>
        <v>2072</v>
      </c>
      <c r="C197" s="105">
        <f>[22]С2.5!$BE$11</f>
        <v>0</v>
      </c>
    </row>
    <row r="198" spans="2:3" ht="13.5" hidden="1" thickBot="1" x14ac:dyDescent="0.25">
      <c r="B198" s="104">
        <f t="shared" si="0"/>
        <v>2073</v>
      </c>
      <c r="C198" s="105">
        <f>[22]С2.5!$BF$11</f>
        <v>0</v>
      </c>
    </row>
    <row r="199" spans="2:3" ht="13.5" hidden="1" thickBot="1" x14ac:dyDescent="0.25">
      <c r="B199" s="104">
        <f t="shared" si="0"/>
        <v>2074</v>
      </c>
      <c r="C199" s="105">
        <f>[22]С2.5!$BG$11</f>
        <v>0</v>
      </c>
    </row>
    <row r="200" spans="2:3" ht="13.5" hidden="1" thickBot="1" x14ac:dyDescent="0.25">
      <c r="B200" s="104">
        <f t="shared" si="0"/>
        <v>2075</v>
      </c>
      <c r="C200" s="105">
        <f>[22]С2.5!$BH$11</f>
        <v>0</v>
      </c>
    </row>
    <row r="201" spans="2:3" ht="13.5" hidden="1" thickBot="1" x14ac:dyDescent="0.25">
      <c r="B201" s="104">
        <f t="shared" si="0"/>
        <v>2076</v>
      </c>
      <c r="C201" s="105">
        <f>[22]С2.5!$BI$11</f>
        <v>0</v>
      </c>
    </row>
    <row r="202" spans="2:3" ht="13.5" hidden="1" thickBot="1" x14ac:dyDescent="0.25">
      <c r="B202" s="104">
        <f t="shared" si="0"/>
        <v>2077</v>
      </c>
      <c r="C202" s="105">
        <f>[22]С2.5!$BJ$11</f>
        <v>0</v>
      </c>
    </row>
    <row r="203" spans="2:3" ht="13.5" hidden="1" thickBot="1" x14ac:dyDescent="0.25">
      <c r="B203" s="104">
        <f t="shared" si="0"/>
        <v>2078</v>
      </c>
      <c r="C203" s="105">
        <f>[22]С2.5!$BK$11</f>
        <v>0</v>
      </c>
    </row>
    <row r="204" spans="2:3" ht="13.5" hidden="1" thickBot="1" x14ac:dyDescent="0.25">
      <c r="B204" s="104">
        <f t="shared" si="0"/>
        <v>2079</v>
      </c>
      <c r="C204" s="105">
        <f>[22]С2.5!$BL$11</f>
        <v>0</v>
      </c>
    </row>
    <row r="205" spans="2:3" ht="13.5" hidden="1" thickBot="1" x14ac:dyDescent="0.25">
      <c r="B205" s="104">
        <f t="shared" si="0"/>
        <v>2080</v>
      </c>
      <c r="C205" s="105">
        <f>[22]С2.5!$BM$11</f>
        <v>0</v>
      </c>
    </row>
    <row r="206" spans="2:3" ht="13.5" hidden="1" thickBot="1" x14ac:dyDescent="0.25">
      <c r="B206" s="104">
        <f t="shared" si="0"/>
        <v>2081</v>
      </c>
      <c r="C206" s="105">
        <f>[22]С2.5!$BN$11</f>
        <v>0</v>
      </c>
    </row>
    <row r="207" spans="2:3" ht="13.5" hidden="1" thickBot="1" x14ac:dyDescent="0.25">
      <c r="B207" s="104">
        <f t="shared" si="0"/>
        <v>2082</v>
      </c>
      <c r="C207" s="105">
        <f>[22]С2.5!$BO$11</f>
        <v>0</v>
      </c>
    </row>
    <row r="208" spans="2:3" ht="13.5" hidden="1" thickBot="1" x14ac:dyDescent="0.25">
      <c r="B208" s="104">
        <f t="shared" si="0"/>
        <v>2083</v>
      </c>
      <c r="C208" s="105">
        <f>[22]С2.5!$BP$11</f>
        <v>0</v>
      </c>
    </row>
    <row r="209" spans="2:3" ht="13.5" hidden="1" thickBot="1" x14ac:dyDescent="0.25">
      <c r="B209" s="104">
        <f t="shared" si="0"/>
        <v>2084</v>
      </c>
      <c r="C209" s="105">
        <f>[22]С2.5!$BQ$11</f>
        <v>0</v>
      </c>
    </row>
    <row r="210" spans="2:3" ht="13.5" hidden="1" thickBot="1" x14ac:dyDescent="0.25">
      <c r="B210" s="104">
        <f t="shared" si="0"/>
        <v>2085</v>
      </c>
      <c r="C210" s="105">
        <f>[22]С2.5!$BR$11</f>
        <v>0</v>
      </c>
    </row>
    <row r="211" spans="2:3" ht="13.5" hidden="1" thickBot="1" x14ac:dyDescent="0.25">
      <c r="B211" s="104">
        <f t="shared" ref="B211:B224" si="1">B210+1</f>
        <v>2086</v>
      </c>
      <c r="C211" s="105">
        <f>[22]С2.5!$BS$11</f>
        <v>0</v>
      </c>
    </row>
    <row r="212" spans="2:3" ht="13.5" hidden="1" thickBot="1" x14ac:dyDescent="0.25">
      <c r="B212" s="104">
        <f t="shared" si="1"/>
        <v>2087</v>
      </c>
      <c r="C212" s="105">
        <f>[22]С2.5!$BT$11</f>
        <v>0</v>
      </c>
    </row>
    <row r="213" spans="2:3" ht="13.5" hidden="1" thickBot="1" x14ac:dyDescent="0.25">
      <c r="B213" s="104">
        <f t="shared" si="1"/>
        <v>2088</v>
      </c>
      <c r="C213" s="105">
        <f>[22]С2.5!$BU$11</f>
        <v>0</v>
      </c>
    </row>
    <row r="214" spans="2:3" ht="13.5" hidden="1" thickBot="1" x14ac:dyDescent="0.25">
      <c r="B214" s="104">
        <f t="shared" si="1"/>
        <v>2089</v>
      </c>
      <c r="C214" s="105">
        <f>[22]С2.5!$BV$11</f>
        <v>0</v>
      </c>
    </row>
    <row r="215" spans="2:3" ht="13.5" hidden="1" thickBot="1" x14ac:dyDescent="0.25">
      <c r="B215" s="104">
        <f t="shared" si="1"/>
        <v>2090</v>
      </c>
      <c r="C215" s="105">
        <f>[22]С2.5!$BW$11</f>
        <v>0</v>
      </c>
    </row>
    <row r="216" spans="2:3" ht="13.5" hidden="1" thickBot="1" x14ac:dyDescent="0.25">
      <c r="B216" s="104">
        <f t="shared" si="1"/>
        <v>2091</v>
      </c>
      <c r="C216" s="105">
        <f>[22]С2.5!$BX$11</f>
        <v>0</v>
      </c>
    </row>
    <row r="217" spans="2:3" ht="13.5" hidden="1" thickBot="1" x14ac:dyDescent="0.25">
      <c r="B217" s="104">
        <f t="shared" si="1"/>
        <v>2092</v>
      </c>
      <c r="C217" s="105">
        <f>[22]С2.5!$BY$11</f>
        <v>0</v>
      </c>
    </row>
    <row r="218" spans="2:3" ht="13.5" hidden="1" thickBot="1" x14ac:dyDescent="0.25">
      <c r="B218" s="104">
        <f t="shared" si="1"/>
        <v>2093</v>
      </c>
      <c r="C218" s="105">
        <f>[22]С2.5!$BZ$11</f>
        <v>0</v>
      </c>
    </row>
    <row r="219" spans="2:3" ht="13.5" hidden="1" thickBot="1" x14ac:dyDescent="0.25">
      <c r="B219" s="104">
        <f t="shared" si="1"/>
        <v>2094</v>
      </c>
      <c r="C219" s="105">
        <f>[22]С2.5!$CA$11</f>
        <v>0</v>
      </c>
    </row>
    <row r="220" spans="2:3" ht="13.5" hidden="1" thickBot="1" x14ac:dyDescent="0.25">
      <c r="B220" s="104">
        <f t="shared" si="1"/>
        <v>2095</v>
      </c>
      <c r="C220" s="105">
        <f>[22]С2.5!$CB$11</f>
        <v>0</v>
      </c>
    </row>
    <row r="221" spans="2:3" ht="13.5" hidden="1" thickBot="1" x14ac:dyDescent="0.25">
      <c r="B221" s="104">
        <f t="shared" si="1"/>
        <v>2096</v>
      </c>
      <c r="C221" s="105">
        <f>[22]С2.5!$CC$11</f>
        <v>0</v>
      </c>
    </row>
    <row r="222" spans="2:3" ht="13.5" hidden="1" thickBot="1" x14ac:dyDescent="0.25">
      <c r="B222" s="104">
        <f t="shared" si="1"/>
        <v>2097</v>
      </c>
      <c r="C222" s="105">
        <f>[22]С2.5!$CD$11</f>
        <v>0</v>
      </c>
    </row>
    <row r="223" spans="2:3" ht="13.5" hidden="1" thickBot="1" x14ac:dyDescent="0.25">
      <c r="B223" s="104">
        <f t="shared" si="1"/>
        <v>2098</v>
      </c>
      <c r="C223" s="105">
        <f>[22]С2.5!$CE$11</f>
        <v>0</v>
      </c>
    </row>
    <row r="224" spans="2:3" ht="13.5" hidden="1" thickBot="1" x14ac:dyDescent="0.25">
      <c r="B224" s="104">
        <f t="shared" si="1"/>
        <v>2099</v>
      </c>
      <c r="C224" s="105">
        <f>[22]С2.5!$CF$11</f>
        <v>0</v>
      </c>
    </row>
    <row r="225" spans="2:3" ht="13.5" hidden="1" thickBot="1" x14ac:dyDescent="0.25">
      <c r="B225" s="106">
        <f>B162+1</f>
        <v>2038</v>
      </c>
      <c r="C225" s="107" t="e">
        <f>[22]С2.5!#REF!</f>
        <v>#REF!</v>
      </c>
    </row>
    <row r="226" spans="2:3" x14ac:dyDescent="0.2">
      <c r="B226" s="108"/>
      <c r="C226" s="109"/>
    </row>
  </sheetData>
  <mergeCells count="9">
    <mergeCell ref="B143:C143"/>
    <mergeCell ref="A14:C14"/>
    <mergeCell ref="B1:C1"/>
    <mergeCell ref="B27:C27"/>
    <mergeCell ref="B45:C45"/>
    <mergeCell ref="B90:C90"/>
    <mergeCell ref="B101:C101"/>
    <mergeCell ref="B126:C126"/>
    <mergeCell ref="B129:C129"/>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7.28515625" style="2" customWidth="1"/>
    <col min="2" max="2" width="100.7109375" style="2" customWidth="1"/>
    <col min="3" max="3" width="20.85546875" style="110" customWidth="1"/>
    <col min="4" max="154" width="9.140625" style="2"/>
    <col min="155" max="236" width="0" style="2" hidden="1" customWidth="1"/>
    <col min="237" max="245" width="9.140625" style="2"/>
    <col min="246" max="246" width="3.7109375" style="2" customWidth="1"/>
    <col min="247" max="247" width="96.85546875" style="2" customWidth="1"/>
    <col min="248" max="248" width="30.85546875" style="2" customWidth="1"/>
    <col min="249" max="249" width="12.5703125" style="2" customWidth="1"/>
    <col min="250" max="250" width="5.140625" style="2" customWidth="1"/>
    <col min="251" max="251" width="9.140625" style="2"/>
    <col min="252" max="252" width="4.85546875" style="2" customWidth="1"/>
    <col min="253" max="253" width="30.5703125" style="2" customWidth="1"/>
    <col min="254" max="254" width="33.85546875" style="2" customWidth="1"/>
    <col min="255" max="255" width="5.140625" style="2" customWidth="1"/>
    <col min="256" max="257" width="17.5703125" style="2" customWidth="1"/>
    <col min="258" max="501" width="9.140625" style="2"/>
    <col min="502" max="502" width="3.7109375" style="2" customWidth="1"/>
    <col min="503" max="503" width="96.85546875" style="2" customWidth="1"/>
    <col min="504" max="504" width="30.85546875" style="2" customWidth="1"/>
    <col min="505" max="505" width="12.5703125" style="2" customWidth="1"/>
    <col min="506" max="506" width="5.140625" style="2" customWidth="1"/>
    <col min="507" max="507" width="9.140625" style="2"/>
    <col min="508" max="508" width="4.85546875" style="2" customWidth="1"/>
    <col min="509" max="509" width="30.5703125" style="2" customWidth="1"/>
    <col min="510" max="510" width="33.85546875" style="2" customWidth="1"/>
    <col min="511" max="511" width="5.140625" style="2" customWidth="1"/>
    <col min="512" max="513" width="17.5703125" style="2" customWidth="1"/>
    <col min="514" max="757" width="9.140625" style="2"/>
    <col min="758" max="758" width="3.7109375" style="2" customWidth="1"/>
    <col min="759" max="759" width="96.85546875" style="2" customWidth="1"/>
    <col min="760" max="760" width="30.85546875" style="2" customWidth="1"/>
    <col min="761" max="761" width="12.5703125" style="2" customWidth="1"/>
    <col min="762" max="762" width="5.140625" style="2" customWidth="1"/>
    <col min="763" max="763" width="9.140625" style="2"/>
    <col min="764" max="764" width="4.85546875" style="2" customWidth="1"/>
    <col min="765" max="765" width="30.5703125" style="2" customWidth="1"/>
    <col min="766" max="766" width="33.85546875" style="2" customWidth="1"/>
    <col min="767" max="767" width="5.140625" style="2" customWidth="1"/>
    <col min="768" max="769" width="17.5703125" style="2" customWidth="1"/>
    <col min="770" max="1013" width="9.140625" style="2"/>
    <col min="1014" max="1014" width="3.7109375" style="2" customWidth="1"/>
    <col min="1015" max="1015" width="96.85546875" style="2" customWidth="1"/>
    <col min="1016" max="1016" width="30.85546875" style="2" customWidth="1"/>
    <col min="1017" max="1017" width="12.5703125" style="2" customWidth="1"/>
    <col min="1018" max="1018" width="5.140625" style="2" customWidth="1"/>
    <col min="1019" max="1019" width="9.140625" style="2"/>
    <col min="1020" max="1020" width="4.85546875" style="2" customWidth="1"/>
    <col min="1021" max="1021" width="30.5703125" style="2" customWidth="1"/>
    <col min="1022" max="1022" width="33.85546875" style="2" customWidth="1"/>
    <col min="1023" max="1023" width="5.140625" style="2" customWidth="1"/>
    <col min="1024" max="1025" width="17.5703125" style="2" customWidth="1"/>
    <col min="1026" max="1269" width="9.140625" style="2"/>
    <col min="1270" max="1270" width="3.7109375" style="2" customWidth="1"/>
    <col min="1271" max="1271" width="96.85546875" style="2" customWidth="1"/>
    <col min="1272" max="1272" width="30.85546875" style="2" customWidth="1"/>
    <col min="1273" max="1273" width="12.5703125" style="2" customWidth="1"/>
    <col min="1274" max="1274" width="5.140625" style="2" customWidth="1"/>
    <col min="1275" max="1275" width="9.140625" style="2"/>
    <col min="1276" max="1276" width="4.85546875" style="2" customWidth="1"/>
    <col min="1277" max="1277" width="30.5703125" style="2" customWidth="1"/>
    <col min="1278" max="1278" width="33.85546875" style="2" customWidth="1"/>
    <col min="1279" max="1279" width="5.140625" style="2" customWidth="1"/>
    <col min="1280" max="1281" width="17.5703125" style="2" customWidth="1"/>
    <col min="1282" max="1525" width="9.140625" style="2"/>
    <col min="1526" max="1526" width="3.7109375" style="2" customWidth="1"/>
    <col min="1527" max="1527" width="96.85546875" style="2" customWidth="1"/>
    <col min="1528" max="1528" width="30.85546875" style="2" customWidth="1"/>
    <col min="1529" max="1529" width="12.5703125" style="2" customWidth="1"/>
    <col min="1530" max="1530" width="5.140625" style="2" customWidth="1"/>
    <col min="1531" max="1531" width="9.140625" style="2"/>
    <col min="1532" max="1532" width="4.85546875" style="2" customWidth="1"/>
    <col min="1533" max="1533" width="30.5703125" style="2" customWidth="1"/>
    <col min="1534" max="1534" width="33.85546875" style="2" customWidth="1"/>
    <col min="1535" max="1535" width="5.140625" style="2" customWidth="1"/>
    <col min="1536" max="1537" width="17.5703125" style="2" customWidth="1"/>
    <col min="1538" max="1781" width="9.140625" style="2"/>
    <col min="1782" max="1782" width="3.7109375" style="2" customWidth="1"/>
    <col min="1783" max="1783" width="96.85546875" style="2" customWidth="1"/>
    <col min="1784" max="1784" width="30.85546875" style="2" customWidth="1"/>
    <col min="1785" max="1785" width="12.5703125" style="2" customWidth="1"/>
    <col min="1786" max="1786" width="5.140625" style="2" customWidth="1"/>
    <col min="1787" max="1787" width="9.140625" style="2"/>
    <col min="1788" max="1788" width="4.85546875" style="2" customWidth="1"/>
    <col min="1789" max="1789" width="30.5703125" style="2" customWidth="1"/>
    <col min="1790" max="1790" width="33.85546875" style="2" customWidth="1"/>
    <col min="1791" max="1791" width="5.140625" style="2" customWidth="1"/>
    <col min="1792" max="1793" width="17.5703125" style="2" customWidth="1"/>
    <col min="1794" max="2037" width="9.140625" style="2"/>
    <col min="2038" max="2038" width="3.7109375" style="2" customWidth="1"/>
    <col min="2039" max="2039" width="96.85546875" style="2" customWidth="1"/>
    <col min="2040" max="2040" width="30.85546875" style="2" customWidth="1"/>
    <col min="2041" max="2041" width="12.5703125" style="2" customWidth="1"/>
    <col min="2042" max="2042" width="5.140625" style="2" customWidth="1"/>
    <col min="2043" max="2043" width="9.140625" style="2"/>
    <col min="2044" max="2044" width="4.85546875" style="2" customWidth="1"/>
    <col min="2045" max="2045" width="30.5703125" style="2" customWidth="1"/>
    <col min="2046" max="2046" width="33.85546875" style="2" customWidth="1"/>
    <col min="2047" max="2047" width="5.140625" style="2" customWidth="1"/>
    <col min="2048" max="2049" width="17.5703125" style="2" customWidth="1"/>
    <col min="2050" max="2293" width="9.140625" style="2"/>
    <col min="2294" max="2294" width="3.7109375" style="2" customWidth="1"/>
    <col min="2295" max="2295" width="96.85546875" style="2" customWidth="1"/>
    <col min="2296" max="2296" width="30.85546875" style="2" customWidth="1"/>
    <col min="2297" max="2297" width="12.5703125" style="2" customWidth="1"/>
    <col min="2298" max="2298" width="5.140625" style="2" customWidth="1"/>
    <col min="2299" max="2299" width="9.140625" style="2"/>
    <col min="2300" max="2300" width="4.85546875" style="2" customWidth="1"/>
    <col min="2301" max="2301" width="30.5703125" style="2" customWidth="1"/>
    <col min="2302" max="2302" width="33.85546875" style="2" customWidth="1"/>
    <col min="2303" max="2303" width="5.140625" style="2" customWidth="1"/>
    <col min="2304" max="2305" width="17.5703125" style="2" customWidth="1"/>
    <col min="2306" max="2549" width="9.140625" style="2"/>
    <col min="2550" max="2550" width="3.7109375" style="2" customWidth="1"/>
    <col min="2551" max="2551" width="96.85546875" style="2" customWidth="1"/>
    <col min="2552" max="2552" width="30.85546875" style="2" customWidth="1"/>
    <col min="2553" max="2553" width="12.5703125" style="2" customWidth="1"/>
    <col min="2554" max="2554" width="5.140625" style="2" customWidth="1"/>
    <col min="2555" max="2555" width="9.140625" style="2"/>
    <col min="2556" max="2556" width="4.85546875" style="2" customWidth="1"/>
    <col min="2557" max="2557" width="30.5703125" style="2" customWidth="1"/>
    <col min="2558" max="2558" width="33.85546875" style="2" customWidth="1"/>
    <col min="2559" max="2559" width="5.140625" style="2" customWidth="1"/>
    <col min="2560" max="2561" width="17.5703125" style="2" customWidth="1"/>
    <col min="2562" max="2805" width="9.140625" style="2"/>
    <col min="2806" max="2806" width="3.7109375" style="2" customWidth="1"/>
    <col min="2807" max="2807" width="96.85546875" style="2" customWidth="1"/>
    <col min="2808" max="2808" width="30.85546875" style="2" customWidth="1"/>
    <col min="2809" max="2809" width="12.5703125" style="2" customWidth="1"/>
    <col min="2810" max="2810" width="5.140625" style="2" customWidth="1"/>
    <col min="2811" max="2811" width="9.140625" style="2"/>
    <col min="2812" max="2812" width="4.85546875" style="2" customWidth="1"/>
    <col min="2813" max="2813" width="30.5703125" style="2" customWidth="1"/>
    <col min="2814" max="2814" width="33.85546875" style="2" customWidth="1"/>
    <col min="2815" max="2815" width="5.140625" style="2" customWidth="1"/>
    <col min="2816" max="2817" width="17.5703125" style="2" customWidth="1"/>
    <col min="2818" max="3061" width="9.140625" style="2"/>
    <col min="3062" max="3062" width="3.7109375" style="2" customWidth="1"/>
    <col min="3063" max="3063" width="96.85546875" style="2" customWidth="1"/>
    <col min="3064" max="3064" width="30.85546875" style="2" customWidth="1"/>
    <col min="3065" max="3065" width="12.5703125" style="2" customWidth="1"/>
    <col min="3066" max="3066" width="5.140625" style="2" customWidth="1"/>
    <col min="3067" max="3067" width="9.140625" style="2"/>
    <col min="3068" max="3068" width="4.85546875" style="2" customWidth="1"/>
    <col min="3069" max="3069" width="30.5703125" style="2" customWidth="1"/>
    <col min="3070" max="3070" width="33.85546875" style="2" customWidth="1"/>
    <col min="3071" max="3071" width="5.140625" style="2" customWidth="1"/>
    <col min="3072" max="3073" width="17.5703125" style="2" customWidth="1"/>
    <col min="3074" max="3317" width="9.140625" style="2"/>
    <col min="3318" max="3318" width="3.7109375" style="2" customWidth="1"/>
    <col min="3319" max="3319" width="96.85546875" style="2" customWidth="1"/>
    <col min="3320" max="3320" width="30.85546875" style="2" customWidth="1"/>
    <col min="3321" max="3321" width="12.5703125" style="2" customWidth="1"/>
    <col min="3322" max="3322" width="5.140625" style="2" customWidth="1"/>
    <col min="3323" max="3323" width="9.140625" style="2"/>
    <col min="3324" max="3324" width="4.85546875" style="2" customWidth="1"/>
    <col min="3325" max="3325" width="30.5703125" style="2" customWidth="1"/>
    <col min="3326" max="3326" width="33.85546875" style="2" customWidth="1"/>
    <col min="3327" max="3327" width="5.140625" style="2" customWidth="1"/>
    <col min="3328" max="3329" width="17.5703125" style="2" customWidth="1"/>
    <col min="3330" max="3573" width="9.140625" style="2"/>
    <col min="3574" max="3574" width="3.7109375" style="2" customWidth="1"/>
    <col min="3575" max="3575" width="96.85546875" style="2" customWidth="1"/>
    <col min="3576" max="3576" width="30.85546875" style="2" customWidth="1"/>
    <col min="3577" max="3577" width="12.5703125" style="2" customWidth="1"/>
    <col min="3578" max="3578" width="5.140625" style="2" customWidth="1"/>
    <col min="3579" max="3579" width="9.140625" style="2"/>
    <col min="3580" max="3580" width="4.85546875" style="2" customWidth="1"/>
    <col min="3581" max="3581" width="30.5703125" style="2" customWidth="1"/>
    <col min="3582" max="3582" width="33.85546875" style="2" customWidth="1"/>
    <col min="3583" max="3583" width="5.140625" style="2" customWidth="1"/>
    <col min="3584" max="3585" width="17.5703125" style="2" customWidth="1"/>
    <col min="3586" max="3829" width="9.140625" style="2"/>
    <col min="3830" max="3830" width="3.7109375" style="2" customWidth="1"/>
    <col min="3831" max="3831" width="96.85546875" style="2" customWidth="1"/>
    <col min="3832" max="3832" width="30.85546875" style="2" customWidth="1"/>
    <col min="3833" max="3833" width="12.5703125" style="2" customWidth="1"/>
    <col min="3834" max="3834" width="5.140625" style="2" customWidth="1"/>
    <col min="3835" max="3835" width="9.140625" style="2"/>
    <col min="3836" max="3836" width="4.85546875" style="2" customWidth="1"/>
    <col min="3837" max="3837" width="30.5703125" style="2" customWidth="1"/>
    <col min="3838" max="3838" width="33.85546875" style="2" customWidth="1"/>
    <col min="3839" max="3839" width="5.140625" style="2" customWidth="1"/>
    <col min="3840" max="3841" width="17.5703125" style="2" customWidth="1"/>
    <col min="3842" max="4085" width="9.140625" style="2"/>
    <col min="4086" max="4086" width="3.7109375" style="2" customWidth="1"/>
    <col min="4087" max="4087" width="96.85546875" style="2" customWidth="1"/>
    <col min="4088" max="4088" width="30.85546875" style="2" customWidth="1"/>
    <col min="4089" max="4089" width="12.5703125" style="2" customWidth="1"/>
    <col min="4090" max="4090" width="5.140625" style="2" customWidth="1"/>
    <col min="4091" max="4091" width="9.140625" style="2"/>
    <col min="4092" max="4092" width="4.85546875" style="2" customWidth="1"/>
    <col min="4093" max="4093" width="30.5703125" style="2" customWidth="1"/>
    <col min="4094" max="4094" width="33.85546875" style="2" customWidth="1"/>
    <col min="4095" max="4095" width="5.140625" style="2" customWidth="1"/>
    <col min="4096" max="4097" width="17.5703125" style="2" customWidth="1"/>
    <col min="4098" max="4341" width="9.140625" style="2"/>
    <col min="4342" max="4342" width="3.7109375" style="2" customWidth="1"/>
    <col min="4343" max="4343" width="96.85546875" style="2" customWidth="1"/>
    <col min="4344" max="4344" width="30.85546875" style="2" customWidth="1"/>
    <col min="4345" max="4345" width="12.5703125" style="2" customWidth="1"/>
    <col min="4346" max="4346" width="5.140625" style="2" customWidth="1"/>
    <col min="4347" max="4347" width="9.140625" style="2"/>
    <col min="4348" max="4348" width="4.85546875" style="2" customWidth="1"/>
    <col min="4349" max="4349" width="30.5703125" style="2" customWidth="1"/>
    <col min="4350" max="4350" width="33.85546875" style="2" customWidth="1"/>
    <col min="4351" max="4351" width="5.140625" style="2" customWidth="1"/>
    <col min="4352" max="4353" width="17.5703125" style="2" customWidth="1"/>
    <col min="4354" max="4597" width="9.140625" style="2"/>
    <col min="4598" max="4598" width="3.7109375" style="2" customWidth="1"/>
    <col min="4599" max="4599" width="96.85546875" style="2" customWidth="1"/>
    <col min="4600" max="4600" width="30.85546875" style="2" customWidth="1"/>
    <col min="4601" max="4601" width="12.5703125" style="2" customWidth="1"/>
    <col min="4602" max="4602" width="5.140625" style="2" customWidth="1"/>
    <col min="4603" max="4603" width="9.140625" style="2"/>
    <col min="4604" max="4604" width="4.85546875" style="2" customWidth="1"/>
    <col min="4605" max="4605" width="30.5703125" style="2" customWidth="1"/>
    <col min="4606" max="4606" width="33.85546875" style="2" customWidth="1"/>
    <col min="4607" max="4607" width="5.140625" style="2" customWidth="1"/>
    <col min="4608" max="4609" width="17.5703125" style="2" customWidth="1"/>
    <col min="4610" max="4853" width="9.140625" style="2"/>
    <col min="4854" max="4854" width="3.7109375" style="2" customWidth="1"/>
    <col min="4855" max="4855" width="96.85546875" style="2" customWidth="1"/>
    <col min="4856" max="4856" width="30.85546875" style="2" customWidth="1"/>
    <col min="4857" max="4857" width="12.5703125" style="2" customWidth="1"/>
    <col min="4858" max="4858" width="5.140625" style="2" customWidth="1"/>
    <col min="4859" max="4859" width="9.140625" style="2"/>
    <col min="4860" max="4860" width="4.85546875" style="2" customWidth="1"/>
    <col min="4861" max="4861" width="30.5703125" style="2" customWidth="1"/>
    <col min="4862" max="4862" width="33.85546875" style="2" customWidth="1"/>
    <col min="4863" max="4863" width="5.140625" style="2" customWidth="1"/>
    <col min="4864" max="4865" width="17.5703125" style="2" customWidth="1"/>
    <col min="4866" max="5109" width="9.140625" style="2"/>
    <col min="5110" max="5110" width="3.7109375" style="2" customWidth="1"/>
    <col min="5111" max="5111" width="96.85546875" style="2" customWidth="1"/>
    <col min="5112" max="5112" width="30.85546875" style="2" customWidth="1"/>
    <col min="5113" max="5113" width="12.5703125" style="2" customWidth="1"/>
    <col min="5114" max="5114" width="5.140625" style="2" customWidth="1"/>
    <col min="5115" max="5115" width="9.140625" style="2"/>
    <col min="5116" max="5116" width="4.85546875" style="2" customWidth="1"/>
    <col min="5117" max="5117" width="30.5703125" style="2" customWidth="1"/>
    <col min="5118" max="5118" width="33.85546875" style="2" customWidth="1"/>
    <col min="5119" max="5119" width="5.140625" style="2" customWidth="1"/>
    <col min="5120" max="5121" width="17.5703125" style="2" customWidth="1"/>
    <col min="5122" max="5365" width="9.140625" style="2"/>
    <col min="5366" max="5366" width="3.7109375" style="2" customWidth="1"/>
    <col min="5367" max="5367" width="96.85546875" style="2" customWidth="1"/>
    <col min="5368" max="5368" width="30.85546875" style="2" customWidth="1"/>
    <col min="5369" max="5369" width="12.5703125" style="2" customWidth="1"/>
    <col min="5370" max="5370" width="5.140625" style="2" customWidth="1"/>
    <col min="5371" max="5371" width="9.140625" style="2"/>
    <col min="5372" max="5372" width="4.85546875" style="2" customWidth="1"/>
    <col min="5373" max="5373" width="30.5703125" style="2" customWidth="1"/>
    <col min="5374" max="5374" width="33.85546875" style="2" customWidth="1"/>
    <col min="5375" max="5375" width="5.140625" style="2" customWidth="1"/>
    <col min="5376" max="5377" width="17.5703125" style="2" customWidth="1"/>
    <col min="5378" max="5621" width="9.140625" style="2"/>
    <col min="5622" max="5622" width="3.7109375" style="2" customWidth="1"/>
    <col min="5623" max="5623" width="96.85546875" style="2" customWidth="1"/>
    <col min="5624" max="5624" width="30.85546875" style="2" customWidth="1"/>
    <col min="5625" max="5625" width="12.5703125" style="2" customWidth="1"/>
    <col min="5626" max="5626" width="5.140625" style="2" customWidth="1"/>
    <col min="5627" max="5627" width="9.140625" style="2"/>
    <col min="5628" max="5628" width="4.85546875" style="2" customWidth="1"/>
    <col min="5629" max="5629" width="30.5703125" style="2" customWidth="1"/>
    <col min="5630" max="5630" width="33.85546875" style="2" customWidth="1"/>
    <col min="5631" max="5631" width="5.140625" style="2" customWidth="1"/>
    <col min="5632" max="5633" width="17.5703125" style="2" customWidth="1"/>
    <col min="5634" max="5877" width="9.140625" style="2"/>
    <col min="5878" max="5878" width="3.7109375" style="2" customWidth="1"/>
    <col min="5879" max="5879" width="96.85546875" style="2" customWidth="1"/>
    <col min="5880" max="5880" width="30.85546875" style="2" customWidth="1"/>
    <col min="5881" max="5881" width="12.5703125" style="2" customWidth="1"/>
    <col min="5882" max="5882" width="5.140625" style="2" customWidth="1"/>
    <col min="5883" max="5883" width="9.140625" style="2"/>
    <col min="5884" max="5884" width="4.85546875" style="2" customWidth="1"/>
    <col min="5885" max="5885" width="30.5703125" style="2" customWidth="1"/>
    <col min="5886" max="5886" width="33.85546875" style="2" customWidth="1"/>
    <col min="5887" max="5887" width="5.140625" style="2" customWidth="1"/>
    <col min="5888" max="5889" width="17.5703125" style="2" customWidth="1"/>
    <col min="5890" max="6133" width="9.140625" style="2"/>
    <col min="6134" max="6134" width="3.7109375" style="2" customWidth="1"/>
    <col min="6135" max="6135" width="96.85546875" style="2" customWidth="1"/>
    <col min="6136" max="6136" width="30.85546875" style="2" customWidth="1"/>
    <col min="6137" max="6137" width="12.5703125" style="2" customWidth="1"/>
    <col min="6138" max="6138" width="5.140625" style="2" customWidth="1"/>
    <col min="6139" max="6139" width="9.140625" style="2"/>
    <col min="6140" max="6140" width="4.85546875" style="2" customWidth="1"/>
    <col min="6141" max="6141" width="30.5703125" style="2" customWidth="1"/>
    <col min="6142" max="6142" width="33.85546875" style="2" customWidth="1"/>
    <col min="6143" max="6143" width="5.140625" style="2" customWidth="1"/>
    <col min="6144" max="6145" width="17.5703125" style="2" customWidth="1"/>
    <col min="6146" max="6389" width="9.140625" style="2"/>
    <col min="6390" max="6390" width="3.7109375" style="2" customWidth="1"/>
    <col min="6391" max="6391" width="96.85546875" style="2" customWidth="1"/>
    <col min="6392" max="6392" width="30.85546875" style="2" customWidth="1"/>
    <col min="6393" max="6393" width="12.5703125" style="2" customWidth="1"/>
    <col min="6394" max="6394" width="5.140625" style="2" customWidth="1"/>
    <col min="6395" max="6395" width="9.140625" style="2"/>
    <col min="6396" max="6396" width="4.85546875" style="2" customWidth="1"/>
    <col min="6397" max="6397" width="30.5703125" style="2" customWidth="1"/>
    <col min="6398" max="6398" width="33.85546875" style="2" customWidth="1"/>
    <col min="6399" max="6399" width="5.140625" style="2" customWidth="1"/>
    <col min="6400" max="6401" width="17.5703125" style="2" customWidth="1"/>
    <col min="6402" max="6645" width="9.140625" style="2"/>
    <col min="6646" max="6646" width="3.7109375" style="2" customWidth="1"/>
    <col min="6647" max="6647" width="96.85546875" style="2" customWidth="1"/>
    <col min="6648" max="6648" width="30.85546875" style="2" customWidth="1"/>
    <col min="6649" max="6649" width="12.5703125" style="2" customWidth="1"/>
    <col min="6650" max="6650" width="5.140625" style="2" customWidth="1"/>
    <col min="6651" max="6651" width="9.140625" style="2"/>
    <col min="6652" max="6652" width="4.85546875" style="2" customWidth="1"/>
    <col min="6653" max="6653" width="30.5703125" style="2" customWidth="1"/>
    <col min="6654" max="6654" width="33.85546875" style="2" customWidth="1"/>
    <col min="6655" max="6655" width="5.140625" style="2" customWidth="1"/>
    <col min="6656" max="6657" width="17.5703125" style="2" customWidth="1"/>
    <col min="6658" max="6901" width="9.140625" style="2"/>
    <col min="6902" max="6902" width="3.7109375" style="2" customWidth="1"/>
    <col min="6903" max="6903" width="96.85546875" style="2" customWidth="1"/>
    <col min="6904" max="6904" width="30.85546875" style="2" customWidth="1"/>
    <col min="6905" max="6905" width="12.5703125" style="2" customWidth="1"/>
    <col min="6906" max="6906" width="5.140625" style="2" customWidth="1"/>
    <col min="6907" max="6907" width="9.140625" style="2"/>
    <col min="6908" max="6908" width="4.85546875" style="2" customWidth="1"/>
    <col min="6909" max="6909" width="30.5703125" style="2" customWidth="1"/>
    <col min="6910" max="6910" width="33.85546875" style="2" customWidth="1"/>
    <col min="6911" max="6911" width="5.140625" style="2" customWidth="1"/>
    <col min="6912" max="6913" width="17.5703125" style="2" customWidth="1"/>
    <col min="6914" max="7157" width="9.140625" style="2"/>
    <col min="7158" max="7158" width="3.7109375" style="2" customWidth="1"/>
    <col min="7159" max="7159" width="96.85546875" style="2" customWidth="1"/>
    <col min="7160" max="7160" width="30.85546875" style="2" customWidth="1"/>
    <col min="7161" max="7161" width="12.5703125" style="2" customWidth="1"/>
    <col min="7162" max="7162" width="5.140625" style="2" customWidth="1"/>
    <col min="7163" max="7163" width="9.140625" style="2"/>
    <col min="7164" max="7164" width="4.85546875" style="2" customWidth="1"/>
    <col min="7165" max="7165" width="30.5703125" style="2" customWidth="1"/>
    <col min="7166" max="7166" width="33.85546875" style="2" customWidth="1"/>
    <col min="7167" max="7167" width="5.140625" style="2" customWidth="1"/>
    <col min="7168" max="7169" width="17.5703125" style="2" customWidth="1"/>
    <col min="7170" max="7413" width="9.140625" style="2"/>
    <col min="7414" max="7414" width="3.7109375" style="2" customWidth="1"/>
    <col min="7415" max="7415" width="96.85546875" style="2" customWidth="1"/>
    <col min="7416" max="7416" width="30.85546875" style="2" customWidth="1"/>
    <col min="7417" max="7417" width="12.5703125" style="2" customWidth="1"/>
    <col min="7418" max="7418" width="5.140625" style="2" customWidth="1"/>
    <col min="7419" max="7419" width="9.140625" style="2"/>
    <col min="7420" max="7420" width="4.85546875" style="2" customWidth="1"/>
    <col min="7421" max="7421" width="30.5703125" style="2" customWidth="1"/>
    <col min="7422" max="7422" width="33.85546875" style="2" customWidth="1"/>
    <col min="7423" max="7423" width="5.140625" style="2" customWidth="1"/>
    <col min="7424" max="7425" width="17.5703125" style="2" customWidth="1"/>
    <col min="7426" max="7669" width="9.140625" style="2"/>
    <col min="7670" max="7670" width="3.7109375" style="2" customWidth="1"/>
    <col min="7671" max="7671" width="96.85546875" style="2" customWidth="1"/>
    <col min="7672" max="7672" width="30.85546875" style="2" customWidth="1"/>
    <col min="7673" max="7673" width="12.5703125" style="2" customWidth="1"/>
    <col min="7674" max="7674" width="5.140625" style="2" customWidth="1"/>
    <col min="7675" max="7675" width="9.140625" style="2"/>
    <col min="7676" max="7676" width="4.85546875" style="2" customWidth="1"/>
    <col min="7677" max="7677" width="30.5703125" style="2" customWidth="1"/>
    <col min="7678" max="7678" width="33.85546875" style="2" customWidth="1"/>
    <col min="7679" max="7679" width="5.140625" style="2" customWidth="1"/>
    <col min="7680" max="7681" width="17.5703125" style="2" customWidth="1"/>
    <col min="7682" max="7925" width="9.140625" style="2"/>
    <col min="7926" max="7926" width="3.7109375" style="2" customWidth="1"/>
    <col min="7927" max="7927" width="96.85546875" style="2" customWidth="1"/>
    <col min="7928" max="7928" width="30.85546875" style="2" customWidth="1"/>
    <col min="7929" max="7929" width="12.5703125" style="2" customWidth="1"/>
    <col min="7930" max="7930" width="5.140625" style="2" customWidth="1"/>
    <col min="7931" max="7931" width="9.140625" style="2"/>
    <col min="7932" max="7932" width="4.85546875" style="2" customWidth="1"/>
    <col min="7933" max="7933" width="30.5703125" style="2" customWidth="1"/>
    <col min="7934" max="7934" width="33.85546875" style="2" customWidth="1"/>
    <col min="7935" max="7935" width="5.140625" style="2" customWidth="1"/>
    <col min="7936" max="7937" width="17.5703125" style="2" customWidth="1"/>
    <col min="7938" max="8181" width="9.140625" style="2"/>
    <col min="8182" max="8182" width="3.7109375" style="2" customWidth="1"/>
    <col min="8183" max="8183" width="96.85546875" style="2" customWidth="1"/>
    <col min="8184" max="8184" width="30.85546875" style="2" customWidth="1"/>
    <col min="8185" max="8185" width="12.5703125" style="2" customWidth="1"/>
    <col min="8186" max="8186" width="5.140625" style="2" customWidth="1"/>
    <col min="8187" max="8187" width="9.140625" style="2"/>
    <col min="8188" max="8188" width="4.85546875" style="2" customWidth="1"/>
    <col min="8189" max="8189" width="30.5703125" style="2" customWidth="1"/>
    <col min="8190" max="8190" width="33.85546875" style="2" customWidth="1"/>
    <col min="8191" max="8191" width="5.140625" style="2" customWidth="1"/>
    <col min="8192" max="8193" width="17.5703125" style="2" customWidth="1"/>
    <col min="8194" max="8437" width="9.140625" style="2"/>
    <col min="8438" max="8438" width="3.7109375" style="2" customWidth="1"/>
    <col min="8439" max="8439" width="96.85546875" style="2" customWidth="1"/>
    <col min="8440" max="8440" width="30.85546875" style="2" customWidth="1"/>
    <col min="8441" max="8441" width="12.5703125" style="2" customWidth="1"/>
    <col min="8442" max="8442" width="5.140625" style="2" customWidth="1"/>
    <col min="8443" max="8443" width="9.140625" style="2"/>
    <col min="8444" max="8444" width="4.85546875" style="2" customWidth="1"/>
    <col min="8445" max="8445" width="30.5703125" style="2" customWidth="1"/>
    <col min="8446" max="8446" width="33.85546875" style="2" customWidth="1"/>
    <col min="8447" max="8447" width="5.140625" style="2" customWidth="1"/>
    <col min="8448" max="8449" width="17.5703125" style="2" customWidth="1"/>
    <col min="8450" max="8693" width="9.140625" style="2"/>
    <col min="8694" max="8694" width="3.7109375" style="2" customWidth="1"/>
    <col min="8695" max="8695" width="96.85546875" style="2" customWidth="1"/>
    <col min="8696" max="8696" width="30.85546875" style="2" customWidth="1"/>
    <col min="8697" max="8697" width="12.5703125" style="2" customWidth="1"/>
    <col min="8698" max="8698" width="5.140625" style="2" customWidth="1"/>
    <col min="8699" max="8699" width="9.140625" style="2"/>
    <col min="8700" max="8700" width="4.85546875" style="2" customWidth="1"/>
    <col min="8701" max="8701" width="30.5703125" style="2" customWidth="1"/>
    <col min="8702" max="8702" width="33.85546875" style="2" customWidth="1"/>
    <col min="8703" max="8703" width="5.140625" style="2" customWidth="1"/>
    <col min="8704" max="8705" width="17.5703125" style="2" customWidth="1"/>
    <col min="8706" max="8949" width="9.140625" style="2"/>
    <col min="8950" max="8950" width="3.7109375" style="2" customWidth="1"/>
    <col min="8951" max="8951" width="96.85546875" style="2" customWidth="1"/>
    <col min="8952" max="8952" width="30.85546875" style="2" customWidth="1"/>
    <col min="8953" max="8953" width="12.5703125" style="2" customWidth="1"/>
    <col min="8954" max="8954" width="5.140625" style="2" customWidth="1"/>
    <col min="8955" max="8955" width="9.140625" style="2"/>
    <col min="8956" max="8956" width="4.85546875" style="2" customWidth="1"/>
    <col min="8957" max="8957" width="30.5703125" style="2" customWidth="1"/>
    <col min="8958" max="8958" width="33.85546875" style="2" customWidth="1"/>
    <col min="8959" max="8959" width="5.140625" style="2" customWidth="1"/>
    <col min="8960" max="8961" width="17.5703125" style="2" customWidth="1"/>
    <col min="8962" max="9205" width="9.140625" style="2"/>
    <col min="9206" max="9206" width="3.7109375" style="2" customWidth="1"/>
    <col min="9207" max="9207" width="96.85546875" style="2" customWidth="1"/>
    <col min="9208" max="9208" width="30.85546875" style="2" customWidth="1"/>
    <col min="9209" max="9209" width="12.5703125" style="2" customWidth="1"/>
    <col min="9210" max="9210" width="5.140625" style="2" customWidth="1"/>
    <col min="9211" max="9211" width="9.140625" style="2"/>
    <col min="9212" max="9212" width="4.85546875" style="2" customWidth="1"/>
    <col min="9213" max="9213" width="30.5703125" style="2" customWidth="1"/>
    <col min="9214" max="9214" width="33.85546875" style="2" customWidth="1"/>
    <col min="9215" max="9215" width="5.140625" style="2" customWidth="1"/>
    <col min="9216" max="9217" width="17.5703125" style="2" customWidth="1"/>
    <col min="9218" max="9461" width="9.140625" style="2"/>
    <col min="9462" max="9462" width="3.7109375" style="2" customWidth="1"/>
    <col min="9463" max="9463" width="96.85546875" style="2" customWidth="1"/>
    <col min="9464" max="9464" width="30.85546875" style="2" customWidth="1"/>
    <col min="9465" max="9465" width="12.5703125" style="2" customWidth="1"/>
    <col min="9466" max="9466" width="5.140625" style="2" customWidth="1"/>
    <col min="9467" max="9467" width="9.140625" style="2"/>
    <col min="9468" max="9468" width="4.85546875" style="2" customWidth="1"/>
    <col min="9469" max="9469" width="30.5703125" style="2" customWidth="1"/>
    <col min="9470" max="9470" width="33.85546875" style="2" customWidth="1"/>
    <col min="9471" max="9471" width="5.140625" style="2" customWidth="1"/>
    <col min="9472" max="9473" width="17.5703125" style="2" customWidth="1"/>
    <col min="9474" max="9717" width="9.140625" style="2"/>
    <col min="9718" max="9718" width="3.7109375" style="2" customWidth="1"/>
    <col min="9719" max="9719" width="96.85546875" style="2" customWidth="1"/>
    <col min="9720" max="9720" width="30.85546875" style="2" customWidth="1"/>
    <col min="9721" max="9721" width="12.5703125" style="2" customWidth="1"/>
    <col min="9722" max="9722" width="5.140625" style="2" customWidth="1"/>
    <col min="9723" max="9723" width="9.140625" style="2"/>
    <col min="9724" max="9724" width="4.85546875" style="2" customWidth="1"/>
    <col min="9725" max="9725" width="30.5703125" style="2" customWidth="1"/>
    <col min="9726" max="9726" width="33.85546875" style="2" customWidth="1"/>
    <col min="9727" max="9727" width="5.140625" style="2" customWidth="1"/>
    <col min="9728" max="9729" width="17.5703125" style="2" customWidth="1"/>
    <col min="9730" max="9973" width="9.140625" style="2"/>
    <col min="9974" max="9974" width="3.7109375" style="2" customWidth="1"/>
    <col min="9975" max="9975" width="96.85546875" style="2" customWidth="1"/>
    <col min="9976" max="9976" width="30.85546875" style="2" customWidth="1"/>
    <col min="9977" max="9977" width="12.5703125" style="2" customWidth="1"/>
    <col min="9978" max="9978" width="5.140625" style="2" customWidth="1"/>
    <col min="9979" max="9979" width="9.140625" style="2"/>
    <col min="9980" max="9980" width="4.85546875" style="2" customWidth="1"/>
    <col min="9981" max="9981" width="30.5703125" style="2" customWidth="1"/>
    <col min="9982" max="9982" width="33.85546875" style="2" customWidth="1"/>
    <col min="9983" max="9983" width="5.140625" style="2" customWidth="1"/>
    <col min="9984" max="9985" width="17.5703125" style="2" customWidth="1"/>
    <col min="9986" max="10229" width="9.140625" style="2"/>
    <col min="10230" max="10230" width="3.7109375" style="2" customWidth="1"/>
    <col min="10231" max="10231" width="96.85546875" style="2" customWidth="1"/>
    <col min="10232" max="10232" width="30.85546875" style="2" customWidth="1"/>
    <col min="10233" max="10233" width="12.5703125" style="2" customWidth="1"/>
    <col min="10234" max="10234" width="5.140625" style="2" customWidth="1"/>
    <col min="10235" max="10235" width="9.140625" style="2"/>
    <col min="10236" max="10236" width="4.85546875" style="2" customWidth="1"/>
    <col min="10237" max="10237" width="30.5703125" style="2" customWidth="1"/>
    <col min="10238" max="10238" width="33.85546875" style="2" customWidth="1"/>
    <col min="10239" max="10239" width="5.140625" style="2" customWidth="1"/>
    <col min="10240" max="10241" width="17.5703125" style="2" customWidth="1"/>
    <col min="10242" max="10485" width="9.140625" style="2"/>
    <col min="10486" max="10486" width="3.7109375" style="2" customWidth="1"/>
    <col min="10487" max="10487" width="96.85546875" style="2" customWidth="1"/>
    <col min="10488" max="10488" width="30.85546875" style="2" customWidth="1"/>
    <col min="10489" max="10489" width="12.5703125" style="2" customWidth="1"/>
    <col min="10490" max="10490" width="5.140625" style="2" customWidth="1"/>
    <col min="10491" max="10491" width="9.140625" style="2"/>
    <col min="10492" max="10492" width="4.85546875" style="2" customWidth="1"/>
    <col min="10493" max="10493" width="30.5703125" style="2" customWidth="1"/>
    <col min="10494" max="10494" width="33.85546875" style="2" customWidth="1"/>
    <col min="10495" max="10495" width="5.140625" style="2" customWidth="1"/>
    <col min="10496" max="10497" width="17.5703125" style="2" customWidth="1"/>
    <col min="10498" max="10741" width="9.140625" style="2"/>
    <col min="10742" max="10742" width="3.7109375" style="2" customWidth="1"/>
    <col min="10743" max="10743" width="96.85546875" style="2" customWidth="1"/>
    <col min="10744" max="10744" width="30.85546875" style="2" customWidth="1"/>
    <col min="10745" max="10745" width="12.5703125" style="2" customWidth="1"/>
    <col min="10746" max="10746" width="5.140625" style="2" customWidth="1"/>
    <col min="10747" max="10747" width="9.140625" style="2"/>
    <col min="10748" max="10748" width="4.85546875" style="2" customWidth="1"/>
    <col min="10749" max="10749" width="30.5703125" style="2" customWidth="1"/>
    <col min="10750" max="10750" width="33.85546875" style="2" customWidth="1"/>
    <col min="10751" max="10751" width="5.140625" style="2" customWidth="1"/>
    <col min="10752" max="10753" width="17.5703125" style="2" customWidth="1"/>
    <col min="10754" max="10997" width="9.140625" style="2"/>
    <col min="10998" max="10998" width="3.7109375" style="2" customWidth="1"/>
    <col min="10999" max="10999" width="96.85546875" style="2" customWidth="1"/>
    <col min="11000" max="11000" width="30.85546875" style="2" customWidth="1"/>
    <col min="11001" max="11001" width="12.5703125" style="2" customWidth="1"/>
    <col min="11002" max="11002" width="5.140625" style="2" customWidth="1"/>
    <col min="11003" max="11003" width="9.140625" style="2"/>
    <col min="11004" max="11004" width="4.85546875" style="2" customWidth="1"/>
    <col min="11005" max="11005" width="30.5703125" style="2" customWidth="1"/>
    <col min="11006" max="11006" width="33.85546875" style="2" customWidth="1"/>
    <col min="11007" max="11007" width="5.140625" style="2" customWidth="1"/>
    <col min="11008" max="11009" width="17.5703125" style="2" customWidth="1"/>
    <col min="11010" max="11253" width="9.140625" style="2"/>
    <col min="11254" max="11254" width="3.7109375" style="2" customWidth="1"/>
    <col min="11255" max="11255" width="96.85546875" style="2" customWidth="1"/>
    <col min="11256" max="11256" width="30.85546875" style="2" customWidth="1"/>
    <col min="11257" max="11257" width="12.5703125" style="2" customWidth="1"/>
    <col min="11258" max="11258" width="5.140625" style="2" customWidth="1"/>
    <col min="11259" max="11259" width="9.140625" style="2"/>
    <col min="11260" max="11260" width="4.85546875" style="2" customWidth="1"/>
    <col min="11261" max="11261" width="30.5703125" style="2" customWidth="1"/>
    <col min="11262" max="11262" width="33.85546875" style="2" customWidth="1"/>
    <col min="11263" max="11263" width="5.140625" style="2" customWidth="1"/>
    <col min="11264" max="11265" width="17.5703125" style="2" customWidth="1"/>
    <col min="11266" max="11509" width="9.140625" style="2"/>
    <col min="11510" max="11510" width="3.7109375" style="2" customWidth="1"/>
    <col min="11511" max="11511" width="96.85546875" style="2" customWidth="1"/>
    <col min="11512" max="11512" width="30.85546875" style="2" customWidth="1"/>
    <col min="11513" max="11513" width="12.5703125" style="2" customWidth="1"/>
    <col min="11514" max="11514" width="5.140625" style="2" customWidth="1"/>
    <col min="11515" max="11515" width="9.140625" style="2"/>
    <col min="11516" max="11516" width="4.85546875" style="2" customWidth="1"/>
    <col min="11517" max="11517" width="30.5703125" style="2" customWidth="1"/>
    <col min="11518" max="11518" width="33.85546875" style="2" customWidth="1"/>
    <col min="11519" max="11519" width="5.140625" style="2" customWidth="1"/>
    <col min="11520" max="11521" width="17.5703125" style="2" customWidth="1"/>
    <col min="11522" max="11765" width="9.140625" style="2"/>
    <col min="11766" max="11766" width="3.7109375" style="2" customWidth="1"/>
    <col min="11767" max="11767" width="96.85546875" style="2" customWidth="1"/>
    <col min="11768" max="11768" width="30.85546875" style="2" customWidth="1"/>
    <col min="11769" max="11769" width="12.5703125" style="2" customWidth="1"/>
    <col min="11770" max="11770" width="5.140625" style="2" customWidth="1"/>
    <col min="11771" max="11771" width="9.140625" style="2"/>
    <col min="11772" max="11772" width="4.85546875" style="2" customWidth="1"/>
    <col min="11773" max="11773" width="30.5703125" style="2" customWidth="1"/>
    <col min="11774" max="11774" width="33.85546875" style="2" customWidth="1"/>
    <col min="11775" max="11775" width="5.140625" style="2" customWidth="1"/>
    <col min="11776" max="11777" width="17.5703125" style="2" customWidth="1"/>
    <col min="11778" max="12021" width="9.140625" style="2"/>
    <col min="12022" max="12022" width="3.7109375" style="2" customWidth="1"/>
    <col min="12023" max="12023" width="96.85546875" style="2" customWidth="1"/>
    <col min="12024" max="12024" width="30.85546875" style="2" customWidth="1"/>
    <col min="12025" max="12025" width="12.5703125" style="2" customWidth="1"/>
    <col min="12026" max="12026" width="5.140625" style="2" customWidth="1"/>
    <col min="12027" max="12027" width="9.140625" style="2"/>
    <col min="12028" max="12028" width="4.85546875" style="2" customWidth="1"/>
    <col min="12029" max="12029" width="30.5703125" style="2" customWidth="1"/>
    <col min="12030" max="12030" width="33.85546875" style="2" customWidth="1"/>
    <col min="12031" max="12031" width="5.140625" style="2" customWidth="1"/>
    <col min="12032" max="12033" width="17.5703125" style="2" customWidth="1"/>
    <col min="12034" max="12277" width="9.140625" style="2"/>
    <col min="12278" max="12278" width="3.7109375" style="2" customWidth="1"/>
    <col min="12279" max="12279" width="96.85546875" style="2" customWidth="1"/>
    <col min="12280" max="12280" width="30.85546875" style="2" customWidth="1"/>
    <col min="12281" max="12281" width="12.5703125" style="2" customWidth="1"/>
    <col min="12282" max="12282" width="5.140625" style="2" customWidth="1"/>
    <col min="12283" max="12283" width="9.140625" style="2"/>
    <col min="12284" max="12284" width="4.85546875" style="2" customWidth="1"/>
    <col min="12285" max="12285" width="30.5703125" style="2" customWidth="1"/>
    <col min="12286" max="12286" width="33.85546875" style="2" customWidth="1"/>
    <col min="12287" max="12287" width="5.140625" style="2" customWidth="1"/>
    <col min="12288" max="12289" width="17.5703125" style="2" customWidth="1"/>
    <col min="12290" max="12533" width="9.140625" style="2"/>
    <col min="12534" max="12534" width="3.7109375" style="2" customWidth="1"/>
    <col min="12535" max="12535" width="96.85546875" style="2" customWidth="1"/>
    <col min="12536" max="12536" width="30.85546875" style="2" customWidth="1"/>
    <col min="12537" max="12537" width="12.5703125" style="2" customWidth="1"/>
    <col min="12538" max="12538" width="5.140625" style="2" customWidth="1"/>
    <col min="12539" max="12539" width="9.140625" style="2"/>
    <col min="12540" max="12540" width="4.85546875" style="2" customWidth="1"/>
    <col min="12541" max="12541" width="30.5703125" style="2" customWidth="1"/>
    <col min="12542" max="12542" width="33.85546875" style="2" customWidth="1"/>
    <col min="12543" max="12543" width="5.140625" style="2" customWidth="1"/>
    <col min="12544" max="12545" width="17.5703125" style="2" customWidth="1"/>
    <col min="12546" max="12789" width="9.140625" style="2"/>
    <col min="12790" max="12790" width="3.7109375" style="2" customWidth="1"/>
    <col min="12791" max="12791" width="96.85546875" style="2" customWidth="1"/>
    <col min="12792" max="12792" width="30.85546875" style="2" customWidth="1"/>
    <col min="12793" max="12793" width="12.5703125" style="2" customWidth="1"/>
    <col min="12794" max="12794" width="5.140625" style="2" customWidth="1"/>
    <col min="12795" max="12795" width="9.140625" style="2"/>
    <col min="12796" max="12796" width="4.85546875" style="2" customWidth="1"/>
    <col min="12797" max="12797" width="30.5703125" style="2" customWidth="1"/>
    <col min="12798" max="12798" width="33.85546875" style="2" customWidth="1"/>
    <col min="12799" max="12799" width="5.140625" style="2" customWidth="1"/>
    <col min="12800" max="12801" width="17.5703125" style="2" customWidth="1"/>
    <col min="12802" max="13045" width="9.140625" style="2"/>
    <col min="13046" max="13046" width="3.7109375" style="2" customWidth="1"/>
    <col min="13047" max="13047" width="96.85546875" style="2" customWidth="1"/>
    <col min="13048" max="13048" width="30.85546875" style="2" customWidth="1"/>
    <col min="13049" max="13049" width="12.5703125" style="2" customWidth="1"/>
    <col min="13050" max="13050" width="5.140625" style="2" customWidth="1"/>
    <col min="13051" max="13051" width="9.140625" style="2"/>
    <col min="13052" max="13052" width="4.85546875" style="2" customWidth="1"/>
    <col min="13053" max="13053" width="30.5703125" style="2" customWidth="1"/>
    <col min="13054" max="13054" width="33.85546875" style="2" customWidth="1"/>
    <col min="13055" max="13055" width="5.140625" style="2" customWidth="1"/>
    <col min="13056" max="13057" width="17.5703125" style="2" customWidth="1"/>
    <col min="13058" max="13301" width="9.140625" style="2"/>
    <col min="13302" max="13302" width="3.7109375" style="2" customWidth="1"/>
    <col min="13303" max="13303" width="96.85546875" style="2" customWidth="1"/>
    <col min="13304" max="13304" width="30.85546875" style="2" customWidth="1"/>
    <col min="13305" max="13305" width="12.5703125" style="2" customWidth="1"/>
    <col min="13306" max="13306" width="5.140625" style="2" customWidth="1"/>
    <col min="13307" max="13307" width="9.140625" style="2"/>
    <col min="13308" max="13308" width="4.85546875" style="2" customWidth="1"/>
    <col min="13309" max="13309" width="30.5703125" style="2" customWidth="1"/>
    <col min="13310" max="13310" width="33.85546875" style="2" customWidth="1"/>
    <col min="13311" max="13311" width="5.140625" style="2" customWidth="1"/>
    <col min="13312" max="13313" width="17.5703125" style="2" customWidth="1"/>
    <col min="13314" max="13557" width="9.140625" style="2"/>
    <col min="13558" max="13558" width="3.7109375" style="2" customWidth="1"/>
    <col min="13559" max="13559" width="96.85546875" style="2" customWidth="1"/>
    <col min="13560" max="13560" width="30.85546875" style="2" customWidth="1"/>
    <col min="13561" max="13561" width="12.5703125" style="2" customWidth="1"/>
    <col min="13562" max="13562" width="5.140625" style="2" customWidth="1"/>
    <col min="13563" max="13563" width="9.140625" style="2"/>
    <col min="13564" max="13564" width="4.85546875" style="2" customWidth="1"/>
    <col min="13565" max="13565" width="30.5703125" style="2" customWidth="1"/>
    <col min="13566" max="13566" width="33.85546875" style="2" customWidth="1"/>
    <col min="13567" max="13567" width="5.140625" style="2" customWidth="1"/>
    <col min="13568" max="13569" width="17.5703125" style="2" customWidth="1"/>
    <col min="13570" max="13813" width="9.140625" style="2"/>
    <col min="13814" max="13814" width="3.7109375" style="2" customWidth="1"/>
    <col min="13815" max="13815" width="96.85546875" style="2" customWidth="1"/>
    <col min="13816" max="13816" width="30.85546875" style="2" customWidth="1"/>
    <col min="13817" max="13817" width="12.5703125" style="2" customWidth="1"/>
    <col min="13818" max="13818" width="5.140625" style="2" customWidth="1"/>
    <col min="13819" max="13819" width="9.140625" style="2"/>
    <col min="13820" max="13820" width="4.85546875" style="2" customWidth="1"/>
    <col min="13821" max="13821" width="30.5703125" style="2" customWidth="1"/>
    <col min="13822" max="13822" width="33.85546875" style="2" customWidth="1"/>
    <col min="13823" max="13823" width="5.140625" style="2" customWidth="1"/>
    <col min="13824" max="13825" width="17.5703125" style="2" customWidth="1"/>
    <col min="13826" max="14069" width="9.140625" style="2"/>
    <col min="14070" max="14070" width="3.7109375" style="2" customWidth="1"/>
    <col min="14071" max="14071" width="96.85546875" style="2" customWidth="1"/>
    <col min="14072" max="14072" width="30.85546875" style="2" customWidth="1"/>
    <col min="14073" max="14073" width="12.5703125" style="2" customWidth="1"/>
    <col min="14074" max="14074" width="5.140625" style="2" customWidth="1"/>
    <col min="14075" max="14075" width="9.140625" style="2"/>
    <col min="14076" max="14076" width="4.85546875" style="2" customWidth="1"/>
    <col min="14077" max="14077" width="30.5703125" style="2" customWidth="1"/>
    <col min="14078" max="14078" width="33.85546875" style="2" customWidth="1"/>
    <col min="14079" max="14079" width="5.140625" style="2" customWidth="1"/>
    <col min="14080" max="14081" width="17.5703125" style="2" customWidth="1"/>
    <col min="14082" max="14325" width="9.140625" style="2"/>
    <col min="14326" max="14326" width="3.7109375" style="2" customWidth="1"/>
    <col min="14327" max="14327" width="96.85546875" style="2" customWidth="1"/>
    <col min="14328" max="14328" width="30.85546875" style="2" customWidth="1"/>
    <col min="14329" max="14329" width="12.5703125" style="2" customWidth="1"/>
    <col min="14330" max="14330" width="5.140625" style="2" customWidth="1"/>
    <col min="14331" max="14331" width="9.140625" style="2"/>
    <col min="14332" max="14332" width="4.85546875" style="2" customWidth="1"/>
    <col min="14333" max="14333" width="30.5703125" style="2" customWidth="1"/>
    <col min="14334" max="14334" width="33.85546875" style="2" customWidth="1"/>
    <col min="14335" max="14335" width="5.140625" style="2" customWidth="1"/>
    <col min="14336" max="14337" width="17.5703125" style="2" customWidth="1"/>
    <col min="14338" max="14581" width="9.140625" style="2"/>
    <col min="14582" max="14582" width="3.7109375" style="2" customWidth="1"/>
    <col min="14583" max="14583" width="96.85546875" style="2" customWidth="1"/>
    <col min="14584" max="14584" width="30.85546875" style="2" customWidth="1"/>
    <col min="14585" max="14585" width="12.5703125" style="2" customWidth="1"/>
    <col min="14586" max="14586" width="5.140625" style="2" customWidth="1"/>
    <col min="14587" max="14587" width="9.140625" style="2"/>
    <col min="14588" max="14588" width="4.85546875" style="2" customWidth="1"/>
    <col min="14589" max="14589" width="30.5703125" style="2" customWidth="1"/>
    <col min="14590" max="14590" width="33.85546875" style="2" customWidth="1"/>
    <col min="14591" max="14591" width="5.140625" style="2" customWidth="1"/>
    <col min="14592" max="14593" width="17.5703125" style="2" customWidth="1"/>
    <col min="14594" max="14837" width="9.140625" style="2"/>
    <col min="14838" max="14838" width="3.7109375" style="2" customWidth="1"/>
    <col min="14839" max="14839" width="96.85546875" style="2" customWidth="1"/>
    <col min="14840" max="14840" width="30.85546875" style="2" customWidth="1"/>
    <col min="14841" max="14841" width="12.5703125" style="2" customWidth="1"/>
    <col min="14842" max="14842" width="5.140625" style="2" customWidth="1"/>
    <col min="14843" max="14843" width="9.140625" style="2"/>
    <col min="14844" max="14844" width="4.85546875" style="2" customWidth="1"/>
    <col min="14845" max="14845" width="30.5703125" style="2" customWidth="1"/>
    <col min="14846" max="14846" width="33.85546875" style="2" customWidth="1"/>
    <col min="14847" max="14847" width="5.140625" style="2" customWidth="1"/>
    <col min="14848" max="14849" width="17.5703125" style="2" customWidth="1"/>
    <col min="14850" max="15093" width="9.140625" style="2"/>
    <col min="15094" max="15094" width="3.7109375" style="2" customWidth="1"/>
    <col min="15095" max="15095" width="96.85546875" style="2" customWidth="1"/>
    <col min="15096" max="15096" width="30.85546875" style="2" customWidth="1"/>
    <col min="15097" max="15097" width="12.5703125" style="2" customWidth="1"/>
    <col min="15098" max="15098" width="5.140625" style="2" customWidth="1"/>
    <col min="15099" max="15099" width="9.140625" style="2"/>
    <col min="15100" max="15100" width="4.85546875" style="2" customWidth="1"/>
    <col min="15101" max="15101" width="30.5703125" style="2" customWidth="1"/>
    <col min="15102" max="15102" width="33.85546875" style="2" customWidth="1"/>
    <col min="15103" max="15103" width="5.140625" style="2" customWidth="1"/>
    <col min="15104" max="15105" width="17.5703125" style="2" customWidth="1"/>
    <col min="15106" max="15349" width="9.140625" style="2"/>
    <col min="15350" max="15350" width="3.7109375" style="2" customWidth="1"/>
    <col min="15351" max="15351" width="96.85546875" style="2" customWidth="1"/>
    <col min="15352" max="15352" width="30.85546875" style="2" customWidth="1"/>
    <col min="15353" max="15353" width="12.5703125" style="2" customWidth="1"/>
    <col min="15354" max="15354" width="5.140625" style="2" customWidth="1"/>
    <col min="15355" max="15355" width="9.140625" style="2"/>
    <col min="15356" max="15356" width="4.85546875" style="2" customWidth="1"/>
    <col min="15357" max="15357" width="30.5703125" style="2" customWidth="1"/>
    <col min="15358" max="15358" width="33.85546875" style="2" customWidth="1"/>
    <col min="15359" max="15359" width="5.140625" style="2" customWidth="1"/>
    <col min="15360" max="15361" width="17.5703125" style="2" customWidth="1"/>
    <col min="15362" max="15605" width="9.140625" style="2"/>
    <col min="15606" max="15606" width="3.7109375" style="2" customWidth="1"/>
    <col min="15607" max="15607" width="96.85546875" style="2" customWidth="1"/>
    <col min="15608" max="15608" width="30.85546875" style="2" customWidth="1"/>
    <col min="15609" max="15609" width="12.5703125" style="2" customWidth="1"/>
    <col min="15610" max="15610" width="5.140625" style="2" customWidth="1"/>
    <col min="15611" max="15611" width="9.140625" style="2"/>
    <col min="15612" max="15612" width="4.85546875" style="2" customWidth="1"/>
    <col min="15613" max="15613" width="30.5703125" style="2" customWidth="1"/>
    <col min="15614" max="15614" width="33.85546875" style="2" customWidth="1"/>
    <col min="15615" max="15615" width="5.140625" style="2" customWidth="1"/>
    <col min="15616" max="15617" width="17.5703125" style="2" customWidth="1"/>
    <col min="15618" max="15861" width="9.140625" style="2"/>
    <col min="15862" max="15862" width="3.7109375" style="2" customWidth="1"/>
    <col min="15863" max="15863" width="96.85546875" style="2" customWidth="1"/>
    <col min="15864" max="15864" width="30.85546875" style="2" customWidth="1"/>
    <col min="15865" max="15865" width="12.5703125" style="2" customWidth="1"/>
    <col min="15866" max="15866" width="5.140625" style="2" customWidth="1"/>
    <col min="15867" max="15867" width="9.140625" style="2"/>
    <col min="15868" max="15868" width="4.85546875" style="2" customWidth="1"/>
    <col min="15869" max="15869" width="30.5703125" style="2" customWidth="1"/>
    <col min="15870" max="15870" width="33.85546875" style="2" customWidth="1"/>
    <col min="15871" max="15871" width="5.140625" style="2" customWidth="1"/>
    <col min="15872" max="15873" width="17.5703125" style="2" customWidth="1"/>
    <col min="15874" max="16117" width="9.140625" style="2"/>
    <col min="16118" max="16118" width="3.7109375" style="2" customWidth="1"/>
    <col min="16119" max="16119" width="96.85546875" style="2" customWidth="1"/>
    <col min="16120" max="16120" width="30.85546875" style="2" customWidth="1"/>
    <col min="16121" max="16121" width="12.5703125" style="2" customWidth="1"/>
    <col min="16122" max="16122" width="5.140625" style="2" customWidth="1"/>
    <col min="16123" max="16123" width="9.140625" style="2"/>
    <col min="16124" max="16124" width="4.85546875" style="2" customWidth="1"/>
    <col min="16125" max="16125" width="30.5703125" style="2" customWidth="1"/>
    <col min="16126" max="16126" width="33.85546875" style="2" customWidth="1"/>
    <col min="16127" max="16127" width="5.140625" style="2" customWidth="1"/>
    <col min="16128" max="16129" width="17.5703125" style="2" customWidth="1"/>
    <col min="16130" max="16384" width="9.140625" style="2"/>
  </cols>
  <sheetData>
    <row r="1" spans="1:3" ht="48" customHeight="1" x14ac:dyDescent="0.2">
      <c r="A1" s="1"/>
      <c r="B1" s="143" t="s">
        <v>1</v>
      </c>
      <c r="C1" s="143"/>
    </row>
    <row r="2" spans="1:3" x14ac:dyDescent="0.2">
      <c r="A2" s="1"/>
      <c r="B2" s="3" t="s">
        <v>2</v>
      </c>
      <c r="C2" s="4">
        <v>45317</v>
      </c>
    </row>
    <row r="3" spans="1:3" x14ac:dyDescent="0.2">
      <c r="A3" s="1"/>
      <c r="B3" s="5" t="s">
        <v>3</v>
      </c>
      <c r="C3" s="6"/>
    </row>
    <row r="4" spans="1:3" ht="25.5" x14ac:dyDescent="0.2">
      <c r="A4" s="7"/>
      <c r="B4" s="8" t="str">
        <f>[4]И1!D13</f>
        <v>Субъект Российской Федерации</v>
      </c>
      <c r="C4" s="9" t="str">
        <f>[4]И1!E13</f>
        <v>Новосибирская область</v>
      </c>
    </row>
    <row r="5" spans="1:3" ht="15.95" customHeight="1" x14ac:dyDescent="0.2">
      <c r="A5" s="7"/>
      <c r="B5" s="8" t="str">
        <f>[4]И1!D14</f>
        <v>Тип муниципального образования (выберите из списка)</v>
      </c>
      <c r="C5" s="9" t="str">
        <f>[4]И1!E14</f>
        <v>село Вагайцево, Ордынский муниципальный район</v>
      </c>
    </row>
    <row r="6" spans="1:3" x14ac:dyDescent="0.2">
      <c r="A6" s="7"/>
      <c r="B6" s="8" t="str">
        <f>IF([4]И1!E15="","",[4]И1!D15)</f>
        <v/>
      </c>
      <c r="C6" s="6" t="str">
        <f>IF([4]И1!E15="","",[4]И1!E15)</f>
        <v/>
      </c>
    </row>
    <row r="7" spans="1:3" x14ac:dyDescent="0.2">
      <c r="A7" s="7"/>
      <c r="B7" s="8" t="str">
        <f>[4]И1!D16</f>
        <v>Код ОКТМО</v>
      </c>
      <c r="C7" s="10" t="str">
        <f>[4]И1!E16</f>
        <v>50642401101</v>
      </c>
    </row>
    <row r="8" spans="1:3" x14ac:dyDescent="0.2">
      <c r="A8" s="7"/>
      <c r="B8" s="11" t="str">
        <f>[4]И1!D17</f>
        <v>Система теплоснабжения</v>
      </c>
      <c r="C8" s="12">
        <f>[4]И1!E17</f>
        <v>0</v>
      </c>
    </row>
    <row r="9" spans="1:3" x14ac:dyDescent="0.2">
      <c r="A9" s="7"/>
      <c r="B9" s="8" t="str">
        <f>[4]И1!D8</f>
        <v>Период регулирования (i)-й</v>
      </c>
      <c r="C9" s="13">
        <f>[4]И1!E8</f>
        <v>2024</v>
      </c>
    </row>
    <row r="10" spans="1:3" x14ac:dyDescent="0.2">
      <c r="A10" s="7"/>
      <c r="B10" s="8" t="str">
        <f>[4]И1!D9</f>
        <v>Период регулирования (i-1)-й</v>
      </c>
      <c r="C10" s="13">
        <f>[4]И1!E9</f>
        <v>2023</v>
      </c>
    </row>
    <row r="11" spans="1:3" x14ac:dyDescent="0.2">
      <c r="A11" s="7"/>
      <c r="B11" s="8" t="str">
        <f>[4]И1!D10</f>
        <v>Период регулирования (i-2)-й</v>
      </c>
      <c r="C11" s="13">
        <f>[4]И1!E10</f>
        <v>2022</v>
      </c>
    </row>
    <row r="12" spans="1:3" x14ac:dyDescent="0.2">
      <c r="A12" s="7"/>
      <c r="B12" s="8" t="str">
        <f>[4]И1!D11</f>
        <v>Базовый год (б)</v>
      </c>
      <c r="C12" s="13">
        <f>[4]И1!E11</f>
        <v>2019</v>
      </c>
    </row>
    <row r="13" spans="1:3" x14ac:dyDescent="0.2">
      <c r="A13" s="7"/>
      <c r="B13" s="8" t="str">
        <f>[4]И1!D18</f>
        <v>Вид топлива, использование которого преобладает в системе теплоснабжения</v>
      </c>
      <c r="C13" s="14" t="str">
        <f>[4]И1!E18</f>
        <v>Газ</v>
      </c>
    </row>
    <row r="14" spans="1:3" ht="26.25" customHeight="1" thickBot="1" x14ac:dyDescent="0.25">
      <c r="A14" s="142" t="s">
        <v>4</v>
      </c>
      <c r="B14" s="142"/>
      <c r="C14" s="142"/>
    </row>
    <row r="15" spans="1:3" x14ac:dyDescent="0.2">
      <c r="A15" s="15" t="s">
        <v>5</v>
      </c>
      <c r="B15" s="16" t="s">
        <v>6</v>
      </c>
      <c r="C15" s="17" t="s">
        <v>7</v>
      </c>
    </row>
    <row r="16" spans="1:3" x14ac:dyDescent="0.2">
      <c r="A16" s="18">
        <v>1</v>
      </c>
      <c r="B16" s="19">
        <v>2</v>
      </c>
      <c r="C16" s="20">
        <v>3</v>
      </c>
    </row>
    <row r="17" spans="1:3" x14ac:dyDescent="0.2">
      <c r="A17" s="21">
        <v>1</v>
      </c>
      <c r="B17" s="22" t="s">
        <v>8</v>
      </c>
      <c r="C17" s="23">
        <f>SUM(C18:C23)</f>
        <v>2940.884405080325</v>
      </c>
    </row>
    <row r="18" spans="1:3" ht="42.75" x14ac:dyDescent="0.2">
      <c r="A18" s="21" t="s">
        <v>9</v>
      </c>
      <c r="B18" s="24" t="s">
        <v>10</v>
      </c>
      <c r="C18" s="25">
        <f>[4]С1!F12</f>
        <v>994.35037159416254</v>
      </c>
    </row>
    <row r="19" spans="1:3" ht="42.75" x14ac:dyDescent="0.2">
      <c r="A19" s="21" t="s">
        <v>11</v>
      </c>
      <c r="B19" s="24" t="s">
        <v>12</v>
      </c>
      <c r="C19" s="25">
        <f>[4]С2!F12</f>
        <v>1337.2323504196445</v>
      </c>
    </row>
    <row r="20" spans="1:3" ht="30" x14ac:dyDescent="0.2">
      <c r="A20" s="21" t="s">
        <v>13</v>
      </c>
      <c r="B20" s="24" t="s">
        <v>14</v>
      </c>
      <c r="C20" s="25">
        <f>[4]С3!F12</f>
        <v>317.62075127153844</v>
      </c>
    </row>
    <row r="21" spans="1:3" ht="42.75" x14ac:dyDescent="0.2">
      <c r="A21" s="21" t="s">
        <v>15</v>
      </c>
      <c r="B21" s="24" t="s">
        <v>16</v>
      </c>
      <c r="C21" s="25">
        <f>[4]С4!F12</f>
        <v>234.0165316953655</v>
      </c>
    </row>
    <row r="22" spans="1:3" ht="33" customHeight="1" x14ac:dyDescent="0.2">
      <c r="A22" s="21" t="s">
        <v>17</v>
      </c>
      <c r="B22" s="24" t="s">
        <v>18</v>
      </c>
      <c r="C22" s="25">
        <f>[4]С5!F12</f>
        <v>57.664400099614213</v>
      </c>
    </row>
    <row r="23" spans="1:3" ht="45.75" customHeight="1" thickBot="1" x14ac:dyDescent="0.25">
      <c r="A23" s="26" t="s">
        <v>19</v>
      </c>
      <c r="B23" s="140" t="s">
        <v>20</v>
      </c>
      <c r="C23" s="27">
        <f>[4]С6!F12</f>
        <v>0</v>
      </c>
    </row>
    <row r="24" spans="1:3" ht="13.5" thickBot="1" x14ac:dyDescent="0.25">
      <c r="A24" s="1"/>
      <c r="C24" s="6"/>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v>
      </c>
      <c r="C28" s="32">
        <f>[4]С1.1!E16</f>
        <v>7900</v>
      </c>
    </row>
    <row r="29" spans="1:3" ht="42.75" x14ac:dyDescent="0.2">
      <c r="A29" s="21" t="s">
        <v>11</v>
      </c>
      <c r="B29" s="31" t="s">
        <v>23</v>
      </c>
      <c r="C29" s="32">
        <f>[4]С1.1!E32</f>
        <v>5751.37</v>
      </c>
    </row>
    <row r="30" spans="1:3" ht="38.25" x14ac:dyDescent="0.2">
      <c r="A30" s="21" t="s">
        <v>24</v>
      </c>
      <c r="B30" s="31" t="s">
        <v>25</v>
      </c>
      <c r="C30" s="33" t="str">
        <f>[4]С1.1!E25</f>
        <v>ООО "Газпром газораспределение Томск"</v>
      </c>
    </row>
    <row r="31" spans="1:3" ht="38.25" x14ac:dyDescent="0.2">
      <c r="A31" s="21" t="s">
        <v>26</v>
      </c>
      <c r="B31" s="31" t="str">
        <f>[4]С1.1!D26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2">
        <f>[4]С1.1!E26</f>
        <v>4699.5</v>
      </c>
    </row>
    <row r="32" spans="1:3" ht="25.5" x14ac:dyDescent="0.2">
      <c r="A32" s="21" t="s">
        <v>27</v>
      </c>
      <c r="B32" s="31" t="str">
        <f>[4]С1.1!D27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2">
        <f>[4]С1.1!E27</f>
        <v>795.43</v>
      </c>
    </row>
    <row r="33" spans="1:3" ht="25.5" x14ac:dyDescent="0.2">
      <c r="A33" s="21" t="s">
        <v>28</v>
      </c>
      <c r="B33" s="31" t="str">
        <f>[4]С1.1!D28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2">
        <f>[4]С1.1!E28</f>
        <v>136.54</v>
      </c>
    </row>
    <row r="34" spans="1:3" ht="38.25" x14ac:dyDescent="0.2">
      <c r="A34" s="21" t="s">
        <v>29</v>
      </c>
      <c r="B34" s="31" t="str">
        <f>[4]С1.1!D29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2">
        <f>[4]С1.1!E29</f>
        <v>119.9</v>
      </c>
    </row>
    <row r="35" spans="1:3" ht="17.25" x14ac:dyDescent="0.2">
      <c r="A35" s="21" t="s">
        <v>13</v>
      </c>
      <c r="B35" s="31" t="s">
        <v>30</v>
      </c>
      <c r="C35" s="34">
        <f>[4]С1.1!E20</f>
        <v>8.5000000000000006E-2</v>
      </c>
    </row>
    <row r="36" spans="1:3" ht="17.25" x14ac:dyDescent="0.2">
      <c r="A36" s="21" t="s">
        <v>15</v>
      </c>
      <c r="B36" s="31" t="s">
        <v>31</v>
      </c>
      <c r="C36" s="34">
        <f>[4]С1.1!E21</f>
        <v>0.112</v>
      </c>
    </row>
    <row r="37" spans="1:3" ht="30" x14ac:dyDescent="0.2">
      <c r="A37" s="21" t="s">
        <v>17</v>
      </c>
      <c r="B37" s="35" t="s">
        <v>32</v>
      </c>
      <c r="C37" s="36">
        <f>[4]С1!F13</f>
        <v>156.1</v>
      </c>
    </row>
    <row r="38" spans="1:3" x14ac:dyDescent="0.2">
      <c r="A38" s="21" t="s">
        <v>19</v>
      </c>
      <c r="B38" s="35" t="s">
        <v>33</v>
      </c>
      <c r="C38" s="37">
        <f>[4]С1!F16</f>
        <v>7000</v>
      </c>
    </row>
    <row r="39" spans="1:3" ht="14.25" x14ac:dyDescent="0.2">
      <c r="A39" s="38" t="s">
        <v>34</v>
      </c>
      <c r="B39" s="39" t="s">
        <v>35</v>
      </c>
      <c r="C39" s="40">
        <f>[4]С1!F17</f>
        <v>1.1285714285714286</v>
      </c>
    </row>
    <row r="40" spans="1:3" ht="15.75" x14ac:dyDescent="0.2">
      <c r="A40" s="41" t="s">
        <v>36</v>
      </c>
      <c r="B40" s="42" t="s">
        <v>37</v>
      </c>
      <c r="C40" s="40">
        <f>[4]С1!F20</f>
        <v>22.307053372799995</v>
      </c>
    </row>
    <row r="41" spans="1:3" ht="15.75" x14ac:dyDescent="0.2">
      <c r="A41" s="41" t="s">
        <v>38</v>
      </c>
      <c r="B41" s="43" t="s">
        <v>39</v>
      </c>
      <c r="C41" s="40">
        <f>[4]С1!F21</f>
        <v>21.531904799999996</v>
      </c>
    </row>
    <row r="42" spans="1:3" ht="14.25" x14ac:dyDescent="0.2">
      <c r="A42" s="41" t="s">
        <v>40</v>
      </c>
      <c r="B42" s="44" t="s">
        <v>41</v>
      </c>
      <c r="C42" s="40">
        <f>[4]С1!F22</f>
        <v>1.036</v>
      </c>
    </row>
    <row r="43" spans="1:3" ht="53.25" thickBot="1" x14ac:dyDescent="0.25">
      <c r="A43" s="26" t="s">
        <v>42</v>
      </c>
      <c r="B43" s="45" t="s">
        <v>43</v>
      </c>
      <c r="C43" s="46" t="str">
        <f>[4]С1!F23</f>
        <v>-</v>
      </c>
    </row>
    <row r="44" spans="1:3" ht="13.5" thickBot="1" x14ac:dyDescent="0.25">
      <c r="A44" s="47"/>
      <c r="B44" s="48"/>
      <c r="C44" s="14"/>
    </row>
    <row r="45" spans="1:3" ht="30" customHeight="1" x14ac:dyDescent="0.2">
      <c r="A45" s="49" t="s">
        <v>44</v>
      </c>
      <c r="B45" s="145" t="s">
        <v>45</v>
      </c>
      <c r="C45" s="145"/>
    </row>
    <row r="46" spans="1:3" ht="25.5" x14ac:dyDescent="0.2">
      <c r="A46" s="21" t="s">
        <v>46</v>
      </c>
      <c r="B46" s="35" t="s">
        <v>47</v>
      </c>
      <c r="C46" s="50" t="str">
        <f>[4]С2.1!E12</f>
        <v>V</v>
      </c>
    </row>
    <row r="47" spans="1:3" ht="25.5" x14ac:dyDescent="0.2">
      <c r="A47" s="21" t="s">
        <v>48</v>
      </c>
      <c r="B47" s="31" t="s">
        <v>49</v>
      </c>
      <c r="C47" s="50" t="str">
        <f>[4]С2.1!E13</f>
        <v>6 и менее баллов</v>
      </c>
    </row>
    <row r="48" spans="1:3" ht="25.5" x14ac:dyDescent="0.2">
      <c r="A48" s="21" t="s">
        <v>50</v>
      </c>
      <c r="B48" s="31" t="s">
        <v>51</v>
      </c>
      <c r="C48" s="50" t="str">
        <f>[4]С2.1!E14</f>
        <v>от 200 до 500</v>
      </c>
    </row>
    <row r="49" spans="1:3" ht="25.5" x14ac:dyDescent="0.2">
      <c r="A49" s="21" t="s">
        <v>52</v>
      </c>
      <c r="B49" s="31" t="s">
        <v>53</v>
      </c>
      <c r="C49" s="51" t="str">
        <f>[4]С2.1!E15</f>
        <v>нет</v>
      </c>
    </row>
    <row r="50" spans="1:3" ht="30" x14ac:dyDescent="0.2">
      <c r="A50" s="21" t="s">
        <v>54</v>
      </c>
      <c r="B50" s="31" t="s">
        <v>55</v>
      </c>
      <c r="C50" s="32">
        <f>[4]С2!F18</f>
        <v>35106.652004551666</v>
      </c>
    </row>
    <row r="51" spans="1:3" ht="30" x14ac:dyDescent="0.2">
      <c r="A51" s="21" t="s">
        <v>56</v>
      </c>
      <c r="B51" s="52" t="s">
        <v>57</v>
      </c>
      <c r="C51" s="32">
        <f>IF([4]С2!F19&gt;0,[4]С2!F19,[4]С2!F20)</f>
        <v>23441.524932855718</v>
      </c>
    </row>
    <row r="52" spans="1:3" ht="25.5" x14ac:dyDescent="0.2">
      <c r="A52" s="21" t="s">
        <v>58</v>
      </c>
      <c r="B52" s="53" t="s">
        <v>59</v>
      </c>
      <c r="C52" s="32">
        <f>[4]С2.1!E20</f>
        <v>-37</v>
      </c>
    </row>
    <row r="53" spans="1:3" ht="25.5" x14ac:dyDescent="0.2">
      <c r="A53" s="21" t="s">
        <v>60</v>
      </c>
      <c r="B53" s="53" t="s">
        <v>61</v>
      </c>
      <c r="C53" s="32" t="str">
        <f>[4]С2.1!E23</f>
        <v>нет</v>
      </c>
    </row>
    <row r="54" spans="1:3" ht="38.25" x14ac:dyDescent="0.2">
      <c r="A54" s="21" t="s">
        <v>62</v>
      </c>
      <c r="B54" s="54" t="s">
        <v>63</v>
      </c>
      <c r="C54" s="32">
        <f>[4]С2.2!E10</f>
        <v>1287</v>
      </c>
    </row>
    <row r="55" spans="1:3" ht="25.5" x14ac:dyDescent="0.2">
      <c r="A55" s="21" t="s">
        <v>64</v>
      </c>
      <c r="B55" s="55" t="s">
        <v>65</v>
      </c>
      <c r="C55" s="32">
        <f>[4]С2.2!E12</f>
        <v>5.97</v>
      </c>
    </row>
    <row r="56" spans="1:3" ht="52.5" x14ac:dyDescent="0.2">
      <c r="A56" s="21" t="s">
        <v>66</v>
      </c>
      <c r="B56" s="56" t="s">
        <v>67</v>
      </c>
      <c r="C56" s="32">
        <f>[4]С2.2!E13</f>
        <v>1</v>
      </c>
    </row>
    <row r="57" spans="1:3" ht="27.75" x14ac:dyDescent="0.2">
      <c r="A57" s="21" t="s">
        <v>68</v>
      </c>
      <c r="B57" s="55" t="s">
        <v>69</v>
      </c>
      <c r="C57" s="32">
        <f>[4]С2.2!E14</f>
        <v>12104</v>
      </c>
    </row>
    <row r="58" spans="1:3" ht="25.5" x14ac:dyDescent="0.2">
      <c r="A58" s="21" t="s">
        <v>70</v>
      </c>
      <c r="B58" s="56" t="s">
        <v>71</v>
      </c>
      <c r="C58" s="34">
        <f>[4]С2.2!E15</f>
        <v>4.8000000000000001E-2</v>
      </c>
    </row>
    <row r="59" spans="1:3" x14ac:dyDescent="0.2">
      <c r="A59" s="21" t="s">
        <v>72</v>
      </c>
      <c r="B59" s="56" t="s">
        <v>73</v>
      </c>
      <c r="C59" s="57">
        <f>[4]С2.2!E16</f>
        <v>1</v>
      </c>
    </row>
    <row r="60" spans="1:3" ht="15.75" x14ac:dyDescent="0.2">
      <c r="A60" s="21" t="s">
        <v>74</v>
      </c>
      <c r="B60" s="58" t="s">
        <v>75</v>
      </c>
      <c r="C60" s="32">
        <f>[4]С2!F21</f>
        <v>1</v>
      </c>
    </row>
    <row r="61" spans="1:3" ht="30" x14ac:dyDescent="0.2">
      <c r="A61" s="59" t="s">
        <v>76</v>
      </c>
      <c r="B61" s="31" t="s">
        <v>77</v>
      </c>
      <c r="C61" s="32">
        <f>[4]С2!F13</f>
        <v>105136.23090983224</v>
      </c>
    </row>
    <row r="62" spans="1:3" ht="30" x14ac:dyDescent="0.2">
      <c r="A62" s="59" t="s">
        <v>78</v>
      </c>
      <c r="B62" s="60" t="s">
        <v>79</v>
      </c>
      <c r="C62" s="32">
        <f>[4]С2!F14</f>
        <v>64899</v>
      </c>
    </row>
    <row r="63" spans="1:3" ht="15.75" x14ac:dyDescent="0.2">
      <c r="A63" s="59" t="s">
        <v>80</v>
      </c>
      <c r="B63" s="60" t="s">
        <v>81</v>
      </c>
      <c r="C63" s="40">
        <f>[4]С2!F15</f>
        <v>1.071</v>
      </c>
    </row>
    <row r="64" spans="1:3" ht="15.75" x14ac:dyDescent="0.2">
      <c r="A64" s="59" t="s">
        <v>82</v>
      </c>
      <c r="B64" s="60" t="s">
        <v>83</v>
      </c>
      <c r="C64" s="61">
        <f>[4]С2!F16</f>
        <v>1</v>
      </c>
    </row>
    <row r="65" spans="1:3" ht="17.25" x14ac:dyDescent="0.2">
      <c r="A65" s="59" t="s">
        <v>84</v>
      </c>
      <c r="B65" s="60" t="s">
        <v>85</v>
      </c>
      <c r="C65" s="62">
        <f>[4]С2!F17</f>
        <v>1.01</v>
      </c>
    </row>
    <row r="66" spans="1:3" s="65" customFormat="1" ht="14.25" x14ac:dyDescent="0.2">
      <c r="A66" s="59" t="s">
        <v>86</v>
      </c>
      <c r="B66" s="63" t="s">
        <v>87</v>
      </c>
      <c r="C66" s="64">
        <f>[4]С2!F35</f>
        <v>10</v>
      </c>
    </row>
    <row r="67" spans="1:3" ht="30" x14ac:dyDescent="0.2">
      <c r="A67" s="59" t="s">
        <v>88</v>
      </c>
      <c r="B67" s="66" t="s">
        <v>89</v>
      </c>
      <c r="C67" s="32">
        <f>[4]С2!F28</f>
        <v>150.75887532279913</v>
      </c>
    </row>
    <row r="68" spans="1:3" ht="17.25" x14ac:dyDescent="0.2">
      <c r="A68" s="59" t="s">
        <v>90</v>
      </c>
      <c r="B68" s="52" t="s">
        <v>91</v>
      </c>
      <c r="C68" s="40">
        <f>[4]С2!F29</f>
        <v>0.201330388</v>
      </c>
    </row>
    <row r="69" spans="1:3" ht="17.25" x14ac:dyDescent="0.2">
      <c r="A69" s="59" t="s">
        <v>92</v>
      </c>
      <c r="B69" s="58" t="s">
        <v>93</v>
      </c>
      <c r="C69" s="64">
        <f>[4]С2!F30</f>
        <v>500</v>
      </c>
    </row>
    <row r="70" spans="1:3" ht="42.75" x14ac:dyDescent="0.2">
      <c r="A70" s="59" t="s">
        <v>94</v>
      </c>
      <c r="B70" s="31" t="s">
        <v>95</v>
      </c>
      <c r="C70" s="32">
        <f>[4]С2!F22</f>
        <v>39638.324046481182</v>
      </c>
    </row>
    <row r="71" spans="1:3" ht="30" x14ac:dyDescent="0.2">
      <c r="A71" s="59" t="s">
        <v>96</v>
      </c>
      <c r="B71" s="60" t="s">
        <v>97</v>
      </c>
      <c r="C71" s="32">
        <f>[4]С2!F23</f>
        <v>21</v>
      </c>
    </row>
    <row r="72" spans="1:3" ht="30" x14ac:dyDescent="0.2">
      <c r="A72" s="59" t="s">
        <v>98</v>
      </c>
      <c r="B72" s="52" t="s">
        <v>99</v>
      </c>
      <c r="C72" s="32">
        <f>[4]С2.1!E28</f>
        <v>14036.09995</v>
      </c>
    </row>
    <row r="73" spans="1:3" ht="38.25" x14ac:dyDescent="0.2">
      <c r="A73" s="59" t="s">
        <v>100</v>
      </c>
      <c r="B73" s="67" t="s">
        <v>101</v>
      </c>
      <c r="C73" s="51">
        <f>[4]С2.3!E21</f>
        <v>0</v>
      </c>
    </row>
    <row r="74" spans="1:3" ht="25.5" x14ac:dyDescent="0.2">
      <c r="A74" s="59" t="s">
        <v>102</v>
      </c>
      <c r="B74" s="68" t="s">
        <v>103</v>
      </c>
      <c r="C74" s="69">
        <f>[4]С2.3!E11</f>
        <v>5.45</v>
      </c>
    </row>
    <row r="75" spans="1:3" ht="25.5" x14ac:dyDescent="0.2">
      <c r="A75" s="59" t="s">
        <v>104</v>
      </c>
      <c r="B75" s="68" t="s">
        <v>105</v>
      </c>
      <c r="C75" s="64">
        <f>[4]С2.3!E13</f>
        <v>300</v>
      </c>
    </row>
    <row r="76" spans="1:3" ht="25.5" x14ac:dyDescent="0.2">
      <c r="A76" s="59" t="s">
        <v>106</v>
      </c>
      <c r="B76" s="67" t="s">
        <v>107</v>
      </c>
      <c r="C76" s="70">
        <f>IF([4]С2.3!E22&gt;0,[4]С2.3!E22,[4]С2.3!E14)</f>
        <v>61211</v>
      </c>
    </row>
    <row r="77" spans="1:3" ht="38.25" x14ac:dyDescent="0.2">
      <c r="A77" s="59" t="s">
        <v>108</v>
      </c>
      <c r="B77" s="67" t="s">
        <v>109</v>
      </c>
      <c r="C77" s="70">
        <f>IF([4]С2.3!E23&gt;0,[4]С2.3!E23,[4]С2.3!E15)</f>
        <v>45675</v>
      </c>
    </row>
    <row r="78" spans="1:3" ht="30" x14ac:dyDescent="0.2">
      <c r="A78" s="59" t="s">
        <v>110</v>
      </c>
      <c r="B78" s="52" t="s">
        <v>111</v>
      </c>
      <c r="C78" s="32">
        <f>[4]С2.1!E29</f>
        <v>9518.3274000000001</v>
      </c>
    </row>
    <row r="79" spans="1:3" ht="38.25" x14ac:dyDescent="0.2">
      <c r="A79" s="59" t="s">
        <v>112</v>
      </c>
      <c r="B79" s="67" t="s">
        <v>113</v>
      </c>
      <c r="C79" s="51">
        <f>[4]С2.3!E25</f>
        <v>0</v>
      </c>
    </row>
    <row r="80" spans="1:3" ht="25.5" x14ac:dyDescent="0.2">
      <c r="A80" s="59" t="s">
        <v>114</v>
      </c>
      <c r="B80" s="68" t="s">
        <v>115</v>
      </c>
      <c r="C80" s="69">
        <f>[4]С2.3!E12</f>
        <v>0.2</v>
      </c>
    </row>
    <row r="81" spans="1:3" ht="25.5" x14ac:dyDescent="0.2">
      <c r="A81" s="59" t="s">
        <v>116</v>
      </c>
      <c r="B81" s="68" t="s">
        <v>105</v>
      </c>
      <c r="C81" s="64">
        <f>[4]С2.3!E13</f>
        <v>300</v>
      </c>
    </row>
    <row r="82" spans="1:3" ht="25.5" x14ac:dyDescent="0.2">
      <c r="A82" s="59" t="s">
        <v>117</v>
      </c>
      <c r="B82" s="71" t="s">
        <v>118</v>
      </c>
      <c r="C82" s="70">
        <f>IF([4]С2.3!E26&gt;0,[4]С2.3!E26,[4]С2.3!E16)</f>
        <v>65637</v>
      </c>
    </row>
    <row r="83" spans="1:3" ht="38.25" x14ac:dyDescent="0.2">
      <c r="A83" s="59" t="s">
        <v>119</v>
      </c>
      <c r="B83" s="71" t="s">
        <v>120</v>
      </c>
      <c r="C83" s="70">
        <f>IF([4]С2.3!E27&gt;0,[4]С2.3!E27,[4]С2.3!E17)</f>
        <v>31684</v>
      </c>
    </row>
    <row r="84" spans="1:3" ht="30" x14ac:dyDescent="0.2">
      <c r="A84" s="59" t="s">
        <v>121</v>
      </c>
      <c r="B84" s="60" t="s">
        <v>122</v>
      </c>
      <c r="C84" s="70">
        <f>IF([4]С2.1!E19&gt;0,[4]С2.1!E19,[4]С2!F26)</f>
        <v>2892</v>
      </c>
    </row>
    <row r="85" spans="1:3" ht="17.25" x14ac:dyDescent="0.2">
      <c r="A85" s="59" t="s">
        <v>123</v>
      </c>
      <c r="B85" s="31" t="s">
        <v>124</v>
      </c>
      <c r="C85" s="34">
        <f>[4]С2!F31</f>
        <v>9.5962865259740182E-2</v>
      </c>
    </row>
    <row r="86" spans="1:3" ht="30" x14ac:dyDescent="0.2">
      <c r="A86" s="59" t="s">
        <v>125</v>
      </c>
      <c r="B86" s="52" t="s">
        <v>126</v>
      </c>
      <c r="C86" s="72">
        <f>[4]С2!F32</f>
        <v>8.4029304029304031E-2</v>
      </c>
    </row>
    <row r="87" spans="1:3" ht="17.25" x14ac:dyDescent="0.2">
      <c r="A87" s="59" t="s">
        <v>127</v>
      </c>
      <c r="B87" s="73" t="s">
        <v>128</v>
      </c>
      <c r="C87" s="34">
        <f>[4]С2!F33</f>
        <v>0.13880000000000001</v>
      </c>
    </row>
    <row r="88" spans="1:3" s="65" customFormat="1" ht="18" thickBot="1" x14ac:dyDescent="0.25">
      <c r="A88" s="74" t="s">
        <v>129</v>
      </c>
      <c r="B88" s="75" t="s">
        <v>130</v>
      </c>
      <c r="C88" s="76">
        <f>[4]С2!F34</f>
        <v>0.12640000000000001</v>
      </c>
    </row>
    <row r="89" spans="1:3" ht="13.5" thickBot="1" x14ac:dyDescent="0.25">
      <c r="A89" s="47"/>
      <c r="B89" s="48"/>
      <c r="C89" s="14"/>
    </row>
    <row r="90" spans="1:3" s="65" customFormat="1" ht="30" customHeight="1" x14ac:dyDescent="0.2">
      <c r="A90" s="77" t="s">
        <v>131</v>
      </c>
      <c r="B90" s="145" t="s">
        <v>132</v>
      </c>
      <c r="C90" s="145"/>
    </row>
    <row r="91" spans="1:3" s="65" customFormat="1" ht="30" x14ac:dyDescent="0.2">
      <c r="A91" s="78" t="s">
        <v>133</v>
      </c>
      <c r="B91" s="31" t="s">
        <v>134</v>
      </c>
      <c r="C91" s="32">
        <f>[4]С3!F14</f>
        <v>4200.2698001645867</v>
      </c>
    </row>
    <row r="92" spans="1:3" s="65" customFormat="1" ht="42.75" x14ac:dyDescent="0.2">
      <c r="A92" s="78" t="s">
        <v>135</v>
      </c>
      <c r="B92" s="52" t="s">
        <v>136</v>
      </c>
      <c r="C92" s="79">
        <f>[4]С3!F15</f>
        <v>0.2</v>
      </c>
    </row>
    <row r="93" spans="1:3" s="65" customFormat="1" ht="14.25" x14ac:dyDescent="0.2">
      <c r="A93" s="78" t="s">
        <v>137</v>
      </c>
      <c r="B93" s="80" t="s">
        <v>138</v>
      </c>
      <c r="C93" s="64">
        <f>[4]С3!F18</f>
        <v>15</v>
      </c>
    </row>
    <row r="94" spans="1:3" s="65" customFormat="1" ht="17.25" x14ac:dyDescent="0.2">
      <c r="A94" s="78" t="s">
        <v>139</v>
      </c>
      <c r="B94" s="31" t="s">
        <v>140</v>
      </c>
      <c r="C94" s="32">
        <f>[4]С3!F19</f>
        <v>2638.2577020926874</v>
      </c>
    </row>
    <row r="95" spans="1:3" s="65" customFormat="1" ht="55.5" x14ac:dyDescent="0.2">
      <c r="A95" s="78" t="s">
        <v>141</v>
      </c>
      <c r="B95" s="52" t="s">
        <v>142</v>
      </c>
      <c r="C95" s="81">
        <f>[4]С3!F20</f>
        <v>2.1999999999999999E-2</v>
      </c>
    </row>
    <row r="96" spans="1:3" s="65" customFormat="1" ht="14.25" x14ac:dyDescent="0.2">
      <c r="A96" s="78" t="s">
        <v>143</v>
      </c>
      <c r="B96" s="58" t="s">
        <v>87</v>
      </c>
      <c r="C96" s="64">
        <f>[4]С3!F21</f>
        <v>10</v>
      </c>
    </row>
    <row r="97" spans="1:3" s="65" customFormat="1" ht="17.25" x14ac:dyDescent="0.2">
      <c r="A97" s="78" t="s">
        <v>144</v>
      </c>
      <c r="B97" s="31" t="s">
        <v>145</v>
      </c>
      <c r="C97" s="32">
        <f>[4]С3!F22</f>
        <v>0.45227662596839741</v>
      </c>
    </row>
    <row r="98" spans="1:3" s="65" customFormat="1" ht="55.5" x14ac:dyDescent="0.2">
      <c r="A98" s="78" t="s">
        <v>146</v>
      </c>
      <c r="B98" s="52" t="s">
        <v>147</v>
      </c>
      <c r="C98" s="81">
        <f>[4]С3!F23</f>
        <v>3.0000000000000001E-3</v>
      </c>
    </row>
    <row r="99" spans="1:3" s="65" customFormat="1" ht="30.75" thickBot="1" x14ac:dyDescent="0.25">
      <c r="A99" s="82" t="s">
        <v>148</v>
      </c>
      <c r="B99" s="83" t="s">
        <v>89</v>
      </c>
      <c r="C99" s="84">
        <f>[4]С3!F24</f>
        <v>150.75887532279913</v>
      </c>
    </row>
    <row r="100" spans="1:3" ht="13.5" thickBot="1" x14ac:dyDescent="0.25">
      <c r="A100" s="47"/>
      <c r="B100" s="48"/>
      <c r="C100" s="14"/>
    </row>
    <row r="101" spans="1:3" ht="30" customHeight="1" x14ac:dyDescent="0.2">
      <c r="A101" s="85" t="s">
        <v>149</v>
      </c>
      <c r="B101" s="145" t="s">
        <v>150</v>
      </c>
      <c r="C101" s="145"/>
    </row>
    <row r="102" spans="1:3" ht="30" x14ac:dyDescent="0.2">
      <c r="A102" s="59" t="s">
        <v>151</v>
      </c>
      <c r="B102" s="31" t="s">
        <v>152</v>
      </c>
      <c r="C102" s="32">
        <f>[4]С4!F16</f>
        <v>832.33500000000004</v>
      </c>
    </row>
    <row r="103" spans="1:3" ht="30" x14ac:dyDescent="0.2">
      <c r="A103" s="59" t="s">
        <v>153</v>
      </c>
      <c r="B103" s="58" t="s">
        <v>154</v>
      </c>
      <c r="C103" s="32">
        <f>[4]С4!F17</f>
        <v>43385</v>
      </c>
    </row>
    <row r="104" spans="1:3" ht="17.25" x14ac:dyDescent="0.2">
      <c r="A104" s="59" t="s">
        <v>155</v>
      </c>
      <c r="B104" s="58" t="s">
        <v>156</v>
      </c>
      <c r="C104" s="40">
        <f>[4]С4!F18</f>
        <v>1.4999999999999999E-2</v>
      </c>
    </row>
    <row r="105" spans="1:3" ht="30" x14ac:dyDescent="0.2">
      <c r="A105" s="59" t="s">
        <v>157</v>
      </c>
      <c r="B105" s="58" t="s">
        <v>158</v>
      </c>
      <c r="C105" s="32">
        <f>[4]С4!F19</f>
        <v>12104</v>
      </c>
    </row>
    <row r="106" spans="1:3" ht="28.5" x14ac:dyDescent="0.2">
      <c r="A106" s="59" t="s">
        <v>159</v>
      </c>
      <c r="B106" s="58" t="s">
        <v>160</v>
      </c>
      <c r="C106" s="40">
        <f>[4]С4!F20</f>
        <v>1.4999999999999999E-2</v>
      </c>
    </row>
    <row r="107" spans="1:3" ht="30" x14ac:dyDescent="0.2">
      <c r="A107" s="59" t="s">
        <v>161</v>
      </c>
      <c r="B107" s="31" t="s">
        <v>162</v>
      </c>
      <c r="C107" s="32">
        <f>[4]С4!F21</f>
        <v>1221.9019409821399</v>
      </c>
    </row>
    <row r="108" spans="1:3" ht="45.6" customHeight="1" x14ac:dyDescent="0.2">
      <c r="A108" s="59" t="s">
        <v>163</v>
      </c>
      <c r="B108" s="52" t="s">
        <v>164</v>
      </c>
      <c r="C108" s="33" t="str">
        <f>IF([4]С4.2!F8="да",[4]С4.2!D21,[4]С4.2!D15)</f>
        <v>АО "Новосибирскэнергосбыт"</v>
      </c>
    </row>
    <row r="109" spans="1:3" ht="68.25" customHeight="1" x14ac:dyDescent="0.2">
      <c r="A109" s="59" t="s">
        <v>165</v>
      </c>
      <c r="B109" s="52" t="s">
        <v>166</v>
      </c>
      <c r="C109" s="32">
        <f>[4]С4!F22</f>
        <v>3.6112641666666665</v>
      </c>
    </row>
    <row r="110" spans="1:3" ht="30" x14ac:dyDescent="0.2">
      <c r="A110" s="59" t="s">
        <v>167</v>
      </c>
      <c r="B110" s="58" t="s">
        <v>168</v>
      </c>
      <c r="C110" s="64">
        <f>[4]С4!F23</f>
        <v>110</v>
      </c>
    </row>
    <row r="111" spans="1:3" ht="14.25" x14ac:dyDescent="0.2">
      <c r="A111" s="59" t="s">
        <v>169</v>
      </c>
      <c r="B111" s="52" t="s">
        <v>170</v>
      </c>
      <c r="C111" s="32">
        <f>[4]С4!F24</f>
        <v>8497.1999999999989</v>
      </c>
    </row>
    <row r="112" spans="1:3" ht="14.25" x14ac:dyDescent="0.2">
      <c r="A112" s="59" t="s">
        <v>171</v>
      </c>
      <c r="B112" s="58" t="s">
        <v>172</v>
      </c>
      <c r="C112" s="40">
        <f>[4]С4!F25</f>
        <v>0.36199999999999999</v>
      </c>
    </row>
    <row r="113" spans="1:3" ht="17.25" x14ac:dyDescent="0.2">
      <c r="A113" s="59" t="s">
        <v>173</v>
      </c>
      <c r="B113" s="31" t="s">
        <v>174</v>
      </c>
      <c r="C113" s="32">
        <f>[4]С4!F26</f>
        <v>44.224820000000001</v>
      </c>
    </row>
    <row r="114" spans="1:3" ht="25.5" x14ac:dyDescent="0.2">
      <c r="A114" s="59" t="s">
        <v>175</v>
      </c>
      <c r="B114" s="52" t="s">
        <v>101</v>
      </c>
      <c r="C114" s="33">
        <f>[4]С4.3!E16</f>
        <v>0</v>
      </c>
    </row>
    <row r="115" spans="1:3" ht="25.5" x14ac:dyDescent="0.2">
      <c r="A115" s="59" t="s">
        <v>176</v>
      </c>
      <c r="B115" s="52" t="s">
        <v>177</v>
      </c>
      <c r="C115" s="32">
        <f>[4]С4.3!E17</f>
        <v>20.675000000000001</v>
      </c>
    </row>
    <row r="116" spans="1:3" ht="38.25" x14ac:dyDescent="0.2">
      <c r="A116" s="59" t="s">
        <v>178</v>
      </c>
      <c r="B116" s="52" t="s">
        <v>113</v>
      </c>
      <c r="C116" s="33">
        <f>[4]С4.3!E18</f>
        <v>0</v>
      </c>
    </row>
    <row r="117" spans="1:3" x14ac:dyDescent="0.2">
      <c r="A117" s="59" t="s">
        <v>179</v>
      </c>
      <c r="B117" s="52" t="s">
        <v>180</v>
      </c>
      <c r="C117" s="32">
        <f>[4]С4.3!E19</f>
        <v>58.64</v>
      </c>
    </row>
    <row r="118" spans="1:3" x14ac:dyDescent="0.2">
      <c r="A118" s="59" t="s">
        <v>181</v>
      </c>
      <c r="B118" s="58" t="s">
        <v>182</v>
      </c>
      <c r="C118" s="64">
        <f>[4]С4.3!E11</f>
        <v>1871</v>
      </c>
    </row>
    <row r="119" spans="1:3" x14ac:dyDescent="0.2">
      <c r="A119" s="59" t="s">
        <v>183</v>
      </c>
      <c r="B119" s="58" t="s">
        <v>184</v>
      </c>
      <c r="C119" s="51">
        <f>[4]С4.3!E12</f>
        <v>61</v>
      </c>
    </row>
    <row r="120" spans="1:3" x14ac:dyDescent="0.2">
      <c r="A120" s="59" t="s">
        <v>185</v>
      </c>
      <c r="B120" s="58" t="s">
        <v>186</v>
      </c>
      <c r="C120" s="51">
        <f>[4]С4.3!E13</f>
        <v>73</v>
      </c>
    </row>
    <row r="121" spans="1:3" ht="30" x14ac:dyDescent="0.2">
      <c r="A121" s="59" t="s">
        <v>187</v>
      </c>
      <c r="B121" s="31" t="s">
        <v>188</v>
      </c>
      <c r="C121" s="32">
        <f>[4]С4!F27</f>
        <v>946.59139764731083</v>
      </c>
    </row>
    <row r="122" spans="1:3" ht="25.5" x14ac:dyDescent="0.2">
      <c r="A122" s="59" t="s">
        <v>189</v>
      </c>
      <c r="B122" s="52" t="s">
        <v>190</v>
      </c>
      <c r="C122" s="32">
        <f>[4]С4!F28</f>
        <v>727.02872323142151</v>
      </c>
    </row>
    <row r="123" spans="1:3" ht="42.75" x14ac:dyDescent="0.2">
      <c r="A123" s="59" t="s">
        <v>191</v>
      </c>
      <c r="B123" s="52" t="s">
        <v>192</v>
      </c>
      <c r="C123" s="32">
        <f>[4]С4!F29</f>
        <v>219.56267441588932</v>
      </c>
    </row>
    <row r="124" spans="1:3" ht="30.75" thickBot="1" x14ac:dyDescent="0.25">
      <c r="A124" s="74" t="s">
        <v>193</v>
      </c>
      <c r="B124" s="86" t="s">
        <v>194</v>
      </c>
      <c r="C124" s="84">
        <f>[4]С4!F30</f>
        <v>478.46897971470611</v>
      </c>
    </row>
    <row r="125" spans="1:3" s="87" customFormat="1" ht="13.5" thickBot="1" x14ac:dyDescent="0.25">
      <c r="A125" s="47"/>
      <c r="B125" s="48"/>
      <c r="C125" s="14"/>
    </row>
    <row r="126" spans="1:3" s="65" customFormat="1" ht="30" customHeight="1" x14ac:dyDescent="0.2">
      <c r="A126" s="77" t="s">
        <v>195</v>
      </c>
      <c r="B126" s="145" t="s">
        <v>196</v>
      </c>
      <c r="C126" s="145"/>
    </row>
    <row r="127" spans="1:3" ht="30.6" customHeight="1" thickBot="1" x14ac:dyDescent="0.25">
      <c r="A127" s="26" t="s">
        <v>197</v>
      </c>
      <c r="B127" s="86" t="s">
        <v>198</v>
      </c>
      <c r="C127" s="84">
        <f>[4]С5!F17</f>
        <v>0.02</v>
      </c>
    </row>
    <row r="128" spans="1:3" s="87" customFormat="1" ht="13.5" thickBot="1" x14ac:dyDescent="0.25">
      <c r="A128" s="47"/>
      <c r="B128" s="48"/>
      <c r="C128" s="14"/>
    </row>
    <row r="129" spans="1:3" ht="42.75" customHeight="1" x14ac:dyDescent="0.2">
      <c r="A129" s="85" t="s">
        <v>199</v>
      </c>
      <c r="B129" s="145" t="s">
        <v>200</v>
      </c>
      <c r="C129" s="145"/>
    </row>
    <row r="130" spans="1:3" ht="68.25" x14ac:dyDescent="0.2">
      <c r="A130" s="59" t="s">
        <v>201</v>
      </c>
      <c r="B130" s="88" t="s">
        <v>202</v>
      </c>
      <c r="C130" s="32" t="str">
        <f>IF([4]С6.1!E11="нет",[4]С6!F13,"")</f>
        <v/>
      </c>
    </row>
    <row r="131" spans="1:3" ht="42.75" x14ac:dyDescent="0.2">
      <c r="A131" s="59" t="s">
        <v>203</v>
      </c>
      <c r="B131" s="89" t="s">
        <v>204</v>
      </c>
      <c r="C131" s="90" t="str">
        <f>IF([4]С6.1!E12="нет",[4]С6.1!E17,"")</f>
        <v/>
      </c>
    </row>
    <row r="132" spans="1:3" ht="68.25" x14ac:dyDescent="0.2">
      <c r="A132" s="59" t="s">
        <v>205</v>
      </c>
      <c r="B132" s="88" t="s">
        <v>206</v>
      </c>
      <c r="C132" s="91" t="str">
        <f>IF([4]С6.1!E18="нет",[4]С6!F19,"")</f>
        <v/>
      </c>
    </row>
    <row r="133" spans="1:3" ht="55.5" x14ac:dyDescent="0.2">
      <c r="A133" s="59" t="s">
        <v>207</v>
      </c>
      <c r="B133" s="89" t="s">
        <v>208</v>
      </c>
      <c r="C133" s="34" t="str">
        <f>IF([4]С6.1!E18="нет",[4]С6.1!E19,"")</f>
        <v/>
      </c>
    </row>
    <row r="134" spans="1:3" ht="61.5" customHeight="1" x14ac:dyDescent="0.2">
      <c r="A134" s="59" t="s">
        <v>209</v>
      </c>
      <c r="B134" s="89" t="s">
        <v>210</v>
      </c>
      <c r="C134" s="34" t="str">
        <f>IF([4]С6.1!E18="нет",[4]С6.1!E22,"")</f>
        <v/>
      </c>
    </row>
    <row r="135" spans="1:3" ht="69" thickBot="1" x14ac:dyDescent="0.25">
      <c r="A135" s="74" t="s">
        <v>211</v>
      </c>
      <c r="B135" s="92" t="s">
        <v>212</v>
      </c>
      <c r="C135" s="76" t="str">
        <f>IF([4]С6.1!E18="нет",[4]С6.1!E23,"")</f>
        <v/>
      </c>
    </row>
    <row r="136" spans="1:3" s="87" customFormat="1" ht="13.5" thickBot="1" x14ac:dyDescent="0.25">
      <c r="A136" s="47"/>
      <c r="B136" s="48"/>
      <c r="C136" s="14"/>
    </row>
    <row r="137" spans="1:3" ht="15.75" x14ac:dyDescent="0.2">
      <c r="A137" s="85" t="s">
        <v>213</v>
      </c>
      <c r="B137" s="93" t="s">
        <v>214</v>
      </c>
      <c r="C137" s="94">
        <f>[4]С2!F39</f>
        <v>21.531904799999996</v>
      </c>
    </row>
    <row r="138" spans="1:3" ht="14.25" x14ac:dyDescent="0.2">
      <c r="A138" s="59" t="s">
        <v>215</v>
      </c>
      <c r="B138" s="58" t="s">
        <v>216</v>
      </c>
      <c r="C138" s="32">
        <f>[4]С2!F40</f>
        <v>7</v>
      </c>
    </row>
    <row r="139" spans="1:3" ht="17.25" x14ac:dyDescent="0.2">
      <c r="A139" s="59" t="s">
        <v>217</v>
      </c>
      <c r="B139" s="58" t="s">
        <v>218</v>
      </c>
      <c r="C139" s="32">
        <f>[4]С2!F42</f>
        <v>0.97</v>
      </c>
    </row>
    <row r="140" spans="1:3" ht="15" thickBot="1" x14ac:dyDescent="0.25">
      <c r="A140" s="74" t="s">
        <v>219</v>
      </c>
      <c r="B140" s="75" t="s">
        <v>220</v>
      </c>
      <c r="C140" s="46">
        <f>[4]С2!F44</f>
        <v>0.36199999999999999</v>
      </c>
    </row>
    <row r="141" spans="1:3" s="87" customFormat="1" ht="13.5" thickBot="1" x14ac:dyDescent="0.25">
      <c r="A141" s="47"/>
      <c r="B141" s="48"/>
      <c r="C141" s="14"/>
    </row>
    <row r="142" spans="1:3" ht="17.25" x14ac:dyDescent="0.2">
      <c r="A142" s="85" t="s">
        <v>221</v>
      </c>
      <c r="B142" s="95" t="s">
        <v>222</v>
      </c>
      <c r="C142" s="96">
        <f>[4]С2!F37</f>
        <v>1.4976266307379205</v>
      </c>
    </row>
    <row r="143" spans="1:3" ht="17.25" customHeight="1" thickBot="1" x14ac:dyDescent="0.25">
      <c r="A143" s="74" t="s">
        <v>223</v>
      </c>
      <c r="B143" s="141" t="s">
        <v>224</v>
      </c>
      <c r="C143" s="141"/>
    </row>
    <row r="144" spans="1:3" x14ac:dyDescent="0.2">
      <c r="A144" s="97"/>
      <c r="B144" s="98" t="s">
        <v>0</v>
      </c>
      <c r="C144" s="99"/>
    </row>
    <row r="145" spans="1:3" x14ac:dyDescent="0.2">
      <c r="A145" s="97"/>
      <c r="B145" s="100">
        <v>2020</v>
      </c>
      <c r="C145" s="101">
        <f>[4]С2.5!$E$11</f>
        <v>-2.9000000000000026E-2</v>
      </c>
    </row>
    <row r="146" spans="1:3" x14ac:dyDescent="0.2">
      <c r="B146" s="100">
        <f>B145+1</f>
        <v>2021</v>
      </c>
      <c r="C146" s="102">
        <f>[4]С2.5!$F$11</f>
        <v>0.245</v>
      </c>
    </row>
    <row r="147" spans="1:3" x14ac:dyDescent="0.2">
      <c r="B147" s="100">
        <f t="shared" ref="B147:B210" si="0">B146+1</f>
        <v>2022</v>
      </c>
      <c r="C147" s="103">
        <f>[4]С2.5!$G$11</f>
        <v>0.114</v>
      </c>
    </row>
    <row r="148" spans="1:3" x14ac:dyDescent="0.2">
      <c r="B148" s="104">
        <f t="shared" si="0"/>
        <v>2023</v>
      </c>
      <c r="C148" s="105">
        <f>[4]С2.5!$H$11</f>
        <v>2.4E-2</v>
      </c>
    </row>
    <row r="149" spans="1:3" ht="13.5" thickBot="1" x14ac:dyDescent="0.25">
      <c r="B149" s="104">
        <f t="shared" si="0"/>
        <v>2024</v>
      </c>
      <c r="C149" s="105">
        <f>[4]С2.5!$I$11</f>
        <v>8.5999999999999993E-2</v>
      </c>
    </row>
    <row r="150" spans="1:3" ht="13.5" hidden="1" thickBot="1" x14ac:dyDescent="0.25">
      <c r="B150" s="104">
        <f t="shared" si="0"/>
        <v>2025</v>
      </c>
      <c r="C150" s="105">
        <f>[4]С2.5!$J$11</f>
        <v>0</v>
      </c>
    </row>
    <row r="151" spans="1:3" ht="13.5" hidden="1" thickBot="1" x14ac:dyDescent="0.25">
      <c r="B151" s="104">
        <f t="shared" si="0"/>
        <v>2026</v>
      </c>
      <c r="C151" s="105">
        <f>[4]С2.5!$K$11</f>
        <v>0</v>
      </c>
    </row>
    <row r="152" spans="1:3" ht="13.5" hidden="1" thickBot="1" x14ac:dyDescent="0.25">
      <c r="B152" s="104">
        <f t="shared" si="0"/>
        <v>2027</v>
      </c>
      <c r="C152" s="105">
        <f>[4]С2.5!$L$11</f>
        <v>0</v>
      </c>
    </row>
    <row r="153" spans="1:3" ht="13.5" hidden="1" thickBot="1" x14ac:dyDescent="0.25">
      <c r="B153" s="104">
        <f t="shared" si="0"/>
        <v>2028</v>
      </c>
      <c r="C153" s="105">
        <f>[4]С2.5!$M$11</f>
        <v>0</v>
      </c>
    </row>
    <row r="154" spans="1:3" ht="13.5" hidden="1" thickBot="1" x14ac:dyDescent="0.25">
      <c r="B154" s="104">
        <f t="shared" si="0"/>
        <v>2029</v>
      </c>
      <c r="C154" s="105">
        <f>[4]С2.5!$N$11</f>
        <v>0</v>
      </c>
    </row>
    <row r="155" spans="1:3" ht="13.5" hidden="1" thickBot="1" x14ac:dyDescent="0.25">
      <c r="B155" s="104">
        <f t="shared" si="0"/>
        <v>2030</v>
      </c>
      <c r="C155" s="105">
        <f>[4]С2.5!$O$11</f>
        <v>0</v>
      </c>
    </row>
    <row r="156" spans="1:3" ht="13.5" hidden="1" thickBot="1" x14ac:dyDescent="0.25">
      <c r="B156" s="104">
        <f t="shared" si="0"/>
        <v>2031</v>
      </c>
      <c r="C156" s="105">
        <f>[4]С2.5!$P$11</f>
        <v>0</v>
      </c>
    </row>
    <row r="157" spans="1:3" ht="13.5" hidden="1" thickBot="1" x14ac:dyDescent="0.25">
      <c r="B157" s="104">
        <f t="shared" si="0"/>
        <v>2032</v>
      </c>
      <c r="C157" s="105">
        <f>[4]С2.5!$Q$11</f>
        <v>0</v>
      </c>
    </row>
    <row r="158" spans="1:3" ht="13.5" hidden="1" thickBot="1" x14ac:dyDescent="0.25">
      <c r="B158" s="104">
        <f t="shared" si="0"/>
        <v>2033</v>
      </c>
      <c r="C158" s="105">
        <f>[4]С2.5!$R$11</f>
        <v>0</v>
      </c>
    </row>
    <row r="159" spans="1:3" ht="13.5" hidden="1" thickBot="1" x14ac:dyDescent="0.25">
      <c r="B159" s="104">
        <f t="shared" si="0"/>
        <v>2034</v>
      </c>
      <c r="C159" s="105">
        <f>[4]С2.5!$S$11</f>
        <v>0</v>
      </c>
    </row>
    <row r="160" spans="1:3" ht="13.5" hidden="1" thickBot="1" x14ac:dyDescent="0.25">
      <c r="B160" s="104">
        <f t="shared" si="0"/>
        <v>2035</v>
      </c>
      <c r="C160" s="105">
        <f>[4]С2.5!$T$11</f>
        <v>0</v>
      </c>
    </row>
    <row r="161" spans="2:3" ht="13.5" hidden="1" thickBot="1" x14ac:dyDescent="0.25">
      <c r="B161" s="104">
        <f t="shared" si="0"/>
        <v>2036</v>
      </c>
      <c r="C161" s="105">
        <f>[4]С2.5!$U$11</f>
        <v>0</v>
      </c>
    </row>
    <row r="162" spans="2:3" ht="13.5" hidden="1" thickBot="1" x14ac:dyDescent="0.25">
      <c r="B162" s="104">
        <f t="shared" si="0"/>
        <v>2037</v>
      </c>
      <c r="C162" s="105">
        <f>[4]С2.5!$V$11</f>
        <v>0</v>
      </c>
    </row>
    <row r="163" spans="2:3" ht="13.5" hidden="1" thickBot="1" x14ac:dyDescent="0.25">
      <c r="B163" s="104">
        <f t="shared" si="0"/>
        <v>2038</v>
      </c>
      <c r="C163" s="105">
        <f>[4]С2.5!$W$11</f>
        <v>0</v>
      </c>
    </row>
    <row r="164" spans="2:3" ht="13.5" hidden="1" thickBot="1" x14ac:dyDescent="0.25">
      <c r="B164" s="104">
        <f t="shared" si="0"/>
        <v>2039</v>
      </c>
      <c r="C164" s="105">
        <f>[4]С2.5!$X$11</f>
        <v>0</v>
      </c>
    </row>
    <row r="165" spans="2:3" ht="13.5" hidden="1" thickBot="1" x14ac:dyDescent="0.25">
      <c r="B165" s="104">
        <f t="shared" si="0"/>
        <v>2040</v>
      </c>
      <c r="C165" s="105">
        <f>[4]С2.5!$Y$11</f>
        <v>0</v>
      </c>
    </row>
    <row r="166" spans="2:3" ht="13.5" hidden="1" thickBot="1" x14ac:dyDescent="0.25">
      <c r="B166" s="104">
        <f t="shared" si="0"/>
        <v>2041</v>
      </c>
      <c r="C166" s="105">
        <f>[4]С2.5!$Z$11</f>
        <v>0</v>
      </c>
    </row>
    <row r="167" spans="2:3" ht="13.5" hidden="1" thickBot="1" x14ac:dyDescent="0.25">
      <c r="B167" s="104">
        <f t="shared" si="0"/>
        <v>2042</v>
      </c>
      <c r="C167" s="105">
        <f>[4]С2.5!$AA$11</f>
        <v>0</v>
      </c>
    </row>
    <row r="168" spans="2:3" ht="13.5" hidden="1" thickBot="1" x14ac:dyDescent="0.25">
      <c r="B168" s="104">
        <f t="shared" si="0"/>
        <v>2043</v>
      </c>
      <c r="C168" s="105">
        <f>[4]С2.5!$AB$11</f>
        <v>0</v>
      </c>
    </row>
    <row r="169" spans="2:3" ht="13.5" hidden="1" thickBot="1" x14ac:dyDescent="0.25">
      <c r="B169" s="104">
        <f t="shared" si="0"/>
        <v>2044</v>
      </c>
      <c r="C169" s="105">
        <f>[4]С2.5!$AC$11</f>
        <v>0</v>
      </c>
    </row>
    <row r="170" spans="2:3" ht="13.5" hidden="1" thickBot="1" x14ac:dyDescent="0.25">
      <c r="B170" s="104">
        <f t="shared" si="0"/>
        <v>2045</v>
      </c>
      <c r="C170" s="105">
        <f>[4]С2.5!$AD$11</f>
        <v>0</v>
      </c>
    </row>
    <row r="171" spans="2:3" ht="13.5" hidden="1" thickBot="1" x14ac:dyDescent="0.25">
      <c r="B171" s="104">
        <f t="shared" si="0"/>
        <v>2046</v>
      </c>
      <c r="C171" s="105">
        <f>[4]С2.5!$AE$11</f>
        <v>0</v>
      </c>
    </row>
    <row r="172" spans="2:3" ht="13.5" hidden="1" thickBot="1" x14ac:dyDescent="0.25">
      <c r="B172" s="104">
        <f t="shared" si="0"/>
        <v>2047</v>
      </c>
      <c r="C172" s="105">
        <f>[4]С2.5!$AF$11</f>
        <v>0</v>
      </c>
    </row>
    <row r="173" spans="2:3" ht="13.5" hidden="1" thickBot="1" x14ac:dyDescent="0.25">
      <c r="B173" s="104">
        <f t="shared" si="0"/>
        <v>2048</v>
      </c>
      <c r="C173" s="105">
        <f>[4]С2.5!$AG$11</f>
        <v>0</v>
      </c>
    </row>
    <row r="174" spans="2:3" ht="13.5" hidden="1" thickBot="1" x14ac:dyDescent="0.25">
      <c r="B174" s="104">
        <f t="shared" si="0"/>
        <v>2049</v>
      </c>
      <c r="C174" s="105">
        <f>[4]С2.5!$AH$11</f>
        <v>0</v>
      </c>
    </row>
    <row r="175" spans="2:3" ht="13.5" hidden="1" thickBot="1" x14ac:dyDescent="0.25">
      <c r="B175" s="104">
        <f t="shared" si="0"/>
        <v>2050</v>
      </c>
      <c r="C175" s="105">
        <f>[4]С2.5!$AI$11</f>
        <v>0</v>
      </c>
    </row>
    <row r="176" spans="2:3" ht="13.5" hidden="1" thickBot="1" x14ac:dyDescent="0.25">
      <c r="B176" s="104">
        <f t="shared" si="0"/>
        <v>2051</v>
      </c>
      <c r="C176" s="105">
        <f>[4]С2.5!$AJ$11</f>
        <v>0</v>
      </c>
    </row>
    <row r="177" spans="2:3" ht="13.5" hidden="1" thickBot="1" x14ac:dyDescent="0.25">
      <c r="B177" s="104">
        <f t="shared" si="0"/>
        <v>2052</v>
      </c>
      <c r="C177" s="105">
        <f>[4]С2.5!$AK$11</f>
        <v>0</v>
      </c>
    </row>
    <row r="178" spans="2:3" ht="13.5" hidden="1" thickBot="1" x14ac:dyDescent="0.25">
      <c r="B178" s="104">
        <f t="shared" si="0"/>
        <v>2053</v>
      </c>
      <c r="C178" s="105">
        <f>[4]С2.5!$AL$11</f>
        <v>0</v>
      </c>
    </row>
    <row r="179" spans="2:3" ht="13.5" hidden="1" thickBot="1" x14ac:dyDescent="0.25">
      <c r="B179" s="104">
        <f t="shared" si="0"/>
        <v>2054</v>
      </c>
      <c r="C179" s="105">
        <f>[4]С2.5!$AM$11</f>
        <v>0</v>
      </c>
    </row>
    <row r="180" spans="2:3" ht="13.5" hidden="1" thickBot="1" x14ac:dyDescent="0.25">
      <c r="B180" s="104">
        <f t="shared" si="0"/>
        <v>2055</v>
      </c>
      <c r="C180" s="105">
        <f>[4]С2.5!$AN$11</f>
        <v>0</v>
      </c>
    </row>
    <row r="181" spans="2:3" ht="13.5" hidden="1" thickBot="1" x14ac:dyDescent="0.25">
      <c r="B181" s="104">
        <f t="shared" si="0"/>
        <v>2056</v>
      </c>
      <c r="C181" s="105">
        <f>[4]С2.5!$AO$11</f>
        <v>0</v>
      </c>
    </row>
    <row r="182" spans="2:3" ht="13.5" hidden="1" thickBot="1" x14ac:dyDescent="0.25">
      <c r="B182" s="104">
        <f t="shared" si="0"/>
        <v>2057</v>
      </c>
      <c r="C182" s="105">
        <f>[4]С2.5!$AP$11</f>
        <v>0</v>
      </c>
    </row>
    <row r="183" spans="2:3" ht="13.5" hidden="1" thickBot="1" x14ac:dyDescent="0.25">
      <c r="B183" s="104">
        <f t="shared" si="0"/>
        <v>2058</v>
      </c>
      <c r="C183" s="105">
        <f>[4]С2.5!$AQ$11</f>
        <v>0</v>
      </c>
    </row>
    <row r="184" spans="2:3" ht="13.5" hidden="1" thickBot="1" x14ac:dyDescent="0.25">
      <c r="B184" s="104">
        <f t="shared" si="0"/>
        <v>2059</v>
      </c>
      <c r="C184" s="105">
        <f>[4]С2.5!$AR$11</f>
        <v>0</v>
      </c>
    </row>
    <row r="185" spans="2:3" ht="13.5" hidden="1" thickBot="1" x14ac:dyDescent="0.25">
      <c r="B185" s="104">
        <f t="shared" si="0"/>
        <v>2060</v>
      </c>
      <c r="C185" s="105">
        <f>[4]С2.5!$AS$11</f>
        <v>0</v>
      </c>
    </row>
    <row r="186" spans="2:3" ht="13.5" hidden="1" thickBot="1" x14ac:dyDescent="0.25">
      <c r="B186" s="104">
        <f t="shared" si="0"/>
        <v>2061</v>
      </c>
      <c r="C186" s="105">
        <f>[4]С2.5!$AT$11</f>
        <v>0</v>
      </c>
    </row>
    <row r="187" spans="2:3" ht="13.5" hidden="1" thickBot="1" x14ac:dyDescent="0.25">
      <c r="B187" s="104">
        <f t="shared" si="0"/>
        <v>2062</v>
      </c>
      <c r="C187" s="105">
        <f>[4]С2.5!$AU$11</f>
        <v>0</v>
      </c>
    </row>
    <row r="188" spans="2:3" ht="13.5" hidden="1" thickBot="1" x14ac:dyDescent="0.25">
      <c r="B188" s="104">
        <f t="shared" si="0"/>
        <v>2063</v>
      </c>
      <c r="C188" s="105">
        <f>[4]С2.5!$AV$11</f>
        <v>0</v>
      </c>
    </row>
    <row r="189" spans="2:3" ht="13.5" hidden="1" thickBot="1" x14ac:dyDescent="0.25">
      <c r="B189" s="104">
        <f t="shared" si="0"/>
        <v>2064</v>
      </c>
      <c r="C189" s="105">
        <f>[4]С2.5!$AW$11</f>
        <v>0</v>
      </c>
    </row>
    <row r="190" spans="2:3" ht="13.5" hidden="1" thickBot="1" x14ac:dyDescent="0.25">
      <c r="B190" s="104">
        <f t="shared" si="0"/>
        <v>2065</v>
      </c>
      <c r="C190" s="105">
        <f>[4]С2.5!$AX$11</f>
        <v>0</v>
      </c>
    </row>
    <row r="191" spans="2:3" ht="13.5" hidden="1" thickBot="1" x14ac:dyDescent="0.25">
      <c r="B191" s="104">
        <f t="shared" si="0"/>
        <v>2066</v>
      </c>
      <c r="C191" s="105">
        <f>[4]С2.5!$AY$11</f>
        <v>0</v>
      </c>
    </row>
    <row r="192" spans="2:3" ht="13.5" hidden="1" thickBot="1" x14ac:dyDescent="0.25">
      <c r="B192" s="104">
        <f t="shared" si="0"/>
        <v>2067</v>
      </c>
      <c r="C192" s="105">
        <f>[4]С2.5!$AZ$11</f>
        <v>0</v>
      </c>
    </row>
    <row r="193" spans="2:3" ht="13.5" hidden="1" thickBot="1" x14ac:dyDescent="0.25">
      <c r="B193" s="104">
        <f t="shared" si="0"/>
        <v>2068</v>
      </c>
      <c r="C193" s="105">
        <f>[4]С2.5!$BA$11</f>
        <v>0</v>
      </c>
    </row>
    <row r="194" spans="2:3" ht="13.5" hidden="1" thickBot="1" x14ac:dyDescent="0.25">
      <c r="B194" s="104">
        <f t="shared" si="0"/>
        <v>2069</v>
      </c>
      <c r="C194" s="105">
        <f>[4]С2.5!$BB$11</f>
        <v>0</v>
      </c>
    </row>
    <row r="195" spans="2:3" ht="13.5" hidden="1" thickBot="1" x14ac:dyDescent="0.25">
      <c r="B195" s="104">
        <f t="shared" si="0"/>
        <v>2070</v>
      </c>
      <c r="C195" s="105">
        <f>[4]С2.5!$BC$11</f>
        <v>0</v>
      </c>
    </row>
    <row r="196" spans="2:3" ht="13.5" hidden="1" thickBot="1" x14ac:dyDescent="0.25">
      <c r="B196" s="104">
        <f t="shared" si="0"/>
        <v>2071</v>
      </c>
      <c r="C196" s="105">
        <f>[4]С2.5!$BD$11</f>
        <v>0</v>
      </c>
    </row>
    <row r="197" spans="2:3" ht="13.5" hidden="1" thickBot="1" x14ac:dyDescent="0.25">
      <c r="B197" s="104">
        <f t="shared" si="0"/>
        <v>2072</v>
      </c>
      <c r="C197" s="105">
        <f>[4]С2.5!$BE$11</f>
        <v>0</v>
      </c>
    </row>
    <row r="198" spans="2:3" ht="13.5" hidden="1" thickBot="1" x14ac:dyDescent="0.25">
      <c r="B198" s="104">
        <f t="shared" si="0"/>
        <v>2073</v>
      </c>
      <c r="C198" s="105">
        <f>[4]С2.5!$BF$11</f>
        <v>0</v>
      </c>
    </row>
    <row r="199" spans="2:3" ht="13.5" hidden="1" thickBot="1" x14ac:dyDescent="0.25">
      <c r="B199" s="104">
        <f t="shared" si="0"/>
        <v>2074</v>
      </c>
      <c r="C199" s="105">
        <f>[4]С2.5!$BG$11</f>
        <v>0</v>
      </c>
    </row>
    <row r="200" spans="2:3" ht="13.5" hidden="1" thickBot="1" x14ac:dyDescent="0.25">
      <c r="B200" s="104">
        <f t="shared" si="0"/>
        <v>2075</v>
      </c>
      <c r="C200" s="105">
        <f>[4]С2.5!$BH$11</f>
        <v>0</v>
      </c>
    </row>
    <row r="201" spans="2:3" ht="13.5" hidden="1" thickBot="1" x14ac:dyDescent="0.25">
      <c r="B201" s="104">
        <f t="shared" si="0"/>
        <v>2076</v>
      </c>
      <c r="C201" s="105">
        <f>[4]С2.5!$BI$11</f>
        <v>0</v>
      </c>
    </row>
    <row r="202" spans="2:3" ht="13.5" hidden="1" thickBot="1" x14ac:dyDescent="0.25">
      <c r="B202" s="104">
        <f t="shared" si="0"/>
        <v>2077</v>
      </c>
      <c r="C202" s="105">
        <f>[4]С2.5!$BJ$11</f>
        <v>0</v>
      </c>
    </row>
    <row r="203" spans="2:3" ht="13.5" hidden="1" thickBot="1" x14ac:dyDescent="0.25">
      <c r="B203" s="104">
        <f t="shared" si="0"/>
        <v>2078</v>
      </c>
      <c r="C203" s="105">
        <f>[4]С2.5!$BK$11</f>
        <v>0</v>
      </c>
    </row>
    <row r="204" spans="2:3" ht="13.5" hidden="1" thickBot="1" x14ac:dyDescent="0.25">
      <c r="B204" s="104">
        <f t="shared" si="0"/>
        <v>2079</v>
      </c>
      <c r="C204" s="105">
        <f>[4]С2.5!$BL$11</f>
        <v>0</v>
      </c>
    </row>
    <row r="205" spans="2:3" ht="13.5" hidden="1" thickBot="1" x14ac:dyDescent="0.25">
      <c r="B205" s="104">
        <f t="shared" si="0"/>
        <v>2080</v>
      </c>
      <c r="C205" s="105">
        <f>[4]С2.5!$BM$11</f>
        <v>0</v>
      </c>
    </row>
    <row r="206" spans="2:3" ht="13.5" hidden="1" thickBot="1" x14ac:dyDescent="0.25">
      <c r="B206" s="104">
        <f t="shared" si="0"/>
        <v>2081</v>
      </c>
      <c r="C206" s="105">
        <f>[4]С2.5!$BN$11</f>
        <v>0</v>
      </c>
    </row>
    <row r="207" spans="2:3" ht="13.5" hidden="1" thickBot="1" x14ac:dyDescent="0.25">
      <c r="B207" s="104">
        <f t="shared" si="0"/>
        <v>2082</v>
      </c>
      <c r="C207" s="105">
        <f>[4]С2.5!$BO$11</f>
        <v>0</v>
      </c>
    </row>
    <row r="208" spans="2:3" ht="13.5" hidden="1" thickBot="1" x14ac:dyDescent="0.25">
      <c r="B208" s="104">
        <f t="shared" si="0"/>
        <v>2083</v>
      </c>
      <c r="C208" s="105">
        <f>[4]С2.5!$BP$11</f>
        <v>0</v>
      </c>
    </row>
    <row r="209" spans="2:3" ht="13.5" hidden="1" thickBot="1" x14ac:dyDescent="0.25">
      <c r="B209" s="104">
        <f t="shared" si="0"/>
        <v>2084</v>
      </c>
      <c r="C209" s="105">
        <f>[4]С2.5!$BQ$11</f>
        <v>0</v>
      </c>
    </row>
    <row r="210" spans="2:3" ht="13.5" hidden="1" thickBot="1" x14ac:dyDescent="0.25">
      <c r="B210" s="104">
        <f t="shared" si="0"/>
        <v>2085</v>
      </c>
      <c r="C210" s="105">
        <f>[4]С2.5!$BR$11</f>
        <v>0</v>
      </c>
    </row>
    <row r="211" spans="2:3" ht="13.5" hidden="1" thickBot="1" x14ac:dyDescent="0.25">
      <c r="B211" s="104">
        <f t="shared" ref="B211:B224" si="1">B210+1</f>
        <v>2086</v>
      </c>
      <c r="C211" s="105">
        <f>[4]С2.5!$BS$11</f>
        <v>0</v>
      </c>
    </row>
    <row r="212" spans="2:3" ht="13.5" hidden="1" thickBot="1" x14ac:dyDescent="0.25">
      <c r="B212" s="104">
        <f t="shared" si="1"/>
        <v>2087</v>
      </c>
      <c r="C212" s="105">
        <f>[4]С2.5!$BT$11</f>
        <v>0</v>
      </c>
    </row>
    <row r="213" spans="2:3" ht="13.5" hidden="1" thickBot="1" x14ac:dyDescent="0.25">
      <c r="B213" s="104">
        <f t="shared" si="1"/>
        <v>2088</v>
      </c>
      <c r="C213" s="105">
        <f>[4]С2.5!$BU$11</f>
        <v>0</v>
      </c>
    </row>
    <row r="214" spans="2:3" ht="13.5" hidden="1" thickBot="1" x14ac:dyDescent="0.25">
      <c r="B214" s="104">
        <f t="shared" si="1"/>
        <v>2089</v>
      </c>
      <c r="C214" s="105">
        <f>[4]С2.5!$BV$11</f>
        <v>0</v>
      </c>
    </row>
    <row r="215" spans="2:3" ht="13.5" hidden="1" thickBot="1" x14ac:dyDescent="0.25">
      <c r="B215" s="104">
        <f t="shared" si="1"/>
        <v>2090</v>
      </c>
      <c r="C215" s="105">
        <f>[4]С2.5!$BW$11</f>
        <v>0</v>
      </c>
    </row>
    <row r="216" spans="2:3" ht="13.5" hidden="1" thickBot="1" x14ac:dyDescent="0.25">
      <c r="B216" s="104">
        <f t="shared" si="1"/>
        <v>2091</v>
      </c>
      <c r="C216" s="105">
        <f>[4]С2.5!$BX$11</f>
        <v>0</v>
      </c>
    </row>
    <row r="217" spans="2:3" ht="13.5" hidden="1" thickBot="1" x14ac:dyDescent="0.25">
      <c r="B217" s="104">
        <f t="shared" si="1"/>
        <v>2092</v>
      </c>
      <c r="C217" s="105">
        <f>[4]С2.5!$BY$11</f>
        <v>0</v>
      </c>
    </row>
    <row r="218" spans="2:3" ht="13.5" hidden="1" thickBot="1" x14ac:dyDescent="0.25">
      <c r="B218" s="104">
        <f t="shared" si="1"/>
        <v>2093</v>
      </c>
      <c r="C218" s="105">
        <f>[4]С2.5!$BZ$11</f>
        <v>0</v>
      </c>
    </row>
    <row r="219" spans="2:3" ht="13.5" hidden="1" thickBot="1" x14ac:dyDescent="0.25">
      <c r="B219" s="104">
        <f t="shared" si="1"/>
        <v>2094</v>
      </c>
      <c r="C219" s="105">
        <f>[4]С2.5!$CA$11</f>
        <v>0</v>
      </c>
    </row>
    <row r="220" spans="2:3" ht="13.5" hidden="1" thickBot="1" x14ac:dyDescent="0.25">
      <c r="B220" s="104">
        <f t="shared" si="1"/>
        <v>2095</v>
      </c>
      <c r="C220" s="105">
        <f>[4]С2.5!$CB$11</f>
        <v>0</v>
      </c>
    </row>
    <row r="221" spans="2:3" ht="13.5" hidden="1" thickBot="1" x14ac:dyDescent="0.25">
      <c r="B221" s="104">
        <f t="shared" si="1"/>
        <v>2096</v>
      </c>
      <c r="C221" s="105">
        <f>[4]С2.5!$CC$11</f>
        <v>0</v>
      </c>
    </row>
    <row r="222" spans="2:3" ht="13.5" hidden="1" thickBot="1" x14ac:dyDescent="0.25">
      <c r="B222" s="104">
        <f t="shared" si="1"/>
        <v>2097</v>
      </c>
      <c r="C222" s="105">
        <f>[4]С2.5!$CD$11</f>
        <v>0</v>
      </c>
    </row>
    <row r="223" spans="2:3" ht="13.5" hidden="1" thickBot="1" x14ac:dyDescent="0.25">
      <c r="B223" s="104">
        <f t="shared" si="1"/>
        <v>2098</v>
      </c>
      <c r="C223" s="105">
        <f>[4]С2.5!$CE$11</f>
        <v>0</v>
      </c>
    </row>
    <row r="224" spans="2:3" ht="13.5" hidden="1" thickBot="1" x14ac:dyDescent="0.25">
      <c r="B224" s="104">
        <f t="shared" si="1"/>
        <v>2099</v>
      </c>
      <c r="C224" s="105">
        <f>[4]С2.5!$CF$11</f>
        <v>0</v>
      </c>
    </row>
    <row r="225" spans="2:3" ht="13.5" hidden="1" thickBot="1" x14ac:dyDescent="0.25">
      <c r="B225" s="106">
        <f>B162+1</f>
        <v>2038</v>
      </c>
      <c r="C225" s="107" t="e">
        <f>[4]С2.5!#REF!</f>
        <v>#REF!</v>
      </c>
    </row>
    <row r="226" spans="2:3" x14ac:dyDescent="0.2">
      <c r="B226" s="108"/>
      <c r="C226" s="109"/>
    </row>
  </sheetData>
  <mergeCells count="9">
    <mergeCell ref="B143:C143"/>
    <mergeCell ref="A14:C14"/>
    <mergeCell ref="B1:C1"/>
    <mergeCell ref="B27:C27"/>
    <mergeCell ref="B45:C45"/>
    <mergeCell ref="B90:C90"/>
    <mergeCell ref="B101:C101"/>
    <mergeCell ref="B126:C126"/>
    <mergeCell ref="B129:C129"/>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6" customWidth="1"/>
    <col min="4" max="245" width="9.140625" style="2"/>
    <col min="246" max="246" width="3.5703125" style="2" customWidth="1"/>
    <col min="247" max="247" width="96.85546875" style="2" customWidth="1"/>
    <col min="248" max="248" width="30.85546875" style="2" customWidth="1"/>
    <col min="249" max="249" width="12.5703125" style="2" customWidth="1"/>
    <col min="250" max="250" width="5.140625" style="2" customWidth="1"/>
    <col min="251" max="251" width="9.140625" style="2"/>
    <col min="252" max="252" width="4.85546875" style="2" customWidth="1"/>
    <col min="253" max="253" width="30.5703125" style="2" customWidth="1"/>
    <col min="254" max="254" width="33.85546875" style="2" customWidth="1"/>
    <col min="255" max="255" width="5.140625" style="2" customWidth="1"/>
    <col min="256" max="257" width="17.5703125" style="2" customWidth="1"/>
    <col min="258" max="501" width="9.140625" style="2"/>
    <col min="502" max="502" width="3.5703125" style="2" customWidth="1"/>
    <col min="503" max="503" width="96.85546875" style="2" customWidth="1"/>
    <col min="504" max="504" width="30.85546875" style="2" customWidth="1"/>
    <col min="505" max="505" width="12.5703125" style="2" customWidth="1"/>
    <col min="506" max="506" width="5.140625" style="2" customWidth="1"/>
    <col min="507" max="507" width="9.140625" style="2"/>
    <col min="508" max="508" width="4.85546875" style="2" customWidth="1"/>
    <col min="509" max="509" width="30.5703125" style="2" customWidth="1"/>
    <col min="510" max="510" width="33.85546875" style="2" customWidth="1"/>
    <col min="511" max="511" width="5.140625" style="2" customWidth="1"/>
    <col min="512" max="513" width="17.5703125" style="2" customWidth="1"/>
    <col min="514" max="757" width="9.140625" style="2"/>
    <col min="758" max="758" width="3.5703125" style="2" customWidth="1"/>
    <col min="759" max="759" width="96.85546875" style="2" customWidth="1"/>
    <col min="760" max="760" width="30.85546875" style="2" customWidth="1"/>
    <col min="761" max="761" width="12.5703125" style="2" customWidth="1"/>
    <col min="762" max="762" width="5.140625" style="2" customWidth="1"/>
    <col min="763" max="763" width="9.140625" style="2"/>
    <col min="764" max="764" width="4.85546875" style="2" customWidth="1"/>
    <col min="765" max="765" width="30.5703125" style="2" customWidth="1"/>
    <col min="766" max="766" width="33.85546875" style="2" customWidth="1"/>
    <col min="767" max="767" width="5.140625" style="2" customWidth="1"/>
    <col min="768" max="769" width="17.5703125" style="2" customWidth="1"/>
    <col min="770" max="1013" width="9.140625" style="2"/>
    <col min="1014" max="1014" width="3.5703125" style="2" customWidth="1"/>
    <col min="1015" max="1015" width="96.85546875" style="2" customWidth="1"/>
    <col min="1016" max="1016" width="30.85546875" style="2" customWidth="1"/>
    <col min="1017" max="1017" width="12.5703125" style="2" customWidth="1"/>
    <col min="1018" max="1018" width="5.140625" style="2" customWidth="1"/>
    <col min="1019" max="1019" width="9.140625" style="2"/>
    <col min="1020" max="1020" width="4.85546875" style="2" customWidth="1"/>
    <col min="1021" max="1021" width="30.5703125" style="2" customWidth="1"/>
    <col min="1022" max="1022" width="33.85546875" style="2" customWidth="1"/>
    <col min="1023" max="1023" width="5.140625" style="2" customWidth="1"/>
    <col min="1024" max="1025" width="17.5703125" style="2" customWidth="1"/>
    <col min="1026" max="1269" width="9.140625" style="2"/>
    <col min="1270" max="1270" width="3.5703125" style="2" customWidth="1"/>
    <col min="1271" max="1271" width="96.85546875" style="2" customWidth="1"/>
    <col min="1272" max="1272" width="30.85546875" style="2" customWidth="1"/>
    <col min="1273" max="1273" width="12.5703125" style="2" customWidth="1"/>
    <col min="1274" max="1274" width="5.140625" style="2" customWidth="1"/>
    <col min="1275" max="1275" width="9.140625" style="2"/>
    <col min="1276" max="1276" width="4.85546875" style="2" customWidth="1"/>
    <col min="1277" max="1277" width="30.5703125" style="2" customWidth="1"/>
    <col min="1278" max="1278" width="33.85546875" style="2" customWidth="1"/>
    <col min="1279" max="1279" width="5.140625" style="2" customWidth="1"/>
    <col min="1280" max="1281" width="17.5703125" style="2" customWidth="1"/>
    <col min="1282" max="1525" width="9.140625" style="2"/>
    <col min="1526" max="1526" width="3.5703125" style="2" customWidth="1"/>
    <col min="1527" max="1527" width="96.85546875" style="2" customWidth="1"/>
    <col min="1528" max="1528" width="30.85546875" style="2" customWidth="1"/>
    <col min="1529" max="1529" width="12.5703125" style="2" customWidth="1"/>
    <col min="1530" max="1530" width="5.140625" style="2" customWidth="1"/>
    <col min="1531" max="1531" width="9.140625" style="2"/>
    <col min="1532" max="1532" width="4.85546875" style="2" customWidth="1"/>
    <col min="1533" max="1533" width="30.5703125" style="2" customWidth="1"/>
    <col min="1534" max="1534" width="33.85546875" style="2" customWidth="1"/>
    <col min="1535" max="1535" width="5.140625" style="2" customWidth="1"/>
    <col min="1536" max="1537" width="17.5703125" style="2" customWidth="1"/>
    <col min="1538" max="1781" width="9.140625" style="2"/>
    <col min="1782" max="1782" width="3.5703125" style="2" customWidth="1"/>
    <col min="1783" max="1783" width="96.85546875" style="2" customWidth="1"/>
    <col min="1784" max="1784" width="30.85546875" style="2" customWidth="1"/>
    <col min="1785" max="1785" width="12.5703125" style="2" customWidth="1"/>
    <col min="1786" max="1786" width="5.140625" style="2" customWidth="1"/>
    <col min="1787" max="1787" width="9.140625" style="2"/>
    <col min="1788" max="1788" width="4.85546875" style="2" customWidth="1"/>
    <col min="1789" max="1789" width="30.5703125" style="2" customWidth="1"/>
    <col min="1790" max="1790" width="33.85546875" style="2" customWidth="1"/>
    <col min="1791" max="1791" width="5.140625" style="2" customWidth="1"/>
    <col min="1792" max="1793" width="17.5703125" style="2" customWidth="1"/>
    <col min="1794" max="2037" width="9.140625" style="2"/>
    <col min="2038" max="2038" width="3.5703125" style="2" customWidth="1"/>
    <col min="2039" max="2039" width="96.85546875" style="2" customWidth="1"/>
    <col min="2040" max="2040" width="30.85546875" style="2" customWidth="1"/>
    <col min="2041" max="2041" width="12.5703125" style="2" customWidth="1"/>
    <col min="2042" max="2042" width="5.140625" style="2" customWidth="1"/>
    <col min="2043" max="2043" width="9.140625" style="2"/>
    <col min="2044" max="2044" width="4.85546875" style="2" customWidth="1"/>
    <col min="2045" max="2045" width="30.5703125" style="2" customWidth="1"/>
    <col min="2046" max="2046" width="33.85546875" style="2" customWidth="1"/>
    <col min="2047" max="2047" width="5.140625" style="2" customWidth="1"/>
    <col min="2048" max="2049" width="17.5703125" style="2" customWidth="1"/>
    <col min="2050" max="2293" width="9.140625" style="2"/>
    <col min="2294" max="2294" width="3.5703125" style="2" customWidth="1"/>
    <col min="2295" max="2295" width="96.85546875" style="2" customWidth="1"/>
    <col min="2296" max="2296" width="30.85546875" style="2" customWidth="1"/>
    <col min="2297" max="2297" width="12.5703125" style="2" customWidth="1"/>
    <col min="2298" max="2298" width="5.140625" style="2" customWidth="1"/>
    <col min="2299" max="2299" width="9.140625" style="2"/>
    <col min="2300" max="2300" width="4.85546875" style="2" customWidth="1"/>
    <col min="2301" max="2301" width="30.5703125" style="2" customWidth="1"/>
    <col min="2302" max="2302" width="33.85546875" style="2" customWidth="1"/>
    <col min="2303" max="2303" width="5.140625" style="2" customWidth="1"/>
    <col min="2304" max="2305" width="17.5703125" style="2" customWidth="1"/>
    <col min="2306" max="2549" width="9.140625" style="2"/>
    <col min="2550" max="2550" width="3.5703125" style="2" customWidth="1"/>
    <col min="2551" max="2551" width="96.85546875" style="2" customWidth="1"/>
    <col min="2552" max="2552" width="30.85546875" style="2" customWidth="1"/>
    <col min="2553" max="2553" width="12.5703125" style="2" customWidth="1"/>
    <col min="2554" max="2554" width="5.140625" style="2" customWidth="1"/>
    <col min="2555" max="2555" width="9.140625" style="2"/>
    <col min="2556" max="2556" width="4.85546875" style="2" customWidth="1"/>
    <col min="2557" max="2557" width="30.5703125" style="2" customWidth="1"/>
    <col min="2558" max="2558" width="33.85546875" style="2" customWidth="1"/>
    <col min="2559" max="2559" width="5.140625" style="2" customWidth="1"/>
    <col min="2560" max="2561" width="17.5703125" style="2" customWidth="1"/>
    <col min="2562" max="2805" width="9.140625" style="2"/>
    <col min="2806" max="2806" width="3.5703125" style="2" customWidth="1"/>
    <col min="2807" max="2807" width="96.85546875" style="2" customWidth="1"/>
    <col min="2808" max="2808" width="30.85546875" style="2" customWidth="1"/>
    <col min="2809" max="2809" width="12.5703125" style="2" customWidth="1"/>
    <col min="2810" max="2810" width="5.140625" style="2" customWidth="1"/>
    <col min="2811" max="2811" width="9.140625" style="2"/>
    <col min="2812" max="2812" width="4.85546875" style="2" customWidth="1"/>
    <col min="2813" max="2813" width="30.5703125" style="2" customWidth="1"/>
    <col min="2814" max="2814" width="33.85546875" style="2" customWidth="1"/>
    <col min="2815" max="2815" width="5.140625" style="2" customWidth="1"/>
    <col min="2816" max="2817" width="17.5703125" style="2" customWidth="1"/>
    <col min="2818" max="3061" width="9.140625" style="2"/>
    <col min="3062" max="3062" width="3.5703125" style="2" customWidth="1"/>
    <col min="3063" max="3063" width="96.85546875" style="2" customWidth="1"/>
    <col min="3064" max="3064" width="30.85546875" style="2" customWidth="1"/>
    <col min="3065" max="3065" width="12.5703125" style="2" customWidth="1"/>
    <col min="3066" max="3066" width="5.140625" style="2" customWidth="1"/>
    <col min="3067" max="3067" width="9.140625" style="2"/>
    <col min="3068" max="3068" width="4.85546875" style="2" customWidth="1"/>
    <col min="3069" max="3069" width="30.5703125" style="2" customWidth="1"/>
    <col min="3070" max="3070" width="33.85546875" style="2" customWidth="1"/>
    <col min="3071" max="3071" width="5.140625" style="2" customWidth="1"/>
    <col min="3072" max="3073" width="17.5703125" style="2" customWidth="1"/>
    <col min="3074" max="3317" width="9.140625" style="2"/>
    <col min="3318" max="3318" width="3.5703125" style="2" customWidth="1"/>
    <col min="3319" max="3319" width="96.85546875" style="2" customWidth="1"/>
    <col min="3320" max="3320" width="30.85546875" style="2" customWidth="1"/>
    <col min="3321" max="3321" width="12.5703125" style="2" customWidth="1"/>
    <col min="3322" max="3322" width="5.140625" style="2" customWidth="1"/>
    <col min="3323" max="3323" width="9.140625" style="2"/>
    <col min="3324" max="3324" width="4.85546875" style="2" customWidth="1"/>
    <col min="3325" max="3325" width="30.5703125" style="2" customWidth="1"/>
    <col min="3326" max="3326" width="33.85546875" style="2" customWidth="1"/>
    <col min="3327" max="3327" width="5.140625" style="2" customWidth="1"/>
    <col min="3328" max="3329" width="17.5703125" style="2" customWidth="1"/>
    <col min="3330" max="3573" width="9.140625" style="2"/>
    <col min="3574" max="3574" width="3.5703125" style="2" customWidth="1"/>
    <col min="3575" max="3575" width="96.85546875" style="2" customWidth="1"/>
    <col min="3576" max="3576" width="30.85546875" style="2" customWidth="1"/>
    <col min="3577" max="3577" width="12.5703125" style="2" customWidth="1"/>
    <col min="3578" max="3578" width="5.140625" style="2" customWidth="1"/>
    <col min="3579" max="3579" width="9.140625" style="2"/>
    <col min="3580" max="3580" width="4.85546875" style="2" customWidth="1"/>
    <col min="3581" max="3581" width="30.5703125" style="2" customWidth="1"/>
    <col min="3582" max="3582" width="33.85546875" style="2" customWidth="1"/>
    <col min="3583" max="3583" width="5.140625" style="2" customWidth="1"/>
    <col min="3584" max="3585" width="17.5703125" style="2" customWidth="1"/>
    <col min="3586" max="3829" width="9.140625" style="2"/>
    <col min="3830" max="3830" width="3.5703125" style="2" customWidth="1"/>
    <col min="3831" max="3831" width="96.85546875" style="2" customWidth="1"/>
    <col min="3832" max="3832" width="30.85546875" style="2" customWidth="1"/>
    <col min="3833" max="3833" width="12.5703125" style="2" customWidth="1"/>
    <col min="3834" max="3834" width="5.140625" style="2" customWidth="1"/>
    <col min="3835" max="3835" width="9.140625" style="2"/>
    <col min="3836" max="3836" width="4.85546875" style="2" customWidth="1"/>
    <col min="3837" max="3837" width="30.5703125" style="2" customWidth="1"/>
    <col min="3838" max="3838" width="33.85546875" style="2" customWidth="1"/>
    <col min="3839" max="3839" width="5.140625" style="2" customWidth="1"/>
    <col min="3840" max="3841" width="17.5703125" style="2" customWidth="1"/>
    <col min="3842" max="4085" width="9.140625" style="2"/>
    <col min="4086" max="4086" width="3.5703125" style="2" customWidth="1"/>
    <col min="4087" max="4087" width="96.85546875" style="2" customWidth="1"/>
    <col min="4088" max="4088" width="30.85546875" style="2" customWidth="1"/>
    <col min="4089" max="4089" width="12.5703125" style="2" customWidth="1"/>
    <col min="4090" max="4090" width="5.140625" style="2" customWidth="1"/>
    <col min="4091" max="4091" width="9.140625" style="2"/>
    <col min="4092" max="4092" width="4.85546875" style="2" customWidth="1"/>
    <col min="4093" max="4093" width="30.5703125" style="2" customWidth="1"/>
    <col min="4094" max="4094" width="33.85546875" style="2" customWidth="1"/>
    <col min="4095" max="4095" width="5.140625" style="2" customWidth="1"/>
    <col min="4096" max="4097" width="17.5703125" style="2" customWidth="1"/>
    <col min="4098" max="4341" width="9.140625" style="2"/>
    <col min="4342" max="4342" width="3.5703125" style="2" customWidth="1"/>
    <col min="4343" max="4343" width="96.85546875" style="2" customWidth="1"/>
    <col min="4344" max="4344" width="30.85546875" style="2" customWidth="1"/>
    <col min="4345" max="4345" width="12.5703125" style="2" customWidth="1"/>
    <col min="4346" max="4346" width="5.140625" style="2" customWidth="1"/>
    <col min="4347" max="4347" width="9.140625" style="2"/>
    <col min="4348" max="4348" width="4.85546875" style="2" customWidth="1"/>
    <col min="4349" max="4349" width="30.5703125" style="2" customWidth="1"/>
    <col min="4350" max="4350" width="33.85546875" style="2" customWidth="1"/>
    <col min="4351" max="4351" width="5.140625" style="2" customWidth="1"/>
    <col min="4352" max="4353" width="17.5703125" style="2" customWidth="1"/>
    <col min="4354" max="4597" width="9.140625" style="2"/>
    <col min="4598" max="4598" width="3.5703125" style="2" customWidth="1"/>
    <col min="4599" max="4599" width="96.85546875" style="2" customWidth="1"/>
    <col min="4600" max="4600" width="30.85546875" style="2" customWidth="1"/>
    <col min="4601" max="4601" width="12.5703125" style="2" customWidth="1"/>
    <col min="4602" max="4602" width="5.140625" style="2" customWidth="1"/>
    <col min="4603" max="4603" width="9.140625" style="2"/>
    <col min="4604" max="4604" width="4.85546875" style="2" customWidth="1"/>
    <col min="4605" max="4605" width="30.5703125" style="2" customWidth="1"/>
    <col min="4606" max="4606" width="33.85546875" style="2" customWidth="1"/>
    <col min="4607" max="4607" width="5.140625" style="2" customWidth="1"/>
    <col min="4608" max="4609" width="17.5703125" style="2" customWidth="1"/>
    <col min="4610" max="4853" width="9.140625" style="2"/>
    <col min="4854" max="4854" width="3.5703125" style="2" customWidth="1"/>
    <col min="4855" max="4855" width="96.85546875" style="2" customWidth="1"/>
    <col min="4856" max="4856" width="30.85546875" style="2" customWidth="1"/>
    <col min="4857" max="4857" width="12.5703125" style="2" customWidth="1"/>
    <col min="4858" max="4858" width="5.140625" style="2" customWidth="1"/>
    <col min="4859" max="4859" width="9.140625" style="2"/>
    <col min="4860" max="4860" width="4.85546875" style="2" customWidth="1"/>
    <col min="4861" max="4861" width="30.5703125" style="2" customWidth="1"/>
    <col min="4862" max="4862" width="33.85546875" style="2" customWidth="1"/>
    <col min="4863" max="4863" width="5.140625" style="2" customWidth="1"/>
    <col min="4864" max="4865" width="17.5703125" style="2" customWidth="1"/>
    <col min="4866" max="5109" width="9.140625" style="2"/>
    <col min="5110" max="5110" width="3.5703125" style="2" customWidth="1"/>
    <col min="5111" max="5111" width="96.85546875" style="2" customWidth="1"/>
    <col min="5112" max="5112" width="30.85546875" style="2" customWidth="1"/>
    <col min="5113" max="5113" width="12.5703125" style="2" customWidth="1"/>
    <col min="5114" max="5114" width="5.140625" style="2" customWidth="1"/>
    <col min="5115" max="5115" width="9.140625" style="2"/>
    <col min="5116" max="5116" width="4.85546875" style="2" customWidth="1"/>
    <col min="5117" max="5117" width="30.5703125" style="2" customWidth="1"/>
    <col min="5118" max="5118" width="33.85546875" style="2" customWidth="1"/>
    <col min="5119" max="5119" width="5.140625" style="2" customWidth="1"/>
    <col min="5120" max="5121" width="17.5703125" style="2" customWidth="1"/>
    <col min="5122" max="5365" width="9.140625" style="2"/>
    <col min="5366" max="5366" width="3.5703125" style="2" customWidth="1"/>
    <col min="5367" max="5367" width="96.85546875" style="2" customWidth="1"/>
    <col min="5368" max="5368" width="30.85546875" style="2" customWidth="1"/>
    <col min="5369" max="5369" width="12.5703125" style="2" customWidth="1"/>
    <col min="5370" max="5370" width="5.140625" style="2" customWidth="1"/>
    <col min="5371" max="5371" width="9.140625" style="2"/>
    <col min="5372" max="5372" width="4.85546875" style="2" customWidth="1"/>
    <col min="5373" max="5373" width="30.5703125" style="2" customWidth="1"/>
    <col min="5374" max="5374" width="33.85546875" style="2" customWidth="1"/>
    <col min="5375" max="5375" width="5.140625" style="2" customWidth="1"/>
    <col min="5376" max="5377" width="17.5703125" style="2" customWidth="1"/>
    <col min="5378" max="5621" width="9.140625" style="2"/>
    <col min="5622" max="5622" width="3.5703125" style="2" customWidth="1"/>
    <col min="5623" max="5623" width="96.85546875" style="2" customWidth="1"/>
    <col min="5624" max="5624" width="30.85546875" style="2" customWidth="1"/>
    <col min="5625" max="5625" width="12.5703125" style="2" customWidth="1"/>
    <col min="5626" max="5626" width="5.140625" style="2" customWidth="1"/>
    <col min="5627" max="5627" width="9.140625" style="2"/>
    <col min="5628" max="5628" width="4.85546875" style="2" customWidth="1"/>
    <col min="5629" max="5629" width="30.5703125" style="2" customWidth="1"/>
    <col min="5630" max="5630" width="33.85546875" style="2" customWidth="1"/>
    <col min="5631" max="5631" width="5.140625" style="2" customWidth="1"/>
    <col min="5632" max="5633" width="17.5703125" style="2" customWidth="1"/>
    <col min="5634" max="5877" width="9.140625" style="2"/>
    <col min="5878" max="5878" width="3.5703125" style="2" customWidth="1"/>
    <col min="5879" max="5879" width="96.85546875" style="2" customWidth="1"/>
    <col min="5880" max="5880" width="30.85546875" style="2" customWidth="1"/>
    <col min="5881" max="5881" width="12.5703125" style="2" customWidth="1"/>
    <col min="5882" max="5882" width="5.140625" style="2" customWidth="1"/>
    <col min="5883" max="5883" width="9.140625" style="2"/>
    <col min="5884" max="5884" width="4.85546875" style="2" customWidth="1"/>
    <col min="5885" max="5885" width="30.5703125" style="2" customWidth="1"/>
    <col min="5886" max="5886" width="33.85546875" style="2" customWidth="1"/>
    <col min="5887" max="5887" width="5.140625" style="2" customWidth="1"/>
    <col min="5888" max="5889" width="17.5703125" style="2" customWidth="1"/>
    <col min="5890" max="6133" width="9.140625" style="2"/>
    <col min="6134" max="6134" width="3.5703125" style="2" customWidth="1"/>
    <col min="6135" max="6135" width="96.85546875" style="2" customWidth="1"/>
    <col min="6136" max="6136" width="30.85546875" style="2" customWidth="1"/>
    <col min="6137" max="6137" width="12.5703125" style="2" customWidth="1"/>
    <col min="6138" max="6138" width="5.140625" style="2" customWidth="1"/>
    <col min="6139" max="6139" width="9.140625" style="2"/>
    <col min="6140" max="6140" width="4.85546875" style="2" customWidth="1"/>
    <col min="6141" max="6141" width="30.5703125" style="2" customWidth="1"/>
    <col min="6142" max="6142" width="33.85546875" style="2" customWidth="1"/>
    <col min="6143" max="6143" width="5.140625" style="2" customWidth="1"/>
    <col min="6144" max="6145" width="17.5703125" style="2" customWidth="1"/>
    <col min="6146" max="6389" width="9.140625" style="2"/>
    <col min="6390" max="6390" width="3.5703125" style="2" customWidth="1"/>
    <col min="6391" max="6391" width="96.85546875" style="2" customWidth="1"/>
    <col min="6392" max="6392" width="30.85546875" style="2" customWidth="1"/>
    <col min="6393" max="6393" width="12.5703125" style="2" customWidth="1"/>
    <col min="6394" max="6394" width="5.140625" style="2" customWidth="1"/>
    <col min="6395" max="6395" width="9.140625" style="2"/>
    <col min="6396" max="6396" width="4.85546875" style="2" customWidth="1"/>
    <col min="6397" max="6397" width="30.5703125" style="2" customWidth="1"/>
    <col min="6398" max="6398" width="33.85546875" style="2" customWidth="1"/>
    <col min="6399" max="6399" width="5.140625" style="2" customWidth="1"/>
    <col min="6400" max="6401" width="17.5703125" style="2" customWidth="1"/>
    <col min="6402" max="6645" width="9.140625" style="2"/>
    <col min="6646" max="6646" width="3.5703125" style="2" customWidth="1"/>
    <col min="6647" max="6647" width="96.85546875" style="2" customWidth="1"/>
    <col min="6648" max="6648" width="30.85546875" style="2" customWidth="1"/>
    <col min="6649" max="6649" width="12.5703125" style="2" customWidth="1"/>
    <col min="6650" max="6650" width="5.140625" style="2" customWidth="1"/>
    <col min="6651" max="6651" width="9.140625" style="2"/>
    <col min="6652" max="6652" width="4.85546875" style="2" customWidth="1"/>
    <col min="6653" max="6653" width="30.5703125" style="2" customWidth="1"/>
    <col min="6654" max="6654" width="33.85546875" style="2" customWidth="1"/>
    <col min="6655" max="6655" width="5.140625" style="2" customWidth="1"/>
    <col min="6656" max="6657" width="17.5703125" style="2" customWidth="1"/>
    <col min="6658" max="6901" width="9.140625" style="2"/>
    <col min="6902" max="6902" width="3.5703125" style="2" customWidth="1"/>
    <col min="6903" max="6903" width="96.85546875" style="2" customWidth="1"/>
    <col min="6904" max="6904" width="30.85546875" style="2" customWidth="1"/>
    <col min="6905" max="6905" width="12.5703125" style="2" customWidth="1"/>
    <col min="6906" max="6906" width="5.140625" style="2" customWidth="1"/>
    <col min="6907" max="6907" width="9.140625" style="2"/>
    <col min="6908" max="6908" width="4.85546875" style="2" customWidth="1"/>
    <col min="6909" max="6909" width="30.5703125" style="2" customWidth="1"/>
    <col min="6910" max="6910" width="33.85546875" style="2" customWidth="1"/>
    <col min="6911" max="6911" width="5.140625" style="2" customWidth="1"/>
    <col min="6912" max="6913" width="17.5703125" style="2" customWidth="1"/>
    <col min="6914" max="7157" width="9.140625" style="2"/>
    <col min="7158" max="7158" width="3.5703125" style="2" customWidth="1"/>
    <col min="7159" max="7159" width="96.85546875" style="2" customWidth="1"/>
    <col min="7160" max="7160" width="30.85546875" style="2" customWidth="1"/>
    <col min="7161" max="7161" width="12.5703125" style="2" customWidth="1"/>
    <col min="7162" max="7162" width="5.140625" style="2" customWidth="1"/>
    <col min="7163" max="7163" width="9.140625" style="2"/>
    <col min="7164" max="7164" width="4.85546875" style="2" customWidth="1"/>
    <col min="7165" max="7165" width="30.5703125" style="2" customWidth="1"/>
    <col min="7166" max="7166" width="33.85546875" style="2" customWidth="1"/>
    <col min="7167" max="7167" width="5.140625" style="2" customWidth="1"/>
    <col min="7168" max="7169" width="17.5703125" style="2" customWidth="1"/>
    <col min="7170" max="7413" width="9.140625" style="2"/>
    <col min="7414" max="7414" width="3.5703125" style="2" customWidth="1"/>
    <col min="7415" max="7415" width="96.85546875" style="2" customWidth="1"/>
    <col min="7416" max="7416" width="30.85546875" style="2" customWidth="1"/>
    <col min="7417" max="7417" width="12.5703125" style="2" customWidth="1"/>
    <col min="7418" max="7418" width="5.140625" style="2" customWidth="1"/>
    <col min="7419" max="7419" width="9.140625" style="2"/>
    <col min="7420" max="7420" width="4.85546875" style="2" customWidth="1"/>
    <col min="7421" max="7421" width="30.5703125" style="2" customWidth="1"/>
    <col min="7422" max="7422" width="33.85546875" style="2" customWidth="1"/>
    <col min="7423" max="7423" width="5.140625" style="2" customWidth="1"/>
    <col min="7424" max="7425" width="17.5703125" style="2" customWidth="1"/>
    <col min="7426" max="7669" width="9.140625" style="2"/>
    <col min="7670" max="7670" width="3.5703125" style="2" customWidth="1"/>
    <col min="7671" max="7671" width="96.85546875" style="2" customWidth="1"/>
    <col min="7672" max="7672" width="30.85546875" style="2" customWidth="1"/>
    <col min="7673" max="7673" width="12.5703125" style="2" customWidth="1"/>
    <col min="7674" max="7674" width="5.140625" style="2" customWidth="1"/>
    <col min="7675" max="7675" width="9.140625" style="2"/>
    <col min="7676" max="7676" width="4.85546875" style="2" customWidth="1"/>
    <col min="7677" max="7677" width="30.5703125" style="2" customWidth="1"/>
    <col min="7678" max="7678" width="33.85546875" style="2" customWidth="1"/>
    <col min="7679" max="7679" width="5.140625" style="2" customWidth="1"/>
    <col min="7680" max="7681" width="17.5703125" style="2" customWidth="1"/>
    <col min="7682" max="7925" width="9.140625" style="2"/>
    <col min="7926" max="7926" width="3.5703125" style="2" customWidth="1"/>
    <col min="7927" max="7927" width="96.85546875" style="2" customWidth="1"/>
    <col min="7928" max="7928" width="30.85546875" style="2" customWidth="1"/>
    <col min="7929" max="7929" width="12.5703125" style="2" customWidth="1"/>
    <col min="7930" max="7930" width="5.140625" style="2" customWidth="1"/>
    <col min="7931" max="7931" width="9.140625" style="2"/>
    <col min="7932" max="7932" width="4.85546875" style="2" customWidth="1"/>
    <col min="7933" max="7933" width="30.5703125" style="2" customWidth="1"/>
    <col min="7934" max="7934" width="33.85546875" style="2" customWidth="1"/>
    <col min="7935" max="7935" width="5.140625" style="2" customWidth="1"/>
    <col min="7936" max="7937" width="17.5703125" style="2" customWidth="1"/>
    <col min="7938" max="8181" width="9.140625" style="2"/>
    <col min="8182" max="8182" width="3.5703125" style="2" customWidth="1"/>
    <col min="8183" max="8183" width="96.85546875" style="2" customWidth="1"/>
    <col min="8184" max="8184" width="30.85546875" style="2" customWidth="1"/>
    <col min="8185" max="8185" width="12.5703125" style="2" customWidth="1"/>
    <col min="8186" max="8186" width="5.140625" style="2" customWidth="1"/>
    <col min="8187" max="8187" width="9.140625" style="2"/>
    <col min="8188" max="8188" width="4.85546875" style="2" customWidth="1"/>
    <col min="8189" max="8189" width="30.5703125" style="2" customWidth="1"/>
    <col min="8190" max="8190" width="33.85546875" style="2" customWidth="1"/>
    <col min="8191" max="8191" width="5.140625" style="2" customWidth="1"/>
    <col min="8192" max="8193" width="17.5703125" style="2" customWidth="1"/>
    <col min="8194" max="8437" width="9.140625" style="2"/>
    <col min="8438" max="8438" width="3.5703125" style="2" customWidth="1"/>
    <col min="8439" max="8439" width="96.85546875" style="2" customWidth="1"/>
    <col min="8440" max="8440" width="30.85546875" style="2" customWidth="1"/>
    <col min="8441" max="8441" width="12.5703125" style="2" customWidth="1"/>
    <col min="8442" max="8442" width="5.140625" style="2" customWidth="1"/>
    <col min="8443" max="8443" width="9.140625" style="2"/>
    <col min="8444" max="8444" width="4.85546875" style="2" customWidth="1"/>
    <col min="8445" max="8445" width="30.5703125" style="2" customWidth="1"/>
    <col min="8446" max="8446" width="33.85546875" style="2" customWidth="1"/>
    <col min="8447" max="8447" width="5.140625" style="2" customWidth="1"/>
    <col min="8448" max="8449" width="17.5703125" style="2" customWidth="1"/>
    <col min="8450" max="8693" width="9.140625" style="2"/>
    <col min="8694" max="8694" width="3.5703125" style="2" customWidth="1"/>
    <col min="8695" max="8695" width="96.85546875" style="2" customWidth="1"/>
    <col min="8696" max="8696" width="30.85546875" style="2" customWidth="1"/>
    <col min="8697" max="8697" width="12.5703125" style="2" customWidth="1"/>
    <col min="8698" max="8698" width="5.140625" style="2" customWidth="1"/>
    <col min="8699" max="8699" width="9.140625" style="2"/>
    <col min="8700" max="8700" width="4.85546875" style="2" customWidth="1"/>
    <col min="8701" max="8701" width="30.5703125" style="2" customWidth="1"/>
    <col min="8702" max="8702" width="33.85546875" style="2" customWidth="1"/>
    <col min="8703" max="8703" width="5.140625" style="2" customWidth="1"/>
    <col min="8704" max="8705" width="17.5703125" style="2" customWidth="1"/>
    <col min="8706" max="8949" width="9.140625" style="2"/>
    <col min="8950" max="8950" width="3.5703125" style="2" customWidth="1"/>
    <col min="8951" max="8951" width="96.85546875" style="2" customWidth="1"/>
    <col min="8952" max="8952" width="30.85546875" style="2" customWidth="1"/>
    <col min="8953" max="8953" width="12.5703125" style="2" customWidth="1"/>
    <col min="8954" max="8954" width="5.140625" style="2" customWidth="1"/>
    <col min="8955" max="8955" width="9.140625" style="2"/>
    <col min="8956" max="8956" width="4.85546875" style="2" customWidth="1"/>
    <col min="8957" max="8957" width="30.5703125" style="2" customWidth="1"/>
    <col min="8958" max="8958" width="33.85546875" style="2" customWidth="1"/>
    <col min="8959" max="8959" width="5.140625" style="2" customWidth="1"/>
    <col min="8960" max="8961" width="17.5703125" style="2" customWidth="1"/>
    <col min="8962" max="9205" width="9.140625" style="2"/>
    <col min="9206" max="9206" width="3.5703125" style="2" customWidth="1"/>
    <col min="9207" max="9207" width="96.85546875" style="2" customWidth="1"/>
    <col min="9208" max="9208" width="30.85546875" style="2" customWidth="1"/>
    <col min="9209" max="9209" width="12.5703125" style="2" customWidth="1"/>
    <col min="9210" max="9210" width="5.140625" style="2" customWidth="1"/>
    <col min="9211" max="9211" width="9.140625" style="2"/>
    <col min="9212" max="9212" width="4.85546875" style="2" customWidth="1"/>
    <col min="9213" max="9213" width="30.5703125" style="2" customWidth="1"/>
    <col min="9214" max="9214" width="33.85546875" style="2" customWidth="1"/>
    <col min="9215" max="9215" width="5.140625" style="2" customWidth="1"/>
    <col min="9216" max="9217" width="17.5703125" style="2" customWidth="1"/>
    <col min="9218" max="9461" width="9.140625" style="2"/>
    <col min="9462" max="9462" width="3.5703125" style="2" customWidth="1"/>
    <col min="9463" max="9463" width="96.85546875" style="2" customWidth="1"/>
    <col min="9464" max="9464" width="30.85546875" style="2" customWidth="1"/>
    <col min="9465" max="9465" width="12.5703125" style="2" customWidth="1"/>
    <col min="9466" max="9466" width="5.140625" style="2" customWidth="1"/>
    <col min="9467" max="9467" width="9.140625" style="2"/>
    <col min="9468" max="9468" width="4.85546875" style="2" customWidth="1"/>
    <col min="9469" max="9469" width="30.5703125" style="2" customWidth="1"/>
    <col min="9470" max="9470" width="33.85546875" style="2" customWidth="1"/>
    <col min="9471" max="9471" width="5.140625" style="2" customWidth="1"/>
    <col min="9472" max="9473" width="17.5703125" style="2" customWidth="1"/>
    <col min="9474" max="9717" width="9.140625" style="2"/>
    <col min="9718" max="9718" width="3.5703125" style="2" customWidth="1"/>
    <col min="9719" max="9719" width="96.85546875" style="2" customWidth="1"/>
    <col min="9720" max="9720" width="30.85546875" style="2" customWidth="1"/>
    <col min="9721" max="9721" width="12.5703125" style="2" customWidth="1"/>
    <col min="9722" max="9722" width="5.140625" style="2" customWidth="1"/>
    <col min="9723" max="9723" width="9.140625" style="2"/>
    <col min="9724" max="9724" width="4.85546875" style="2" customWidth="1"/>
    <col min="9725" max="9725" width="30.5703125" style="2" customWidth="1"/>
    <col min="9726" max="9726" width="33.85546875" style="2" customWidth="1"/>
    <col min="9727" max="9727" width="5.140625" style="2" customWidth="1"/>
    <col min="9728" max="9729" width="17.5703125" style="2" customWidth="1"/>
    <col min="9730" max="9973" width="9.140625" style="2"/>
    <col min="9974" max="9974" width="3.5703125" style="2" customWidth="1"/>
    <col min="9975" max="9975" width="96.85546875" style="2" customWidth="1"/>
    <col min="9976" max="9976" width="30.85546875" style="2" customWidth="1"/>
    <col min="9977" max="9977" width="12.5703125" style="2" customWidth="1"/>
    <col min="9978" max="9978" width="5.140625" style="2" customWidth="1"/>
    <col min="9979" max="9979" width="9.140625" style="2"/>
    <col min="9980" max="9980" width="4.85546875" style="2" customWidth="1"/>
    <col min="9981" max="9981" width="30.5703125" style="2" customWidth="1"/>
    <col min="9982" max="9982" width="33.85546875" style="2" customWidth="1"/>
    <col min="9983" max="9983" width="5.140625" style="2" customWidth="1"/>
    <col min="9984" max="9985" width="17.5703125" style="2" customWidth="1"/>
    <col min="9986" max="10229" width="9.140625" style="2"/>
    <col min="10230" max="10230" width="3.5703125" style="2" customWidth="1"/>
    <col min="10231" max="10231" width="96.85546875" style="2" customWidth="1"/>
    <col min="10232" max="10232" width="30.85546875" style="2" customWidth="1"/>
    <col min="10233" max="10233" width="12.5703125" style="2" customWidth="1"/>
    <col min="10234" max="10234" width="5.140625" style="2" customWidth="1"/>
    <col min="10235" max="10235" width="9.140625" style="2"/>
    <col min="10236" max="10236" width="4.85546875" style="2" customWidth="1"/>
    <col min="10237" max="10237" width="30.5703125" style="2" customWidth="1"/>
    <col min="10238" max="10238" width="33.85546875" style="2" customWidth="1"/>
    <col min="10239" max="10239" width="5.140625" style="2" customWidth="1"/>
    <col min="10240" max="10241" width="17.5703125" style="2" customWidth="1"/>
    <col min="10242" max="10485" width="9.140625" style="2"/>
    <col min="10486" max="10486" width="3.5703125" style="2" customWidth="1"/>
    <col min="10487" max="10487" width="96.85546875" style="2" customWidth="1"/>
    <col min="10488" max="10488" width="30.85546875" style="2" customWidth="1"/>
    <col min="10489" max="10489" width="12.5703125" style="2" customWidth="1"/>
    <col min="10490" max="10490" width="5.140625" style="2" customWidth="1"/>
    <col min="10491" max="10491" width="9.140625" style="2"/>
    <col min="10492" max="10492" width="4.85546875" style="2" customWidth="1"/>
    <col min="10493" max="10493" width="30.5703125" style="2" customWidth="1"/>
    <col min="10494" max="10494" width="33.85546875" style="2" customWidth="1"/>
    <col min="10495" max="10495" width="5.140625" style="2" customWidth="1"/>
    <col min="10496" max="10497" width="17.5703125" style="2" customWidth="1"/>
    <col min="10498" max="10741" width="9.140625" style="2"/>
    <col min="10742" max="10742" width="3.5703125" style="2" customWidth="1"/>
    <col min="10743" max="10743" width="96.85546875" style="2" customWidth="1"/>
    <col min="10744" max="10744" width="30.85546875" style="2" customWidth="1"/>
    <col min="10745" max="10745" width="12.5703125" style="2" customWidth="1"/>
    <col min="10746" max="10746" width="5.140625" style="2" customWidth="1"/>
    <col min="10747" max="10747" width="9.140625" style="2"/>
    <col min="10748" max="10748" width="4.85546875" style="2" customWidth="1"/>
    <col min="10749" max="10749" width="30.5703125" style="2" customWidth="1"/>
    <col min="10750" max="10750" width="33.85546875" style="2" customWidth="1"/>
    <col min="10751" max="10751" width="5.140625" style="2" customWidth="1"/>
    <col min="10752" max="10753" width="17.5703125" style="2" customWidth="1"/>
    <col min="10754" max="10997" width="9.140625" style="2"/>
    <col min="10998" max="10998" width="3.5703125" style="2" customWidth="1"/>
    <col min="10999" max="10999" width="96.85546875" style="2" customWidth="1"/>
    <col min="11000" max="11000" width="30.85546875" style="2" customWidth="1"/>
    <col min="11001" max="11001" width="12.5703125" style="2" customWidth="1"/>
    <col min="11002" max="11002" width="5.140625" style="2" customWidth="1"/>
    <col min="11003" max="11003" width="9.140625" style="2"/>
    <col min="11004" max="11004" width="4.85546875" style="2" customWidth="1"/>
    <col min="11005" max="11005" width="30.5703125" style="2" customWidth="1"/>
    <col min="11006" max="11006" width="33.85546875" style="2" customWidth="1"/>
    <col min="11007" max="11007" width="5.140625" style="2" customWidth="1"/>
    <col min="11008" max="11009" width="17.5703125" style="2" customWidth="1"/>
    <col min="11010" max="11253" width="9.140625" style="2"/>
    <col min="11254" max="11254" width="3.5703125" style="2" customWidth="1"/>
    <col min="11255" max="11255" width="96.85546875" style="2" customWidth="1"/>
    <col min="11256" max="11256" width="30.85546875" style="2" customWidth="1"/>
    <col min="11257" max="11257" width="12.5703125" style="2" customWidth="1"/>
    <col min="11258" max="11258" width="5.140625" style="2" customWidth="1"/>
    <col min="11259" max="11259" width="9.140625" style="2"/>
    <col min="11260" max="11260" width="4.85546875" style="2" customWidth="1"/>
    <col min="11261" max="11261" width="30.5703125" style="2" customWidth="1"/>
    <col min="11262" max="11262" width="33.85546875" style="2" customWidth="1"/>
    <col min="11263" max="11263" width="5.140625" style="2" customWidth="1"/>
    <col min="11264" max="11265" width="17.5703125" style="2" customWidth="1"/>
    <col min="11266" max="11509" width="9.140625" style="2"/>
    <col min="11510" max="11510" width="3.5703125" style="2" customWidth="1"/>
    <col min="11511" max="11511" width="96.85546875" style="2" customWidth="1"/>
    <col min="11512" max="11512" width="30.85546875" style="2" customWidth="1"/>
    <col min="11513" max="11513" width="12.5703125" style="2" customWidth="1"/>
    <col min="11514" max="11514" width="5.140625" style="2" customWidth="1"/>
    <col min="11515" max="11515" width="9.140625" style="2"/>
    <col min="11516" max="11516" width="4.85546875" style="2" customWidth="1"/>
    <col min="11517" max="11517" width="30.5703125" style="2" customWidth="1"/>
    <col min="11518" max="11518" width="33.85546875" style="2" customWidth="1"/>
    <col min="11519" max="11519" width="5.140625" style="2" customWidth="1"/>
    <col min="11520" max="11521" width="17.5703125" style="2" customWidth="1"/>
    <col min="11522" max="11765" width="9.140625" style="2"/>
    <col min="11766" max="11766" width="3.5703125" style="2" customWidth="1"/>
    <col min="11767" max="11767" width="96.85546875" style="2" customWidth="1"/>
    <col min="11768" max="11768" width="30.85546875" style="2" customWidth="1"/>
    <col min="11769" max="11769" width="12.5703125" style="2" customWidth="1"/>
    <col min="11770" max="11770" width="5.140625" style="2" customWidth="1"/>
    <col min="11771" max="11771" width="9.140625" style="2"/>
    <col min="11772" max="11772" width="4.85546875" style="2" customWidth="1"/>
    <col min="11773" max="11773" width="30.5703125" style="2" customWidth="1"/>
    <col min="11774" max="11774" width="33.85546875" style="2" customWidth="1"/>
    <col min="11775" max="11775" width="5.140625" style="2" customWidth="1"/>
    <col min="11776" max="11777" width="17.5703125" style="2" customWidth="1"/>
    <col min="11778" max="12021" width="9.140625" style="2"/>
    <col min="12022" max="12022" width="3.5703125" style="2" customWidth="1"/>
    <col min="12023" max="12023" width="96.85546875" style="2" customWidth="1"/>
    <col min="12024" max="12024" width="30.85546875" style="2" customWidth="1"/>
    <col min="12025" max="12025" width="12.5703125" style="2" customWidth="1"/>
    <col min="12026" max="12026" width="5.140625" style="2" customWidth="1"/>
    <col min="12027" max="12027" width="9.140625" style="2"/>
    <col min="12028" max="12028" width="4.85546875" style="2" customWidth="1"/>
    <col min="12029" max="12029" width="30.5703125" style="2" customWidth="1"/>
    <col min="12030" max="12030" width="33.85546875" style="2" customWidth="1"/>
    <col min="12031" max="12031" width="5.140625" style="2" customWidth="1"/>
    <col min="12032" max="12033" width="17.5703125" style="2" customWidth="1"/>
    <col min="12034" max="12277" width="9.140625" style="2"/>
    <col min="12278" max="12278" width="3.5703125" style="2" customWidth="1"/>
    <col min="12279" max="12279" width="96.85546875" style="2" customWidth="1"/>
    <col min="12280" max="12280" width="30.85546875" style="2" customWidth="1"/>
    <col min="12281" max="12281" width="12.5703125" style="2" customWidth="1"/>
    <col min="12282" max="12282" width="5.140625" style="2" customWidth="1"/>
    <col min="12283" max="12283" width="9.140625" style="2"/>
    <col min="12284" max="12284" width="4.85546875" style="2" customWidth="1"/>
    <col min="12285" max="12285" width="30.5703125" style="2" customWidth="1"/>
    <col min="12286" max="12286" width="33.85546875" style="2" customWidth="1"/>
    <col min="12287" max="12287" width="5.140625" style="2" customWidth="1"/>
    <col min="12288" max="12289" width="17.5703125" style="2" customWidth="1"/>
    <col min="12290" max="12533" width="9.140625" style="2"/>
    <col min="12534" max="12534" width="3.5703125" style="2" customWidth="1"/>
    <col min="12535" max="12535" width="96.85546875" style="2" customWidth="1"/>
    <col min="12536" max="12536" width="30.85546875" style="2" customWidth="1"/>
    <col min="12537" max="12537" width="12.5703125" style="2" customWidth="1"/>
    <col min="12538" max="12538" width="5.140625" style="2" customWidth="1"/>
    <col min="12539" max="12539" width="9.140625" style="2"/>
    <col min="12540" max="12540" width="4.85546875" style="2" customWidth="1"/>
    <col min="12541" max="12541" width="30.5703125" style="2" customWidth="1"/>
    <col min="12542" max="12542" width="33.85546875" style="2" customWidth="1"/>
    <col min="12543" max="12543" width="5.140625" style="2" customWidth="1"/>
    <col min="12544" max="12545" width="17.5703125" style="2" customWidth="1"/>
    <col min="12546" max="12789" width="9.140625" style="2"/>
    <col min="12790" max="12790" width="3.5703125" style="2" customWidth="1"/>
    <col min="12791" max="12791" width="96.85546875" style="2" customWidth="1"/>
    <col min="12792" max="12792" width="30.85546875" style="2" customWidth="1"/>
    <col min="12793" max="12793" width="12.5703125" style="2" customWidth="1"/>
    <col min="12794" max="12794" width="5.140625" style="2" customWidth="1"/>
    <col min="12795" max="12795" width="9.140625" style="2"/>
    <col min="12796" max="12796" width="4.85546875" style="2" customWidth="1"/>
    <col min="12797" max="12797" width="30.5703125" style="2" customWidth="1"/>
    <col min="12798" max="12798" width="33.85546875" style="2" customWidth="1"/>
    <col min="12799" max="12799" width="5.140625" style="2" customWidth="1"/>
    <col min="12800" max="12801" width="17.5703125" style="2" customWidth="1"/>
    <col min="12802" max="13045" width="9.140625" style="2"/>
    <col min="13046" max="13046" width="3.5703125" style="2" customWidth="1"/>
    <col min="13047" max="13047" width="96.85546875" style="2" customWidth="1"/>
    <col min="13048" max="13048" width="30.85546875" style="2" customWidth="1"/>
    <col min="13049" max="13049" width="12.5703125" style="2" customWidth="1"/>
    <col min="13050" max="13050" width="5.140625" style="2" customWidth="1"/>
    <col min="13051" max="13051" width="9.140625" style="2"/>
    <col min="13052" max="13052" width="4.85546875" style="2" customWidth="1"/>
    <col min="13053" max="13053" width="30.5703125" style="2" customWidth="1"/>
    <col min="13054" max="13054" width="33.85546875" style="2" customWidth="1"/>
    <col min="13055" max="13055" width="5.140625" style="2" customWidth="1"/>
    <col min="13056" max="13057" width="17.5703125" style="2" customWidth="1"/>
    <col min="13058" max="13301" width="9.140625" style="2"/>
    <col min="13302" max="13302" width="3.5703125" style="2" customWidth="1"/>
    <col min="13303" max="13303" width="96.85546875" style="2" customWidth="1"/>
    <col min="13304" max="13304" width="30.85546875" style="2" customWidth="1"/>
    <col min="13305" max="13305" width="12.5703125" style="2" customWidth="1"/>
    <col min="13306" max="13306" width="5.140625" style="2" customWidth="1"/>
    <col min="13307" max="13307" width="9.140625" style="2"/>
    <col min="13308" max="13308" width="4.85546875" style="2" customWidth="1"/>
    <col min="13309" max="13309" width="30.5703125" style="2" customWidth="1"/>
    <col min="13310" max="13310" width="33.85546875" style="2" customWidth="1"/>
    <col min="13311" max="13311" width="5.140625" style="2" customWidth="1"/>
    <col min="13312" max="13313" width="17.5703125" style="2" customWidth="1"/>
    <col min="13314" max="13557" width="9.140625" style="2"/>
    <col min="13558" max="13558" width="3.5703125" style="2" customWidth="1"/>
    <col min="13559" max="13559" width="96.85546875" style="2" customWidth="1"/>
    <col min="13560" max="13560" width="30.85546875" style="2" customWidth="1"/>
    <col min="13561" max="13561" width="12.5703125" style="2" customWidth="1"/>
    <col min="13562" max="13562" width="5.140625" style="2" customWidth="1"/>
    <col min="13563" max="13563" width="9.140625" style="2"/>
    <col min="13564" max="13564" width="4.85546875" style="2" customWidth="1"/>
    <col min="13565" max="13565" width="30.5703125" style="2" customWidth="1"/>
    <col min="13566" max="13566" width="33.85546875" style="2" customWidth="1"/>
    <col min="13567" max="13567" width="5.140625" style="2" customWidth="1"/>
    <col min="13568" max="13569" width="17.5703125" style="2" customWidth="1"/>
    <col min="13570" max="13813" width="9.140625" style="2"/>
    <col min="13814" max="13814" width="3.5703125" style="2" customWidth="1"/>
    <col min="13815" max="13815" width="96.85546875" style="2" customWidth="1"/>
    <col min="13816" max="13816" width="30.85546875" style="2" customWidth="1"/>
    <col min="13817" max="13817" width="12.5703125" style="2" customWidth="1"/>
    <col min="13818" max="13818" width="5.140625" style="2" customWidth="1"/>
    <col min="13819" max="13819" width="9.140625" style="2"/>
    <col min="13820" max="13820" width="4.85546875" style="2" customWidth="1"/>
    <col min="13821" max="13821" width="30.5703125" style="2" customWidth="1"/>
    <col min="13822" max="13822" width="33.85546875" style="2" customWidth="1"/>
    <col min="13823" max="13823" width="5.140625" style="2" customWidth="1"/>
    <col min="13824" max="13825" width="17.5703125" style="2" customWidth="1"/>
    <col min="13826" max="14069" width="9.140625" style="2"/>
    <col min="14070" max="14070" width="3.5703125" style="2" customWidth="1"/>
    <col min="14071" max="14071" width="96.85546875" style="2" customWidth="1"/>
    <col min="14072" max="14072" width="30.85546875" style="2" customWidth="1"/>
    <col min="14073" max="14073" width="12.5703125" style="2" customWidth="1"/>
    <col min="14074" max="14074" width="5.140625" style="2" customWidth="1"/>
    <col min="14075" max="14075" width="9.140625" style="2"/>
    <col min="14076" max="14076" width="4.85546875" style="2" customWidth="1"/>
    <col min="14077" max="14077" width="30.5703125" style="2" customWidth="1"/>
    <col min="14078" max="14078" width="33.85546875" style="2" customWidth="1"/>
    <col min="14079" max="14079" width="5.140625" style="2" customWidth="1"/>
    <col min="14080" max="14081" width="17.5703125" style="2" customWidth="1"/>
    <col min="14082" max="14325" width="9.140625" style="2"/>
    <col min="14326" max="14326" width="3.5703125" style="2" customWidth="1"/>
    <col min="14327" max="14327" width="96.85546875" style="2" customWidth="1"/>
    <col min="14328" max="14328" width="30.85546875" style="2" customWidth="1"/>
    <col min="14329" max="14329" width="12.5703125" style="2" customWidth="1"/>
    <col min="14330" max="14330" width="5.140625" style="2" customWidth="1"/>
    <col min="14331" max="14331" width="9.140625" style="2"/>
    <col min="14332" max="14332" width="4.85546875" style="2" customWidth="1"/>
    <col min="14333" max="14333" width="30.5703125" style="2" customWidth="1"/>
    <col min="14334" max="14334" width="33.85546875" style="2" customWidth="1"/>
    <col min="14335" max="14335" width="5.140625" style="2" customWidth="1"/>
    <col min="14336" max="14337" width="17.5703125" style="2" customWidth="1"/>
    <col min="14338" max="14581" width="9.140625" style="2"/>
    <col min="14582" max="14582" width="3.5703125" style="2" customWidth="1"/>
    <col min="14583" max="14583" width="96.85546875" style="2" customWidth="1"/>
    <col min="14584" max="14584" width="30.85546875" style="2" customWidth="1"/>
    <col min="14585" max="14585" width="12.5703125" style="2" customWidth="1"/>
    <col min="14586" max="14586" width="5.140625" style="2" customWidth="1"/>
    <col min="14587" max="14587" width="9.140625" style="2"/>
    <col min="14588" max="14588" width="4.85546875" style="2" customWidth="1"/>
    <col min="14589" max="14589" width="30.5703125" style="2" customWidth="1"/>
    <col min="14590" max="14590" width="33.85546875" style="2" customWidth="1"/>
    <col min="14591" max="14591" width="5.140625" style="2" customWidth="1"/>
    <col min="14592" max="14593" width="17.5703125" style="2" customWidth="1"/>
    <col min="14594" max="14837" width="9.140625" style="2"/>
    <col min="14838" max="14838" width="3.5703125" style="2" customWidth="1"/>
    <col min="14839" max="14839" width="96.85546875" style="2" customWidth="1"/>
    <col min="14840" max="14840" width="30.85546875" style="2" customWidth="1"/>
    <col min="14841" max="14841" width="12.5703125" style="2" customWidth="1"/>
    <col min="14842" max="14842" width="5.140625" style="2" customWidth="1"/>
    <col min="14843" max="14843" width="9.140625" style="2"/>
    <col min="14844" max="14844" width="4.85546875" style="2" customWidth="1"/>
    <col min="14845" max="14845" width="30.5703125" style="2" customWidth="1"/>
    <col min="14846" max="14846" width="33.85546875" style="2" customWidth="1"/>
    <col min="14847" max="14847" width="5.140625" style="2" customWidth="1"/>
    <col min="14848" max="14849" width="17.5703125" style="2" customWidth="1"/>
    <col min="14850" max="15093" width="9.140625" style="2"/>
    <col min="15094" max="15094" width="3.5703125" style="2" customWidth="1"/>
    <col min="15095" max="15095" width="96.85546875" style="2" customWidth="1"/>
    <col min="15096" max="15096" width="30.85546875" style="2" customWidth="1"/>
    <col min="15097" max="15097" width="12.5703125" style="2" customWidth="1"/>
    <col min="15098" max="15098" width="5.140625" style="2" customWidth="1"/>
    <col min="15099" max="15099" width="9.140625" style="2"/>
    <col min="15100" max="15100" width="4.85546875" style="2" customWidth="1"/>
    <col min="15101" max="15101" width="30.5703125" style="2" customWidth="1"/>
    <col min="15102" max="15102" width="33.85546875" style="2" customWidth="1"/>
    <col min="15103" max="15103" width="5.140625" style="2" customWidth="1"/>
    <col min="15104" max="15105" width="17.5703125" style="2" customWidth="1"/>
    <col min="15106" max="15349" width="9.140625" style="2"/>
    <col min="15350" max="15350" width="3.5703125" style="2" customWidth="1"/>
    <col min="15351" max="15351" width="96.85546875" style="2" customWidth="1"/>
    <col min="15352" max="15352" width="30.85546875" style="2" customWidth="1"/>
    <col min="15353" max="15353" width="12.5703125" style="2" customWidth="1"/>
    <col min="15354" max="15354" width="5.140625" style="2" customWidth="1"/>
    <col min="15355" max="15355" width="9.140625" style="2"/>
    <col min="15356" max="15356" width="4.85546875" style="2" customWidth="1"/>
    <col min="15357" max="15357" width="30.5703125" style="2" customWidth="1"/>
    <col min="15358" max="15358" width="33.85546875" style="2" customWidth="1"/>
    <col min="15359" max="15359" width="5.140625" style="2" customWidth="1"/>
    <col min="15360" max="15361" width="17.5703125" style="2" customWidth="1"/>
    <col min="15362" max="15605" width="9.140625" style="2"/>
    <col min="15606" max="15606" width="3.5703125" style="2" customWidth="1"/>
    <col min="15607" max="15607" width="96.85546875" style="2" customWidth="1"/>
    <col min="15608" max="15608" width="30.85546875" style="2" customWidth="1"/>
    <col min="15609" max="15609" width="12.5703125" style="2" customWidth="1"/>
    <col min="15610" max="15610" width="5.140625" style="2" customWidth="1"/>
    <col min="15611" max="15611" width="9.140625" style="2"/>
    <col min="15612" max="15612" width="4.85546875" style="2" customWidth="1"/>
    <col min="15613" max="15613" width="30.5703125" style="2" customWidth="1"/>
    <col min="15614" max="15614" width="33.85546875" style="2" customWidth="1"/>
    <col min="15615" max="15615" width="5.140625" style="2" customWidth="1"/>
    <col min="15616" max="15617" width="17.5703125" style="2" customWidth="1"/>
    <col min="15618" max="15861" width="9.140625" style="2"/>
    <col min="15862" max="15862" width="3.5703125" style="2" customWidth="1"/>
    <col min="15863" max="15863" width="96.85546875" style="2" customWidth="1"/>
    <col min="15864" max="15864" width="30.85546875" style="2" customWidth="1"/>
    <col min="15865" max="15865" width="12.5703125" style="2" customWidth="1"/>
    <col min="15866" max="15866" width="5.140625" style="2" customWidth="1"/>
    <col min="15867" max="15867" width="9.140625" style="2"/>
    <col min="15868" max="15868" width="4.85546875" style="2" customWidth="1"/>
    <col min="15869" max="15869" width="30.5703125" style="2" customWidth="1"/>
    <col min="15870" max="15870" width="33.85546875" style="2" customWidth="1"/>
    <col min="15871" max="15871" width="5.140625" style="2" customWidth="1"/>
    <col min="15872" max="15873" width="17.5703125" style="2" customWidth="1"/>
    <col min="15874" max="16117" width="9.140625" style="2"/>
    <col min="16118" max="16118" width="3.5703125" style="2" customWidth="1"/>
    <col min="16119" max="16119" width="96.85546875" style="2" customWidth="1"/>
    <col min="16120" max="16120" width="30.85546875" style="2" customWidth="1"/>
    <col min="16121" max="16121" width="12.5703125" style="2" customWidth="1"/>
    <col min="16122" max="16122" width="5.140625" style="2" customWidth="1"/>
    <col min="16123" max="16123" width="9.140625" style="2"/>
    <col min="16124" max="16124" width="4.85546875" style="2" customWidth="1"/>
    <col min="16125" max="16125" width="30.5703125" style="2" customWidth="1"/>
    <col min="16126" max="16126" width="33.85546875" style="2" customWidth="1"/>
    <col min="16127" max="16127" width="5.140625" style="2" customWidth="1"/>
    <col min="16128" max="16129" width="17.5703125" style="2" customWidth="1"/>
    <col min="16130" max="16384" width="9.140625" style="2"/>
  </cols>
  <sheetData>
    <row r="1" spans="1:3" ht="48" customHeight="1" x14ac:dyDescent="0.2">
      <c r="A1" s="111"/>
      <c r="B1" s="143" t="s">
        <v>225</v>
      </c>
      <c r="C1" s="143"/>
    </row>
    <row r="2" spans="1:3" x14ac:dyDescent="0.2">
      <c r="A2" s="1"/>
      <c r="B2" s="3" t="s">
        <v>2</v>
      </c>
      <c r="C2" s="4">
        <v>45317</v>
      </c>
    </row>
    <row r="3" spans="1:3" x14ac:dyDescent="0.2">
      <c r="A3" s="1"/>
      <c r="B3" s="112" t="s">
        <v>3</v>
      </c>
    </row>
    <row r="4" spans="1:3" ht="25.5" x14ac:dyDescent="0.2">
      <c r="A4" s="7"/>
      <c r="B4" s="8" t="str">
        <f>[5]И1!D13</f>
        <v>Субъект Российской Федерации</v>
      </c>
      <c r="C4" s="9" t="str">
        <f>[5]И1!E13</f>
        <v>Новосибирская область</v>
      </c>
    </row>
    <row r="5" spans="1:3" ht="38.25" x14ac:dyDescent="0.2">
      <c r="A5" s="7"/>
      <c r="B5" s="8" t="str">
        <f>[5]И1!D14</f>
        <v>Тип муниципального образования (выберите из списка)</v>
      </c>
      <c r="C5" s="9" t="str">
        <f>[5]И1!E14</f>
        <v>село Верх-Алеус, Ордынский муниципальный район</v>
      </c>
    </row>
    <row r="6" spans="1:3" x14ac:dyDescent="0.2">
      <c r="A6" s="7"/>
      <c r="B6" s="8" t="str">
        <f>IF([5]И1!E15="","",[5]И1!D15)</f>
        <v/>
      </c>
      <c r="C6" s="9" t="str">
        <f>IF([5]И1!E15="","",[5]И1!E15)</f>
        <v/>
      </c>
    </row>
    <row r="7" spans="1:3" x14ac:dyDescent="0.2">
      <c r="A7" s="7"/>
      <c r="B7" s="8" t="str">
        <f>[5]И1!D16</f>
        <v>Код ОКТМО</v>
      </c>
      <c r="C7" s="10" t="str">
        <f>[5]И1!E16</f>
        <v>50642402101</v>
      </c>
    </row>
    <row r="8" spans="1:3" x14ac:dyDescent="0.2">
      <c r="A8" s="7"/>
      <c r="B8" s="11" t="str">
        <f>[5]И1!D17</f>
        <v>Система теплоснабжения</v>
      </c>
      <c r="C8" s="12">
        <f>[5]И1!E17</f>
        <v>0</v>
      </c>
    </row>
    <row r="9" spans="1:3" x14ac:dyDescent="0.2">
      <c r="A9" s="7"/>
      <c r="B9" s="8" t="str">
        <f>[5]И1!D8</f>
        <v>Период регулирования (i)-й</v>
      </c>
      <c r="C9" s="13">
        <f>[5]И1!E8</f>
        <v>2024</v>
      </c>
    </row>
    <row r="10" spans="1:3" x14ac:dyDescent="0.2">
      <c r="A10" s="7"/>
      <c r="B10" s="8" t="str">
        <f>[5]И1!D9</f>
        <v>Период регулирования (i-1)-й</v>
      </c>
      <c r="C10" s="13">
        <f>[5]И1!E9</f>
        <v>2023</v>
      </c>
    </row>
    <row r="11" spans="1:3" x14ac:dyDescent="0.2">
      <c r="A11" s="7"/>
      <c r="B11" s="8" t="str">
        <f>[5]И1!D10</f>
        <v>Период регулирования (i-2)-й</v>
      </c>
      <c r="C11" s="13">
        <f>[5]И1!E10</f>
        <v>2022</v>
      </c>
    </row>
    <row r="12" spans="1:3" x14ac:dyDescent="0.2">
      <c r="A12" s="7"/>
      <c r="B12" s="8" t="str">
        <f>[5]И1!D11</f>
        <v>Базовый год (б)</v>
      </c>
      <c r="C12" s="13">
        <f>[5]И1!E11</f>
        <v>2019</v>
      </c>
    </row>
    <row r="13" spans="1:3" ht="38.25" x14ac:dyDescent="0.2">
      <c r="A13" s="7"/>
      <c r="B13" s="8" t="str">
        <f>[5]И1!D18</f>
        <v>Вид топлива, использование которого преобладает в системе теплоснабжения</v>
      </c>
      <c r="C13" s="14" t="str">
        <f>[5]С1.1!E13</f>
        <v>уголь (вид угля не указан в топливном балансе)</v>
      </c>
    </row>
    <row r="14" spans="1:3" ht="31.7" customHeight="1" thickBot="1" x14ac:dyDescent="0.25">
      <c r="A14" s="146" t="s">
        <v>4</v>
      </c>
      <c r="B14" s="146"/>
      <c r="C14" s="146"/>
    </row>
    <row r="15" spans="1:3" x14ac:dyDescent="0.2">
      <c r="A15" s="15" t="s">
        <v>5</v>
      </c>
      <c r="B15" s="113" t="s">
        <v>6</v>
      </c>
      <c r="C15" s="114" t="s">
        <v>7</v>
      </c>
    </row>
    <row r="16" spans="1:3" x14ac:dyDescent="0.2">
      <c r="A16" s="18">
        <v>1</v>
      </c>
      <c r="B16" s="115">
        <v>2</v>
      </c>
      <c r="C16" s="116">
        <v>3</v>
      </c>
    </row>
    <row r="17" spans="1:3" x14ac:dyDescent="0.2">
      <c r="A17" s="21">
        <v>1</v>
      </c>
      <c r="B17" s="22" t="s">
        <v>8</v>
      </c>
      <c r="C17" s="23">
        <f>SUM(C18:C22)</f>
        <v>3659.1781156890793</v>
      </c>
    </row>
    <row r="18" spans="1:3" ht="42.75" x14ac:dyDescent="0.2">
      <c r="A18" s="21" t="s">
        <v>9</v>
      </c>
      <c r="B18" s="24" t="s">
        <v>10</v>
      </c>
      <c r="C18" s="25">
        <f>[5]С1!F12</f>
        <v>681.72722270675411</v>
      </c>
    </row>
    <row r="19" spans="1:3" ht="42.75" x14ac:dyDescent="0.2">
      <c r="A19" s="21" t="s">
        <v>11</v>
      </c>
      <c r="B19" s="24" t="s">
        <v>12</v>
      </c>
      <c r="C19" s="25">
        <f>[5]С2!F12</f>
        <v>1988.7336845318171</v>
      </c>
    </row>
    <row r="20" spans="1:3" ht="30" x14ac:dyDescent="0.2">
      <c r="A20" s="21" t="s">
        <v>13</v>
      </c>
      <c r="B20" s="24" t="s">
        <v>14</v>
      </c>
      <c r="C20" s="25">
        <f>[5]С3!F12</f>
        <v>472.61808029676507</v>
      </c>
    </row>
    <row r="21" spans="1:3" ht="42.75" x14ac:dyDescent="0.2">
      <c r="A21" s="21" t="s">
        <v>15</v>
      </c>
      <c r="B21" s="24" t="s">
        <v>226</v>
      </c>
      <c r="C21" s="25">
        <f>[5]С4!F12</f>
        <v>444.35053765003551</v>
      </c>
    </row>
    <row r="22" spans="1:3" ht="30" x14ac:dyDescent="0.2">
      <c r="A22" s="21" t="s">
        <v>17</v>
      </c>
      <c r="B22" s="24" t="s">
        <v>227</v>
      </c>
      <c r="C22" s="25">
        <f>[5]С5!F12</f>
        <v>71.748590503707433</v>
      </c>
    </row>
    <row r="23" spans="1:3" ht="43.5" thickBot="1" x14ac:dyDescent="0.25">
      <c r="A23" s="26" t="s">
        <v>19</v>
      </c>
      <c r="B23" s="140" t="s">
        <v>228</v>
      </c>
      <c r="C23" s="27" t="str">
        <f>[5]С6!F12</f>
        <v>-</v>
      </c>
    </row>
    <row r="24" spans="1:3" ht="13.5" thickBot="1" x14ac:dyDescent="0.25">
      <c r="A24" s="1"/>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229</v>
      </c>
      <c r="C28" s="32">
        <f>[5]С1.1!E16</f>
        <v>5100</v>
      </c>
    </row>
    <row r="29" spans="1:3" ht="42.75" x14ac:dyDescent="0.2">
      <c r="A29" s="21" t="s">
        <v>11</v>
      </c>
      <c r="B29" s="31" t="s">
        <v>230</v>
      </c>
      <c r="C29" s="32">
        <f>[5]С1.1!E27</f>
        <v>3063.03</v>
      </c>
    </row>
    <row r="30" spans="1:3" ht="17.25" x14ac:dyDescent="0.2">
      <c r="A30" s="21" t="s">
        <v>13</v>
      </c>
      <c r="B30" s="31" t="s">
        <v>30</v>
      </c>
      <c r="C30" s="34">
        <f>[5]С1.1!E19</f>
        <v>-0.19900000000000001</v>
      </c>
    </row>
    <row r="31" spans="1:3" ht="17.25" x14ac:dyDescent="0.2">
      <c r="A31" s="21" t="s">
        <v>15</v>
      </c>
      <c r="B31" s="31" t="s">
        <v>31</v>
      </c>
      <c r="C31" s="34">
        <f>[5]С1.1!E20</f>
        <v>5.7000000000000002E-2</v>
      </c>
    </row>
    <row r="32" spans="1:3" ht="30" x14ac:dyDescent="0.2">
      <c r="A32" s="21" t="s">
        <v>17</v>
      </c>
      <c r="B32" s="35" t="s">
        <v>231</v>
      </c>
      <c r="C32" s="117">
        <f>[5]С1!F13</f>
        <v>176.4</v>
      </c>
    </row>
    <row r="33" spans="1:3" x14ac:dyDescent="0.2">
      <c r="A33" s="21" t="s">
        <v>19</v>
      </c>
      <c r="B33" s="35" t="s">
        <v>33</v>
      </c>
      <c r="C33" s="37">
        <f>[5]С1!F16</f>
        <v>7000</v>
      </c>
    </row>
    <row r="34" spans="1:3" ht="14.25" x14ac:dyDescent="0.2">
      <c r="A34" s="21" t="s">
        <v>34</v>
      </c>
      <c r="B34" s="39" t="s">
        <v>232</v>
      </c>
      <c r="C34" s="40">
        <f>[5]С1!F17</f>
        <v>0.72857142857142854</v>
      </c>
    </row>
    <row r="35" spans="1:3" ht="15.75" x14ac:dyDescent="0.2">
      <c r="A35" s="118" t="s">
        <v>36</v>
      </c>
      <c r="B35" s="42" t="s">
        <v>37</v>
      </c>
      <c r="C35" s="40">
        <f>[5]С1!F20</f>
        <v>21.588411179999994</v>
      </c>
    </row>
    <row r="36" spans="1:3" ht="15.75" x14ac:dyDescent="0.2">
      <c r="A36" s="118" t="s">
        <v>38</v>
      </c>
      <c r="B36" s="43" t="s">
        <v>39</v>
      </c>
      <c r="C36" s="40">
        <f>[5]С1!F21</f>
        <v>20.818139999999996</v>
      </c>
    </row>
    <row r="37" spans="1:3" ht="14.25" x14ac:dyDescent="0.2">
      <c r="A37" s="118" t="s">
        <v>40</v>
      </c>
      <c r="B37" s="44" t="s">
        <v>41</v>
      </c>
      <c r="C37" s="40">
        <f>[5]С1!F22</f>
        <v>1.0369999999999999</v>
      </c>
    </row>
    <row r="38" spans="1:3" ht="53.25" thickBot="1" x14ac:dyDescent="0.25">
      <c r="A38" s="26" t="s">
        <v>42</v>
      </c>
      <c r="B38" s="45" t="s">
        <v>43</v>
      </c>
      <c r="C38" s="46">
        <f>[5]С1!F23</f>
        <v>1.0469999999999999</v>
      </c>
    </row>
    <row r="39" spans="1:3" ht="13.5" thickBot="1" x14ac:dyDescent="0.25">
      <c r="A39" s="47"/>
      <c r="B39" s="119"/>
      <c r="C39" s="120"/>
    </row>
    <row r="40" spans="1:3" ht="30" customHeight="1" x14ac:dyDescent="0.2">
      <c r="A40" s="49" t="s">
        <v>44</v>
      </c>
      <c r="B40" s="145" t="s">
        <v>45</v>
      </c>
      <c r="C40" s="145"/>
    </row>
    <row r="41" spans="1:3" ht="25.5" x14ac:dyDescent="0.2">
      <c r="A41" s="21" t="s">
        <v>46</v>
      </c>
      <c r="B41" s="35" t="s">
        <v>47</v>
      </c>
      <c r="C41" s="50" t="str">
        <f>[5]С2.1!E12</f>
        <v>V</v>
      </c>
    </row>
    <row r="42" spans="1:3" ht="25.5" x14ac:dyDescent="0.2">
      <c r="A42" s="21" t="s">
        <v>48</v>
      </c>
      <c r="B42" s="31" t="s">
        <v>49</v>
      </c>
      <c r="C42" s="50" t="str">
        <f>[5]С2.1!E13</f>
        <v>6 и менее баллов</v>
      </c>
    </row>
    <row r="43" spans="1:3" ht="25.5" x14ac:dyDescent="0.2">
      <c r="A43" s="21" t="s">
        <v>50</v>
      </c>
      <c r="B43" s="31" t="s">
        <v>233</v>
      </c>
      <c r="C43" s="50" t="str">
        <f>[5]С2.1!E14</f>
        <v>от 200 до 500</v>
      </c>
    </row>
    <row r="44" spans="1:3" ht="25.5" x14ac:dyDescent="0.2">
      <c r="A44" s="21" t="s">
        <v>52</v>
      </c>
      <c r="B44" s="31" t="s">
        <v>234</v>
      </c>
      <c r="C44" s="51" t="str">
        <f>[5]С2.1!E15</f>
        <v>нет</v>
      </c>
    </row>
    <row r="45" spans="1:3" ht="30" x14ac:dyDescent="0.2">
      <c r="A45" s="21" t="s">
        <v>54</v>
      </c>
      <c r="B45" s="31" t="s">
        <v>55</v>
      </c>
      <c r="C45" s="32">
        <f>[5]С2!F18</f>
        <v>35106.652004551666</v>
      </c>
    </row>
    <row r="46" spans="1:3" ht="30" x14ac:dyDescent="0.2">
      <c r="A46" s="21" t="s">
        <v>56</v>
      </c>
      <c r="B46" s="52" t="s">
        <v>57</v>
      </c>
      <c r="C46" s="32">
        <f>IF([5]С2!F19&gt;0,[5]С2!F19,[5]С2!F20)</f>
        <v>23441.524932855718</v>
      </c>
    </row>
    <row r="47" spans="1:3" ht="25.5" x14ac:dyDescent="0.2">
      <c r="A47" s="21" t="s">
        <v>58</v>
      </c>
      <c r="B47" s="53" t="s">
        <v>59</v>
      </c>
      <c r="C47" s="32">
        <f>[5]С2.1!E19</f>
        <v>-37</v>
      </c>
    </row>
    <row r="48" spans="1:3" ht="25.5" x14ac:dyDescent="0.2">
      <c r="A48" s="21" t="s">
        <v>60</v>
      </c>
      <c r="B48" s="53" t="s">
        <v>61</v>
      </c>
      <c r="C48" s="32" t="str">
        <f>[5]С2.1!E22</f>
        <v>нет</v>
      </c>
    </row>
    <row r="49" spans="1:3" ht="38.25" x14ac:dyDescent="0.2">
      <c r="A49" s="21" t="s">
        <v>62</v>
      </c>
      <c r="B49" s="54" t="s">
        <v>63</v>
      </c>
      <c r="C49" s="32">
        <f>[5]С2.2!E10</f>
        <v>1287</v>
      </c>
    </row>
    <row r="50" spans="1:3" ht="25.5" x14ac:dyDescent="0.2">
      <c r="A50" s="21" t="s">
        <v>64</v>
      </c>
      <c r="B50" s="55" t="s">
        <v>65</v>
      </c>
      <c r="C50" s="32">
        <f>[5]С2.2!E12</f>
        <v>5.97</v>
      </c>
    </row>
    <row r="51" spans="1:3" ht="52.5" x14ac:dyDescent="0.2">
      <c r="A51" s="21" t="s">
        <v>66</v>
      </c>
      <c r="B51" s="56" t="s">
        <v>67</v>
      </c>
      <c r="C51" s="32">
        <f>[5]С2.2!E13</f>
        <v>1</v>
      </c>
    </row>
    <row r="52" spans="1:3" ht="27.75" x14ac:dyDescent="0.2">
      <c r="A52" s="21" t="s">
        <v>68</v>
      </c>
      <c r="B52" s="55" t="s">
        <v>69</v>
      </c>
      <c r="C52" s="32">
        <f>[5]С2.2!E14</f>
        <v>12104</v>
      </c>
    </row>
    <row r="53" spans="1:3" ht="25.5" x14ac:dyDescent="0.2">
      <c r="A53" s="21" t="s">
        <v>70</v>
      </c>
      <c r="B53" s="56" t="s">
        <v>71</v>
      </c>
      <c r="C53" s="34">
        <f>[5]С2.2!E15</f>
        <v>4.8000000000000001E-2</v>
      </c>
    </row>
    <row r="54" spans="1:3" x14ac:dyDescent="0.2">
      <c r="A54" s="21" t="s">
        <v>72</v>
      </c>
      <c r="B54" s="56" t="s">
        <v>73</v>
      </c>
      <c r="C54" s="32">
        <f>[5]С2.2!E16</f>
        <v>1</v>
      </c>
    </row>
    <row r="55" spans="1:3" ht="15.75" x14ac:dyDescent="0.2">
      <c r="A55" s="21" t="s">
        <v>74</v>
      </c>
      <c r="B55" s="58" t="s">
        <v>75</v>
      </c>
      <c r="C55" s="32">
        <f>[5]С2!F21</f>
        <v>1</v>
      </c>
    </row>
    <row r="56" spans="1:3" ht="30" x14ac:dyDescent="0.2">
      <c r="A56" s="59" t="s">
        <v>76</v>
      </c>
      <c r="B56" s="31" t="s">
        <v>235</v>
      </c>
      <c r="C56" s="32">
        <f>[5]С2!F13</f>
        <v>183796.83936385796</v>
      </c>
    </row>
    <row r="57" spans="1:3" ht="30" x14ac:dyDescent="0.2">
      <c r="A57" s="59" t="s">
        <v>78</v>
      </c>
      <c r="B57" s="58" t="s">
        <v>236</v>
      </c>
      <c r="C57" s="32">
        <f>[5]С2!F14</f>
        <v>113455</v>
      </c>
    </row>
    <row r="58" spans="1:3" ht="15.75" x14ac:dyDescent="0.2">
      <c r="A58" s="59" t="s">
        <v>80</v>
      </c>
      <c r="B58" s="60" t="s">
        <v>81</v>
      </c>
      <c r="C58" s="40">
        <f>[5]С2!F15</f>
        <v>1.071</v>
      </c>
    </row>
    <row r="59" spans="1:3" ht="15.75" x14ac:dyDescent="0.2">
      <c r="A59" s="59" t="s">
        <v>82</v>
      </c>
      <c r="B59" s="60" t="s">
        <v>83</v>
      </c>
      <c r="C59" s="40">
        <f>[5]С2!F16</f>
        <v>1</v>
      </c>
    </row>
    <row r="60" spans="1:3" ht="17.25" x14ac:dyDescent="0.2">
      <c r="A60" s="59" t="s">
        <v>84</v>
      </c>
      <c r="B60" s="58" t="s">
        <v>85</v>
      </c>
      <c r="C60" s="32">
        <f>[5]С2!F17</f>
        <v>1.01</v>
      </c>
    </row>
    <row r="61" spans="1:3" s="65" customFormat="1" ht="14.25" x14ac:dyDescent="0.2">
      <c r="A61" s="59" t="s">
        <v>86</v>
      </c>
      <c r="B61" s="63" t="s">
        <v>87</v>
      </c>
      <c r="C61" s="64">
        <f>[5]С2!F33</f>
        <v>10</v>
      </c>
    </row>
    <row r="62" spans="1:3" ht="30" x14ac:dyDescent="0.2">
      <c r="A62" s="59" t="s">
        <v>88</v>
      </c>
      <c r="B62" s="66" t="s">
        <v>89</v>
      </c>
      <c r="C62" s="32">
        <f>[5]С2!F26</f>
        <v>1266.3745527115127</v>
      </c>
    </row>
    <row r="63" spans="1:3" ht="17.25" x14ac:dyDescent="0.2">
      <c r="A63" s="59" t="s">
        <v>90</v>
      </c>
      <c r="B63" s="52" t="s">
        <v>237</v>
      </c>
      <c r="C63" s="32">
        <f>[5]С2!F27</f>
        <v>0.201330388</v>
      </c>
    </row>
    <row r="64" spans="1:3" ht="17.25" x14ac:dyDescent="0.2">
      <c r="A64" s="59" t="s">
        <v>92</v>
      </c>
      <c r="B64" s="58" t="s">
        <v>238</v>
      </c>
      <c r="C64" s="64">
        <f>[5]С2!F28</f>
        <v>4200</v>
      </c>
    </row>
    <row r="65" spans="1:3" ht="42.75" x14ac:dyDescent="0.2">
      <c r="A65" s="59" t="s">
        <v>94</v>
      </c>
      <c r="B65" s="31" t="s">
        <v>239</v>
      </c>
      <c r="C65" s="32">
        <f>[5]С2!F22</f>
        <v>38698.422798410109</v>
      </c>
    </row>
    <row r="66" spans="1:3" ht="30" x14ac:dyDescent="0.2">
      <c r="A66" s="59" t="s">
        <v>96</v>
      </c>
      <c r="B66" s="60" t="s">
        <v>240</v>
      </c>
      <c r="C66" s="32">
        <f>[5]С2!F23</f>
        <v>1990</v>
      </c>
    </row>
    <row r="67" spans="1:3" ht="30" x14ac:dyDescent="0.2">
      <c r="A67" s="59" t="s">
        <v>98</v>
      </c>
      <c r="B67" s="52" t="s">
        <v>99</v>
      </c>
      <c r="C67" s="32">
        <f>[5]С2.1!E27</f>
        <v>14307.876789999998</v>
      </c>
    </row>
    <row r="68" spans="1:3" ht="38.25" x14ac:dyDescent="0.2">
      <c r="A68" s="59" t="s">
        <v>100</v>
      </c>
      <c r="B68" s="67" t="s">
        <v>101</v>
      </c>
      <c r="C68" s="51">
        <f>[5]С2.3!E21</f>
        <v>0</v>
      </c>
    </row>
    <row r="69" spans="1:3" ht="25.5" x14ac:dyDescent="0.2">
      <c r="A69" s="59" t="s">
        <v>102</v>
      </c>
      <c r="B69" s="68" t="s">
        <v>103</v>
      </c>
      <c r="C69" s="69">
        <f>[5]С2.3!E11</f>
        <v>9.89</v>
      </c>
    </row>
    <row r="70" spans="1:3" ht="25.5" x14ac:dyDescent="0.2">
      <c r="A70" s="59" t="s">
        <v>104</v>
      </c>
      <c r="B70" s="68" t="s">
        <v>105</v>
      </c>
      <c r="C70" s="64">
        <f>[5]С2.3!E13</f>
        <v>300</v>
      </c>
    </row>
    <row r="71" spans="1:3" ht="25.5" x14ac:dyDescent="0.2">
      <c r="A71" s="59" t="s">
        <v>106</v>
      </c>
      <c r="B71" s="67" t="s">
        <v>107</v>
      </c>
      <c r="C71" s="70">
        <f>IF([5]С2.3!E22&gt;0,[5]С2.3!E22,[5]С2.3!E14)</f>
        <v>61211</v>
      </c>
    </row>
    <row r="72" spans="1:3" ht="38.25" x14ac:dyDescent="0.2">
      <c r="A72" s="59" t="s">
        <v>108</v>
      </c>
      <c r="B72" s="67" t="s">
        <v>109</v>
      </c>
      <c r="C72" s="70">
        <f>IF([5]С2.3!E23&gt;0,[5]С2.3!E23,[5]С2.3!E15)</f>
        <v>45675</v>
      </c>
    </row>
    <row r="73" spans="1:3" ht="30" x14ac:dyDescent="0.2">
      <c r="A73" s="59" t="s">
        <v>110</v>
      </c>
      <c r="B73" s="52" t="s">
        <v>111</v>
      </c>
      <c r="C73" s="32">
        <f>[5]С2.1!E28</f>
        <v>9541.9567200000001</v>
      </c>
    </row>
    <row r="74" spans="1:3" ht="38.25" x14ac:dyDescent="0.2">
      <c r="A74" s="59" t="s">
        <v>112</v>
      </c>
      <c r="B74" s="67" t="s">
        <v>113</v>
      </c>
      <c r="C74" s="51">
        <f>[5]С2.3!E25</f>
        <v>0</v>
      </c>
    </row>
    <row r="75" spans="1:3" ht="25.5" x14ac:dyDescent="0.2">
      <c r="A75" s="59" t="s">
        <v>114</v>
      </c>
      <c r="B75" s="68" t="s">
        <v>115</v>
      </c>
      <c r="C75" s="69">
        <f>[5]С2.3!E12</f>
        <v>0.56000000000000005</v>
      </c>
    </row>
    <row r="76" spans="1:3" ht="25.5" x14ac:dyDescent="0.2">
      <c r="A76" s="59" t="s">
        <v>116</v>
      </c>
      <c r="B76" s="68" t="s">
        <v>105</v>
      </c>
      <c r="C76" s="64">
        <f>[5]С2.3!E13</f>
        <v>300</v>
      </c>
    </row>
    <row r="77" spans="1:3" ht="25.5" x14ac:dyDescent="0.2">
      <c r="A77" s="59" t="s">
        <v>117</v>
      </c>
      <c r="B77" s="71" t="s">
        <v>118</v>
      </c>
      <c r="C77" s="70">
        <f>IF([5]С2.3!E26&gt;0,[5]С2.3!E26,[5]С2.3!E16)</f>
        <v>65637</v>
      </c>
    </row>
    <row r="78" spans="1:3" ht="38.25" x14ac:dyDescent="0.2">
      <c r="A78" s="59" t="s">
        <v>119</v>
      </c>
      <c r="B78" s="71" t="s">
        <v>120</v>
      </c>
      <c r="C78" s="70">
        <f>IF([5]С2.3!E27&gt;0,[5]С2.3!E27,[5]С2.3!E17)</f>
        <v>31684</v>
      </c>
    </row>
    <row r="79" spans="1:3" ht="17.25" x14ac:dyDescent="0.2">
      <c r="A79" s="59" t="s">
        <v>123</v>
      </c>
      <c r="B79" s="31" t="s">
        <v>124</v>
      </c>
      <c r="C79" s="34">
        <f>[5]С2!F29</f>
        <v>9.5962865259740182E-2</v>
      </c>
    </row>
    <row r="80" spans="1:3" ht="30" x14ac:dyDescent="0.2">
      <c r="A80" s="59" t="s">
        <v>125</v>
      </c>
      <c r="B80" s="52" t="s">
        <v>126</v>
      </c>
      <c r="C80" s="72">
        <f>[5]С2!F30</f>
        <v>8.4029304029304031E-2</v>
      </c>
    </row>
    <row r="81" spans="1:3" ht="17.25" x14ac:dyDescent="0.2">
      <c r="A81" s="59" t="s">
        <v>127</v>
      </c>
      <c r="B81" s="73" t="s">
        <v>128</v>
      </c>
      <c r="C81" s="34">
        <f>[5]С2!F31</f>
        <v>0.13880000000000001</v>
      </c>
    </row>
    <row r="82" spans="1:3" s="65" customFormat="1" ht="18" thickBot="1" x14ac:dyDescent="0.25">
      <c r="A82" s="74" t="s">
        <v>129</v>
      </c>
      <c r="B82" s="75" t="s">
        <v>130</v>
      </c>
      <c r="C82" s="76">
        <f>[5]С2!F32</f>
        <v>0.12640000000000001</v>
      </c>
    </row>
    <row r="83" spans="1:3" ht="13.5" thickBot="1" x14ac:dyDescent="0.25">
      <c r="A83" s="47"/>
      <c r="B83" s="48"/>
      <c r="C83" s="14"/>
    </row>
    <row r="84" spans="1:3" s="65" customFormat="1" ht="30" customHeight="1" x14ac:dyDescent="0.2">
      <c r="A84" s="77" t="s">
        <v>131</v>
      </c>
      <c r="B84" s="145" t="s">
        <v>132</v>
      </c>
      <c r="C84" s="145"/>
    </row>
    <row r="85" spans="1:3" s="65" customFormat="1" ht="30" x14ac:dyDescent="0.2">
      <c r="A85" s="78" t="s">
        <v>133</v>
      </c>
      <c r="B85" s="31" t="s">
        <v>134</v>
      </c>
      <c r="C85" s="32">
        <f>[5]С3!F14</f>
        <v>6057.0688307111368</v>
      </c>
    </row>
    <row r="86" spans="1:3" s="65" customFormat="1" ht="42.75" x14ac:dyDescent="0.2">
      <c r="A86" s="78" t="s">
        <v>135</v>
      </c>
      <c r="B86" s="52" t="s">
        <v>136</v>
      </c>
      <c r="C86" s="79">
        <f>[5]С3!F15</f>
        <v>0.2</v>
      </c>
    </row>
    <row r="87" spans="1:3" s="65" customFormat="1" ht="14.25" x14ac:dyDescent="0.2">
      <c r="A87" s="78" t="s">
        <v>137</v>
      </c>
      <c r="B87" s="80" t="s">
        <v>138</v>
      </c>
      <c r="C87" s="64">
        <f>[5]С3!F18</f>
        <v>15</v>
      </c>
    </row>
    <row r="88" spans="1:3" s="65" customFormat="1" ht="17.25" x14ac:dyDescent="0.2">
      <c r="A88" s="78" t="s">
        <v>139</v>
      </c>
      <c r="B88" s="31" t="s">
        <v>140</v>
      </c>
      <c r="C88" s="32">
        <f>[5]С3!F19</f>
        <v>3778.1614077800232</v>
      </c>
    </row>
    <row r="89" spans="1:3" s="65" customFormat="1" ht="55.5" x14ac:dyDescent="0.2">
      <c r="A89" s="78" t="s">
        <v>141</v>
      </c>
      <c r="B89" s="52" t="s">
        <v>142</v>
      </c>
      <c r="C89" s="81">
        <f>[5]С3!F20</f>
        <v>2.1999999999999999E-2</v>
      </c>
    </row>
    <row r="90" spans="1:3" s="65" customFormat="1" ht="14.25" x14ac:dyDescent="0.2">
      <c r="A90" s="78" t="s">
        <v>143</v>
      </c>
      <c r="B90" s="58" t="s">
        <v>87</v>
      </c>
      <c r="C90" s="64">
        <f>[5]С3!F21</f>
        <v>10</v>
      </c>
    </row>
    <row r="91" spans="1:3" s="65" customFormat="1" ht="17.25" x14ac:dyDescent="0.2">
      <c r="A91" s="78" t="s">
        <v>144</v>
      </c>
      <c r="B91" s="31" t="s">
        <v>145</v>
      </c>
      <c r="C91" s="32">
        <f>[5]С3!F22</f>
        <v>3.7991236581345382</v>
      </c>
    </row>
    <row r="92" spans="1:3" s="65" customFormat="1" ht="55.5" x14ac:dyDescent="0.2">
      <c r="A92" s="78" t="s">
        <v>146</v>
      </c>
      <c r="B92" s="52" t="s">
        <v>147</v>
      </c>
      <c r="C92" s="81">
        <f>[5]С3!F23</f>
        <v>3.0000000000000001E-3</v>
      </c>
    </row>
    <row r="93" spans="1:3" s="65" customFormat="1" ht="27.75" thickBot="1" x14ac:dyDescent="0.25">
      <c r="A93" s="82" t="s">
        <v>148</v>
      </c>
      <c r="B93" s="83" t="s">
        <v>241</v>
      </c>
      <c r="C93" s="84">
        <f>[5]С3!F24</f>
        <v>1266.3745527115127</v>
      </c>
    </row>
    <row r="94" spans="1:3" ht="13.5" thickBot="1" x14ac:dyDescent="0.25">
      <c r="A94" s="47"/>
      <c r="B94" s="48"/>
      <c r="C94" s="14"/>
    </row>
    <row r="95" spans="1:3" ht="30" customHeight="1" x14ac:dyDescent="0.2">
      <c r="A95" s="85" t="s">
        <v>149</v>
      </c>
      <c r="B95" s="145" t="s">
        <v>150</v>
      </c>
      <c r="C95" s="145"/>
    </row>
    <row r="96" spans="1:3" ht="30" x14ac:dyDescent="0.2">
      <c r="A96" s="59" t="s">
        <v>151</v>
      </c>
      <c r="B96" s="31" t="s">
        <v>242</v>
      </c>
      <c r="C96" s="32">
        <f>[5]С4!F16</f>
        <v>1652.5</v>
      </c>
    </row>
    <row r="97" spans="1:3" ht="30" x14ac:dyDescent="0.2">
      <c r="A97" s="59" t="s">
        <v>153</v>
      </c>
      <c r="B97" s="58" t="s">
        <v>243</v>
      </c>
      <c r="C97" s="32">
        <f>[5]С4!F17</f>
        <v>73547</v>
      </c>
    </row>
    <row r="98" spans="1:3" ht="17.25" x14ac:dyDescent="0.2">
      <c r="A98" s="59" t="s">
        <v>155</v>
      </c>
      <c r="B98" s="58" t="s">
        <v>156</v>
      </c>
      <c r="C98" s="40">
        <f>[5]С4!F18</f>
        <v>0.02</v>
      </c>
    </row>
    <row r="99" spans="1:3" ht="30" x14ac:dyDescent="0.2">
      <c r="A99" s="59" t="s">
        <v>157</v>
      </c>
      <c r="B99" s="58" t="s">
        <v>158</v>
      </c>
      <c r="C99" s="32">
        <f>[5]С4!F19</f>
        <v>12104</v>
      </c>
    </row>
    <row r="100" spans="1:3" ht="28.5" x14ac:dyDescent="0.2">
      <c r="A100" s="59" t="s">
        <v>159</v>
      </c>
      <c r="B100" s="58" t="s">
        <v>160</v>
      </c>
      <c r="C100" s="40">
        <f>[5]С4!F20</f>
        <v>1.4999999999999999E-2</v>
      </c>
    </row>
    <row r="101" spans="1:3" ht="30" x14ac:dyDescent="0.2">
      <c r="A101" s="59" t="s">
        <v>161</v>
      </c>
      <c r="B101" s="31" t="s">
        <v>244</v>
      </c>
      <c r="C101" s="32">
        <f>[5]С4!F21</f>
        <v>1933.1949342509995</v>
      </c>
    </row>
    <row r="102" spans="1:3" ht="24" customHeight="1" x14ac:dyDescent="0.2">
      <c r="A102" s="59" t="s">
        <v>163</v>
      </c>
      <c r="B102" s="52" t="s">
        <v>164</v>
      </c>
      <c r="C102" s="33">
        <f>IF([5]С4.2!F8="да",[5]С4.2!D21,[5]С4.2!D15)</f>
        <v>0</v>
      </c>
    </row>
    <row r="103" spans="1:3" ht="68.25" x14ac:dyDescent="0.2">
      <c r="A103" s="59" t="s">
        <v>165</v>
      </c>
      <c r="B103" s="52" t="s">
        <v>166</v>
      </c>
      <c r="C103" s="32">
        <f>[5]С4!F22</f>
        <v>3.6112641666666665</v>
      </c>
    </row>
    <row r="104" spans="1:3" ht="30" x14ac:dyDescent="0.2">
      <c r="A104" s="59" t="s">
        <v>167</v>
      </c>
      <c r="B104" s="58" t="s">
        <v>245</v>
      </c>
      <c r="C104" s="32">
        <f>[5]С4!F23</f>
        <v>180</v>
      </c>
    </row>
    <row r="105" spans="1:3" ht="14.25" x14ac:dyDescent="0.2">
      <c r="A105" s="59" t="s">
        <v>169</v>
      </c>
      <c r="B105" s="52" t="s">
        <v>170</v>
      </c>
      <c r="C105" s="32">
        <f>[5]С4!F24</f>
        <v>8497.1999999999989</v>
      </c>
    </row>
    <row r="106" spans="1:3" ht="14.25" x14ac:dyDescent="0.2">
      <c r="A106" s="59" t="s">
        <v>171</v>
      </c>
      <c r="B106" s="58" t="s">
        <v>172</v>
      </c>
      <c r="C106" s="40">
        <f>[5]С4!F25</f>
        <v>0.35</v>
      </c>
    </row>
    <row r="107" spans="1:3" ht="17.25" x14ac:dyDescent="0.2">
      <c r="A107" s="59" t="s">
        <v>173</v>
      </c>
      <c r="B107" s="31" t="s">
        <v>174</v>
      </c>
      <c r="C107" s="32">
        <f>[5]С4!F26</f>
        <v>82.394810000000007</v>
      </c>
    </row>
    <row r="108" spans="1:3" ht="25.5" x14ac:dyDescent="0.2">
      <c r="A108" s="59" t="s">
        <v>175</v>
      </c>
      <c r="B108" s="52" t="s">
        <v>101</v>
      </c>
      <c r="C108" s="33">
        <f>[5]С4.3!E16</f>
        <v>0</v>
      </c>
    </row>
    <row r="109" spans="1:3" ht="25.5" x14ac:dyDescent="0.2">
      <c r="A109" s="59" t="s">
        <v>176</v>
      </c>
      <c r="B109" s="52" t="s">
        <v>177</v>
      </c>
      <c r="C109" s="32">
        <f>[5]С4.3!E17</f>
        <v>20.083333333333336</v>
      </c>
    </row>
    <row r="110" spans="1:3" ht="38.25" x14ac:dyDescent="0.2">
      <c r="A110" s="59" t="s">
        <v>178</v>
      </c>
      <c r="B110" s="52" t="s">
        <v>113</v>
      </c>
      <c r="C110" s="33">
        <f>[5]С4.3!E18</f>
        <v>0</v>
      </c>
    </row>
    <row r="111" spans="1:3" x14ac:dyDescent="0.2">
      <c r="A111" s="59" t="s">
        <v>179</v>
      </c>
      <c r="B111" s="52" t="s">
        <v>180</v>
      </c>
      <c r="C111" s="32">
        <f>[5]С4.3!E19</f>
        <v>58.64</v>
      </c>
    </row>
    <row r="112" spans="1:3" x14ac:dyDescent="0.2">
      <c r="A112" s="59" t="s">
        <v>181</v>
      </c>
      <c r="B112" s="58" t="s">
        <v>182</v>
      </c>
      <c r="C112" s="32">
        <f>[5]С4.3!E11</f>
        <v>1871</v>
      </c>
    </row>
    <row r="113" spans="1:3" x14ac:dyDescent="0.2">
      <c r="A113" s="59" t="s">
        <v>183</v>
      </c>
      <c r="B113" s="58" t="s">
        <v>184</v>
      </c>
      <c r="C113" s="51">
        <f>[5]С4.3!E12</f>
        <v>1636</v>
      </c>
    </row>
    <row r="114" spans="1:3" x14ac:dyDescent="0.2">
      <c r="A114" s="59" t="s">
        <v>185</v>
      </c>
      <c r="B114" s="58" t="s">
        <v>186</v>
      </c>
      <c r="C114" s="51">
        <f>[5]С4.3!E13</f>
        <v>204</v>
      </c>
    </row>
    <row r="115" spans="1:3" ht="30" x14ac:dyDescent="0.2">
      <c r="A115" s="59" t="s">
        <v>187</v>
      </c>
      <c r="B115" s="31" t="s">
        <v>246</v>
      </c>
      <c r="C115" s="32">
        <f>[5]С4!F27</f>
        <v>1351.1912129385403</v>
      </c>
    </row>
    <row r="116" spans="1:3" ht="25.5" x14ac:dyDescent="0.2">
      <c r="A116" s="59" t="s">
        <v>189</v>
      </c>
      <c r="B116" s="52" t="s">
        <v>247</v>
      </c>
      <c r="C116" s="32">
        <f>[5]С4!F28</f>
        <v>1037.7812695380494</v>
      </c>
    </row>
    <row r="117" spans="1:3" ht="42.75" x14ac:dyDescent="0.2">
      <c r="A117" s="59" t="s">
        <v>191</v>
      </c>
      <c r="B117" s="52" t="s">
        <v>192</v>
      </c>
      <c r="C117" s="32">
        <f>[5]С4!F29</f>
        <v>313.40994340049093</v>
      </c>
    </row>
    <row r="118" spans="1:3" ht="30" x14ac:dyDescent="0.2">
      <c r="A118" s="59" t="s">
        <v>193</v>
      </c>
      <c r="B118" s="39" t="s">
        <v>194</v>
      </c>
      <c r="C118" s="32">
        <f>[5]С4!F30</f>
        <v>1733.5428732309333</v>
      </c>
    </row>
    <row r="119" spans="1:3" ht="42.75" x14ac:dyDescent="0.2">
      <c r="A119" s="59" t="s">
        <v>248</v>
      </c>
      <c r="B119" s="89" t="s">
        <v>249</v>
      </c>
      <c r="C119" s="32">
        <f>[5]С4!F33</f>
        <v>1010.5011744884268</v>
      </c>
    </row>
    <row r="120" spans="1:3" ht="30" x14ac:dyDescent="0.2">
      <c r="A120" s="59" t="s">
        <v>250</v>
      </c>
      <c r="B120" s="121" t="s">
        <v>251</v>
      </c>
      <c r="C120" s="32">
        <f>[5]С4!F35</f>
        <v>17.040680999999999</v>
      </c>
    </row>
    <row r="121" spans="1:3" ht="14.25" x14ac:dyDescent="0.2">
      <c r="A121" s="59" t="s">
        <v>252</v>
      </c>
      <c r="B121" s="55" t="s">
        <v>253</v>
      </c>
      <c r="C121" s="32">
        <f>[5]С4!F36</f>
        <v>14319.9</v>
      </c>
    </row>
    <row r="122" spans="1:3" ht="28.5" thickBot="1" x14ac:dyDescent="0.25">
      <c r="A122" s="74" t="s">
        <v>254</v>
      </c>
      <c r="B122" s="122" t="s">
        <v>255</v>
      </c>
      <c r="C122" s="84">
        <f>[5]С4!F37</f>
        <v>1.19</v>
      </c>
    </row>
    <row r="123" spans="1:3" s="87" customFormat="1" ht="13.5" thickBot="1" x14ac:dyDescent="0.25">
      <c r="A123" s="47"/>
      <c r="B123" s="48"/>
      <c r="C123" s="14"/>
    </row>
    <row r="124" spans="1:3" s="65" customFormat="1" ht="30" customHeight="1" x14ac:dyDescent="0.2">
      <c r="A124" s="77" t="s">
        <v>195</v>
      </c>
      <c r="B124" s="145" t="s">
        <v>196</v>
      </c>
      <c r="C124" s="145"/>
    </row>
    <row r="125" spans="1:3" ht="16.5" thickBot="1" x14ac:dyDescent="0.25">
      <c r="A125" s="26" t="s">
        <v>197</v>
      </c>
      <c r="B125" s="86" t="s">
        <v>198</v>
      </c>
      <c r="C125" s="84">
        <f>[5]С5!F17</f>
        <v>0.02</v>
      </c>
    </row>
    <row r="126" spans="1:3" s="87" customFormat="1" ht="13.5" thickBot="1" x14ac:dyDescent="0.25">
      <c r="A126" s="47"/>
      <c r="B126" s="48"/>
      <c r="C126" s="14"/>
    </row>
    <row r="127" spans="1:3" ht="42.75" customHeight="1" x14ac:dyDescent="0.2">
      <c r="A127" s="85" t="s">
        <v>199</v>
      </c>
      <c r="B127" s="147" t="s">
        <v>200</v>
      </c>
      <c r="C127" s="147"/>
    </row>
    <row r="128" spans="1:3" ht="68.25" x14ac:dyDescent="0.2">
      <c r="A128" s="59" t="s">
        <v>201</v>
      </c>
      <c r="B128" s="88" t="s">
        <v>202</v>
      </c>
      <c r="C128" s="32" t="s">
        <v>256</v>
      </c>
    </row>
    <row r="129" spans="1:3" ht="42.75" hidden="1" x14ac:dyDescent="0.2">
      <c r="A129" s="59" t="s">
        <v>203</v>
      </c>
      <c r="B129" s="89" t="s">
        <v>204</v>
      </c>
      <c r="C129" s="90"/>
    </row>
    <row r="130" spans="1:3" ht="69" thickBot="1" x14ac:dyDescent="0.25">
      <c r="A130" s="74" t="s">
        <v>205</v>
      </c>
      <c r="B130" s="123" t="s">
        <v>206</v>
      </c>
      <c r="C130" s="124" t="s">
        <v>256</v>
      </c>
    </row>
    <row r="131" spans="1:3" ht="62.25" hidden="1" customHeight="1" x14ac:dyDescent="0.2">
      <c r="A131" s="125" t="s">
        <v>207</v>
      </c>
      <c r="B131" s="126" t="s">
        <v>208</v>
      </c>
      <c r="C131" s="127"/>
    </row>
    <row r="132" spans="1:3" ht="68.25" hidden="1" x14ac:dyDescent="0.2">
      <c r="A132" s="59" t="s">
        <v>209</v>
      </c>
      <c r="B132" s="89" t="s">
        <v>257</v>
      </c>
      <c r="C132" s="34"/>
    </row>
    <row r="133" spans="1:3" ht="69" hidden="1" thickBot="1" x14ac:dyDescent="0.25">
      <c r="A133" s="74" t="s">
        <v>211</v>
      </c>
      <c r="B133" s="92" t="s">
        <v>212</v>
      </c>
      <c r="C133" s="76"/>
    </row>
    <row r="134" spans="1:3" s="87" customFormat="1" ht="13.5" thickBot="1" x14ac:dyDescent="0.25">
      <c r="A134" s="47"/>
      <c r="B134" s="48"/>
      <c r="C134" s="14"/>
    </row>
    <row r="135" spans="1:3" ht="26.25" customHeight="1" x14ac:dyDescent="0.2">
      <c r="A135" s="85" t="s">
        <v>213</v>
      </c>
      <c r="B135" s="93" t="s">
        <v>214</v>
      </c>
      <c r="C135" s="94">
        <f>[5]С2!F37</f>
        <v>20.818139999999996</v>
      </c>
    </row>
    <row r="136" spans="1:3" ht="14.25" x14ac:dyDescent="0.2">
      <c r="A136" s="59" t="s">
        <v>215</v>
      </c>
      <c r="B136" s="128" t="s">
        <v>216</v>
      </c>
      <c r="C136" s="32">
        <f>[5]С2!F38</f>
        <v>7</v>
      </c>
    </row>
    <row r="137" spans="1:3" ht="17.25" x14ac:dyDescent="0.2">
      <c r="A137" s="59" t="s">
        <v>217</v>
      </c>
      <c r="B137" s="128" t="s">
        <v>218</v>
      </c>
      <c r="C137" s="32">
        <f>[5]С2!F40</f>
        <v>0.97</v>
      </c>
    </row>
    <row r="138" spans="1:3" ht="15" thickBot="1" x14ac:dyDescent="0.25">
      <c r="A138" s="74" t="s">
        <v>219</v>
      </c>
      <c r="B138" s="129" t="s">
        <v>220</v>
      </c>
      <c r="C138" s="46">
        <f>[5]С2!F42</f>
        <v>0.35</v>
      </c>
    </row>
    <row r="139" spans="1:3" s="87" customFormat="1" ht="13.5" thickBot="1" x14ac:dyDescent="0.25">
      <c r="A139" s="47"/>
      <c r="B139" s="48"/>
      <c r="C139" s="14"/>
    </row>
    <row r="140" spans="1:3" ht="30" x14ac:dyDescent="0.2">
      <c r="A140" s="85" t="s">
        <v>221</v>
      </c>
      <c r="B140" s="95" t="s">
        <v>258</v>
      </c>
      <c r="C140" s="130">
        <f>[5]С2!F35</f>
        <v>1.4976266307379205</v>
      </c>
    </row>
    <row r="141" spans="1:3" ht="22.7" customHeight="1" thickBot="1" x14ac:dyDescent="0.25">
      <c r="A141" s="74" t="s">
        <v>223</v>
      </c>
      <c r="B141" s="141" t="s">
        <v>224</v>
      </c>
      <c r="C141" s="141"/>
    </row>
    <row r="142" spans="1:3" ht="13.5" thickBot="1" x14ac:dyDescent="0.25">
      <c r="A142" s="97"/>
      <c r="B142" s="131" t="s">
        <v>0</v>
      </c>
      <c r="C142" s="132"/>
    </row>
    <row r="143" spans="1:3" x14ac:dyDescent="0.2">
      <c r="A143" s="97"/>
      <c r="B143" s="133">
        <v>2020</v>
      </c>
      <c r="C143" s="134">
        <f>[5]С2.5!$E$11</f>
        <v>-2.9000000000000026E-2</v>
      </c>
    </row>
    <row r="144" spans="1:3" x14ac:dyDescent="0.2">
      <c r="A144" s="97"/>
      <c r="B144" s="104">
        <f>B143+1</f>
        <v>2021</v>
      </c>
      <c r="C144" s="135">
        <f>[5]С2.5!$F$11</f>
        <v>0.245</v>
      </c>
    </row>
    <row r="145" spans="1:3" x14ac:dyDescent="0.2">
      <c r="A145" s="97"/>
      <c r="B145" s="104">
        <f t="shared" ref="B145:B208" si="0">B144+1</f>
        <v>2022</v>
      </c>
      <c r="C145" s="135">
        <f>[5]С2.5!$G$11</f>
        <v>0.114</v>
      </c>
    </row>
    <row r="146" spans="1:3" ht="13.5" thickBot="1" x14ac:dyDescent="0.25">
      <c r="A146" s="97"/>
      <c r="B146" s="106">
        <f t="shared" si="0"/>
        <v>2023</v>
      </c>
      <c r="C146" s="136">
        <f>[5]С2.5!$H$11</f>
        <v>2.4E-2</v>
      </c>
    </row>
    <row r="147" spans="1:3" x14ac:dyDescent="0.2">
      <c r="A147" s="97"/>
      <c r="B147" s="137">
        <f t="shared" si="0"/>
        <v>2024</v>
      </c>
      <c r="C147" s="138">
        <f>[5]С2.5!$I$11</f>
        <v>8.5999999999999993E-2</v>
      </c>
    </row>
    <row r="148" spans="1:3" hidden="1" x14ac:dyDescent="0.2">
      <c r="A148" s="97"/>
      <c r="B148" s="104">
        <f t="shared" si="0"/>
        <v>2025</v>
      </c>
      <c r="C148" s="135">
        <f>[5]С2.5!$J$11</f>
        <v>0.21215960863291</v>
      </c>
    </row>
    <row r="149" spans="1:3" hidden="1" x14ac:dyDescent="0.2">
      <c r="A149" s="97"/>
      <c r="B149" s="104">
        <f t="shared" si="0"/>
        <v>2026</v>
      </c>
      <c r="C149" s="135">
        <f>[5]С2.5!$K$11</f>
        <v>3.5813361771260002E-2</v>
      </c>
    </row>
    <row r="150" spans="1:3" hidden="1" x14ac:dyDescent="0.2">
      <c r="A150" s="97"/>
      <c r="B150" s="104">
        <f t="shared" si="0"/>
        <v>2027</v>
      </c>
      <c r="C150" s="135">
        <f>[5]С2.5!$L$11</f>
        <v>3.2682303599220003E-2</v>
      </c>
    </row>
    <row r="151" spans="1:3" hidden="1" x14ac:dyDescent="0.2">
      <c r="A151" s="97"/>
      <c r="B151" s="104">
        <f t="shared" si="0"/>
        <v>2028</v>
      </c>
      <c r="C151" s="135">
        <f>[5]С2.5!$M$11</f>
        <v>0</v>
      </c>
    </row>
    <row r="152" spans="1:3" hidden="1" x14ac:dyDescent="0.2">
      <c r="A152" s="97"/>
      <c r="B152" s="104">
        <f t="shared" si="0"/>
        <v>2029</v>
      </c>
      <c r="C152" s="135">
        <f>[5]С2.5!$N$11</f>
        <v>0</v>
      </c>
    </row>
    <row r="153" spans="1:3" hidden="1" x14ac:dyDescent="0.2">
      <c r="A153" s="97"/>
      <c r="B153" s="104">
        <f t="shared" si="0"/>
        <v>2030</v>
      </c>
      <c r="C153" s="135">
        <f>[5]С2.5!$O$11</f>
        <v>0</v>
      </c>
    </row>
    <row r="154" spans="1:3" hidden="1" x14ac:dyDescent="0.2">
      <c r="A154" s="97"/>
      <c r="B154" s="104">
        <f t="shared" si="0"/>
        <v>2031</v>
      </c>
      <c r="C154" s="135">
        <f>[5]С2.5!$P$11</f>
        <v>0</v>
      </c>
    </row>
    <row r="155" spans="1:3" hidden="1" x14ac:dyDescent="0.2">
      <c r="A155" s="87"/>
      <c r="B155" s="104">
        <f t="shared" si="0"/>
        <v>2032</v>
      </c>
      <c r="C155" s="135">
        <f>[5]С2.5!$Q$11</f>
        <v>0</v>
      </c>
    </row>
    <row r="156" spans="1:3" hidden="1" x14ac:dyDescent="0.2">
      <c r="A156" s="87"/>
      <c r="B156" s="104">
        <f t="shared" si="0"/>
        <v>2033</v>
      </c>
      <c r="C156" s="135">
        <f>[5]С2.5!$R$11</f>
        <v>0</v>
      </c>
    </row>
    <row r="157" spans="1:3" hidden="1" x14ac:dyDescent="0.2">
      <c r="B157" s="104">
        <f t="shared" si="0"/>
        <v>2034</v>
      </c>
      <c r="C157" s="135">
        <f>[5]С2.5!$S$11</f>
        <v>0</v>
      </c>
    </row>
    <row r="158" spans="1:3" hidden="1" x14ac:dyDescent="0.2">
      <c r="B158" s="104">
        <f t="shared" si="0"/>
        <v>2035</v>
      </c>
      <c r="C158" s="135">
        <f>[5]С2.5!$T$11</f>
        <v>0</v>
      </c>
    </row>
    <row r="159" spans="1:3" hidden="1" x14ac:dyDescent="0.2">
      <c r="B159" s="104">
        <f t="shared" si="0"/>
        <v>2036</v>
      </c>
      <c r="C159" s="135">
        <f>[5]С2.5!$U$11</f>
        <v>0</v>
      </c>
    </row>
    <row r="160" spans="1:3" hidden="1" x14ac:dyDescent="0.2">
      <c r="B160" s="104">
        <f t="shared" si="0"/>
        <v>2037</v>
      </c>
      <c r="C160" s="135">
        <f>[5]С2.5!$V$11</f>
        <v>0</v>
      </c>
    </row>
    <row r="161" spans="2:3" hidden="1" x14ac:dyDescent="0.2">
      <c r="B161" s="104">
        <f t="shared" si="0"/>
        <v>2038</v>
      </c>
      <c r="C161" s="135">
        <f>[5]С2.5!$W$11</f>
        <v>0</v>
      </c>
    </row>
    <row r="162" spans="2:3" hidden="1" x14ac:dyDescent="0.2">
      <c r="B162" s="104">
        <f t="shared" si="0"/>
        <v>2039</v>
      </c>
      <c r="C162" s="135">
        <f>[5]С2.5!$X$11</f>
        <v>0</v>
      </c>
    </row>
    <row r="163" spans="2:3" hidden="1" x14ac:dyDescent="0.2">
      <c r="B163" s="104">
        <f t="shared" si="0"/>
        <v>2040</v>
      </c>
      <c r="C163" s="135">
        <f>[5]С2.5!$Y$11</f>
        <v>0</v>
      </c>
    </row>
    <row r="164" spans="2:3" hidden="1" x14ac:dyDescent="0.2">
      <c r="B164" s="104">
        <f t="shared" si="0"/>
        <v>2041</v>
      </c>
      <c r="C164" s="135">
        <f>[5]С2.5!$Z$11</f>
        <v>0</v>
      </c>
    </row>
    <row r="165" spans="2:3" hidden="1" x14ac:dyDescent="0.2">
      <c r="B165" s="104">
        <f t="shared" si="0"/>
        <v>2042</v>
      </c>
      <c r="C165" s="135">
        <f>[5]С2.5!$AA$11</f>
        <v>0</v>
      </c>
    </row>
    <row r="166" spans="2:3" hidden="1" x14ac:dyDescent="0.2">
      <c r="B166" s="104">
        <f t="shared" si="0"/>
        <v>2043</v>
      </c>
      <c r="C166" s="135">
        <f>[5]С2.5!$AB$11</f>
        <v>0</v>
      </c>
    </row>
    <row r="167" spans="2:3" hidden="1" x14ac:dyDescent="0.2">
      <c r="B167" s="104">
        <f t="shared" si="0"/>
        <v>2044</v>
      </c>
      <c r="C167" s="135">
        <f>[5]С2.5!$AC$11</f>
        <v>0</v>
      </c>
    </row>
    <row r="168" spans="2:3" hidden="1" x14ac:dyDescent="0.2">
      <c r="B168" s="104">
        <f t="shared" si="0"/>
        <v>2045</v>
      </c>
      <c r="C168" s="135">
        <f>[5]С2.5!$AD$11</f>
        <v>0</v>
      </c>
    </row>
    <row r="169" spans="2:3" hidden="1" x14ac:dyDescent="0.2">
      <c r="B169" s="104">
        <f t="shared" si="0"/>
        <v>2046</v>
      </c>
      <c r="C169" s="135">
        <f>[5]С2.5!$AE$11</f>
        <v>0</v>
      </c>
    </row>
    <row r="170" spans="2:3" hidden="1" x14ac:dyDescent="0.2">
      <c r="B170" s="104">
        <f t="shared" si="0"/>
        <v>2047</v>
      </c>
      <c r="C170" s="135">
        <f>[5]С2.5!$AF$11</f>
        <v>0</v>
      </c>
    </row>
    <row r="171" spans="2:3" hidden="1" x14ac:dyDescent="0.2">
      <c r="B171" s="104">
        <f t="shared" si="0"/>
        <v>2048</v>
      </c>
      <c r="C171" s="135">
        <f>[5]С2.5!$AG$11</f>
        <v>0</v>
      </c>
    </row>
    <row r="172" spans="2:3" hidden="1" x14ac:dyDescent="0.2">
      <c r="B172" s="104">
        <f t="shared" si="0"/>
        <v>2049</v>
      </c>
      <c r="C172" s="135">
        <f>[5]С2.5!$AH$11</f>
        <v>0</v>
      </c>
    </row>
    <row r="173" spans="2:3" hidden="1" x14ac:dyDescent="0.2">
      <c r="B173" s="104">
        <f t="shared" si="0"/>
        <v>2050</v>
      </c>
      <c r="C173" s="135">
        <f>[5]С2.5!$AI$11</f>
        <v>0</v>
      </c>
    </row>
    <row r="174" spans="2:3" hidden="1" x14ac:dyDescent="0.2">
      <c r="B174" s="104">
        <f t="shared" si="0"/>
        <v>2051</v>
      </c>
      <c r="C174" s="135">
        <f>[5]С2.5!$AJ$11</f>
        <v>0</v>
      </c>
    </row>
    <row r="175" spans="2:3" hidden="1" x14ac:dyDescent="0.2">
      <c r="B175" s="104">
        <f t="shared" si="0"/>
        <v>2052</v>
      </c>
      <c r="C175" s="135">
        <f>[5]С2.5!$AK$11</f>
        <v>0</v>
      </c>
    </row>
    <row r="176" spans="2:3" hidden="1" x14ac:dyDescent="0.2">
      <c r="B176" s="104">
        <f t="shared" si="0"/>
        <v>2053</v>
      </c>
      <c r="C176" s="135">
        <f>[5]С2.5!$AL$11</f>
        <v>0</v>
      </c>
    </row>
    <row r="177" spans="2:3" hidden="1" x14ac:dyDescent="0.2">
      <c r="B177" s="104">
        <f t="shared" si="0"/>
        <v>2054</v>
      </c>
      <c r="C177" s="135">
        <f>[5]С2.5!$AM$11</f>
        <v>0</v>
      </c>
    </row>
    <row r="178" spans="2:3" hidden="1" x14ac:dyDescent="0.2">
      <c r="B178" s="104">
        <f t="shared" si="0"/>
        <v>2055</v>
      </c>
      <c r="C178" s="135">
        <f>[5]С2.5!$AN$11</f>
        <v>0</v>
      </c>
    </row>
    <row r="179" spans="2:3" hidden="1" x14ac:dyDescent="0.2">
      <c r="B179" s="104">
        <f t="shared" si="0"/>
        <v>2056</v>
      </c>
      <c r="C179" s="135">
        <f>[5]С2.5!$AO$11</f>
        <v>0</v>
      </c>
    </row>
    <row r="180" spans="2:3" hidden="1" x14ac:dyDescent="0.2">
      <c r="B180" s="104">
        <f t="shared" si="0"/>
        <v>2057</v>
      </c>
      <c r="C180" s="135">
        <f>[5]С2.5!$AP$11</f>
        <v>0</v>
      </c>
    </row>
    <row r="181" spans="2:3" hidden="1" x14ac:dyDescent="0.2">
      <c r="B181" s="104">
        <f t="shared" si="0"/>
        <v>2058</v>
      </c>
      <c r="C181" s="135">
        <f>[5]С2.5!$AQ$11</f>
        <v>0</v>
      </c>
    </row>
    <row r="182" spans="2:3" hidden="1" x14ac:dyDescent="0.2">
      <c r="B182" s="104">
        <f t="shared" si="0"/>
        <v>2059</v>
      </c>
      <c r="C182" s="135">
        <f>[5]С2.5!$AR$11</f>
        <v>0</v>
      </c>
    </row>
    <row r="183" spans="2:3" hidden="1" x14ac:dyDescent="0.2">
      <c r="B183" s="104">
        <f t="shared" si="0"/>
        <v>2060</v>
      </c>
      <c r="C183" s="135">
        <f>[5]С2.5!$AS$11</f>
        <v>0</v>
      </c>
    </row>
    <row r="184" spans="2:3" hidden="1" x14ac:dyDescent="0.2">
      <c r="B184" s="104">
        <f t="shared" si="0"/>
        <v>2061</v>
      </c>
      <c r="C184" s="135">
        <f>[5]С2.5!$AT$11</f>
        <v>0</v>
      </c>
    </row>
    <row r="185" spans="2:3" hidden="1" x14ac:dyDescent="0.2">
      <c r="B185" s="104">
        <f t="shared" si="0"/>
        <v>2062</v>
      </c>
      <c r="C185" s="135">
        <f>[5]С2.5!$AU$11</f>
        <v>0</v>
      </c>
    </row>
    <row r="186" spans="2:3" hidden="1" x14ac:dyDescent="0.2">
      <c r="B186" s="104">
        <f t="shared" si="0"/>
        <v>2063</v>
      </c>
      <c r="C186" s="135">
        <f>[5]С2.5!$AV$11</f>
        <v>0</v>
      </c>
    </row>
    <row r="187" spans="2:3" hidden="1" x14ac:dyDescent="0.2">
      <c r="B187" s="104">
        <f t="shared" si="0"/>
        <v>2064</v>
      </c>
      <c r="C187" s="135">
        <f>[5]С2.5!$AW$11</f>
        <v>0</v>
      </c>
    </row>
    <row r="188" spans="2:3" hidden="1" x14ac:dyDescent="0.2">
      <c r="B188" s="104">
        <f t="shared" si="0"/>
        <v>2065</v>
      </c>
      <c r="C188" s="135">
        <f>[5]С2.5!$AX$11</f>
        <v>0</v>
      </c>
    </row>
    <row r="189" spans="2:3" hidden="1" x14ac:dyDescent="0.2">
      <c r="B189" s="104">
        <f t="shared" si="0"/>
        <v>2066</v>
      </c>
      <c r="C189" s="135">
        <f>[5]С2.5!$AY$11</f>
        <v>0</v>
      </c>
    </row>
    <row r="190" spans="2:3" hidden="1" x14ac:dyDescent="0.2">
      <c r="B190" s="104">
        <f t="shared" si="0"/>
        <v>2067</v>
      </c>
      <c r="C190" s="135">
        <f>[5]С2.5!$AZ$11</f>
        <v>0</v>
      </c>
    </row>
    <row r="191" spans="2:3" hidden="1" x14ac:dyDescent="0.2">
      <c r="B191" s="104">
        <f t="shared" si="0"/>
        <v>2068</v>
      </c>
      <c r="C191" s="135">
        <f>[5]С2.5!$BA$11</f>
        <v>0</v>
      </c>
    </row>
    <row r="192" spans="2:3" hidden="1" x14ac:dyDescent="0.2">
      <c r="B192" s="104">
        <f t="shared" si="0"/>
        <v>2069</v>
      </c>
      <c r="C192" s="135">
        <f>[5]С2.5!$BB$11</f>
        <v>0</v>
      </c>
    </row>
    <row r="193" spans="2:3" hidden="1" x14ac:dyDescent="0.2">
      <c r="B193" s="104">
        <f t="shared" si="0"/>
        <v>2070</v>
      </c>
      <c r="C193" s="135">
        <f>[5]С2.5!$BC$11</f>
        <v>0</v>
      </c>
    </row>
    <row r="194" spans="2:3" hidden="1" x14ac:dyDescent="0.2">
      <c r="B194" s="104">
        <f t="shared" si="0"/>
        <v>2071</v>
      </c>
      <c r="C194" s="135">
        <f>[5]С2.5!$BD$11</f>
        <v>0</v>
      </c>
    </row>
    <row r="195" spans="2:3" hidden="1" x14ac:dyDescent="0.2">
      <c r="B195" s="104">
        <f t="shared" si="0"/>
        <v>2072</v>
      </c>
      <c r="C195" s="135">
        <f>[5]С2.5!$BE$11</f>
        <v>0</v>
      </c>
    </row>
    <row r="196" spans="2:3" hidden="1" x14ac:dyDescent="0.2">
      <c r="B196" s="104">
        <f t="shared" si="0"/>
        <v>2073</v>
      </c>
      <c r="C196" s="135">
        <f>[5]С2.5!$BF$11</f>
        <v>0</v>
      </c>
    </row>
    <row r="197" spans="2:3" hidden="1" x14ac:dyDescent="0.2">
      <c r="B197" s="104">
        <f t="shared" si="0"/>
        <v>2074</v>
      </c>
      <c r="C197" s="135">
        <f>[5]С2.5!$BG$11</f>
        <v>0</v>
      </c>
    </row>
    <row r="198" spans="2:3" hidden="1" x14ac:dyDescent="0.2">
      <c r="B198" s="104">
        <f t="shared" si="0"/>
        <v>2075</v>
      </c>
      <c r="C198" s="135">
        <f>[5]С2.5!$BH$11</f>
        <v>0</v>
      </c>
    </row>
    <row r="199" spans="2:3" hidden="1" x14ac:dyDescent="0.2">
      <c r="B199" s="104">
        <f t="shared" si="0"/>
        <v>2076</v>
      </c>
      <c r="C199" s="135">
        <f>[5]С2.5!$BI$11</f>
        <v>0</v>
      </c>
    </row>
    <row r="200" spans="2:3" hidden="1" x14ac:dyDescent="0.2">
      <c r="B200" s="104">
        <f t="shared" si="0"/>
        <v>2077</v>
      </c>
      <c r="C200" s="135">
        <f>[5]С2.5!$BJ$11</f>
        <v>0</v>
      </c>
    </row>
    <row r="201" spans="2:3" hidden="1" x14ac:dyDescent="0.2">
      <c r="B201" s="104">
        <f t="shared" si="0"/>
        <v>2078</v>
      </c>
      <c r="C201" s="135">
        <f>[5]С2.5!$BK$11</f>
        <v>0</v>
      </c>
    </row>
    <row r="202" spans="2:3" hidden="1" x14ac:dyDescent="0.2">
      <c r="B202" s="104">
        <f t="shared" si="0"/>
        <v>2079</v>
      </c>
      <c r="C202" s="135">
        <f>[5]С2.5!$BL$11</f>
        <v>0</v>
      </c>
    </row>
    <row r="203" spans="2:3" hidden="1" x14ac:dyDescent="0.2">
      <c r="B203" s="104">
        <f t="shared" si="0"/>
        <v>2080</v>
      </c>
      <c r="C203" s="135">
        <f>[5]С2.5!$BM$11</f>
        <v>0</v>
      </c>
    </row>
    <row r="204" spans="2:3" hidden="1" x14ac:dyDescent="0.2">
      <c r="B204" s="104">
        <f t="shared" si="0"/>
        <v>2081</v>
      </c>
      <c r="C204" s="135">
        <f>[5]С2.5!$BN$11</f>
        <v>0</v>
      </c>
    </row>
    <row r="205" spans="2:3" hidden="1" x14ac:dyDescent="0.2">
      <c r="B205" s="104">
        <f t="shared" si="0"/>
        <v>2082</v>
      </c>
      <c r="C205" s="135">
        <f>[5]С2.5!$BO$11</f>
        <v>0</v>
      </c>
    </row>
    <row r="206" spans="2:3" hidden="1" x14ac:dyDescent="0.2">
      <c r="B206" s="104">
        <f t="shared" si="0"/>
        <v>2083</v>
      </c>
      <c r="C206" s="135">
        <f>[5]С2.5!$BP$11</f>
        <v>0</v>
      </c>
    </row>
    <row r="207" spans="2:3" hidden="1" x14ac:dyDescent="0.2">
      <c r="B207" s="104">
        <f t="shared" si="0"/>
        <v>2084</v>
      </c>
      <c r="C207" s="135">
        <f>[5]С2.5!$BQ$11</f>
        <v>0</v>
      </c>
    </row>
    <row r="208" spans="2:3" hidden="1" x14ac:dyDescent="0.2">
      <c r="B208" s="104">
        <f t="shared" si="0"/>
        <v>2085</v>
      </c>
      <c r="C208" s="135">
        <f>[5]С2.5!$BR$11</f>
        <v>0</v>
      </c>
    </row>
    <row r="209" spans="2:3" hidden="1" x14ac:dyDescent="0.2">
      <c r="B209" s="104">
        <f t="shared" ref="B209:B223" si="1">B208+1</f>
        <v>2086</v>
      </c>
      <c r="C209" s="135">
        <f>[5]С2.5!$BS$11</f>
        <v>0</v>
      </c>
    </row>
    <row r="210" spans="2:3" hidden="1" x14ac:dyDescent="0.2">
      <c r="B210" s="104">
        <f t="shared" si="1"/>
        <v>2087</v>
      </c>
      <c r="C210" s="135">
        <f>[5]С2.5!$BT$11</f>
        <v>0</v>
      </c>
    </row>
    <row r="211" spans="2:3" hidden="1" x14ac:dyDescent="0.2">
      <c r="B211" s="104">
        <f t="shared" si="1"/>
        <v>2088</v>
      </c>
      <c r="C211" s="135">
        <f>[5]С2.5!$BU$11</f>
        <v>0</v>
      </c>
    </row>
    <row r="212" spans="2:3" hidden="1" x14ac:dyDescent="0.2">
      <c r="B212" s="104">
        <f t="shared" si="1"/>
        <v>2089</v>
      </c>
      <c r="C212" s="135">
        <f>[5]С2.5!$BV$11</f>
        <v>0</v>
      </c>
    </row>
    <row r="213" spans="2:3" hidden="1" x14ac:dyDescent="0.2">
      <c r="B213" s="104">
        <f t="shared" si="1"/>
        <v>2090</v>
      </c>
      <c r="C213" s="135">
        <f>[5]С2.5!$BW$11</f>
        <v>0</v>
      </c>
    </row>
    <row r="214" spans="2:3" hidden="1" x14ac:dyDescent="0.2">
      <c r="B214" s="104">
        <f t="shared" si="1"/>
        <v>2091</v>
      </c>
      <c r="C214" s="135">
        <f>[5]С2.5!$BX$11</f>
        <v>0</v>
      </c>
    </row>
    <row r="215" spans="2:3" hidden="1" x14ac:dyDescent="0.2">
      <c r="B215" s="104">
        <f t="shared" si="1"/>
        <v>2092</v>
      </c>
      <c r="C215" s="135">
        <f>[5]С2.5!$BY$11</f>
        <v>0</v>
      </c>
    </row>
    <row r="216" spans="2:3" hidden="1" x14ac:dyDescent="0.2">
      <c r="B216" s="104">
        <f t="shared" si="1"/>
        <v>2093</v>
      </c>
      <c r="C216" s="135">
        <f>[5]С2.5!$BZ$11</f>
        <v>0</v>
      </c>
    </row>
    <row r="217" spans="2:3" hidden="1" x14ac:dyDescent="0.2">
      <c r="B217" s="104">
        <f t="shared" si="1"/>
        <v>2094</v>
      </c>
      <c r="C217" s="135">
        <f>[5]С2.5!$CA$11</f>
        <v>0</v>
      </c>
    </row>
    <row r="218" spans="2:3" hidden="1" x14ac:dyDescent="0.2">
      <c r="B218" s="104">
        <f t="shared" si="1"/>
        <v>2095</v>
      </c>
      <c r="C218" s="135">
        <f>[5]С2.5!$CB$11</f>
        <v>0</v>
      </c>
    </row>
    <row r="219" spans="2:3" hidden="1" x14ac:dyDescent="0.2">
      <c r="B219" s="104">
        <f t="shared" si="1"/>
        <v>2096</v>
      </c>
      <c r="C219" s="135">
        <f>[5]С2.5!$CC$11</f>
        <v>0</v>
      </c>
    </row>
    <row r="220" spans="2:3" hidden="1" x14ac:dyDescent="0.2">
      <c r="B220" s="104">
        <f t="shared" si="1"/>
        <v>2097</v>
      </c>
      <c r="C220" s="135">
        <f>[5]С2.5!$CD$11</f>
        <v>0</v>
      </c>
    </row>
    <row r="221" spans="2:3" hidden="1" x14ac:dyDescent="0.2">
      <c r="B221" s="104">
        <f t="shared" si="1"/>
        <v>2098</v>
      </c>
      <c r="C221" s="135">
        <f>[5]С2.5!$CE$11</f>
        <v>0</v>
      </c>
    </row>
    <row r="222" spans="2:3" hidden="1" x14ac:dyDescent="0.2">
      <c r="B222" s="104">
        <f t="shared" si="1"/>
        <v>2099</v>
      </c>
      <c r="C222" s="135">
        <f>[5]С2.5!$CF$11</f>
        <v>0</v>
      </c>
    </row>
    <row r="223" spans="2:3" ht="13.5" hidden="1" thickBot="1" x14ac:dyDescent="0.25">
      <c r="B223" s="106">
        <f t="shared" si="1"/>
        <v>2100</v>
      </c>
      <c r="C223" s="136">
        <f>[5]С2.5!$CG$11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7.28515625" style="2" customWidth="1"/>
    <col min="2" max="2" width="100.7109375" style="2" customWidth="1"/>
    <col min="3" max="3" width="20.85546875" style="110" customWidth="1"/>
    <col min="4" max="155" width="9.140625" style="2"/>
    <col min="156" max="237" width="0" style="2" hidden="1" customWidth="1"/>
    <col min="238" max="246" width="9.140625" style="2"/>
    <col min="247" max="247" width="3.7109375" style="2" customWidth="1"/>
    <col min="248" max="248" width="96.85546875" style="2" customWidth="1"/>
    <col min="249" max="249" width="30.85546875" style="2" customWidth="1"/>
    <col min="250" max="250" width="12.5703125" style="2" customWidth="1"/>
    <col min="251" max="251" width="5.140625" style="2" customWidth="1"/>
    <col min="252" max="252" width="9.140625" style="2"/>
    <col min="253" max="253" width="4.85546875" style="2" customWidth="1"/>
    <col min="254" max="254" width="30.5703125" style="2" customWidth="1"/>
    <col min="255" max="255" width="33.85546875" style="2" customWidth="1"/>
    <col min="256" max="256" width="5.140625" style="2" customWidth="1"/>
    <col min="257" max="258" width="17.5703125" style="2" customWidth="1"/>
    <col min="259" max="502" width="9.140625" style="2"/>
    <col min="503" max="503" width="3.7109375" style="2" customWidth="1"/>
    <col min="504" max="504" width="96.85546875" style="2" customWidth="1"/>
    <col min="505" max="505" width="30.85546875" style="2" customWidth="1"/>
    <col min="506" max="506" width="12.5703125" style="2" customWidth="1"/>
    <col min="507" max="507" width="5.140625" style="2" customWidth="1"/>
    <col min="508" max="508" width="9.140625" style="2"/>
    <col min="509" max="509" width="4.85546875" style="2" customWidth="1"/>
    <col min="510" max="510" width="30.5703125" style="2" customWidth="1"/>
    <col min="511" max="511" width="33.85546875" style="2" customWidth="1"/>
    <col min="512" max="512" width="5.140625" style="2" customWidth="1"/>
    <col min="513" max="514" width="17.5703125" style="2" customWidth="1"/>
    <col min="515" max="758" width="9.140625" style="2"/>
    <col min="759" max="759" width="3.7109375" style="2" customWidth="1"/>
    <col min="760" max="760" width="96.85546875" style="2" customWidth="1"/>
    <col min="761" max="761" width="30.85546875" style="2" customWidth="1"/>
    <col min="762" max="762" width="12.5703125" style="2" customWidth="1"/>
    <col min="763" max="763" width="5.140625" style="2" customWidth="1"/>
    <col min="764" max="764" width="9.140625" style="2"/>
    <col min="765" max="765" width="4.85546875" style="2" customWidth="1"/>
    <col min="766" max="766" width="30.5703125" style="2" customWidth="1"/>
    <col min="767" max="767" width="33.85546875" style="2" customWidth="1"/>
    <col min="768" max="768" width="5.140625" style="2" customWidth="1"/>
    <col min="769" max="770" width="17.5703125" style="2" customWidth="1"/>
    <col min="771" max="1014" width="9.140625" style="2"/>
    <col min="1015" max="1015" width="3.7109375" style="2" customWidth="1"/>
    <col min="1016" max="1016" width="96.85546875" style="2" customWidth="1"/>
    <col min="1017" max="1017" width="30.85546875" style="2" customWidth="1"/>
    <col min="1018" max="1018" width="12.5703125" style="2" customWidth="1"/>
    <col min="1019" max="1019" width="5.140625" style="2" customWidth="1"/>
    <col min="1020" max="1020" width="9.140625" style="2"/>
    <col min="1021" max="1021" width="4.85546875" style="2" customWidth="1"/>
    <col min="1022" max="1022" width="30.5703125" style="2" customWidth="1"/>
    <col min="1023" max="1023" width="33.85546875" style="2" customWidth="1"/>
    <col min="1024" max="1024" width="5.140625" style="2" customWidth="1"/>
    <col min="1025" max="1026" width="17.5703125" style="2" customWidth="1"/>
    <col min="1027" max="1270" width="9.140625" style="2"/>
    <col min="1271" max="1271" width="3.7109375" style="2" customWidth="1"/>
    <col min="1272" max="1272" width="96.85546875" style="2" customWidth="1"/>
    <col min="1273" max="1273" width="30.85546875" style="2" customWidth="1"/>
    <col min="1274" max="1274" width="12.5703125" style="2" customWidth="1"/>
    <col min="1275" max="1275" width="5.140625" style="2" customWidth="1"/>
    <col min="1276" max="1276" width="9.140625" style="2"/>
    <col min="1277" max="1277" width="4.85546875" style="2" customWidth="1"/>
    <col min="1278" max="1278" width="30.5703125" style="2" customWidth="1"/>
    <col min="1279" max="1279" width="33.85546875" style="2" customWidth="1"/>
    <col min="1280" max="1280" width="5.140625" style="2" customWidth="1"/>
    <col min="1281" max="1282" width="17.5703125" style="2" customWidth="1"/>
    <col min="1283" max="1526" width="9.140625" style="2"/>
    <col min="1527" max="1527" width="3.7109375" style="2" customWidth="1"/>
    <col min="1528" max="1528" width="96.85546875" style="2" customWidth="1"/>
    <col min="1529" max="1529" width="30.85546875" style="2" customWidth="1"/>
    <col min="1530" max="1530" width="12.5703125" style="2" customWidth="1"/>
    <col min="1531" max="1531" width="5.140625" style="2" customWidth="1"/>
    <col min="1532" max="1532" width="9.140625" style="2"/>
    <col min="1533" max="1533" width="4.85546875" style="2" customWidth="1"/>
    <col min="1534" max="1534" width="30.5703125" style="2" customWidth="1"/>
    <col min="1535" max="1535" width="33.85546875" style="2" customWidth="1"/>
    <col min="1536" max="1536" width="5.140625" style="2" customWidth="1"/>
    <col min="1537" max="1538" width="17.5703125" style="2" customWidth="1"/>
    <col min="1539" max="1782" width="9.140625" style="2"/>
    <col min="1783" max="1783" width="3.7109375" style="2" customWidth="1"/>
    <col min="1784" max="1784" width="96.85546875" style="2" customWidth="1"/>
    <col min="1785" max="1785" width="30.85546875" style="2" customWidth="1"/>
    <col min="1786" max="1786" width="12.5703125" style="2" customWidth="1"/>
    <col min="1787" max="1787" width="5.140625" style="2" customWidth="1"/>
    <col min="1788" max="1788" width="9.140625" style="2"/>
    <col min="1789" max="1789" width="4.85546875" style="2" customWidth="1"/>
    <col min="1790" max="1790" width="30.5703125" style="2" customWidth="1"/>
    <col min="1791" max="1791" width="33.85546875" style="2" customWidth="1"/>
    <col min="1792" max="1792" width="5.140625" style="2" customWidth="1"/>
    <col min="1793" max="1794" width="17.5703125" style="2" customWidth="1"/>
    <col min="1795" max="2038" width="9.140625" style="2"/>
    <col min="2039" max="2039" width="3.7109375" style="2" customWidth="1"/>
    <col min="2040" max="2040" width="96.85546875" style="2" customWidth="1"/>
    <col min="2041" max="2041" width="30.85546875" style="2" customWidth="1"/>
    <col min="2042" max="2042" width="12.5703125" style="2" customWidth="1"/>
    <col min="2043" max="2043" width="5.140625" style="2" customWidth="1"/>
    <col min="2044" max="2044" width="9.140625" style="2"/>
    <col min="2045" max="2045" width="4.85546875" style="2" customWidth="1"/>
    <col min="2046" max="2046" width="30.5703125" style="2" customWidth="1"/>
    <col min="2047" max="2047" width="33.85546875" style="2" customWidth="1"/>
    <col min="2048" max="2048" width="5.140625" style="2" customWidth="1"/>
    <col min="2049" max="2050" width="17.5703125" style="2" customWidth="1"/>
    <col min="2051" max="2294" width="9.140625" style="2"/>
    <col min="2295" max="2295" width="3.7109375" style="2" customWidth="1"/>
    <col min="2296" max="2296" width="96.85546875" style="2" customWidth="1"/>
    <col min="2297" max="2297" width="30.85546875" style="2" customWidth="1"/>
    <col min="2298" max="2298" width="12.5703125" style="2" customWidth="1"/>
    <col min="2299" max="2299" width="5.140625" style="2" customWidth="1"/>
    <col min="2300" max="2300" width="9.140625" style="2"/>
    <col min="2301" max="2301" width="4.85546875" style="2" customWidth="1"/>
    <col min="2302" max="2302" width="30.5703125" style="2" customWidth="1"/>
    <col min="2303" max="2303" width="33.85546875" style="2" customWidth="1"/>
    <col min="2304" max="2304" width="5.140625" style="2" customWidth="1"/>
    <col min="2305" max="2306" width="17.5703125" style="2" customWidth="1"/>
    <col min="2307" max="2550" width="9.140625" style="2"/>
    <col min="2551" max="2551" width="3.7109375" style="2" customWidth="1"/>
    <col min="2552" max="2552" width="96.85546875" style="2" customWidth="1"/>
    <col min="2553" max="2553" width="30.85546875" style="2" customWidth="1"/>
    <col min="2554" max="2554" width="12.5703125" style="2" customWidth="1"/>
    <col min="2555" max="2555" width="5.140625" style="2" customWidth="1"/>
    <col min="2556" max="2556" width="9.140625" style="2"/>
    <col min="2557" max="2557" width="4.85546875" style="2" customWidth="1"/>
    <col min="2558" max="2558" width="30.5703125" style="2" customWidth="1"/>
    <col min="2559" max="2559" width="33.85546875" style="2" customWidth="1"/>
    <col min="2560" max="2560" width="5.140625" style="2" customWidth="1"/>
    <col min="2561" max="2562" width="17.5703125" style="2" customWidth="1"/>
    <col min="2563" max="2806" width="9.140625" style="2"/>
    <col min="2807" max="2807" width="3.7109375" style="2" customWidth="1"/>
    <col min="2808" max="2808" width="96.85546875" style="2" customWidth="1"/>
    <col min="2809" max="2809" width="30.85546875" style="2" customWidth="1"/>
    <col min="2810" max="2810" width="12.5703125" style="2" customWidth="1"/>
    <col min="2811" max="2811" width="5.140625" style="2" customWidth="1"/>
    <col min="2812" max="2812" width="9.140625" style="2"/>
    <col min="2813" max="2813" width="4.85546875" style="2" customWidth="1"/>
    <col min="2814" max="2814" width="30.5703125" style="2" customWidth="1"/>
    <col min="2815" max="2815" width="33.85546875" style="2" customWidth="1"/>
    <col min="2816" max="2816" width="5.140625" style="2" customWidth="1"/>
    <col min="2817" max="2818" width="17.5703125" style="2" customWidth="1"/>
    <col min="2819" max="3062" width="9.140625" style="2"/>
    <col min="3063" max="3063" width="3.7109375" style="2" customWidth="1"/>
    <col min="3064" max="3064" width="96.85546875" style="2" customWidth="1"/>
    <col min="3065" max="3065" width="30.85546875" style="2" customWidth="1"/>
    <col min="3066" max="3066" width="12.5703125" style="2" customWidth="1"/>
    <col min="3067" max="3067" width="5.140625" style="2" customWidth="1"/>
    <col min="3068" max="3068" width="9.140625" style="2"/>
    <col min="3069" max="3069" width="4.85546875" style="2" customWidth="1"/>
    <col min="3070" max="3070" width="30.5703125" style="2" customWidth="1"/>
    <col min="3071" max="3071" width="33.85546875" style="2" customWidth="1"/>
    <col min="3072" max="3072" width="5.140625" style="2" customWidth="1"/>
    <col min="3073" max="3074" width="17.5703125" style="2" customWidth="1"/>
    <col min="3075" max="3318" width="9.140625" style="2"/>
    <col min="3319" max="3319" width="3.7109375" style="2" customWidth="1"/>
    <col min="3320" max="3320" width="96.85546875" style="2" customWidth="1"/>
    <col min="3321" max="3321" width="30.85546875" style="2" customWidth="1"/>
    <col min="3322" max="3322" width="12.5703125" style="2" customWidth="1"/>
    <col min="3323" max="3323" width="5.140625" style="2" customWidth="1"/>
    <col min="3324" max="3324" width="9.140625" style="2"/>
    <col min="3325" max="3325" width="4.85546875" style="2" customWidth="1"/>
    <col min="3326" max="3326" width="30.5703125" style="2" customWidth="1"/>
    <col min="3327" max="3327" width="33.85546875" style="2" customWidth="1"/>
    <col min="3328" max="3328" width="5.140625" style="2" customWidth="1"/>
    <col min="3329" max="3330" width="17.5703125" style="2" customWidth="1"/>
    <col min="3331" max="3574" width="9.140625" style="2"/>
    <col min="3575" max="3575" width="3.7109375" style="2" customWidth="1"/>
    <col min="3576" max="3576" width="96.85546875" style="2" customWidth="1"/>
    <col min="3577" max="3577" width="30.85546875" style="2" customWidth="1"/>
    <col min="3578" max="3578" width="12.5703125" style="2" customWidth="1"/>
    <col min="3579" max="3579" width="5.140625" style="2" customWidth="1"/>
    <col min="3580" max="3580" width="9.140625" style="2"/>
    <col min="3581" max="3581" width="4.85546875" style="2" customWidth="1"/>
    <col min="3582" max="3582" width="30.5703125" style="2" customWidth="1"/>
    <col min="3583" max="3583" width="33.85546875" style="2" customWidth="1"/>
    <col min="3584" max="3584" width="5.140625" style="2" customWidth="1"/>
    <col min="3585" max="3586" width="17.5703125" style="2" customWidth="1"/>
    <col min="3587" max="3830" width="9.140625" style="2"/>
    <col min="3831" max="3831" width="3.7109375" style="2" customWidth="1"/>
    <col min="3832" max="3832" width="96.85546875" style="2" customWidth="1"/>
    <col min="3833" max="3833" width="30.85546875" style="2" customWidth="1"/>
    <col min="3834" max="3834" width="12.5703125" style="2" customWidth="1"/>
    <col min="3835" max="3835" width="5.140625" style="2" customWidth="1"/>
    <col min="3836" max="3836" width="9.140625" style="2"/>
    <col min="3837" max="3837" width="4.85546875" style="2" customWidth="1"/>
    <col min="3838" max="3838" width="30.5703125" style="2" customWidth="1"/>
    <col min="3839" max="3839" width="33.85546875" style="2" customWidth="1"/>
    <col min="3840" max="3840" width="5.140625" style="2" customWidth="1"/>
    <col min="3841" max="3842" width="17.5703125" style="2" customWidth="1"/>
    <col min="3843" max="4086" width="9.140625" style="2"/>
    <col min="4087" max="4087" width="3.7109375" style="2" customWidth="1"/>
    <col min="4088" max="4088" width="96.85546875" style="2" customWidth="1"/>
    <col min="4089" max="4089" width="30.85546875" style="2" customWidth="1"/>
    <col min="4090" max="4090" width="12.5703125" style="2" customWidth="1"/>
    <col min="4091" max="4091" width="5.140625" style="2" customWidth="1"/>
    <col min="4092" max="4092" width="9.140625" style="2"/>
    <col min="4093" max="4093" width="4.85546875" style="2" customWidth="1"/>
    <col min="4094" max="4094" width="30.5703125" style="2" customWidth="1"/>
    <col min="4095" max="4095" width="33.85546875" style="2" customWidth="1"/>
    <col min="4096" max="4096" width="5.140625" style="2" customWidth="1"/>
    <col min="4097" max="4098" width="17.5703125" style="2" customWidth="1"/>
    <col min="4099" max="4342" width="9.140625" style="2"/>
    <col min="4343" max="4343" width="3.7109375" style="2" customWidth="1"/>
    <col min="4344" max="4344" width="96.85546875" style="2" customWidth="1"/>
    <col min="4345" max="4345" width="30.85546875" style="2" customWidth="1"/>
    <col min="4346" max="4346" width="12.5703125" style="2" customWidth="1"/>
    <col min="4347" max="4347" width="5.140625" style="2" customWidth="1"/>
    <col min="4348" max="4348" width="9.140625" style="2"/>
    <col min="4349" max="4349" width="4.85546875" style="2" customWidth="1"/>
    <col min="4350" max="4350" width="30.5703125" style="2" customWidth="1"/>
    <col min="4351" max="4351" width="33.85546875" style="2" customWidth="1"/>
    <col min="4352" max="4352" width="5.140625" style="2" customWidth="1"/>
    <col min="4353" max="4354" width="17.5703125" style="2" customWidth="1"/>
    <col min="4355" max="4598" width="9.140625" style="2"/>
    <col min="4599" max="4599" width="3.7109375" style="2" customWidth="1"/>
    <col min="4600" max="4600" width="96.85546875" style="2" customWidth="1"/>
    <col min="4601" max="4601" width="30.85546875" style="2" customWidth="1"/>
    <col min="4602" max="4602" width="12.5703125" style="2" customWidth="1"/>
    <col min="4603" max="4603" width="5.140625" style="2" customWidth="1"/>
    <col min="4604" max="4604" width="9.140625" style="2"/>
    <col min="4605" max="4605" width="4.85546875" style="2" customWidth="1"/>
    <col min="4606" max="4606" width="30.5703125" style="2" customWidth="1"/>
    <col min="4607" max="4607" width="33.85546875" style="2" customWidth="1"/>
    <col min="4608" max="4608" width="5.140625" style="2" customWidth="1"/>
    <col min="4609" max="4610" width="17.5703125" style="2" customWidth="1"/>
    <col min="4611" max="4854" width="9.140625" style="2"/>
    <col min="4855" max="4855" width="3.7109375" style="2" customWidth="1"/>
    <col min="4856" max="4856" width="96.85546875" style="2" customWidth="1"/>
    <col min="4857" max="4857" width="30.85546875" style="2" customWidth="1"/>
    <col min="4858" max="4858" width="12.5703125" style="2" customWidth="1"/>
    <col min="4859" max="4859" width="5.140625" style="2" customWidth="1"/>
    <col min="4860" max="4860" width="9.140625" style="2"/>
    <col min="4861" max="4861" width="4.85546875" style="2" customWidth="1"/>
    <col min="4862" max="4862" width="30.5703125" style="2" customWidth="1"/>
    <col min="4863" max="4863" width="33.85546875" style="2" customWidth="1"/>
    <col min="4864" max="4864" width="5.140625" style="2" customWidth="1"/>
    <col min="4865" max="4866" width="17.5703125" style="2" customWidth="1"/>
    <col min="4867" max="5110" width="9.140625" style="2"/>
    <col min="5111" max="5111" width="3.7109375" style="2" customWidth="1"/>
    <col min="5112" max="5112" width="96.85546875" style="2" customWidth="1"/>
    <col min="5113" max="5113" width="30.85546875" style="2" customWidth="1"/>
    <col min="5114" max="5114" width="12.5703125" style="2" customWidth="1"/>
    <col min="5115" max="5115" width="5.140625" style="2" customWidth="1"/>
    <col min="5116" max="5116" width="9.140625" style="2"/>
    <col min="5117" max="5117" width="4.85546875" style="2" customWidth="1"/>
    <col min="5118" max="5118" width="30.5703125" style="2" customWidth="1"/>
    <col min="5119" max="5119" width="33.85546875" style="2" customWidth="1"/>
    <col min="5120" max="5120" width="5.140625" style="2" customWidth="1"/>
    <col min="5121" max="5122" width="17.5703125" style="2" customWidth="1"/>
    <col min="5123" max="5366" width="9.140625" style="2"/>
    <col min="5367" max="5367" width="3.7109375" style="2" customWidth="1"/>
    <col min="5368" max="5368" width="96.85546875" style="2" customWidth="1"/>
    <col min="5369" max="5369" width="30.85546875" style="2" customWidth="1"/>
    <col min="5370" max="5370" width="12.5703125" style="2" customWidth="1"/>
    <col min="5371" max="5371" width="5.140625" style="2" customWidth="1"/>
    <col min="5372" max="5372" width="9.140625" style="2"/>
    <col min="5373" max="5373" width="4.85546875" style="2" customWidth="1"/>
    <col min="5374" max="5374" width="30.5703125" style="2" customWidth="1"/>
    <col min="5375" max="5375" width="33.85546875" style="2" customWidth="1"/>
    <col min="5376" max="5376" width="5.140625" style="2" customWidth="1"/>
    <col min="5377" max="5378" width="17.5703125" style="2" customWidth="1"/>
    <col min="5379" max="5622" width="9.140625" style="2"/>
    <col min="5623" max="5623" width="3.7109375" style="2" customWidth="1"/>
    <col min="5624" max="5624" width="96.85546875" style="2" customWidth="1"/>
    <col min="5625" max="5625" width="30.85546875" style="2" customWidth="1"/>
    <col min="5626" max="5626" width="12.5703125" style="2" customWidth="1"/>
    <col min="5627" max="5627" width="5.140625" style="2" customWidth="1"/>
    <col min="5628" max="5628" width="9.140625" style="2"/>
    <col min="5629" max="5629" width="4.85546875" style="2" customWidth="1"/>
    <col min="5630" max="5630" width="30.5703125" style="2" customWidth="1"/>
    <col min="5631" max="5631" width="33.85546875" style="2" customWidth="1"/>
    <col min="5632" max="5632" width="5.140625" style="2" customWidth="1"/>
    <col min="5633" max="5634" width="17.5703125" style="2" customWidth="1"/>
    <col min="5635" max="5878" width="9.140625" style="2"/>
    <col min="5879" max="5879" width="3.7109375" style="2" customWidth="1"/>
    <col min="5880" max="5880" width="96.85546875" style="2" customWidth="1"/>
    <col min="5881" max="5881" width="30.85546875" style="2" customWidth="1"/>
    <col min="5882" max="5882" width="12.5703125" style="2" customWidth="1"/>
    <col min="5883" max="5883" width="5.140625" style="2" customWidth="1"/>
    <col min="5884" max="5884" width="9.140625" style="2"/>
    <col min="5885" max="5885" width="4.85546875" style="2" customWidth="1"/>
    <col min="5886" max="5886" width="30.5703125" style="2" customWidth="1"/>
    <col min="5887" max="5887" width="33.85546875" style="2" customWidth="1"/>
    <col min="5888" max="5888" width="5.140625" style="2" customWidth="1"/>
    <col min="5889" max="5890" width="17.5703125" style="2" customWidth="1"/>
    <col min="5891" max="6134" width="9.140625" style="2"/>
    <col min="6135" max="6135" width="3.7109375" style="2" customWidth="1"/>
    <col min="6136" max="6136" width="96.85546875" style="2" customWidth="1"/>
    <col min="6137" max="6137" width="30.85546875" style="2" customWidth="1"/>
    <col min="6138" max="6138" width="12.5703125" style="2" customWidth="1"/>
    <col min="6139" max="6139" width="5.140625" style="2" customWidth="1"/>
    <col min="6140" max="6140" width="9.140625" style="2"/>
    <col min="6141" max="6141" width="4.85546875" style="2" customWidth="1"/>
    <col min="6142" max="6142" width="30.5703125" style="2" customWidth="1"/>
    <col min="6143" max="6143" width="33.85546875" style="2" customWidth="1"/>
    <col min="6144" max="6144" width="5.140625" style="2" customWidth="1"/>
    <col min="6145" max="6146" width="17.5703125" style="2" customWidth="1"/>
    <col min="6147" max="6390" width="9.140625" style="2"/>
    <col min="6391" max="6391" width="3.7109375" style="2" customWidth="1"/>
    <col min="6392" max="6392" width="96.85546875" style="2" customWidth="1"/>
    <col min="6393" max="6393" width="30.85546875" style="2" customWidth="1"/>
    <col min="6394" max="6394" width="12.5703125" style="2" customWidth="1"/>
    <col min="6395" max="6395" width="5.140625" style="2" customWidth="1"/>
    <col min="6396" max="6396" width="9.140625" style="2"/>
    <col min="6397" max="6397" width="4.85546875" style="2" customWidth="1"/>
    <col min="6398" max="6398" width="30.5703125" style="2" customWidth="1"/>
    <col min="6399" max="6399" width="33.85546875" style="2" customWidth="1"/>
    <col min="6400" max="6400" width="5.140625" style="2" customWidth="1"/>
    <col min="6401" max="6402" width="17.5703125" style="2" customWidth="1"/>
    <col min="6403" max="6646" width="9.140625" style="2"/>
    <col min="6647" max="6647" width="3.7109375" style="2" customWidth="1"/>
    <col min="6648" max="6648" width="96.85546875" style="2" customWidth="1"/>
    <col min="6649" max="6649" width="30.85546875" style="2" customWidth="1"/>
    <col min="6650" max="6650" width="12.5703125" style="2" customWidth="1"/>
    <col min="6651" max="6651" width="5.140625" style="2" customWidth="1"/>
    <col min="6652" max="6652" width="9.140625" style="2"/>
    <col min="6653" max="6653" width="4.85546875" style="2" customWidth="1"/>
    <col min="6654" max="6654" width="30.5703125" style="2" customWidth="1"/>
    <col min="6655" max="6655" width="33.85546875" style="2" customWidth="1"/>
    <col min="6656" max="6656" width="5.140625" style="2" customWidth="1"/>
    <col min="6657" max="6658" width="17.5703125" style="2" customWidth="1"/>
    <col min="6659" max="6902" width="9.140625" style="2"/>
    <col min="6903" max="6903" width="3.7109375" style="2" customWidth="1"/>
    <col min="6904" max="6904" width="96.85546875" style="2" customWidth="1"/>
    <col min="6905" max="6905" width="30.85546875" style="2" customWidth="1"/>
    <col min="6906" max="6906" width="12.5703125" style="2" customWidth="1"/>
    <col min="6907" max="6907" width="5.140625" style="2" customWidth="1"/>
    <col min="6908" max="6908" width="9.140625" style="2"/>
    <col min="6909" max="6909" width="4.85546875" style="2" customWidth="1"/>
    <col min="6910" max="6910" width="30.5703125" style="2" customWidth="1"/>
    <col min="6911" max="6911" width="33.85546875" style="2" customWidth="1"/>
    <col min="6912" max="6912" width="5.140625" style="2" customWidth="1"/>
    <col min="6913" max="6914" width="17.5703125" style="2" customWidth="1"/>
    <col min="6915" max="7158" width="9.140625" style="2"/>
    <col min="7159" max="7159" width="3.7109375" style="2" customWidth="1"/>
    <col min="7160" max="7160" width="96.85546875" style="2" customWidth="1"/>
    <col min="7161" max="7161" width="30.85546875" style="2" customWidth="1"/>
    <col min="7162" max="7162" width="12.5703125" style="2" customWidth="1"/>
    <col min="7163" max="7163" width="5.140625" style="2" customWidth="1"/>
    <col min="7164" max="7164" width="9.140625" style="2"/>
    <col min="7165" max="7165" width="4.85546875" style="2" customWidth="1"/>
    <col min="7166" max="7166" width="30.5703125" style="2" customWidth="1"/>
    <col min="7167" max="7167" width="33.85546875" style="2" customWidth="1"/>
    <col min="7168" max="7168" width="5.140625" style="2" customWidth="1"/>
    <col min="7169" max="7170" width="17.5703125" style="2" customWidth="1"/>
    <col min="7171" max="7414" width="9.140625" style="2"/>
    <col min="7415" max="7415" width="3.7109375" style="2" customWidth="1"/>
    <col min="7416" max="7416" width="96.85546875" style="2" customWidth="1"/>
    <col min="7417" max="7417" width="30.85546875" style="2" customWidth="1"/>
    <col min="7418" max="7418" width="12.5703125" style="2" customWidth="1"/>
    <col min="7419" max="7419" width="5.140625" style="2" customWidth="1"/>
    <col min="7420" max="7420" width="9.140625" style="2"/>
    <col min="7421" max="7421" width="4.85546875" style="2" customWidth="1"/>
    <col min="7422" max="7422" width="30.5703125" style="2" customWidth="1"/>
    <col min="7423" max="7423" width="33.85546875" style="2" customWidth="1"/>
    <col min="7424" max="7424" width="5.140625" style="2" customWidth="1"/>
    <col min="7425" max="7426" width="17.5703125" style="2" customWidth="1"/>
    <col min="7427" max="7670" width="9.140625" style="2"/>
    <col min="7671" max="7671" width="3.7109375" style="2" customWidth="1"/>
    <col min="7672" max="7672" width="96.85546875" style="2" customWidth="1"/>
    <col min="7673" max="7673" width="30.85546875" style="2" customWidth="1"/>
    <col min="7674" max="7674" width="12.5703125" style="2" customWidth="1"/>
    <col min="7675" max="7675" width="5.140625" style="2" customWidth="1"/>
    <col min="7676" max="7676" width="9.140625" style="2"/>
    <col min="7677" max="7677" width="4.85546875" style="2" customWidth="1"/>
    <col min="7678" max="7678" width="30.5703125" style="2" customWidth="1"/>
    <col min="7679" max="7679" width="33.85546875" style="2" customWidth="1"/>
    <col min="7680" max="7680" width="5.140625" style="2" customWidth="1"/>
    <col min="7681" max="7682" width="17.5703125" style="2" customWidth="1"/>
    <col min="7683" max="7926" width="9.140625" style="2"/>
    <col min="7927" max="7927" width="3.7109375" style="2" customWidth="1"/>
    <col min="7928" max="7928" width="96.85546875" style="2" customWidth="1"/>
    <col min="7929" max="7929" width="30.85546875" style="2" customWidth="1"/>
    <col min="7930" max="7930" width="12.5703125" style="2" customWidth="1"/>
    <col min="7931" max="7931" width="5.140625" style="2" customWidth="1"/>
    <col min="7932" max="7932" width="9.140625" style="2"/>
    <col min="7933" max="7933" width="4.85546875" style="2" customWidth="1"/>
    <col min="7934" max="7934" width="30.5703125" style="2" customWidth="1"/>
    <col min="7935" max="7935" width="33.85546875" style="2" customWidth="1"/>
    <col min="7936" max="7936" width="5.140625" style="2" customWidth="1"/>
    <col min="7937" max="7938" width="17.5703125" style="2" customWidth="1"/>
    <col min="7939" max="8182" width="9.140625" style="2"/>
    <col min="8183" max="8183" width="3.7109375" style="2" customWidth="1"/>
    <col min="8184" max="8184" width="96.85546875" style="2" customWidth="1"/>
    <col min="8185" max="8185" width="30.85546875" style="2" customWidth="1"/>
    <col min="8186" max="8186" width="12.5703125" style="2" customWidth="1"/>
    <col min="8187" max="8187" width="5.140625" style="2" customWidth="1"/>
    <col min="8188" max="8188" width="9.140625" style="2"/>
    <col min="8189" max="8189" width="4.85546875" style="2" customWidth="1"/>
    <col min="8190" max="8190" width="30.5703125" style="2" customWidth="1"/>
    <col min="8191" max="8191" width="33.85546875" style="2" customWidth="1"/>
    <col min="8192" max="8192" width="5.140625" style="2" customWidth="1"/>
    <col min="8193" max="8194" width="17.5703125" style="2" customWidth="1"/>
    <col min="8195" max="8438" width="9.140625" style="2"/>
    <col min="8439" max="8439" width="3.7109375" style="2" customWidth="1"/>
    <col min="8440" max="8440" width="96.85546875" style="2" customWidth="1"/>
    <col min="8441" max="8441" width="30.85546875" style="2" customWidth="1"/>
    <col min="8442" max="8442" width="12.5703125" style="2" customWidth="1"/>
    <col min="8443" max="8443" width="5.140625" style="2" customWidth="1"/>
    <col min="8444" max="8444" width="9.140625" style="2"/>
    <col min="8445" max="8445" width="4.85546875" style="2" customWidth="1"/>
    <col min="8446" max="8446" width="30.5703125" style="2" customWidth="1"/>
    <col min="8447" max="8447" width="33.85546875" style="2" customWidth="1"/>
    <col min="8448" max="8448" width="5.140625" style="2" customWidth="1"/>
    <col min="8449" max="8450" width="17.5703125" style="2" customWidth="1"/>
    <col min="8451" max="8694" width="9.140625" style="2"/>
    <col min="8695" max="8695" width="3.7109375" style="2" customWidth="1"/>
    <col min="8696" max="8696" width="96.85546875" style="2" customWidth="1"/>
    <col min="8697" max="8697" width="30.85546875" style="2" customWidth="1"/>
    <col min="8698" max="8698" width="12.5703125" style="2" customWidth="1"/>
    <col min="8699" max="8699" width="5.140625" style="2" customWidth="1"/>
    <col min="8700" max="8700" width="9.140625" style="2"/>
    <col min="8701" max="8701" width="4.85546875" style="2" customWidth="1"/>
    <col min="8702" max="8702" width="30.5703125" style="2" customWidth="1"/>
    <col min="8703" max="8703" width="33.85546875" style="2" customWidth="1"/>
    <col min="8704" max="8704" width="5.140625" style="2" customWidth="1"/>
    <col min="8705" max="8706" width="17.5703125" style="2" customWidth="1"/>
    <col min="8707" max="8950" width="9.140625" style="2"/>
    <col min="8951" max="8951" width="3.7109375" style="2" customWidth="1"/>
    <col min="8952" max="8952" width="96.85546875" style="2" customWidth="1"/>
    <col min="8953" max="8953" width="30.85546875" style="2" customWidth="1"/>
    <col min="8954" max="8954" width="12.5703125" style="2" customWidth="1"/>
    <col min="8955" max="8955" width="5.140625" style="2" customWidth="1"/>
    <col min="8956" max="8956" width="9.140625" style="2"/>
    <col min="8957" max="8957" width="4.85546875" style="2" customWidth="1"/>
    <col min="8958" max="8958" width="30.5703125" style="2" customWidth="1"/>
    <col min="8959" max="8959" width="33.85546875" style="2" customWidth="1"/>
    <col min="8960" max="8960" width="5.140625" style="2" customWidth="1"/>
    <col min="8961" max="8962" width="17.5703125" style="2" customWidth="1"/>
    <col min="8963" max="9206" width="9.140625" style="2"/>
    <col min="9207" max="9207" width="3.7109375" style="2" customWidth="1"/>
    <col min="9208" max="9208" width="96.85546875" style="2" customWidth="1"/>
    <col min="9209" max="9209" width="30.85546875" style="2" customWidth="1"/>
    <col min="9210" max="9210" width="12.5703125" style="2" customWidth="1"/>
    <col min="9211" max="9211" width="5.140625" style="2" customWidth="1"/>
    <col min="9212" max="9212" width="9.140625" style="2"/>
    <col min="9213" max="9213" width="4.85546875" style="2" customWidth="1"/>
    <col min="9214" max="9214" width="30.5703125" style="2" customWidth="1"/>
    <col min="9215" max="9215" width="33.85546875" style="2" customWidth="1"/>
    <col min="9216" max="9216" width="5.140625" style="2" customWidth="1"/>
    <col min="9217" max="9218" width="17.5703125" style="2" customWidth="1"/>
    <col min="9219" max="9462" width="9.140625" style="2"/>
    <col min="9463" max="9463" width="3.7109375" style="2" customWidth="1"/>
    <col min="9464" max="9464" width="96.85546875" style="2" customWidth="1"/>
    <col min="9465" max="9465" width="30.85546875" style="2" customWidth="1"/>
    <col min="9466" max="9466" width="12.5703125" style="2" customWidth="1"/>
    <col min="9467" max="9467" width="5.140625" style="2" customWidth="1"/>
    <col min="9468" max="9468" width="9.140625" style="2"/>
    <col min="9469" max="9469" width="4.85546875" style="2" customWidth="1"/>
    <col min="9470" max="9470" width="30.5703125" style="2" customWidth="1"/>
    <col min="9471" max="9471" width="33.85546875" style="2" customWidth="1"/>
    <col min="9472" max="9472" width="5.140625" style="2" customWidth="1"/>
    <col min="9473" max="9474" width="17.5703125" style="2" customWidth="1"/>
    <col min="9475" max="9718" width="9.140625" style="2"/>
    <col min="9719" max="9719" width="3.7109375" style="2" customWidth="1"/>
    <col min="9720" max="9720" width="96.85546875" style="2" customWidth="1"/>
    <col min="9721" max="9721" width="30.85546875" style="2" customWidth="1"/>
    <col min="9722" max="9722" width="12.5703125" style="2" customWidth="1"/>
    <col min="9723" max="9723" width="5.140625" style="2" customWidth="1"/>
    <col min="9724" max="9724" width="9.140625" style="2"/>
    <col min="9725" max="9725" width="4.85546875" style="2" customWidth="1"/>
    <col min="9726" max="9726" width="30.5703125" style="2" customWidth="1"/>
    <col min="9727" max="9727" width="33.85546875" style="2" customWidth="1"/>
    <col min="9728" max="9728" width="5.140625" style="2" customWidth="1"/>
    <col min="9729" max="9730" width="17.5703125" style="2" customWidth="1"/>
    <col min="9731" max="9974" width="9.140625" style="2"/>
    <col min="9975" max="9975" width="3.7109375" style="2" customWidth="1"/>
    <col min="9976" max="9976" width="96.85546875" style="2" customWidth="1"/>
    <col min="9977" max="9977" width="30.85546875" style="2" customWidth="1"/>
    <col min="9978" max="9978" width="12.5703125" style="2" customWidth="1"/>
    <col min="9979" max="9979" width="5.140625" style="2" customWidth="1"/>
    <col min="9980" max="9980" width="9.140625" style="2"/>
    <col min="9981" max="9981" width="4.85546875" style="2" customWidth="1"/>
    <col min="9982" max="9982" width="30.5703125" style="2" customWidth="1"/>
    <col min="9983" max="9983" width="33.85546875" style="2" customWidth="1"/>
    <col min="9984" max="9984" width="5.140625" style="2" customWidth="1"/>
    <col min="9985" max="9986" width="17.5703125" style="2" customWidth="1"/>
    <col min="9987" max="10230" width="9.140625" style="2"/>
    <col min="10231" max="10231" width="3.7109375" style="2" customWidth="1"/>
    <col min="10232" max="10232" width="96.85546875" style="2" customWidth="1"/>
    <col min="10233" max="10233" width="30.85546875" style="2" customWidth="1"/>
    <col min="10234" max="10234" width="12.5703125" style="2" customWidth="1"/>
    <col min="10235" max="10235" width="5.140625" style="2" customWidth="1"/>
    <col min="10236" max="10236" width="9.140625" style="2"/>
    <col min="10237" max="10237" width="4.85546875" style="2" customWidth="1"/>
    <col min="10238" max="10238" width="30.5703125" style="2" customWidth="1"/>
    <col min="10239" max="10239" width="33.85546875" style="2" customWidth="1"/>
    <col min="10240" max="10240" width="5.140625" style="2" customWidth="1"/>
    <col min="10241" max="10242" width="17.5703125" style="2" customWidth="1"/>
    <col min="10243" max="10486" width="9.140625" style="2"/>
    <col min="10487" max="10487" width="3.7109375" style="2" customWidth="1"/>
    <col min="10488" max="10488" width="96.85546875" style="2" customWidth="1"/>
    <col min="10489" max="10489" width="30.85546875" style="2" customWidth="1"/>
    <col min="10490" max="10490" width="12.5703125" style="2" customWidth="1"/>
    <col min="10491" max="10491" width="5.140625" style="2" customWidth="1"/>
    <col min="10492" max="10492" width="9.140625" style="2"/>
    <col min="10493" max="10493" width="4.85546875" style="2" customWidth="1"/>
    <col min="10494" max="10494" width="30.5703125" style="2" customWidth="1"/>
    <col min="10495" max="10495" width="33.85546875" style="2" customWidth="1"/>
    <col min="10496" max="10496" width="5.140625" style="2" customWidth="1"/>
    <col min="10497" max="10498" width="17.5703125" style="2" customWidth="1"/>
    <col min="10499" max="10742" width="9.140625" style="2"/>
    <col min="10743" max="10743" width="3.7109375" style="2" customWidth="1"/>
    <col min="10744" max="10744" width="96.85546875" style="2" customWidth="1"/>
    <col min="10745" max="10745" width="30.85546875" style="2" customWidth="1"/>
    <col min="10746" max="10746" width="12.5703125" style="2" customWidth="1"/>
    <col min="10747" max="10747" width="5.140625" style="2" customWidth="1"/>
    <col min="10748" max="10748" width="9.140625" style="2"/>
    <col min="10749" max="10749" width="4.85546875" style="2" customWidth="1"/>
    <col min="10750" max="10750" width="30.5703125" style="2" customWidth="1"/>
    <col min="10751" max="10751" width="33.85546875" style="2" customWidth="1"/>
    <col min="10752" max="10752" width="5.140625" style="2" customWidth="1"/>
    <col min="10753" max="10754" width="17.5703125" style="2" customWidth="1"/>
    <col min="10755" max="10998" width="9.140625" style="2"/>
    <col min="10999" max="10999" width="3.7109375" style="2" customWidth="1"/>
    <col min="11000" max="11000" width="96.85546875" style="2" customWidth="1"/>
    <col min="11001" max="11001" width="30.85546875" style="2" customWidth="1"/>
    <col min="11002" max="11002" width="12.5703125" style="2" customWidth="1"/>
    <col min="11003" max="11003" width="5.140625" style="2" customWidth="1"/>
    <col min="11004" max="11004" width="9.140625" style="2"/>
    <col min="11005" max="11005" width="4.85546875" style="2" customWidth="1"/>
    <col min="11006" max="11006" width="30.5703125" style="2" customWidth="1"/>
    <col min="11007" max="11007" width="33.85546875" style="2" customWidth="1"/>
    <col min="11008" max="11008" width="5.140625" style="2" customWidth="1"/>
    <col min="11009" max="11010" width="17.5703125" style="2" customWidth="1"/>
    <col min="11011" max="11254" width="9.140625" style="2"/>
    <col min="11255" max="11255" width="3.7109375" style="2" customWidth="1"/>
    <col min="11256" max="11256" width="96.85546875" style="2" customWidth="1"/>
    <col min="11257" max="11257" width="30.85546875" style="2" customWidth="1"/>
    <col min="11258" max="11258" width="12.5703125" style="2" customWidth="1"/>
    <col min="11259" max="11259" width="5.140625" style="2" customWidth="1"/>
    <col min="11260" max="11260" width="9.140625" style="2"/>
    <col min="11261" max="11261" width="4.85546875" style="2" customWidth="1"/>
    <col min="11262" max="11262" width="30.5703125" style="2" customWidth="1"/>
    <col min="11263" max="11263" width="33.85546875" style="2" customWidth="1"/>
    <col min="11264" max="11264" width="5.140625" style="2" customWidth="1"/>
    <col min="11265" max="11266" width="17.5703125" style="2" customWidth="1"/>
    <col min="11267" max="11510" width="9.140625" style="2"/>
    <col min="11511" max="11511" width="3.7109375" style="2" customWidth="1"/>
    <col min="11512" max="11512" width="96.85546875" style="2" customWidth="1"/>
    <col min="11513" max="11513" width="30.85546875" style="2" customWidth="1"/>
    <col min="11514" max="11514" width="12.5703125" style="2" customWidth="1"/>
    <col min="11515" max="11515" width="5.140625" style="2" customWidth="1"/>
    <col min="11516" max="11516" width="9.140625" style="2"/>
    <col min="11517" max="11517" width="4.85546875" style="2" customWidth="1"/>
    <col min="11518" max="11518" width="30.5703125" style="2" customWidth="1"/>
    <col min="11519" max="11519" width="33.85546875" style="2" customWidth="1"/>
    <col min="11520" max="11520" width="5.140625" style="2" customWidth="1"/>
    <col min="11521" max="11522" width="17.5703125" style="2" customWidth="1"/>
    <col min="11523" max="11766" width="9.140625" style="2"/>
    <col min="11767" max="11767" width="3.7109375" style="2" customWidth="1"/>
    <col min="11768" max="11768" width="96.85546875" style="2" customWidth="1"/>
    <col min="11769" max="11769" width="30.85546875" style="2" customWidth="1"/>
    <col min="11770" max="11770" width="12.5703125" style="2" customWidth="1"/>
    <col min="11771" max="11771" width="5.140625" style="2" customWidth="1"/>
    <col min="11772" max="11772" width="9.140625" style="2"/>
    <col min="11773" max="11773" width="4.85546875" style="2" customWidth="1"/>
    <col min="11774" max="11774" width="30.5703125" style="2" customWidth="1"/>
    <col min="11775" max="11775" width="33.85546875" style="2" customWidth="1"/>
    <col min="11776" max="11776" width="5.140625" style="2" customWidth="1"/>
    <col min="11777" max="11778" width="17.5703125" style="2" customWidth="1"/>
    <col min="11779" max="12022" width="9.140625" style="2"/>
    <col min="12023" max="12023" width="3.7109375" style="2" customWidth="1"/>
    <col min="12024" max="12024" width="96.85546875" style="2" customWidth="1"/>
    <col min="12025" max="12025" width="30.85546875" style="2" customWidth="1"/>
    <col min="12026" max="12026" width="12.5703125" style="2" customWidth="1"/>
    <col min="12027" max="12027" width="5.140625" style="2" customWidth="1"/>
    <col min="12028" max="12028" width="9.140625" style="2"/>
    <col min="12029" max="12029" width="4.85546875" style="2" customWidth="1"/>
    <col min="12030" max="12030" width="30.5703125" style="2" customWidth="1"/>
    <col min="12031" max="12031" width="33.85546875" style="2" customWidth="1"/>
    <col min="12032" max="12032" width="5.140625" style="2" customWidth="1"/>
    <col min="12033" max="12034" width="17.5703125" style="2" customWidth="1"/>
    <col min="12035" max="12278" width="9.140625" style="2"/>
    <col min="12279" max="12279" width="3.7109375" style="2" customWidth="1"/>
    <col min="12280" max="12280" width="96.85546875" style="2" customWidth="1"/>
    <col min="12281" max="12281" width="30.85546875" style="2" customWidth="1"/>
    <col min="12282" max="12282" width="12.5703125" style="2" customWidth="1"/>
    <col min="12283" max="12283" width="5.140625" style="2" customWidth="1"/>
    <col min="12284" max="12284" width="9.140625" style="2"/>
    <col min="12285" max="12285" width="4.85546875" style="2" customWidth="1"/>
    <col min="12286" max="12286" width="30.5703125" style="2" customWidth="1"/>
    <col min="12287" max="12287" width="33.85546875" style="2" customWidth="1"/>
    <col min="12288" max="12288" width="5.140625" style="2" customWidth="1"/>
    <col min="12289" max="12290" width="17.5703125" style="2" customWidth="1"/>
    <col min="12291" max="12534" width="9.140625" style="2"/>
    <col min="12535" max="12535" width="3.7109375" style="2" customWidth="1"/>
    <col min="12536" max="12536" width="96.85546875" style="2" customWidth="1"/>
    <col min="12537" max="12537" width="30.85546875" style="2" customWidth="1"/>
    <col min="12538" max="12538" width="12.5703125" style="2" customWidth="1"/>
    <col min="12539" max="12539" width="5.140625" style="2" customWidth="1"/>
    <col min="12540" max="12540" width="9.140625" style="2"/>
    <col min="12541" max="12541" width="4.85546875" style="2" customWidth="1"/>
    <col min="12542" max="12542" width="30.5703125" style="2" customWidth="1"/>
    <col min="12543" max="12543" width="33.85546875" style="2" customWidth="1"/>
    <col min="12544" max="12544" width="5.140625" style="2" customWidth="1"/>
    <col min="12545" max="12546" width="17.5703125" style="2" customWidth="1"/>
    <col min="12547" max="12790" width="9.140625" style="2"/>
    <col min="12791" max="12791" width="3.7109375" style="2" customWidth="1"/>
    <col min="12792" max="12792" width="96.85546875" style="2" customWidth="1"/>
    <col min="12793" max="12793" width="30.85546875" style="2" customWidth="1"/>
    <col min="12794" max="12794" width="12.5703125" style="2" customWidth="1"/>
    <col min="12795" max="12795" width="5.140625" style="2" customWidth="1"/>
    <col min="12796" max="12796" width="9.140625" style="2"/>
    <col min="12797" max="12797" width="4.85546875" style="2" customWidth="1"/>
    <col min="12798" max="12798" width="30.5703125" style="2" customWidth="1"/>
    <col min="12799" max="12799" width="33.85546875" style="2" customWidth="1"/>
    <col min="12800" max="12800" width="5.140625" style="2" customWidth="1"/>
    <col min="12801" max="12802" width="17.5703125" style="2" customWidth="1"/>
    <col min="12803" max="13046" width="9.140625" style="2"/>
    <col min="13047" max="13047" width="3.7109375" style="2" customWidth="1"/>
    <col min="13048" max="13048" width="96.85546875" style="2" customWidth="1"/>
    <col min="13049" max="13049" width="30.85546875" style="2" customWidth="1"/>
    <col min="13050" max="13050" width="12.5703125" style="2" customWidth="1"/>
    <col min="13051" max="13051" width="5.140625" style="2" customWidth="1"/>
    <col min="13052" max="13052" width="9.140625" style="2"/>
    <col min="13053" max="13053" width="4.85546875" style="2" customWidth="1"/>
    <col min="13054" max="13054" width="30.5703125" style="2" customWidth="1"/>
    <col min="13055" max="13055" width="33.85546875" style="2" customWidth="1"/>
    <col min="13056" max="13056" width="5.140625" style="2" customWidth="1"/>
    <col min="13057" max="13058" width="17.5703125" style="2" customWidth="1"/>
    <col min="13059" max="13302" width="9.140625" style="2"/>
    <col min="13303" max="13303" width="3.7109375" style="2" customWidth="1"/>
    <col min="13304" max="13304" width="96.85546875" style="2" customWidth="1"/>
    <col min="13305" max="13305" width="30.85546875" style="2" customWidth="1"/>
    <col min="13306" max="13306" width="12.5703125" style="2" customWidth="1"/>
    <col min="13307" max="13307" width="5.140625" style="2" customWidth="1"/>
    <col min="13308" max="13308" width="9.140625" style="2"/>
    <col min="13309" max="13309" width="4.85546875" style="2" customWidth="1"/>
    <col min="13310" max="13310" width="30.5703125" style="2" customWidth="1"/>
    <col min="13311" max="13311" width="33.85546875" style="2" customWidth="1"/>
    <col min="13312" max="13312" width="5.140625" style="2" customWidth="1"/>
    <col min="13313" max="13314" width="17.5703125" style="2" customWidth="1"/>
    <col min="13315" max="13558" width="9.140625" style="2"/>
    <col min="13559" max="13559" width="3.7109375" style="2" customWidth="1"/>
    <col min="13560" max="13560" width="96.85546875" style="2" customWidth="1"/>
    <col min="13561" max="13561" width="30.85546875" style="2" customWidth="1"/>
    <col min="13562" max="13562" width="12.5703125" style="2" customWidth="1"/>
    <col min="13563" max="13563" width="5.140625" style="2" customWidth="1"/>
    <col min="13564" max="13564" width="9.140625" style="2"/>
    <col min="13565" max="13565" width="4.85546875" style="2" customWidth="1"/>
    <col min="13566" max="13566" width="30.5703125" style="2" customWidth="1"/>
    <col min="13567" max="13567" width="33.85546875" style="2" customWidth="1"/>
    <col min="13568" max="13568" width="5.140625" style="2" customWidth="1"/>
    <col min="13569" max="13570" width="17.5703125" style="2" customWidth="1"/>
    <col min="13571" max="13814" width="9.140625" style="2"/>
    <col min="13815" max="13815" width="3.7109375" style="2" customWidth="1"/>
    <col min="13816" max="13816" width="96.85546875" style="2" customWidth="1"/>
    <col min="13817" max="13817" width="30.85546875" style="2" customWidth="1"/>
    <col min="13818" max="13818" width="12.5703125" style="2" customWidth="1"/>
    <col min="13819" max="13819" width="5.140625" style="2" customWidth="1"/>
    <col min="13820" max="13820" width="9.140625" style="2"/>
    <col min="13821" max="13821" width="4.85546875" style="2" customWidth="1"/>
    <col min="13822" max="13822" width="30.5703125" style="2" customWidth="1"/>
    <col min="13823" max="13823" width="33.85546875" style="2" customWidth="1"/>
    <col min="13824" max="13824" width="5.140625" style="2" customWidth="1"/>
    <col min="13825" max="13826" width="17.5703125" style="2" customWidth="1"/>
    <col min="13827" max="14070" width="9.140625" style="2"/>
    <col min="14071" max="14071" width="3.7109375" style="2" customWidth="1"/>
    <col min="14072" max="14072" width="96.85546875" style="2" customWidth="1"/>
    <col min="14073" max="14073" width="30.85546875" style="2" customWidth="1"/>
    <col min="14074" max="14074" width="12.5703125" style="2" customWidth="1"/>
    <col min="14075" max="14075" width="5.140625" style="2" customWidth="1"/>
    <col min="14076" max="14076" width="9.140625" style="2"/>
    <col min="14077" max="14077" width="4.85546875" style="2" customWidth="1"/>
    <col min="14078" max="14078" width="30.5703125" style="2" customWidth="1"/>
    <col min="14079" max="14079" width="33.85546875" style="2" customWidth="1"/>
    <col min="14080" max="14080" width="5.140625" style="2" customWidth="1"/>
    <col min="14081" max="14082" width="17.5703125" style="2" customWidth="1"/>
    <col min="14083" max="14326" width="9.140625" style="2"/>
    <col min="14327" max="14327" width="3.7109375" style="2" customWidth="1"/>
    <col min="14328" max="14328" width="96.85546875" style="2" customWidth="1"/>
    <col min="14329" max="14329" width="30.85546875" style="2" customWidth="1"/>
    <col min="14330" max="14330" width="12.5703125" style="2" customWidth="1"/>
    <col min="14331" max="14331" width="5.140625" style="2" customWidth="1"/>
    <col min="14332" max="14332" width="9.140625" style="2"/>
    <col min="14333" max="14333" width="4.85546875" style="2" customWidth="1"/>
    <col min="14334" max="14334" width="30.5703125" style="2" customWidth="1"/>
    <col min="14335" max="14335" width="33.85546875" style="2" customWidth="1"/>
    <col min="14336" max="14336" width="5.140625" style="2" customWidth="1"/>
    <col min="14337" max="14338" width="17.5703125" style="2" customWidth="1"/>
    <col min="14339" max="14582" width="9.140625" style="2"/>
    <col min="14583" max="14583" width="3.7109375" style="2" customWidth="1"/>
    <col min="14584" max="14584" width="96.85546875" style="2" customWidth="1"/>
    <col min="14585" max="14585" width="30.85546875" style="2" customWidth="1"/>
    <col min="14586" max="14586" width="12.5703125" style="2" customWidth="1"/>
    <col min="14587" max="14587" width="5.140625" style="2" customWidth="1"/>
    <col min="14588" max="14588" width="9.140625" style="2"/>
    <col min="14589" max="14589" width="4.85546875" style="2" customWidth="1"/>
    <col min="14590" max="14590" width="30.5703125" style="2" customWidth="1"/>
    <col min="14591" max="14591" width="33.85546875" style="2" customWidth="1"/>
    <col min="14592" max="14592" width="5.140625" style="2" customWidth="1"/>
    <col min="14593" max="14594" width="17.5703125" style="2" customWidth="1"/>
    <col min="14595" max="14838" width="9.140625" style="2"/>
    <col min="14839" max="14839" width="3.7109375" style="2" customWidth="1"/>
    <col min="14840" max="14840" width="96.85546875" style="2" customWidth="1"/>
    <col min="14841" max="14841" width="30.85546875" style="2" customWidth="1"/>
    <col min="14842" max="14842" width="12.5703125" style="2" customWidth="1"/>
    <col min="14843" max="14843" width="5.140625" style="2" customWidth="1"/>
    <col min="14844" max="14844" width="9.140625" style="2"/>
    <col min="14845" max="14845" width="4.85546875" style="2" customWidth="1"/>
    <col min="14846" max="14846" width="30.5703125" style="2" customWidth="1"/>
    <col min="14847" max="14847" width="33.85546875" style="2" customWidth="1"/>
    <col min="14848" max="14848" width="5.140625" style="2" customWidth="1"/>
    <col min="14849" max="14850" width="17.5703125" style="2" customWidth="1"/>
    <col min="14851" max="15094" width="9.140625" style="2"/>
    <col min="15095" max="15095" width="3.7109375" style="2" customWidth="1"/>
    <col min="15096" max="15096" width="96.85546875" style="2" customWidth="1"/>
    <col min="15097" max="15097" width="30.85546875" style="2" customWidth="1"/>
    <col min="15098" max="15098" width="12.5703125" style="2" customWidth="1"/>
    <col min="15099" max="15099" width="5.140625" style="2" customWidth="1"/>
    <col min="15100" max="15100" width="9.140625" style="2"/>
    <col min="15101" max="15101" width="4.85546875" style="2" customWidth="1"/>
    <col min="15102" max="15102" width="30.5703125" style="2" customWidth="1"/>
    <col min="15103" max="15103" width="33.85546875" style="2" customWidth="1"/>
    <col min="15104" max="15104" width="5.140625" style="2" customWidth="1"/>
    <col min="15105" max="15106" width="17.5703125" style="2" customWidth="1"/>
    <col min="15107" max="15350" width="9.140625" style="2"/>
    <col min="15351" max="15351" width="3.7109375" style="2" customWidth="1"/>
    <col min="15352" max="15352" width="96.85546875" style="2" customWidth="1"/>
    <col min="15353" max="15353" width="30.85546875" style="2" customWidth="1"/>
    <col min="15354" max="15354" width="12.5703125" style="2" customWidth="1"/>
    <col min="15355" max="15355" width="5.140625" style="2" customWidth="1"/>
    <col min="15356" max="15356" width="9.140625" style="2"/>
    <col min="15357" max="15357" width="4.85546875" style="2" customWidth="1"/>
    <col min="15358" max="15358" width="30.5703125" style="2" customWidth="1"/>
    <col min="15359" max="15359" width="33.85546875" style="2" customWidth="1"/>
    <col min="15360" max="15360" width="5.140625" style="2" customWidth="1"/>
    <col min="15361" max="15362" width="17.5703125" style="2" customWidth="1"/>
    <col min="15363" max="15606" width="9.140625" style="2"/>
    <col min="15607" max="15607" width="3.7109375" style="2" customWidth="1"/>
    <col min="15608" max="15608" width="96.85546875" style="2" customWidth="1"/>
    <col min="15609" max="15609" width="30.85546875" style="2" customWidth="1"/>
    <col min="15610" max="15610" width="12.5703125" style="2" customWidth="1"/>
    <col min="15611" max="15611" width="5.140625" style="2" customWidth="1"/>
    <col min="15612" max="15612" width="9.140625" style="2"/>
    <col min="15613" max="15613" width="4.85546875" style="2" customWidth="1"/>
    <col min="15614" max="15614" width="30.5703125" style="2" customWidth="1"/>
    <col min="15615" max="15615" width="33.85546875" style="2" customWidth="1"/>
    <col min="15616" max="15616" width="5.140625" style="2" customWidth="1"/>
    <col min="15617" max="15618" width="17.5703125" style="2" customWidth="1"/>
    <col min="15619" max="15862" width="9.140625" style="2"/>
    <col min="15863" max="15863" width="3.7109375" style="2" customWidth="1"/>
    <col min="15864" max="15864" width="96.85546875" style="2" customWidth="1"/>
    <col min="15865" max="15865" width="30.85546875" style="2" customWidth="1"/>
    <col min="15866" max="15866" width="12.5703125" style="2" customWidth="1"/>
    <col min="15867" max="15867" width="5.140625" style="2" customWidth="1"/>
    <col min="15868" max="15868" width="9.140625" style="2"/>
    <col min="15869" max="15869" width="4.85546875" style="2" customWidth="1"/>
    <col min="15870" max="15870" width="30.5703125" style="2" customWidth="1"/>
    <col min="15871" max="15871" width="33.85546875" style="2" customWidth="1"/>
    <col min="15872" max="15872" width="5.140625" style="2" customWidth="1"/>
    <col min="15873" max="15874" width="17.5703125" style="2" customWidth="1"/>
    <col min="15875" max="16118" width="9.140625" style="2"/>
    <col min="16119" max="16119" width="3.7109375" style="2" customWidth="1"/>
    <col min="16120" max="16120" width="96.85546875" style="2" customWidth="1"/>
    <col min="16121" max="16121" width="30.85546875" style="2" customWidth="1"/>
    <col min="16122" max="16122" width="12.5703125" style="2" customWidth="1"/>
    <col min="16123" max="16123" width="5.140625" style="2" customWidth="1"/>
    <col min="16124" max="16124" width="9.140625" style="2"/>
    <col min="16125" max="16125" width="4.85546875" style="2" customWidth="1"/>
    <col min="16126" max="16126" width="30.5703125" style="2" customWidth="1"/>
    <col min="16127" max="16127" width="33.85546875" style="2" customWidth="1"/>
    <col min="16128" max="16128" width="5.140625" style="2" customWidth="1"/>
    <col min="16129" max="16130" width="17.5703125" style="2" customWidth="1"/>
    <col min="16131" max="16384" width="9.140625" style="2"/>
  </cols>
  <sheetData>
    <row r="1" spans="1:3" ht="48" customHeight="1" x14ac:dyDescent="0.2">
      <c r="A1" s="1"/>
      <c r="B1" s="143" t="s">
        <v>1</v>
      </c>
      <c r="C1" s="143"/>
    </row>
    <row r="2" spans="1:3" x14ac:dyDescent="0.2">
      <c r="A2" s="1"/>
      <c r="B2" s="3" t="s">
        <v>2</v>
      </c>
      <c r="C2" s="4">
        <v>45317</v>
      </c>
    </row>
    <row r="3" spans="1:3" x14ac:dyDescent="0.2">
      <c r="A3" s="1"/>
      <c r="B3" s="5" t="s">
        <v>3</v>
      </c>
      <c r="C3" s="6"/>
    </row>
    <row r="4" spans="1:3" ht="25.5" x14ac:dyDescent="0.2">
      <c r="A4" s="7"/>
      <c r="B4" s="8" t="str">
        <f>[6]И1!D13</f>
        <v>Субъект Российской Федерации</v>
      </c>
      <c r="C4" s="9" t="str">
        <f>[6]И1!E13</f>
        <v>Новосибирская область</v>
      </c>
    </row>
    <row r="5" spans="1:3" ht="15.95" customHeight="1" x14ac:dyDescent="0.2">
      <c r="A5" s="7"/>
      <c r="B5" s="8" t="str">
        <f>[6]И1!D14</f>
        <v>Тип муниципального образования (выберите из списка)</v>
      </c>
      <c r="C5" s="9" t="str">
        <f>[6]И1!E14</f>
        <v>село Верх-Ирмень, Ордынский муниципальный район</v>
      </c>
    </row>
    <row r="6" spans="1:3" x14ac:dyDescent="0.2">
      <c r="A6" s="7"/>
      <c r="B6" s="8" t="str">
        <f>IF([6]И1!E15="","",[6]И1!D15)</f>
        <v/>
      </c>
      <c r="C6" s="6" t="str">
        <f>IF([6]И1!E15="","",[6]И1!E15)</f>
        <v/>
      </c>
    </row>
    <row r="7" spans="1:3" x14ac:dyDescent="0.2">
      <c r="A7" s="7"/>
      <c r="B7" s="8" t="str">
        <f>[6]И1!D16</f>
        <v>Код ОКТМО</v>
      </c>
      <c r="C7" s="10" t="str">
        <f>[6]И1!E16</f>
        <v>50642404101</v>
      </c>
    </row>
    <row r="8" spans="1:3" x14ac:dyDescent="0.2">
      <c r="A8" s="7"/>
      <c r="B8" s="11" t="str">
        <f>[6]И1!D17</f>
        <v>Система теплоснабжения</v>
      </c>
      <c r="C8" s="12">
        <f>[6]И1!E17</f>
        <v>0</v>
      </c>
    </row>
    <row r="9" spans="1:3" x14ac:dyDescent="0.2">
      <c r="A9" s="7"/>
      <c r="B9" s="8" t="str">
        <f>[6]И1!D8</f>
        <v>Период регулирования (i)-й</v>
      </c>
      <c r="C9" s="13">
        <f>[6]И1!E8</f>
        <v>2024</v>
      </c>
    </row>
    <row r="10" spans="1:3" x14ac:dyDescent="0.2">
      <c r="A10" s="7"/>
      <c r="B10" s="8" t="str">
        <f>[6]И1!D9</f>
        <v>Период регулирования (i-1)-й</v>
      </c>
      <c r="C10" s="13">
        <f>[6]И1!E9</f>
        <v>2023</v>
      </c>
    </row>
    <row r="11" spans="1:3" x14ac:dyDescent="0.2">
      <c r="A11" s="7"/>
      <c r="B11" s="8" t="str">
        <f>[6]И1!D10</f>
        <v>Период регулирования (i-2)-й</v>
      </c>
      <c r="C11" s="13">
        <f>[6]И1!E10</f>
        <v>2022</v>
      </c>
    </row>
    <row r="12" spans="1:3" x14ac:dyDescent="0.2">
      <c r="A12" s="7"/>
      <c r="B12" s="8" t="str">
        <f>[6]И1!D11</f>
        <v>Базовый год (б)</v>
      </c>
      <c r="C12" s="13">
        <f>[6]И1!E11</f>
        <v>2019</v>
      </c>
    </row>
    <row r="13" spans="1:3" x14ac:dyDescent="0.2">
      <c r="A13" s="7"/>
      <c r="B13" s="8" t="str">
        <f>[6]И1!D18</f>
        <v>Вид топлива, использование которого преобладает в системе теплоснабжения</v>
      </c>
      <c r="C13" s="14" t="str">
        <f>[6]И1!E18</f>
        <v>Газ</v>
      </c>
    </row>
    <row r="14" spans="1:3" ht="26.25" customHeight="1" thickBot="1" x14ac:dyDescent="0.25">
      <c r="A14" s="142" t="s">
        <v>4</v>
      </c>
      <c r="B14" s="142"/>
      <c r="C14" s="142"/>
    </row>
    <row r="15" spans="1:3" x14ac:dyDescent="0.2">
      <c r="A15" s="15" t="s">
        <v>5</v>
      </c>
      <c r="B15" s="16" t="s">
        <v>6</v>
      </c>
      <c r="C15" s="17" t="s">
        <v>7</v>
      </c>
    </row>
    <row r="16" spans="1:3" x14ac:dyDescent="0.2">
      <c r="A16" s="18">
        <v>1</v>
      </c>
      <c r="B16" s="19">
        <v>2</v>
      </c>
      <c r="C16" s="20">
        <v>3</v>
      </c>
    </row>
    <row r="17" spans="1:3" x14ac:dyDescent="0.2">
      <c r="A17" s="21">
        <v>1</v>
      </c>
      <c r="B17" s="22" t="s">
        <v>8</v>
      </c>
      <c r="C17" s="23">
        <f>SUM(C18:C23)</f>
        <v>2940.2238058641592</v>
      </c>
    </row>
    <row r="18" spans="1:3" ht="42.75" x14ac:dyDescent="0.2">
      <c r="A18" s="21" t="s">
        <v>9</v>
      </c>
      <c r="B18" s="24" t="s">
        <v>10</v>
      </c>
      <c r="C18" s="25">
        <f>[6]С1!F12</f>
        <v>994.35037159416254</v>
      </c>
    </row>
    <row r="19" spans="1:3" ht="42.75" x14ac:dyDescent="0.2">
      <c r="A19" s="21" t="s">
        <v>11</v>
      </c>
      <c r="B19" s="24" t="s">
        <v>12</v>
      </c>
      <c r="C19" s="25">
        <f>[6]С2!F12</f>
        <v>1337.2323504196445</v>
      </c>
    </row>
    <row r="20" spans="1:3" ht="30" x14ac:dyDescent="0.2">
      <c r="A20" s="21" t="s">
        <v>13</v>
      </c>
      <c r="B20" s="24" t="s">
        <v>14</v>
      </c>
      <c r="C20" s="25">
        <f>[6]С3!F12</f>
        <v>317.62075127153844</v>
      </c>
    </row>
    <row r="21" spans="1:3" ht="42.75" x14ac:dyDescent="0.2">
      <c r="A21" s="21" t="s">
        <v>15</v>
      </c>
      <c r="B21" s="24" t="s">
        <v>16</v>
      </c>
      <c r="C21" s="25">
        <f>[6]С4!F12</f>
        <v>233.36888540500675</v>
      </c>
    </row>
    <row r="22" spans="1:3" ht="33" customHeight="1" x14ac:dyDescent="0.2">
      <c r="A22" s="21" t="s">
        <v>17</v>
      </c>
      <c r="B22" s="24" t="s">
        <v>18</v>
      </c>
      <c r="C22" s="25">
        <f>[6]С5!F12</f>
        <v>57.65144717380705</v>
      </c>
    </row>
    <row r="23" spans="1:3" ht="45.75" customHeight="1" thickBot="1" x14ac:dyDescent="0.25">
      <c r="A23" s="26" t="s">
        <v>19</v>
      </c>
      <c r="B23" s="140" t="s">
        <v>20</v>
      </c>
      <c r="C23" s="27">
        <f>[6]С6!F12</f>
        <v>0</v>
      </c>
    </row>
    <row r="24" spans="1:3" ht="13.5" thickBot="1" x14ac:dyDescent="0.25">
      <c r="A24" s="1"/>
      <c r="C24" s="6"/>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v>
      </c>
      <c r="C28" s="32">
        <f>[6]С1.1!E16</f>
        <v>7900</v>
      </c>
    </row>
    <row r="29" spans="1:3" ht="42.75" x14ac:dyDescent="0.2">
      <c r="A29" s="21" t="s">
        <v>11</v>
      </c>
      <c r="B29" s="31" t="s">
        <v>23</v>
      </c>
      <c r="C29" s="32">
        <f>[6]С1.1!E32</f>
        <v>5751.37</v>
      </c>
    </row>
    <row r="30" spans="1:3" ht="38.25" x14ac:dyDescent="0.2">
      <c r="A30" s="21" t="s">
        <v>24</v>
      </c>
      <c r="B30" s="31" t="s">
        <v>25</v>
      </c>
      <c r="C30" s="33" t="str">
        <f>[6]С1.1!E25</f>
        <v>ООО "Газпром газораспределение Томск"</v>
      </c>
    </row>
    <row r="31" spans="1:3" ht="38.25" x14ac:dyDescent="0.2">
      <c r="A31" s="21" t="s">
        <v>26</v>
      </c>
      <c r="B31" s="31" t="str">
        <f>[6]С1.1!D26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2">
        <f>[6]С1.1!E26</f>
        <v>4699.5</v>
      </c>
    </row>
    <row r="32" spans="1:3" ht="25.5" x14ac:dyDescent="0.2">
      <c r="A32" s="21" t="s">
        <v>27</v>
      </c>
      <c r="B32" s="31" t="str">
        <f>[6]С1.1!D27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2">
        <f>[6]С1.1!E27</f>
        <v>795.43</v>
      </c>
    </row>
    <row r="33" spans="1:3" ht="25.5" x14ac:dyDescent="0.2">
      <c r="A33" s="21" t="s">
        <v>28</v>
      </c>
      <c r="B33" s="31" t="str">
        <f>[6]С1.1!D28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2">
        <f>[6]С1.1!E28</f>
        <v>136.54</v>
      </c>
    </row>
    <row r="34" spans="1:3" ht="38.25" x14ac:dyDescent="0.2">
      <c r="A34" s="21" t="s">
        <v>29</v>
      </c>
      <c r="B34" s="31" t="str">
        <f>[6]С1.1!D29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2">
        <f>[6]С1.1!E29</f>
        <v>119.9</v>
      </c>
    </row>
    <row r="35" spans="1:3" ht="17.25" x14ac:dyDescent="0.2">
      <c r="A35" s="21" t="s">
        <v>13</v>
      </c>
      <c r="B35" s="31" t="s">
        <v>30</v>
      </c>
      <c r="C35" s="34">
        <f>[6]С1.1!E20</f>
        <v>8.5000000000000006E-2</v>
      </c>
    </row>
    <row r="36" spans="1:3" ht="17.25" x14ac:dyDescent="0.2">
      <c r="A36" s="21" t="s">
        <v>15</v>
      </c>
      <c r="B36" s="31" t="s">
        <v>31</v>
      </c>
      <c r="C36" s="34">
        <f>[6]С1.1!E21</f>
        <v>0.112</v>
      </c>
    </row>
    <row r="37" spans="1:3" ht="30" x14ac:dyDescent="0.2">
      <c r="A37" s="21" t="s">
        <v>17</v>
      </c>
      <c r="B37" s="35" t="s">
        <v>32</v>
      </c>
      <c r="C37" s="36">
        <f>[6]С1!F13</f>
        <v>156.1</v>
      </c>
    </row>
    <row r="38" spans="1:3" x14ac:dyDescent="0.2">
      <c r="A38" s="21" t="s">
        <v>19</v>
      </c>
      <c r="B38" s="35" t="s">
        <v>33</v>
      </c>
      <c r="C38" s="37">
        <f>[6]С1!F16</f>
        <v>7000</v>
      </c>
    </row>
    <row r="39" spans="1:3" ht="14.25" x14ac:dyDescent="0.2">
      <c r="A39" s="38" t="s">
        <v>34</v>
      </c>
      <c r="B39" s="39" t="s">
        <v>35</v>
      </c>
      <c r="C39" s="40">
        <f>[6]С1!F17</f>
        <v>1.1285714285714286</v>
      </c>
    </row>
    <row r="40" spans="1:3" ht="15.75" x14ac:dyDescent="0.2">
      <c r="A40" s="41" t="s">
        <v>36</v>
      </c>
      <c r="B40" s="42" t="s">
        <v>37</v>
      </c>
      <c r="C40" s="40">
        <f>[6]С1!F20</f>
        <v>22.307053372799995</v>
      </c>
    </row>
    <row r="41" spans="1:3" ht="15.75" x14ac:dyDescent="0.2">
      <c r="A41" s="41" t="s">
        <v>38</v>
      </c>
      <c r="B41" s="43" t="s">
        <v>39</v>
      </c>
      <c r="C41" s="40">
        <f>[6]С1!F21</f>
        <v>21.531904799999996</v>
      </c>
    </row>
    <row r="42" spans="1:3" ht="14.25" x14ac:dyDescent="0.2">
      <c r="A42" s="41" t="s">
        <v>40</v>
      </c>
      <c r="B42" s="44" t="s">
        <v>41</v>
      </c>
      <c r="C42" s="40">
        <f>[6]С1!F22</f>
        <v>1.036</v>
      </c>
    </row>
    <row r="43" spans="1:3" ht="53.25" thickBot="1" x14ac:dyDescent="0.25">
      <c r="A43" s="26" t="s">
        <v>42</v>
      </c>
      <c r="B43" s="45" t="s">
        <v>43</v>
      </c>
      <c r="C43" s="46" t="str">
        <f>[6]С1!F23</f>
        <v>-</v>
      </c>
    </row>
    <row r="44" spans="1:3" ht="13.5" thickBot="1" x14ac:dyDescent="0.25">
      <c r="A44" s="47"/>
      <c r="B44" s="48"/>
      <c r="C44" s="14"/>
    </row>
    <row r="45" spans="1:3" ht="30" customHeight="1" x14ac:dyDescent="0.2">
      <c r="A45" s="49" t="s">
        <v>44</v>
      </c>
      <c r="B45" s="145" t="s">
        <v>45</v>
      </c>
      <c r="C45" s="145"/>
    </row>
    <row r="46" spans="1:3" ht="25.5" x14ac:dyDescent="0.2">
      <c r="A46" s="21" t="s">
        <v>46</v>
      </c>
      <c r="B46" s="35" t="s">
        <v>47</v>
      </c>
      <c r="C46" s="50" t="str">
        <f>[6]С2.1!E12</f>
        <v>V</v>
      </c>
    </row>
    <row r="47" spans="1:3" ht="25.5" x14ac:dyDescent="0.2">
      <c r="A47" s="21" t="s">
        <v>48</v>
      </c>
      <c r="B47" s="31" t="s">
        <v>49</v>
      </c>
      <c r="C47" s="50" t="str">
        <f>[6]С2.1!E13</f>
        <v>6 и менее баллов</v>
      </c>
    </row>
    <row r="48" spans="1:3" ht="25.5" x14ac:dyDescent="0.2">
      <c r="A48" s="21" t="s">
        <v>50</v>
      </c>
      <c r="B48" s="31" t="s">
        <v>51</v>
      </c>
      <c r="C48" s="50" t="str">
        <f>[6]С2.1!E14</f>
        <v>от 200 до 500</v>
      </c>
    </row>
    <row r="49" spans="1:3" ht="25.5" x14ac:dyDescent="0.2">
      <c r="A49" s="21" t="s">
        <v>52</v>
      </c>
      <c r="B49" s="31" t="s">
        <v>53</v>
      </c>
      <c r="C49" s="51" t="str">
        <f>[6]С2.1!E15</f>
        <v>нет</v>
      </c>
    </row>
    <row r="50" spans="1:3" ht="30" x14ac:dyDescent="0.2">
      <c r="A50" s="21" t="s">
        <v>54</v>
      </c>
      <c r="B50" s="31" t="s">
        <v>55</v>
      </c>
      <c r="C50" s="32">
        <f>[6]С2!F18</f>
        <v>35106.652004551666</v>
      </c>
    </row>
    <row r="51" spans="1:3" ht="30" x14ac:dyDescent="0.2">
      <c r="A51" s="21" t="s">
        <v>56</v>
      </c>
      <c r="B51" s="52" t="s">
        <v>57</v>
      </c>
      <c r="C51" s="32">
        <f>IF([6]С2!F19&gt;0,[6]С2!F19,[6]С2!F20)</f>
        <v>23441.524932855718</v>
      </c>
    </row>
    <row r="52" spans="1:3" ht="25.5" x14ac:dyDescent="0.2">
      <c r="A52" s="21" t="s">
        <v>58</v>
      </c>
      <c r="B52" s="53" t="s">
        <v>59</v>
      </c>
      <c r="C52" s="32">
        <f>[6]С2.1!E20</f>
        <v>-37</v>
      </c>
    </row>
    <row r="53" spans="1:3" ht="25.5" x14ac:dyDescent="0.2">
      <c r="A53" s="21" t="s">
        <v>60</v>
      </c>
      <c r="B53" s="53" t="s">
        <v>61</v>
      </c>
      <c r="C53" s="32" t="str">
        <f>[6]С2.1!E23</f>
        <v>нет</v>
      </c>
    </row>
    <row r="54" spans="1:3" ht="38.25" x14ac:dyDescent="0.2">
      <c r="A54" s="21" t="s">
        <v>62</v>
      </c>
      <c r="B54" s="54" t="s">
        <v>63</v>
      </c>
      <c r="C54" s="32">
        <f>[6]С2.2!E10</f>
        <v>1287</v>
      </c>
    </row>
    <row r="55" spans="1:3" ht="25.5" x14ac:dyDescent="0.2">
      <c r="A55" s="21" t="s">
        <v>64</v>
      </c>
      <c r="B55" s="55" t="s">
        <v>65</v>
      </c>
      <c r="C55" s="32">
        <f>[6]С2.2!E12</f>
        <v>5.97</v>
      </c>
    </row>
    <row r="56" spans="1:3" ht="52.5" x14ac:dyDescent="0.2">
      <c r="A56" s="21" t="s">
        <v>66</v>
      </c>
      <c r="B56" s="56" t="s">
        <v>67</v>
      </c>
      <c r="C56" s="32">
        <f>[6]С2.2!E13</f>
        <v>1</v>
      </c>
    </row>
    <row r="57" spans="1:3" ht="27.75" x14ac:dyDescent="0.2">
      <c r="A57" s="21" t="s">
        <v>68</v>
      </c>
      <c r="B57" s="55" t="s">
        <v>69</v>
      </c>
      <c r="C57" s="32">
        <f>[6]С2.2!E14</f>
        <v>12104</v>
      </c>
    </row>
    <row r="58" spans="1:3" ht="25.5" x14ac:dyDescent="0.2">
      <c r="A58" s="21" t="s">
        <v>70</v>
      </c>
      <c r="B58" s="56" t="s">
        <v>71</v>
      </c>
      <c r="C58" s="34">
        <f>[6]С2.2!E15</f>
        <v>4.8000000000000001E-2</v>
      </c>
    </row>
    <row r="59" spans="1:3" x14ac:dyDescent="0.2">
      <c r="A59" s="21" t="s">
        <v>72</v>
      </c>
      <c r="B59" s="56" t="s">
        <v>73</v>
      </c>
      <c r="C59" s="57">
        <f>[6]С2.2!E16</f>
        <v>1</v>
      </c>
    </row>
    <row r="60" spans="1:3" ht="15.75" x14ac:dyDescent="0.2">
      <c r="A60" s="21" t="s">
        <v>74</v>
      </c>
      <c r="B60" s="58" t="s">
        <v>75</v>
      </c>
      <c r="C60" s="32">
        <f>[6]С2!F21</f>
        <v>1</v>
      </c>
    </row>
    <row r="61" spans="1:3" ht="30" x14ac:dyDescent="0.2">
      <c r="A61" s="59" t="s">
        <v>76</v>
      </c>
      <c r="B61" s="31" t="s">
        <v>77</v>
      </c>
      <c r="C61" s="32">
        <f>[6]С2!F13</f>
        <v>105136.23090983224</v>
      </c>
    </row>
    <row r="62" spans="1:3" ht="30" x14ac:dyDescent="0.2">
      <c r="A62" s="59" t="s">
        <v>78</v>
      </c>
      <c r="B62" s="60" t="s">
        <v>79</v>
      </c>
      <c r="C62" s="32">
        <f>[6]С2!F14</f>
        <v>64899</v>
      </c>
    </row>
    <row r="63" spans="1:3" ht="15.75" x14ac:dyDescent="0.2">
      <c r="A63" s="59" t="s">
        <v>80</v>
      </c>
      <c r="B63" s="60" t="s">
        <v>81</v>
      </c>
      <c r="C63" s="40">
        <f>[6]С2!F15</f>
        <v>1.071</v>
      </c>
    </row>
    <row r="64" spans="1:3" ht="15.75" x14ac:dyDescent="0.2">
      <c r="A64" s="59" t="s">
        <v>82</v>
      </c>
      <c r="B64" s="60" t="s">
        <v>83</v>
      </c>
      <c r="C64" s="61">
        <f>[6]С2!F16</f>
        <v>1</v>
      </c>
    </row>
    <row r="65" spans="1:3" ht="17.25" x14ac:dyDescent="0.2">
      <c r="A65" s="59" t="s">
        <v>84</v>
      </c>
      <c r="B65" s="60" t="s">
        <v>85</v>
      </c>
      <c r="C65" s="62">
        <f>[6]С2!F17</f>
        <v>1.01</v>
      </c>
    </row>
    <row r="66" spans="1:3" s="65" customFormat="1" ht="14.25" x14ac:dyDescent="0.2">
      <c r="A66" s="59" t="s">
        <v>86</v>
      </c>
      <c r="B66" s="63" t="s">
        <v>87</v>
      </c>
      <c r="C66" s="64">
        <f>[6]С2!F35</f>
        <v>10</v>
      </c>
    </row>
    <row r="67" spans="1:3" ht="30" x14ac:dyDescent="0.2">
      <c r="A67" s="59" t="s">
        <v>88</v>
      </c>
      <c r="B67" s="66" t="s">
        <v>89</v>
      </c>
      <c r="C67" s="32">
        <f>[6]С2!F28</f>
        <v>150.75887532279913</v>
      </c>
    </row>
    <row r="68" spans="1:3" ht="17.25" x14ac:dyDescent="0.2">
      <c r="A68" s="59" t="s">
        <v>90</v>
      </c>
      <c r="B68" s="52" t="s">
        <v>91</v>
      </c>
      <c r="C68" s="40">
        <f>[6]С2!F29</f>
        <v>0.201330388</v>
      </c>
    </row>
    <row r="69" spans="1:3" ht="17.25" x14ac:dyDescent="0.2">
      <c r="A69" s="59" t="s">
        <v>92</v>
      </c>
      <c r="B69" s="58" t="s">
        <v>93</v>
      </c>
      <c r="C69" s="64">
        <f>[6]С2!F30</f>
        <v>500</v>
      </c>
    </row>
    <row r="70" spans="1:3" ht="42.75" x14ac:dyDescent="0.2">
      <c r="A70" s="59" t="s">
        <v>94</v>
      </c>
      <c r="B70" s="31" t="s">
        <v>95</v>
      </c>
      <c r="C70" s="32">
        <f>[6]С2!F22</f>
        <v>39638.324046481182</v>
      </c>
    </row>
    <row r="71" spans="1:3" ht="30" x14ac:dyDescent="0.2">
      <c r="A71" s="59" t="s">
        <v>96</v>
      </c>
      <c r="B71" s="60" t="s">
        <v>97</v>
      </c>
      <c r="C71" s="32">
        <f>[6]С2!F23</f>
        <v>21</v>
      </c>
    </row>
    <row r="72" spans="1:3" ht="30" x14ac:dyDescent="0.2">
      <c r="A72" s="59" t="s">
        <v>98</v>
      </c>
      <c r="B72" s="52" t="s">
        <v>99</v>
      </c>
      <c r="C72" s="32">
        <f>[6]С2.1!E28</f>
        <v>14036.09995</v>
      </c>
    </row>
    <row r="73" spans="1:3" ht="38.25" x14ac:dyDescent="0.2">
      <c r="A73" s="59" t="s">
        <v>100</v>
      </c>
      <c r="B73" s="67" t="s">
        <v>101</v>
      </c>
      <c r="C73" s="51">
        <f>[6]С2.3!E21</f>
        <v>0</v>
      </c>
    </row>
    <row r="74" spans="1:3" ht="25.5" x14ac:dyDescent="0.2">
      <c r="A74" s="59" t="s">
        <v>102</v>
      </c>
      <c r="B74" s="68" t="s">
        <v>103</v>
      </c>
      <c r="C74" s="69">
        <f>[6]С2.3!E11</f>
        <v>5.45</v>
      </c>
    </row>
    <row r="75" spans="1:3" ht="25.5" x14ac:dyDescent="0.2">
      <c r="A75" s="59" t="s">
        <v>104</v>
      </c>
      <c r="B75" s="68" t="s">
        <v>105</v>
      </c>
      <c r="C75" s="64">
        <f>[6]С2.3!E13</f>
        <v>300</v>
      </c>
    </row>
    <row r="76" spans="1:3" ht="25.5" x14ac:dyDescent="0.2">
      <c r="A76" s="59" t="s">
        <v>106</v>
      </c>
      <c r="B76" s="67" t="s">
        <v>107</v>
      </c>
      <c r="C76" s="70">
        <f>IF([6]С2.3!E22&gt;0,[6]С2.3!E22,[6]С2.3!E14)</f>
        <v>61211</v>
      </c>
    </row>
    <row r="77" spans="1:3" ht="38.25" x14ac:dyDescent="0.2">
      <c r="A77" s="59" t="s">
        <v>108</v>
      </c>
      <c r="B77" s="67" t="s">
        <v>109</v>
      </c>
      <c r="C77" s="70">
        <f>IF([6]С2.3!E23&gt;0,[6]С2.3!E23,[6]С2.3!E15)</f>
        <v>45675</v>
      </c>
    </row>
    <row r="78" spans="1:3" ht="30" x14ac:dyDescent="0.2">
      <c r="A78" s="59" t="s">
        <v>110</v>
      </c>
      <c r="B78" s="52" t="s">
        <v>111</v>
      </c>
      <c r="C78" s="32">
        <f>[6]С2.1!E29</f>
        <v>9518.3274000000001</v>
      </c>
    </row>
    <row r="79" spans="1:3" ht="38.25" x14ac:dyDescent="0.2">
      <c r="A79" s="59" t="s">
        <v>112</v>
      </c>
      <c r="B79" s="67" t="s">
        <v>113</v>
      </c>
      <c r="C79" s="51">
        <f>[6]С2.3!E25</f>
        <v>0</v>
      </c>
    </row>
    <row r="80" spans="1:3" ht="25.5" x14ac:dyDescent="0.2">
      <c r="A80" s="59" t="s">
        <v>114</v>
      </c>
      <c r="B80" s="68" t="s">
        <v>115</v>
      </c>
      <c r="C80" s="69">
        <f>[6]С2.3!E12</f>
        <v>0.2</v>
      </c>
    </row>
    <row r="81" spans="1:3" ht="25.5" x14ac:dyDescent="0.2">
      <c r="A81" s="59" t="s">
        <v>116</v>
      </c>
      <c r="B81" s="68" t="s">
        <v>105</v>
      </c>
      <c r="C81" s="64">
        <f>[6]С2.3!E13</f>
        <v>300</v>
      </c>
    </row>
    <row r="82" spans="1:3" ht="25.5" x14ac:dyDescent="0.2">
      <c r="A82" s="59" t="s">
        <v>117</v>
      </c>
      <c r="B82" s="71" t="s">
        <v>118</v>
      </c>
      <c r="C82" s="70">
        <f>IF([6]С2.3!E26&gt;0,[6]С2.3!E26,[6]С2.3!E16)</f>
        <v>65637</v>
      </c>
    </row>
    <row r="83" spans="1:3" ht="38.25" x14ac:dyDescent="0.2">
      <c r="A83" s="59" t="s">
        <v>119</v>
      </c>
      <c r="B83" s="71" t="s">
        <v>120</v>
      </c>
      <c r="C83" s="70">
        <f>IF([6]С2.3!E27&gt;0,[6]С2.3!E27,[6]С2.3!E17)</f>
        <v>31684</v>
      </c>
    </row>
    <row r="84" spans="1:3" ht="30" x14ac:dyDescent="0.2">
      <c r="A84" s="59" t="s">
        <v>121</v>
      </c>
      <c r="B84" s="60" t="s">
        <v>122</v>
      </c>
      <c r="C84" s="70">
        <f>IF([6]С2.1!E19&gt;0,[6]С2.1!E19,[6]С2!F26)</f>
        <v>2892</v>
      </c>
    </row>
    <row r="85" spans="1:3" ht="17.25" x14ac:dyDescent="0.2">
      <c r="A85" s="59" t="s">
        <v>123</v>
      </c>
      <c r="B85" s="31" t="s">
        <v>124</v>
      </c>
      <c r="C85" s="34">
        <f>[6]С2!F31</f>
        <v>9.5962865259740182E-2</v>
      </c>
    </row>
    <row r="86" spans="1:3" ht="30" x14ac:dyDescent="0.2">
      <c r="A86" s="59" t="s">
        <v>125</v>
      </c>
      <c r="B86" s="52" t="s">
        <v>126</v>
      </c>
      <c r="C86" s="72">
        <f>[6]С2!F32</f>
        <v>8.4029304029304031E-2</v>
      </c>
    </row>
    <row r="87" spans="1:3" ht="17.25" x14ac:dyDescent="0.2">
      <c r="A87" s="59" t="s">
        <v>127</v>
      </c>
      <c r="B87" s="73" t="s">
        <v>128</v>
      </c>
      <c r="C87" s="34">
        <f>[6]С2!F33</f>
        <v>0.13880000000000001</v>
      </c>
    </row>
    <row r="88" spans="1:3" s="65" customFormat="1" ht="18" thickBot="1" x14ac:dyDescent="0.25">
      <c r="A88" s="74" t="s">
        <v>129</v>
      </c>
      <c r="B88" s="75" t="s">
        <v>130</v>
      </c>
      <c r="C88" s="76">
        <f>[6]С2!F34</f>
        <v>0.12640000000000001</v>
      </c>
    </row>
    <row r="89" spans="1:3" ht="13.5" thickBot="1" x14ac:dyDescent="0.25">
      <c r="A89" s="47"/>
      <c r="B89" s="48"/>
      <c r="C89" s="14"/>
    </row>
    <row r="90" spans="1:3" s="65" customFormat="1" ht="30" customHeight="1" x14ac:dyDescent="0.2">
      <c r="A90" s="77" t="s">
        <v>131</v>
      </c>
      <c r="B90" s="145" t="s">
        <v>132</v>
      </c>
      <c r="C90" s="145"/>
    </row>
    <row r="91" spans="1:3" s="65" customFormat="1" ht="30" x14ac:dyDescent="0.2">
      <c r="A91" s="78" t="s">
        <v>133</v>
      </c>
      <c r="B91" s="31" t="s">
        <v>134</v>
      </c>
      <c r="C91" s="32">
        <f>[6]С3!F14</f>
        <v>4200.2698001645867</v>
      </c>
    </row>
    <row r="92" spans="1:3" s="65" customFormat="1" ht="42.75" x14ac:dyDescent="0.2">
      <c r="A92" s="78" t="s">
        <v>135</v>
      </c>
      <c r="B92" s="52" t="s">
        <v>136</v>
      </c>
      <c r="C92" s="79">
        <f>[6]С3!F15</f>
        <v>0.2</v>
      </c>
    </row>
    <row r="93" spans="1:3" s="65" customFormat="1" ht="14.25" x14ac:dyDescent="0.2">
      <c r="A93" s="78" t="s">
        <v>137</v>
      </c>
      <c r="B93" s="80" t="s">
        <v>138</v>
      </c>
      <c r="C93" s="64">
        <f>[6]С3!F18</f>
        <v>15</v>
      </c>
    </row>
    <row r="94" spans="1:3" s="65" customFormat="1" ht="17.25" x14ac:dyDescent="0.2">
      <c r="A94" s="78" t="s">
        <v>139</v>
      </c>
      <c r="B94" s="31" t="s">
        <v>140</v>
      </c>
      <c r="C94" s="32">
        <f>[6]С3!F19</f>
        <v>2638.2577020926874</v>
      </c>
    </row>
    <row r="95" spans="1:3" s="65" customFormat="1" ht="55.5" x14ac:dyDescent="0.2">
      <c r="A95" s="78" t="s">
        <v>141</v>
      </c>
      <c r="B95" s="52" t="s">
        <v>142</v>
      </c>
      <c r="C95" s="81">
        <f>[6]С3!F20</f>
        <v>2.1999999999999999E-2</v>
      </c>
    </row>
    <row r="96" spans="1:3" s="65" customFormat="1" ht="14.25" x14ac:dyDescent="0.2">
      <c r="A96" s="78" t="s">
        <v>143</v>
      </c>
      <c r="B96" s="58" t="s">
        <v>87</v>
      </c>
      <c r="C96" s="64">
        <f>[6]С3!F21</f>
        <v>10</v>
      </c>
    </row>
    <row r="97" spans="1:3" s="65" customFormat="1" ht="17.25" x14ac:dyDescent="0.2">
      <c r="A97" s="78" t="s">
        <v>144</v>
      </c>
      <c r="B97" s="31" t="s">
        <v>145</v>
      </c>
      <c r="C97" s="32">
        <f>[6]С3!F22</f>
        <v>0.45227662596839741</v>
      </c>
    </row>
    <row r="98" spans="1:3" s="65" customFormat="1" ht="55.5" x14ac:dyDescent="0.2">
      <c r="A98" s="78" t="s">
        <v>146</v>
      </c>
      <c r="B98" s="52" t="s">
        <v>147</v>
      </c>
      <c r="C98" s="81">
        <f>[6]С3!F23</f>
        <v>3.0000000000000001E-3</v>
      </c>
    </row>
    <row r="99" spans="1:3" s="65" customFormat="1" ht="30.75" thickBot="1" x14ac:dyDescent="0.25">
      <c r="A99" s="82" t="s">
        <v>148</v>
      </c>
      <c r="B99" s="83" t="s">
        <v>89</v>
      </c>
      <c r="C99" s="84">
        <f>[6]С3!F24</f>
        <v>150.75887532279913</v>
      </c>
    </row>
    <row r="100" spans="1:3" ht="13.5" thickBot="1" x14ac:dyDescent="0.25">
      <c r="A100" s="47"/>
      <c r="B100" s="48"/>
      <c r="C100" s="14"/>
    </row>
    <row r="101" spans="1:3" ht="30" customHeight="1" x14ac:dyDescent="0.2">
      <c r="A101" s="85" t="s">
        <v>149</v>
      </c>
      <c r="B101" s="145" t="s">
        <v>150</v>
      </c>
      <c r="C101" s="145"/>
    </row>
    <row r="102" spans="1:3" ht="30" x14ac:dyDescent="0.2">
      <c r="A102" s="59" t="s">
        <v>151</v>
      </c>
      <c r="B102" s="31" t="s">
        <v>152</v>
      </c>
      <c r="C102" s="32">
        <f>[6]С4!F16</f>
        <v>832.33500000000004</v>
      </c>
    </row>
    <row r="103" spans="1:3" ht="30" x14ac:dyDescent="0.2">
      <c r="A103" s="59" t="s">
        <v>153</v>
      </c>
      <c r="B103" s="58" t="s">
        <v>154</v>
      </c>
      <c r="C103" s="32">
        <f>[6]С4!F17</f>
        <v>43385</v>
      </c>
    </row>
    <row r="104" spans="1:3" ht="17.25" x14ac:dyDescent="0.2">
      <c r="A104" s="59" t="s">
        <v>155</v>
      </c>
      <c r="B104" s="58" t="s">
        <v>156</v>
      </c>
      <c r="C104" s="40">
        <f>[6]С4!F18</f>
        <v>1.4999999999999999E-2</v>
      </c>
    </row>
    <row r="105" spans="1:3" ht="30" x14ac:dyDescent="0.2">
      <c r="A105" s="59" t="s">
        <v>157</v>
      </c>
      <c r="B105" s="58" t="s">
        <v>158</v>
      </c>
      <c r="C105" s="32">
        <f>[6]С4!F19</f>
        <v>12104</v>
      </c>
    </row>
    <row r="106" spans="1:3" ht="28.5" x14ac:dyDescent="0.2">
      <c r="A106" s="59" t="s">
        <v>159</v>
      </c>
      <c r="B106" s="58" t="s">
        <v>160</v>
      </c>
      <c r="C106" s="40">
        <f>[6]С4!F20</f>
        <v>1.4999999999999999E-2</v>
      </c>
    </row>
    <row r="107" spans="1:3" ht="30" x14ac:dyDescent="0.2">
      <c r="A107" s="59" t="s">
        <v>161</v>
      </c>
      <c r="B107" s="31" t="s">
        <v>162</v>
      </c>
      <c r="C107" s="32">
        <f>[6]С4!F21</f>
        <v>1221.9019409821399</v>
      </c>
    </row>
    <row r="108" spans="1:3" ht="45.6" customHeight="1" x14ac:dyDescent="0.2">
      <c r="A108" s="59" t="s">
        <v>163</v>
      </c>
      <c r="B108" s="52" t="s">
        <v>164</v>
      </c>
      <c r="C108" s="33" t="str">
        <f>IF([6]С4.2!F8="да",[6]С4.2!D21,[6]С4.2!D15)</f>
        <v>АО "Новосибирскэнергосбыт"</v>
      </c>
    </row>
    <row r="109" spans="1:3" ht="68.25" customHeight="1" x14ac:dyDescent="0.2">
      <c r="A109" s="59" t="s">
        <v>165</v>
      </c>
      <c r="B109" s="52" t="s">
        <v>166</v>
      </c>
      <c r="C109" s="32">
        <f>[6]С4!F22</f>
        <v>3.6112641666666665</v>
      </c>
    </row>
    <row r="110" spans="1:3" ht="30" x14ac:dyDescent="0.2">
      <c r="A110" s="59" t="s">
        <v>167</v>
      </c>
      <c r="B110" s="58" t="s">
        <v>168</v>
      </c>
      <c r="C110" s="64">
        <f>[6]С4!F23</f>
        <v>110</v>
      </c>
    </row>
    <row r="111" spans="1:3" ht="14.25" x14ac:dyDescent="0.2">
      <c r="A111" s="59" t="s">
        <v>169</v>
      </c>
      <c r="B111" s="52" t="s">
        <v>170</v>
      </c>
      <c r="C111" s="32">
        <f>[6]С4!F24</f>
        <v>8497.1999999999989</v>
      </c>
    </row>
    <row r="112" spans="1:3" ht="14.25" x14ac:dyDescent="0.2">
      <c r="A112" s="59" t="s">
        <v>171</v>
      </c>
      <c r="B112" s="58" t="s">
        <v>172</v>
      </c>
      <c r="C112" s="40">
        <f>[6]С4!F25</f>
        <v>0.36199999999999999</v>
      </c>
    </row>
    <row r="113" spans="1:3" ht="17.25" x14ac:dyDescent="0.2">
      <c r="A113" s="59" t="s">
        <v>173</v>
      </c>
      <c r="B113" s="31" t="s">
        <v>174</v>
      </c>
      <c r="C113" s="32">
        <f>[6]С4!F26</f>
        <v>35.35678333333334</v>
      </c>
    </row>
    <row r="114" spans="1:3" ht="25.5" x14ac:dyDescent="0.2">
      <c r="A114" s="59" t="s">
        <v>175</v>
      </c>
      <c r="B114" s="52" t="s">
        <v>101</v>
      </c>
      <c r="C114" s="33">
        <f>[6]С4.3!E16</f>
        <v>0</v>
      </c>
    </row>
    <row r="115" spans="1:3" ht="25.5" x14ac:dyDescent="0.2">
      <c r="A115" s="59" t="s">
        <v>176</v>
      </c>
      <c r="B115" s="52" t="s">
        <v>177</v>
      </c>
      <c r="C115" s="32">
        <f>[6]С4.3!E17</f>
        <v>17.583333333333336</v>
      </c>
    </row>
    <row r="116" spans="1:3" ht="38.25" x14ac:dyDescent="0.2">
      <c r="A116" s="59" t="s">
        <v>178</v>
      </c>
      <c r="B116" s="52" t="s">
        <v>113</v>
      </c>
      <c r="C116" s="33">
        <f>[6]С4.3!E18</f>
        <v>0</v>
      </c>
    </row>
    <row r="117" spans="1:3" x14ac:dyDescent="0.2">
      <c r="A117" s="59" t="s">
        <v>179</v>
      </c>
      <c r="B117" s="52" t="s">
        <v>180</v>
      </c>
      <c r="C117" s="32">
        <f>[6]С4.3!E19</f>
        <v>18.983333333333334</v>
      </c>
    </row>
    <row r="118" spans="1:3" x14ac:dyDescent="0.2">
      <c r="A118" s="59" t="s">
        <v>181</v>
      </c>
      <c r="B118" s="58" t="s">
        <v>182</v>
      </c>
      <c r="C118" s="64">
        <f>[6]С4.3!E11</f>
        <v>1871</v>
      </c>
    </row>
    <row r="119" spans="1:3" x14ac:dyDescent="0.2">
      <c r="A119" s="59" t="s">
        <v>183</v>
      </c>
      <c r="B119" s="58" t="s">
        <v>184</v>
      </c>
      <c r="C119" s="51">
        <f>[6]С4.3!E12</f>
        <v>61</v>
      </c>
    </row>
    <row r="120" spans="1:3" x14ac:dyDescent="0.2">
      <c r="A120" s="59" t="s">
        <v>185</v>
      </c>
      <c r="B120" s="58" t="s">
        <v>186</v>
      </c>
      <c r="C120" s="51">
        <f>[6]С4.3!E13</f>
        <v>73</v>
      </c>
    </row>
    <row r="121" spans="1:3" ht="30" x14ac:dyDescent="0.2">
      <c r="A121" s="59" t="s">
        <v>187</v>
      </c>
      <c r="B121" s="31" t="s">
        <v>188</v>
      </c>
      <c r="C121" s="32">
        <f>[6]С4!F27</f>
        <v>946.59139764731083</v>
      </c>
    </row>
    <row r="122" spans="1:3" ht="25.5" x14ac:dyDescent="0.2">
      <c r="A122" s="59" t="s">
        <v>189</v>
      </c>
      <c r="B122" s="52" t="s">
        <v>190</v>
      </c>
      <c r="C122" s="32">
        <f>[6]С4!F28</f>
        <v>727.02872323142151</v>
      </c>
    </row>
    <row r="123" spans="1:3" ht="42.75" x14ac:dyDescent="0.2">
      <c r="A123" s="59" t="s">
        <v>191</v>
      </c>
      <c r="B123" s="52" t="s">
        <v>192</v>
      </c>
      <c r="C123" s="32">
        <f>[6]С4!F29</f>
        <v>219.56267441588932</v>
      </c>
    </row>
    <row r="124" spans="1:3" ht="30.75" thickBot="1" x14ac:dyDescent="0.25">
      <c r="A124" s="74" t="s">
        <v>193</v>
      </c>
      <c r="B124" s="86" t="s">
        <v>194</v>
      </c>
      <c r="C124" s="84">
        <f>[6]С4!F30</f>
        <v>477.80492932098815</v>
      </c>
    </row>
    <row r="125" spans="1:3" s="87" customFormat="1" ht="13.5" thickBot="1" x14ac:dyDescent="0.25">
      <c r="A125" s="47"/>
      <c r="B125" s="48"/>
      <c r="C125" s="14"/>
    </row>
    <row r="126" spans="1:3" s="65" customFormat="1" ht="30" customHeight="1" x14ac:dyDescent="0.2">
      <c r="A126" s="77" t="s">
        <v>195</v>
      </c>
      <c r="B126" s="145" t="s">
        <v>196</v>
      </c>
      <c r="C126" s="145"/>
    </row>
    <row r="127" spans="1:3" ht="30.6" customHeight="1" thickBot="1" x14ac:dyDescent="0.25">
      <c r="A127" s="26" t="s">
        <v>197</v>
      </c>
      <c r="B127" s="86" t="s">
        <v>198</v>
      </c>
      <c r="C127" s="84">
        <f>[6]С5!F17</f>
        <v>0.02</v>
      </c>
    </row>
    <row r="128" spans="1:3" s="87" customFormat="1" ht="13.5" thickBot="1" x14ac:dyDescent="0.25">
      <c r="A128" s="47"/>
      <c r="B128" s="48"/>
      <c r="C128" s="14"/>
    </row>
    <row r="129" spans="1:3" ht="42.75" customHeight="1" x14ac:dyDescent="0.2">
      <c r="A129" s="85" t="s">
        <v>199</v>
      </c>
      <c r="B129" s="145" t="s">
        <v>200</v>
      </c>
      <c r="C129" s="145"/>
    </row>
    <row r="130" spans="1:3" ht="68.25" x14ac:dyDescent="0.2">
      <c r="A130" s="59" t="s">
        <v>201</v>
      </c>
      <c r="B130" s="88" t="s">
        <v>202</v>
      </c>
      <c r="C130" s="32" t="str">
        <f>IF([6]С6.1!E11="нет",[6]С6!F13,"")</f>
        <v/>
      </c>
    </row>
    <row r="131" spans="1:3" ht="42.75" x14ac:dyDescent="0.2">
      <c r="A131" s="59" t="s">
        <v>203</v>
      </c>
      <c r="B131" s="89" t="s">
        <v>204</v>
      </c>
      <c r="C131" s="90" t="str">
        <f>IF([6]С6.1!E12="нет",[6]С6.1!E17,"")</f>
        <v/>
      </c>
    </row>
    <row r="132" spans="1:3" ht="68.25" x14ac:dyDescent="0.2">
      <c r="A132" s="59" t="s">
        <v>205</v>
      </c>
      <c r="B132" s="88" t="s">
        <v>206</v>
      </c>
      <c r="C132" s="91" t="str">
        <f>IF([6]С6.1!E18="нет",[6]С6!F19,"")</f>
        <v/>
      </c>
    </row>
    <row r="133" spans="1:3" ht="55.5" x14ac:dyDescent="0.2">
      <c r="A133" s="59" t="s">
        <v>207</v>
      </c>
      <c r="B133" s="89" t="s">
        <v>208</v>
      </c>
      <c r="C133" s="34" t="str">
        <f>IF([6]С6.1!E18="нет",[6]С6.1!E19,"")</f>
        <v/>
      </c>
    </row>
    <row r="134" spans="1:3" ht="61.5" customHeight="1" x14ac:dyDescent="0.2">
      <c r="A134" s="59" t="s">
        <v>209</v>
      </c>
      <c r="B134" s="89" t="s">
        <v>210</v>
      </c>
      <c r="C134" s="34" t="str">
        <f>IF([6]С6.1!E18="нет",[6]С6.1!E22,"")</f>
        <v/>
      </c>
    </row>
    <row r="135" spans="1:3" ht="69" thickBot="1" x14ac:dyDescent="0.25">
      <c r="A135" s="74" t="s">
        <v>211</v>
      </c>
      <c r="B135" s="92" t="s">
        <v>212</v>
      </c>
      <c r="C135" s="76" t="str">
        <f>IF([6]С6.1!E18="нет",[6]С6.1!E23,"")</f>
        <v/>
      </c>
    </row>
    <row r="136" spans="1:3" s="87" customFormat="1" ht="13.5" thickBot="1" x14ac:dyDescent="0.25">
      <c r="A136" s="47"/>
      <c r="B136" s="48"/>
      <c r="C136" s="14"/>
    </row>
    <row r="137" spans="1:3" ht="15.75" x14ac:dyDescent="0.2">
      <c r="A137" s="85" t="s">
        <v>213</v>
      </c>
      <c r="B137" s="93" t="s">
        <v>214</v>
      </c>
      <c r="C137" s="94">
        <f>[6]С2!F39</f>
        <v>21.531904799999996</v>
      </c>
    </row>
    <row r="138" spans="1:3" ht="14.25" x14ac:dyDescent="0.2">
      <c r="A138" s="59" t="s">
        <v>215</v>
      </c>
      <c r="B138" s="58" t="s">
        <v>216</v>
      </c>
      <c r="C138" s="32">
        <f>[6]С2!F40</f>
        <v>7</v>
      </c>
    </row>
    <row r="139" spans="1:3" ht="17.25" x14ac:dyDescent="0.2">
      <c r="A139" s="59" t="s">
        <v>217</v>
      </c>
      <c r="B139" s="58" t="s">
        <v>218</v>
      </c>
      <c r="C139" s="32">
        <f>[6]С2!F42</f>
        <v>0.97</v>
      </c>
    </row>
    <row r="140" spans="1:3" ht="15" thickBot="1" x14ac:dyDescent="0.25">
      <c r="A140" s="74" t="s">
        <v>219</v>
      </c>
      <c r="B140" s="75" t="s">
        <v>220</v>
      </c>
      <c r="C140" s="46">
        <f>[6]С2!F44</f>
        <v>0.36199999999999999</v>
      </c>
    </row>
    <row r="141" spans="1:3" s="87" customFormat="1" ht="13.5" thickBot="1" x14ac:dyDescent="0.25">
      <c r="A141" s="47"/>
      <c r="B141" s="48"/>
      <c r="C141" s="14"/>
    </row>
    <row r="142" spans="1:3" ht="17.25" x14ac:dyDescent="0.2">
      <c r="A142" s="85" t="s">
        <v>221</v>
      </c>
      <c r="B142" s="95" t="s">
        <v>222</v>
      </c>
      <c r="C142" s="96">
        <f>[6]С2!F37</f>
        <v>1.4976266307379205</v>
      </c>
    </row>
    <row r="143" spans="1:3" ht="17.25" customHeight="1" thickBot="1" x14ac:dyDescent="0.25">
      <c r="A143" s="74" t="s">
        <v>223</v>
      </c>
      <c r="B143" s="141" t="s">
        <v>224</v>
      </c>
      <c r="C143" s="141"/>
    </row>
    <row r="144" spans="1:3" x14ac:dyDescent="0.2">
      <c r="A144" s="97"/>
      <c r="B144" s="98" t="s">
        <v>0</v>
      </c>
      <c r="C144" s="99"/>
    </row>
    <row r="145" spans="1:3" x14ac:dyDescent="0.2">
      <c r="A145" s="97"/>
      <c r="B145" s="100">
        <v>2020</v>
      </c>
      <c r="C145" s="101">
        <f>[6]С2.5!$E$11</f>
        <v>-2.9000000000000026E-2</v>
      </c>
    </row>
    <row r="146" spans="1:3" x14ac:dyDescent="0.2">
      <c r="B146" s="100">
        <f>B145+1</f>
        <v>2021</v>
      </c>
      <c r="C146" s="102">
        <f>[6]С2.5!$F$11</f>
        <v>0.245</v>
      </c>
    </row>
    <row r="147" spans="1:3" x14ac:dyDescent="0.2">
      <c r="B147" s="100">
        <f t="shared" ref="B147:B210" si="0">B146+1</f>
        <v>2022</v>
      </c>
      <c r="C147" s="103">
        <f>[6]С2.5!$G$11</f>
        <v>0.114</v>
      </c>
    </row>
    <row r="148" spans="1:3" x14ac:dyDescent="0.2">
      <c r="B148" s="104">
        <f t="shared" si="0"/>
        <v>2023</v>
      </c>
      <c r="C148" s="105">
        <f>[6]С2.5!$H$11</f>
        <v>2.4E-2</v>
      </c>
    </row>
    <row r="149" spans="1:3" ht="13.5" thickBot="1" x14ac:dyDescent="0.25">
      <c r="B149" s="104">
        <f t="shared" si="0"/>
        <v>2024</v>
      </c>
      <c r="C149" s="105">
        <f>[6]С2.5!$I$11</f>
        <v>8.5999999999999993E-2</v>
      </c>
    </row>
    <row r="150" spans="1:3" ht="13.5" hidden="1" thickBot="1" x14ac:dyDescent="0.25">
      <c r="B150" s="104">
        <f t="shared" si="0"/>
        <v>2025</v>
      </c>
      <c r="C150" s="105">
        <f>[6]С2.5!$J$11</f>
        <v>0</v>
      </c>
    </row>
    <row r="151" spans="1:3" ht="13.5" hidden="1" thickBot="1" x14ac:dyDescent="0.25">
      <c r="B151" s="104">
        <f t="shared" si="0"/>
        <v>2026</v>
      </c>
      <c r="C151" s="105">
        <f>[6]С2.5!$K$11</f>
        <v>0</v>
      </c>
    </row>
    <row r="152" spans="1:3" ht="13.5" hidden="1" thickBot="1" x14ac:dyDescent="0.25">
      <c r="B152" s="104">
        <f t="shared" si="0"/>
        <v>2027</v>
      </c>
      <c r="C152" s="105">
        <f>[6]С2.5!$L$11</f>
        <v>0</v>
      </c>
    </row>
    <row r="153" spans="1:3" ht="13.5" hidden="1" thickBot="1" x14ac:dyDescent="0.25">
      <c r="B153" s="104">
        <f t="shared" si="0"/>
        <v>2028</v>
      </c>
      <c r="C153" s="105">
        <f>[6]С2.5!$M$11</f>
        <v>0</v>
      </c>
    </row>
    <row r="154" spans="1:3" ht="13.5" hidden="1" thickBot="1" x14ac:dyDescent="0.25">
      <c r="B154" s="104">
        <f t="shared" si="0"/>
        <v>2029</v>
      </c>
      <c r="C154" s="105">
        <f>[6]С2.5!$N$11</f>
        <v>0</v>
      </c>
    </row>
    <row r="155" spans="1:3" ht="13.5" hidden="1" thickBot="1" x14ac:dyDescent="0.25">
      <c r="B155" s="104">
        <f t="shared" si="0"/>
        <v>2030</v>
      </c>
      <c r="C155" s="105">
        <f>[6]С2.5!$O$11</f>
        <v>0</v>
      </c>
    </row>
    <row r="156" spans="1:3" ht="13.5" hidden="1" thickBot="1" x14ac:dyDescent="0.25">
      <c r="B156" s="104">
        <f t="shared" si="0"/>
        <v>2031</v>
      </c>
      <c r="C156" s="105">
        <f>[6]С2.5!$P$11</f>
        <v>0</v>
      </c>
    </row>
    <row r="157" spans="1:3" ht="13.5" hidden="1" thickBot="1" x14ac:dyDescent="0.25">
      <c r="B157" s="104">
        <f t="shared" si="0"/>
        <v>2032</v>
      </c>
      <c r="C157" s="105">
        <f>[6]С2.5!$Q$11</f>
        <v>0</v>
      </c>
    </row>
    <row r="158" spans="1:3" ht="13.5" hidden="1" thickBot="1" x14ac:dyDescent="0.25">
      <c r="B158" s="104">
        <f t="shared" si="0"/>
        <v>2033</v>
      </c>
      <c r="C158" s="105">
        <f>[6]С2.5!$R$11</f>
        <v>0</v>
      </c>
    </row>
    <row r="159" spans="1:3" ht="13.5" hidden="1" thickBot="1" x14ac:dyDescent="0.25">
      <c r="B159" s="104">
        <f t="shared" si="0"/>
        <v>2034</v>
      </c>
      <c r="C159" s="105">
        <f>[6]С2.5!$S$11</f>
        <v>0</v>
      </c>
    </row>
    <row r="160" spans="1:3" ht="13.5" hidden="1" thickBot="1" x14ac:dyDescent="0.25">
      <c r="B160" s="104">
        <f t="shared" si="0"/>
        <v>2035</v>
      </c>
      <c r="C160" s="105">
        <f>[6]С2.5!$T$11</f>
        <v>0</v>
      </c>
    </row>
    <row r="161" spans="2:3" ht="13.5" hidden="1" thickBot="1" x14ac:dyDescent="0.25">
      <c r="B161" s="104">
        <f t="shared" si="0"/>
        <v>2036</v>
      </c>
      <c r="C161" s="105">
        <f>[6]С2.5!$U$11</f>
        <v>0</v>
      </c>
    </row>
    <row r="162" spans="2:3" ht="13.5" hidden="1" thickBot="1" x14ac:dyDescent="0.25">
      <c r="B162" s="104">
        <f t="shared" si="0"/>
        <v>2037</v>
      </c>
      <c r="C162" s="105">
        <f>[6]С2.5!$V$11</f>
        <v>0</v>
      </c>
    </row>
    <row r="163" spans="2:3" ht="13.5" hidden="1" thickBot="1" x14ac:dyDescent="0.25">
      <c r="B163" s="104">
        <f t="shared" si="0"/>
        <v>2038</v>
      </c>
      <c r="C163" s="105">
        <f>[6]С2.5!$W$11</f>
        <v>0</v>
      </c>
    </row>
    <row r="164" spans="2:3" ht="13.5" hidden="1" thickBot="1" x14ac:dyDescent="0.25">
      <c r="B164" s="104">
        <f t="shared" si="0"/>
        <v>2039</v>
      </c>
      <c r="C164" s="105">
        <f>[6]С2.5!$X$11</f>
        <v>0</v>
      </c>
    </row>
    <row r="165" spans="2:3" ht="13.5" hidden="1" thickBot="1" x14ac:dyDescent="0.25">
      <c r="B165" s="104">
        <f t="shared" si="0"/>
        <v>2040</v>
      </c>
      <c r="C165" s="105">
        <f>[6]С2.5!$Y$11</f>
        <v>0</v>
      </c>
    </row>
    <row r="166" spans="2:3" ht="13.5" hidden="1" thickBot="1" x14ac:dyDescent="0.25">
      <c r="B166" s="104">
        <f t="shared" si="0"/>
        <v>2041</v>
      </c>
      <c r="C166" s="105">
        <f>[6]С2.5!$Z$11</f>
        <v>0</v>
      </c>
    </row>
    <row r="167" spans="2:3" ht="13.5" hidden="1" thickBot="1" x14ac:dyDescent="0.25">
      <c r="B167" s="104">
        <f t="shared" si="0"/>
        <v>2042</v>
      </c>
      <c r="C167" s="105">
        <f>[6]С2.5!$AA$11</f>
        <v>0</v>
      </c>
    </row>
    <row r="168" spans="2:3" ht="13.5" hidden="1" thickBot="1" x14ac:dyDescent="0.25">
      <c r="B168" s="104">
        <f t="shared" si="0"/>
        <v>2043</v>
      </c>
      <c r="C168" s="105">
        <f>[6]С2.5!$AB$11</f>
        <v>0</v>
      </c>
    </row>
    <row r="169" spans="2:3" ht="13.5" hidden="1" thickBot="1" x14ac:dyDescent="0.25">
      <c r="B169" s="104">
        <f t="shared" si="0"/>
        <v>2044</v>
      </c>
      <c r="C169" s="105">
        <f>[6]С2.5!$AC$11</f>
        <v>0</v>
      </c>
    </row>
    <row r="170" spans="2:3" ht="13.5" hidden="1" thickBot="1" x14ac:dyDescent="0.25">
      <c r="B170" s="104">
        <f t="shared" si="0"/>
        <v>2045</v>
      </c>
      <c r="C170" s="105">
        <f>[6]С2.5!$AD$11</f>
        <v>0</v>
      </c>
    </row>
    <row r="171" spans="2:3" ht="13.5" hidden="1" thickBot="1" x14ac:dyDescent="0.25">
      <c r="B171" s="104">
        <f t="shared" si="0"/>
        <v>2046</v>
      </c>
      <c r="C171" s="105">
        <f>[6]С2.5!$AE$11</f>
        <v>0</v>
      </c>
    </row>
    <row r="172" spans="2:3" ht="13.5" hidden="1" thickBot="1" x14ac:dyDescent="0.25">
      <c r="B172" s="104">
        <f t="shared" si="0"/>
        <v>2047</v>
      </c>
      <c r="C172" s="105">
        <f>[6]С2.5!$AF$11</f>
        <v>0</v>
      </c>
    </row>
    <row r="173" spans="2:3" ht="13.5" hidden="1" thickBot="1" x14ac:dyDescent="0.25">
      <c r="B173" s="104">
        <f t="shared" si="0"/>
        <v>2048</v>
      </c>
      <c r="C173" s="105">
        <f>[6]С2.5!$AG$11</f>
        <v>0</v>
      </c>
    </row>
    <row r="174" spans="2:3" ht="13.5" hidden="1" thickBot="1" x14ac:dyDescent="0.25">
      <c r="B174" s="104">
        <f t="shared" si="0"/>
        <v>2049</v>
      </c>
      <c r="C174" s="105">
        <f>[6]С2.5!$AH$11</f>
        <v>0</v>
      </c>
    </row>
    <row r="175" spans="2:3" ht="13.5" hidden="1" thickBot="1" x14ac:dyDescent="0.25">
      <c r="B175" s="104">
        <f t="shared" si="0"/>
        <v>2050</v>
      </c>
      <c r="C175" s="105">
        <f>[6]С2.5!$AI$11</f>
        <v>0</v>
      </c>
    </row>
    <row r="176" spans="2:3" ht="13.5" hidden="1" thickBot="1" x14ac:dyDescent="0.25">
      <c r="B176" s="104">
        <f t="shared" si="0"/>
        <v>2051</v>
      </c>
      <c r="C176" s="105">
        <f>[6]С2.5!$AJ$11</f>
        <v>0</v>
      </c>
    </row>
    <row r="177" spans="2:3" ht="13.5" hidden="1" thickBot="1" x14ac:dyDescent="0.25">
      <c r="B177" s="104">
        <f t="shared" si="0"/>
        <v>2052</v>
      </c>
      <c r="C177" s="105">
        <f>[6]С2.5!$AK$11</f>
        <v>0</v>
      </c>
    </row>
    <row r="178" spans="2:3" ht="13.5" hidden="1" thickBot="1" x14ac:dyDescent="0.25">
      <c r="B178" s="104">
        <f t="shared" si="0"/>
        <v>2053</v>
      </c>
      <c r="C178" s="105">
        <f>[6]С2.5!$AL$11</f>
        <v>0</v>
      </c>
    </row>
    <row r="179" spans="2:3" ht="13.5" hidden="1" thickBot="1" x14ac:dyDescent="0.25">
      <c r="B179" s="104">
        <f t="shared" si="0"/>
        <v>2054</v>
      </c>
      <c r="C179" s="105">
        <f>[6]С2.5!$AM$11</f>
        <v>0</v>
      </c>
    </row>
    <row r="180" spans="2:3" ht="13.5" hidden="1" thickBot="1" x14ac:dyDescent="0.25">
      <c r="B180" s="104">
        <f t="shared" si="0"/>
        <v>2055</v>
      </c>
      <c r="C180" s="105">
        <f>[6]С2.5!$AN$11</f>
        <v>0</v>
      </c>
    </row>
    <row r="181" spans="2:3" ht="13.5" hidden="1" thickBot="1" x14ac:dyDescent="0.25">
      <c r="B181" s="104">
        <f t="shared" si="0"/>
        <v>2056</v>
      </c>
      <c r="C181" s="105">
        <f>[6]С2.5!$AO$11</f>
        <v>0</v>
      </c>
    </row>
    <row r="182" spans="2:3" ht="13.5" hidden="1" thickBot="1" x14ac:dyDescent="0.25">
      <c r="B182" s="104">
        <f t="shared" si="0"/>
        <v>2057</v>
      </c>
      <c r="C182" s="105">
        <f>[6]С2.5!$AP$11</f>
        <v>0</v>
      </c>
    </row>
    <row r="183" spans="2:3" ht="13.5" hidden="1" thickBot="1" x14ac:dyDescent="0.25">
      <c r="B183" s="104">
        <f t="shared" si="0"/>
        <v>2058</v>
      </c>
      <c r="C183" s="105">
        <f>[6]С2.5!$AQ$11</f>
        <v>0</v>
      </c>
    </row>
    <row r="184" spans="2:3" ht="13.5" hidden="1" thickBot="1" x14ac:dyDescent="0.25">
      <c r="B184" s="104">
        <f t="shared" si="0"/>
        <v>2059</v>
      </c>
      <c r="C184" s="105">
        <f>[6]С2.5!$AR$11</f>
        <v>0</v>
      </c>
    </row>
    <row r="185" spans="2:3" ht="13.5" hidden="1" thickBot="1" x14ac:dyDescent="0.25">
      <c r="B185" s="104">
        <f t="shared" si="0"/>
        <v>2060</v>
      </c>
      <c r="C185" s="105">
        <f>[6]С2.5!$AS$11</f>
        <v>0</v>
      </c>
    </row>
    <row r="186" spans="2:3" ht="13.5" hidden="1" thickBot="1" x14ac:dyDescent="0.25">
      <c r="B186" s="104">
        <f t="shared" si="0"/>
        <v>2061</v>
      </c>
      <c r="C186" s="105">
        <f>[6]С2.5!$AT$11</f>
        <v>0</v>
      </c>
    </row>
    <row r="187" spans="2:3" ht="13.5" hidden="1" thickBot="1" x14ac:dyDescent="0.25">
      <c r="B187" s="104">
        <f t="shared" si="0"/>
        <v>2062</v>
      </c>
      <c r="C187" s="105">
        <f>[6]С2.5!$AU$11</f>
        <v>0</v>
      </c>
    </row>
    <row r="188" spans="2:3" ht="13.5" hidden="1" thickBot="1" x14ac:dyDescent="0.25">
      <c r="B188" s="104">
        <f t="shared" si="0"/>
        <v>2063</v>
      </c>
      <c r="C188" s="105">
        <f>[6]С2.5!$AV$11</f>
        <v>0</v>
      </c>
    </row>
    <row r="189" spans="2:3" ht="13.5" hidden="1" thickBot="1" x14ac:dyDescent="0.25">
      <c r="B189" s="104">
        <f t="shared" si="0"/>
        <v>2064</v>
      </c>
      <c r="C189" s="105">
        <f>[6]С2.5!$AW$11</f>
        <v>0</v>
      </c>
    </row>
    <row r="190" spans="2:3" ht="13.5" hidden="1" thickBot="1" x14ac:dyDescent="0.25">
      <c r="B190" s="104">
        <f t="shared" si="0"/>
        <v>2065</v>
      </c>
      <c r="C190" s="105">
        <f>[6]С2.5!$AX$11</f>
        <v>0</v>
      </c>
    </row>
    <row r="191" spans="2:3" ht="13.5" hidden="1" thickBot="1" x14ac:dyDescent="0.25">
      <c r="B191" s="104">
        <f t="shared" si="0"/>
        <v>2066</v>
      </c>
      <c r="C191" s="105">
        <f>[6]С2.5!$AY$11</f>
        <v>0</v>
      </c>
    </row>
    <row r="192" spans="2:3" ht="13.5" hidden="1" thickBot="1" x14ac:dyDescent="0.25">
      <c r="B192" s="104">
        <f t="shared" si="0"/>
        <v>2067</v>
      </c>
      <c r="C192" s="105">
        <f>[6]С2.5!$AZ$11</f>
        <v>0</v>
      </c>
    </row>
    <row r="193" spans="2:3" ht="13.5" hidden="1" thickBot="1" x14ac:dyDescent="0.25">
      <c r="B193" s="104">
        <f t="shared" si="0"/>
        <v>2068</v>
      </c>
      <c r="C193" s="105">
        <f>[6]С2.5!$BA$11</f>
        <v>0</v>
      </c>
    </row>
    <row r="194" spans="2:3" ht="13.5" hidden="1" thickBot="1" x14ac:dyDescent="0.25">
      <c r="B194" s="104">
        <f t="shared" si="0"/>
        <v>2069</v>
      </c>
      <c r="C194" s="105">
        <f>[6]С2.5!$BB$11</f>
        <v>0</v>
      </c>
    </row>
    <row r="195" spans="2:3" ht="13.5" hidden="1" thickBot="1" x14ac:dyDescent="0.25">
      <c r="B195" s="104">
        <f t="shared" si="0"/>
        <v>2070</v>
      </c>
      <c r="C195" s="105">
        <f>[6]С2.5!$BC$11</f>
        <v>0</v>
      </c>
    </row>
    <row r="196" spans="2:3" ht="13.5" hidden="1" thickBot="1" x14ac:dyDescent="0.25">
      <c r="B196" s="104">
        <f t="shared" si="0"/>
        <v>2071</v>
      </c>
      <c r="C196" s="105">
        <f>[6]С2.5!$BD$11</f>
        <v>0</v>
      </c>
    </row>
    <row r="197" spans="2:3" ht="13.5" hidden="1" thickBot="1" x14ac:dyDescent="0.25">
      <c r="B197" s="104">
        <f t="shared" si="0"/>
        <v>2072</v>
      </c>
      <c r="C197" s="105">
        <f>[6]С2.5!$BE$11</f>
        <v>0</v>
      </c>
    </row>
    <row r="198" spans="2:3" ht="13.5" hidden="1" thickBot="1" x14ac:dyDescent="0.25">
      <c r="B198" s="104">
        <f t="shared" si="0"/>
        <v>2073</v>
      </c>
      <c r="C198" s="105">
        <f>[6]С2.5!$BF$11</f>
        <v>0</v>
      </c>
    </row>
    <row r="199" spans="2:3" ht="13.5" hidden="1" thickBot="1" x14ac:dyDescent="0.25">
      <c r="B199" s="104">
        <f t="shared" si="0"/>
        <v>2074</v>
      </c>
      <c r="C199" s="105">
        <f>[6]С2.5!$BG$11</f>
        <v>0</v>
      </c>
    </row>
    <row r="200" spans="2:3" ht="13.5" hidden="1" thickBot="1" x14ac:dyDescent="0.25">
      <c r="B200" s="104">
        <f t="shared" si="0"/>
        <v>2075</v>
      </c>
      <c r="C200" s="105">
        <f>[6]С2.5!$BH$11</f>
        <v>0</v>
      </c>
    </row>
    <row r="201" spans="2:3" ht="13.5" hidden="1" thickBot="1" x14ac:dyDescent="0.25">
      <c r="B201" s="104">
        <f t="shared" si="0"/>
        <v>2076</v>
      </c>
      <c r="C201" s="105">
        <f>[6]С2.5!$BI$11</f>
        <v>0</v>
      </c>
    </row>
    <row r="202" spans="2:3" ht="13.5" hidden="1" thickBot="1" x14ac:dyDescent="0.25">
      <c r="B202" s="104">
        <f t="shared" si="0"/>
        <v>2077</v>
      </c>
      <c r="C202" s="105">
        <f>[6]С2.5!$BJ$11</f>
        <v>0</v>
      </c>
    </row>
    <row r="203" spans="2:3" ht="13.5" hidden="1" thickBot="1" x14ac:dyDescent="0.25">
      <c r="B203" s="104">
        <f t="shared" si="0"/>
        <v>2078</v>
      </c>
      <c r="C203" s="105">
        <f>[6]С2.5!$BK$11</f>
        <v>0</v>
      </c>
    </row>
    <row r="204" spans="2:3" ht="13.5" hidden="1" thickBot="1" x14ac:dyDescent="0.25">
      <c r="B204" s="104">
        <f t="shared" si="0"/>
        <v>2079</v>
      </c>
      <c r="C204" s="105">
        <f>[6]С2.5!$BL$11</f>
        <v>0</v>
      </c>
    </row>
    <row r="205" spans="2:3" ht="13.5" hidden="1" thickBot="1" x14ac:dyDescent="0.25">
      <c r="B205" s="104">
        <f t="shared" si="0"/>
        <v>2080</v>
      </c>
      <c r="C205" s="105">
        <f>[6]С2.5!$BM$11</f>
        <v>0</v>
      </c>
    </row>
    <row r="206" spans="2:3" ht="13.5" hidden="1" thickBot="1" x14ac:dyDescent="0.25">
      <c r="B206" s="104">
        <f t="shared" si="0"/>
        <v>2081</v>
      </c>
      <c r="C206" s="105">
        <f>[6]С2.5!$BN$11</f>
        <v>0</v>
      </c>
    </row>
    <row r="207" spans="2:3" ht="13.5" hidden="1" thickBot="1" x14ac:dyDescent="0.25">
      <c r="B207" s="104">
        <f t="shared" si="0"/>
        <v>2082</v>
      </c>
      <c r="C207" s="105">
        <f>[6]С2.5!$BO$11</f>
        <v>0</v>
      </c>
    </row>
    <row r="208" spans="2:3" ht="13.5" hidden="1" thickBot="1" x14ac:dyDescent="0.25">
      <c r="B208" s="104">
        <f t="shared" si="0"/>
        <v>2083</v>
      </c>
      <c r="C208" s="105">
        <f>[6]С2.5!$BP$11</f>
        <v>0</v>
      </c>
    </row>
    <row r="209" spans="2:3" ht="13.5" hidden="1" thickBot="1" x14ac:dyDescent="0.25">
      <c r="B209" s="104">
        <f t="shared" si="0"/>
        <v>2084</v>
      </c>
      <c r="C209" s="105">
        <f>[6]С2.5!$BQ$11</f>
        <v>0</v>
      </c>
    </row>
    <row r="210" spans="2:3" ht="13.5" hidden="1" thickBot="1" x14ac:dyDescent="0.25">
      <c r="B210" s="104">
        <f t="shared" si="0"/>
        <v>2085</v>
      </c>
      <c r="C210" s="105">
        <f>[6]С2.5!$BR$11</f>
        <v>0</v>
      </c>
    </row>
    <row r="211" spans="2:3" ht="13.5" hidden="1" thickBot="1" x14ac:dyDescent="0.25">
      <c r="B211" s="104">
        <f t="shared" ref="B211:B224" si="1">B210+1</f>
        <v>2086</v>
      </c>
      <c r="C211" s="105">
        <f>[6]С2.5!$BS$11</f>
        <v>0</v>
      </c>
    </row>
    <row r="212" spans="2:3" ht="13.5" hidden="1" thickBot="1" x14ac:dyDescent="0.25">
      <c r="B212" s="104">
        <f t="shared" si="1"/>
        <v>2087</v>
      </c>
      <c r="C212" s="105">
        <f>[6]С2.5!$BT$11</f>
        <v>0</v>
      </c>
    </row>
    <row r="213" spans="2:3" ht="13.5" hidden="1" thickBot="1" x14ac:dyDescent="0.25">
      <c r="B213" s="104">
        <f t="shared" si="1"/>
        <v>2088</v>
      </c>
      <c r="C213" s="105">
        <f>[6]С2.5!$BU$11</f>
        <v>0</v>
      </c>
    </row>
    <row r="214" spans="2:3" ht="13.5" hidden="1" thickBot="1" x14ac:dyDescent="0.25">
      <c r="B214" s="104">
        <f t="shared" si="1"/>
        <v>2089</v>
      </c>
      <c r="C214" s="105">
        <f>[6]С2.5!$BV$11</f>
        <v>0</v>
      </c>
    </row>
    <row r="215" spans="2:3" ht="13.5" hidden="1" thickBot="1" x14ac:dyDescent="0.25">
      <c r="B215" s="104">
        <f t="shared" si="1"/>
        <v>2090</v>
      </c>
      <c r="C215" s="105">
        <f>[6]С2.5!$BW$11</f>
        <v>0</v>
      </c>
    </row>
    <row r="216" spans="2:3" ht="13.5" hidden="1" thickBot="1" x14ac:dyDescent="0.25">
      <c r="B216" s="104">
        <f t="shared" si="1"/>
        <v>2091</v>
      </c>
      <c r="C216" s="105">
        <f>[6]С2.5!$BX$11</f>
        <v>0</v>
      </c>
    </row>
    <row r="217" spans="2:3" ht="13.5" hidden="1" thickBot="1" x14ac:dyDescent="0.25">
      <c r="B217" s="104">
        <f t="shared" si="1"/>
        <v>2092</v>
      </c>
      <c r="C217" s="105">
        <f>[6]С2.5!$BY$11</f>
        <v>0</v>
      </c>
    </row>
    <row r="218" spans="2:3" ht="13.5" hidden="1" thickBot="1" x14ac:dyDescent="0.25">
      <c r="B218" s="104">
        <f t="shared" si="1"/>
        <v>2093</v>
      </c>
      <c r="C218" s="105">
        <f>[6]С2.5!$BZ$11</f>
        <v>0</v>
      </c>
    </row>
    <row r="219" spans="2:3" ht="13.5" hidden="1" thickBot="1" x14ac:dyDescent="0.25">
      <c r="B219" s="104">
        <f t="shared" si="1"/>
        <v>2094</v>
      </c>
      <c r="C219" s="105">
        <f>[6]С2.5!$CA$11</f>
        <v>0</v>
      </c>
    </row>
    <row r="220" spans="2:3" ht="13.5" hidden="1" thickBot="1" x14ac:dyDescent="0.25">
      <c r="B220" s="104">
        <f t="shared" si="1"/>
        <v>2095</v>
      </c>
      <c r="C220" s="105">
        <f>[6]С2.5!$CB$11</f>
        <v>0</v>
      </c>
    </row>
    <row r="221" spans="2:3" ht="13.5" hidden="1" thickBot="1" x14ac:dyDescent="0.25">
      <c r="B221" s="104">
        <f t="shared" si="1"/>
        <v>2096</v>
      </c>
      <c r="C221" s="105">
        <f>[6]С2.5!$CC$11</f>
        <v>0</v>
      </c>
    </row>
    <row r="222" spans="2:3" ht="13.5" hidden="1" thickBot="1" x14ac:dyDescent="0.25">
      <c r="B222" s="104">
        <f t="shared" si="1"/>
        <v>2097</v>
      </c>
      <c r="C222" s="105">
        <f>[6]С2.5!$CD$11</f>
        <v>0</v>
      </c>
    </row>
    <row r="223" spans="2:3" ht="13.5" hidden="1" thickBot="1" x14ac:dyDescent="0.25">
      <c r="B223" s="104">
        <f t="shared" si="1"/>
        <v>2098</v>
      </c>
      <c r="C223" s="105">
        <f>[6]С2.5!$CE$11</f>
        <v>0</v>
      </c>
    </row>
    <row r="224" spans="2:3" ht="13.5" hidden="1" thickBot="1" x14ac:dyDescent="0.25">
      <c r="B224" s="104">
        <f t="shared" si="1"/>
        <v>2099</v>
      </c>
      <c r="C224" s="105">
        <f>[6]С2.5!$CF$11</f>
        <v>0</v>
      </c>
    </row>
    <row r="225" spans="2:3" ht="13.5" hidden="1" thickBot="1" x14ac:dyDescent="0.25">
      <c r="B225" s="106">
        <f>B162+1</f>
        <v>2038</v>
      </c>
      <c r="C225" s="107" t="e">
        <f>[6]С2.5!#REF!</f>
        <v>#REF!</v>
      </c>
    </row>
    <row r="226" spans="2:3" x14ac:dyDescent="0.2">
      <c r="B226" s="108"/>
      <c r="C226" s="109"/>
    </row>
  </sheetData>
  <mergeCells count="9">
    <mergeCell ref="B143:C143"/>
    <mergeCell ref="A14:C14"/>
    <mergeCell ref="B1:C1"/>
    <mergeCell ref="B27:C27"/>
    <mergeCell ref="B45:C45"/>
    <mergeCell ref="B90:C90"/>
    <mergeCell ref="B101:C101"/>
    <mergeCell ref="B126:C126"/>
    <mergeCell ref="B129:C129"/>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6" customWidth="1"/>
    <col min="4" max="244" width="9.140625" style="2"/>
    <col min="245" max="245" width="3.5703125" style="2" customWidth="1"/>
    <col min="246" max="246" width="96.85546875" style="2" customWidth="1"/>
    <col min="247" max="247" width="30.85546875" style="2" customWidth="1"/>
    <col min="248" max="248" width="12.5703125" style="2" customWidth="1"/>
    <col min="249" max="249" width="5.140625" style="2" customWidth="1"/>
    <col min="250" max="250" width="9.140625" style="2"/>
    <col min="251" max="251" width="4.85546875" style="2" customWidth="1"/>
    <col min="252" max="252" width="30.5703125" style="2" customWidth="1"/>
    <col min="253" max="253" width="33.85546875" style="2" customWidth="1"/>
    <col min="254" max="254" width="5.140625" style="2" customWidth="1"/>
    <col min="255" max="256" width="17.5703125" style="2" customWidth="1"/>
    <col min="257" max="500" width="9.140625" style="2"/>
    <col min="501" max="501" width="3.5703125" style="2" customWidth="1"/>
    <col min="502" max="502" width="96.85546875" style="2" customWidth="1"/>
    <col min="503" max="503" width="30.85546875" style="2" customWidth="1"/>
    <col min="504" max="504" width="12.5703125" style="2" customWidth="1"/>
    <col min="505" max="505" width="5.140625" style="2" customWidth="1"/>
    <col min="506" max="506" width="9.140625" style="2"/>
    <col min="507" max="507" width="4.85546875" style="2" customWidth="1"/>
    <col min="508" max="508" width="30.5703125" style="2" customWidth="1"/>
    <col min="509" max="509" width="33.85546875" style="2" customWidth="1"/>
    <col min="510" max="510" width="5.140625" style="2" customWidth="1"/>
    <col min="511" max="512" width="17.5703125" style="2" customWidth="1"/>
    <col min="513" max="756" width="9.140625" style="2"/>
    <col min="757" max="757" width="3.5703125" style="2" customWidth="1"/>
    <col min="758" max="758" width="96.85546875" style="2" customWidth="1"/>
    <col min="759" max="759" width="30.85546875" style="2" customWidth="1"/>
    <col min="760" max="760" width="12.5703125" style="2" customWidth="1"/>
    <col min="761" max="761" width="5.140625" style="2" customWidth="1"/>
    <col min="762" max="762" width="9.140625" style="2"/>
    <col min="763" max="763" width="4.85546875" style="2" customWidth="1"/>
    <col min="764" max="764" width="30.5703125" style="2" customWidth="1"/>
    <col min="765" max="765" width="33.85546875" style="2" customWidth="1"/>
    <col min="766" max="766" width="5.140625" style="2" customWidth="1"/>
    <col min="767" max="768" width="17.5703125" style="2" customWidth="1"/>
    <col min="769" max="1012" width="9.140625" style="2"/>
    <col min="1013" max="1013" width="3.5703125" style="2" customWidth="1"/>
    <col min="1014" max="1014" width="96.85546875" style="2" customWidth="1"/>
    <col min="1015" max="1015" width="30.85546875" style="2" customWidth="1"/>
    <col min="1016" max="1016" width="12.5703125" style="2" customWidth="1"/>
    <col min="1017" max="1017" width="5.140625" style="2" customWidth="1"/>
    <col min="1018" max="1018" width="9.140625" style="2"/>
    <col min="1019" max="1019" width="4.85546875" style="2" customWidth="1"/>
    <col min="1020" max="1020" width="30.5703125" style="2" customWidth="1"/>
    <col min="1021" max="1021" width="33.85546875" style="2" customWidth="1"/>
    <col min="1022" max="1022" width="5.140625" style="2" customWidth="1"/>
    <col min="1023" max="1024" width="17.5703125" style="2" customWidth="1"/>
    <col min="1025" max="1268" width="9.140625" style="2"/>
    <col min="1269" max="1269" width="3.5703125" style="2" customWidth="1"/>
    <col min="1270" max="1270" width="96.85546875" style="2" customWidth="1"/>
    <col min="1271" max="1271" width="30.85546875" style="2" customWidth="1"/>
    <col min="1272" max="1272" width="12.5703125" style="2" customWidth="1"/>
    <col min="1273" max="1273" width="5.140625" style="2" customWidth="1"/>
    <col min="1274" max="1274" width="9.140625" style="2"/>
    <col min="1275" max="1275" width="4.85546875" style="2" customWidth="1"/>
    <col min="1276" max="1276" width="30.5703125" style="2" customWidth="1"/>
    <col min="1277" max="1277" width="33.85546875" style="2" customWidth="1"/>
    <col min="1278" max="1278" width="5.140625" style="2" customWidth="1"/>
    <col min="1279" max="1280" width="17.5703125" style="2" customWidth="1"/>
    <col min="1281" max="1524" width="9.140625" style="2"/>
    <col min="1525" max="1525" width="3.5703125" style="2" customWidth="1"/>
    <col min="1526" max="1526" width="96.85546875" style="2" customWidth="1"/>
    <col min="1527" max="1527" width="30.85546875" style="2" customWidth="1"/>
    <col min="1528" max="1528" width="12.5703125" style="2" customWidth="1"/>
    <col min="1529" max="1529" width="5.140625" style="2" customWidth="1"/>
    <col min="1530" max="1530" width="9.140625" style="2"/>
    <col min="1531" max="1531" width="4.85546875" style="2" customWidth="1"/>
    <col min="1532" max="1532" width="30.5703125" style="2" customWidth="1"/>
    <col min="1533" max="1533" width="33.85546875" style="2" customWidth="1"/>
    <col min="1534" max="1534" width="5.140625" style="2" customWidth="1"/>
    <col min="1535" max="1536" width="17.5703125" style="2" customWidth="1"/>
    <col min="1537" max="1780" width="9.140625" style="2"/>
    <col min="1781" max="1781" width="3.5703125" style="2" customWidth="1"/>
    <col min="1782" max="1782" width="96.85546875" style="2" customWidth="1"/>
    <col min="1783" max="1783" width="30.85546875" style="2" customWidth="1"/>
    <col min="1784" max="1784" width="12.5703125" style="2" customWidth="1"/>
    <col min="1785" max="1785" width="5.140625" style="2" customWidth="1"/>
    <col min="1786" max="1786" width="9.140625" style="2"/>
    <col min="1787" max="1787" width="4.85546875" style="2" customWidth="1"/>
    <col min="1788" max="1788" width="30.5703125" style="2" customWidth="1"/>
    <col min="1789" max="1789" width="33.85546875" style="2" customWidth="1"/>
    <col min="1790" max="1790" width="5.140625" style="2" customWidth="1"/>
    <col min="1791" max="1792" width="17.5703125" style="2" customWidth="1"/>
    <col min="1793" max="2036" width="9.140625" style="2"/>
    <col min="2037" max="2037" width="3.5703125" style="2" customWidth="1"/>
    <col min="2038" max="2038" width="96.85546875" style="2" customWidth="1"/>
    <col min="2039" max="2039" width="30.85546875" style="2" customWidth="1"/>
    <col min="2040" max="2040" width="12.5703125" style="2" customWidth="1"/>
    <col min="2041" max="2041" width="5.140625" style="2" customWidth="1"/>
    <col min="2042" max="2042" width="9.140625" style="2"/>
    <col min="2043" max="2043" width="4.85546875" style="2" customWidth="1"/>
    <col min="2044" max="2044" width="30.5703125" style="2" customWidth="1"/>
    <col min="2045" max="2045" width="33.85546875" style="2" customWidth="1"/>
    <col min="2046" max="2046" width="5.140625" style="2" customWidth="1"/>
    <col min="2047" max="2048" width="17.5703125" style="2" customWidth="1"/>
    <col min="2049" max="2292" width="9.140625" style="2"/>
    <col min="2293" max="2293" width="3.5703125" style="2" customWidth="1"/>
    <col min="2294" max="2294" width="96.85546875" style="2" customWidth="1"/>
    <col min="2295" max="2295" width="30.85546875" style="2" customWidth="1"/>
    <col min="2296" max="2296" width="12.5703125" style="2" customWidth="1"/>
    <col min="2297" max="2297" width="5.140625" style="2" customWidth="1"/>
    <col min="2298" max="2298" width="9.140625" style="2"/>
    <col min="2299" max="2299" width="4.85546875" style="2" customWidth="1"/>
    <col min="2300" max="2300" width="30.5703125" style="2" customWidth="1"/>
    <col min="2301" max="2301" width="33.85546875" style="2" customWidth="1"/>
    <col min="2302" max="2302" width="5.140625" style="2" customWidth="1"/>
    <col min="2303" max="2304" width="17.5703125" style="2" customWidth="1"/>
    <col min="2305" max="2548" width="9.140625" style="2"/>
    <col min="2549" max="2549" width="3.5703125" style="2" customWidth="1"/>
    <col min="2550" max="2550" width="96.85546875" style="2" customWidth="1"/>
    <col min="2551" max="2551" width="30.85546875" style="2" customWidth="1"/>
    <col min="2552" max="2552" width="12.5703125" style="2" customWidth="1"/>
    <col min="2553" max="2553" width="5.140625" style="2" customWidth="1"/>
    <col min="2554" max="2554" width="9.140625" style="2"/>
    <col min="2555" max="2555" width="4.85546875" style="2" customWidth="1"/>
    <col min="2556" max="2556" width="30.5703125" style="2" customWidth="1"/>
    <col min="2557" max="2557" width="33.85546875" style="2" customWidth="1"/>
    <col min="2558" max="2558" width="5.140625" style="2" customWidth="1"/>
    <col min="2559" max="2560" width="17.5703125" style="2" customWidth="1"/>
    <col min="2561" max="2804" width="9.140625" style="2"/>
    <col min="2805" max="2805" width="3.5703125" style="2" customWidth="1"/>
    <col min="2806" max="2806" width="96.85546875" style="2" customWidth="1"/>
    <col min="2807" max="2807" width="30.85546875" style="2" customWidth="1"/>
    <col min="2808" max="2808" width="12.5703125" style="2" customWidth="1"/>
    <col min="2809" max="2809" width="5.140625" style="2" customWidth="1"/>
    <col min="2810" max="2810" width="9.140625" style="2"/>
    <col min="2811" max="2811" width="4.85546875" style="2" customWidth="1"/>
    <col min="2812" max="2812" width="30.5703125" style="2" customWidth="1"/>
    <col min="2813" max="2813" width="33.85546875" style="2" customWidth="1"/>
    <col min="2814" max="2814" width="5.140625" style="2" customWidth="1"/>
    <col min="2815" max="2816" width="17.5703125" style="2" customWidth="1"/>
    <col min="2817" max="3060" width="9.140625" style="2"/>
    <col min="3061" max="3061" width="3.5703125" style="2" customWidth="1"/>
    <col min="3062" max="3062" width="96.85546875" style="2" customWidth="1"/>
    <col min="3063" max="3063" width="30.85546875" style="2" customWidth="1"/>
    <col min="3064" max="3064" width="12.5703125" style="2" customWidth="1"/>
    <col min="3065" max="3065" width="5.140625" style="2" customWidth="1"/>
    <col min="3066" max="3066" width="9.140625" style="2"/>
    <col min="3067" max="3067" width="4.85546875" style="2" customWidth="1"/>
    <col min="3068" max="3068" width="30.5703125" style="2" customWidth="1"/>
    <col min="3069" max="3069" width="33.85546875" style="2" customWidth="1"/>
    <col min="3070" max="3070" width="5.140625" style="2" customWidth="1"/>
    <col min="3071" max="3072" width="17.5703125" style="2" customWidth="1"/>
    <col min="3073" max="3316" width="9.140625" style="2"/>
    <col min="3317" max="3317" width="3.5703125" style="2" customWidth="1"/>
    <col min="3318" max="3318" width="96.85546875" style="2" customWidth="1"/>
    <col min="3319" max="3319" width="30.85546875" style="2" customWidth="1"/>
    <col min="3320" max="3320" width="12.5703125" style="2" customWidth="1"/>
    <col min="3321" max="3321" width="5.140625" style="2" customWidth="1"/>
    <col min="3322" max="3322" width="9.140625" style="2"/>
    <col min="3323" max="3323" width="4.85546875" style="2" customWidth="1"/>
    <col min="3324" max="3324" width="30.5703125" style="2" customWidth="1"/>
    <col min="3325" max="3325" width="33.85546875" style="2" customWidth="1"/>
    <col min="3326" max="3326" width="5.140625" style="2" customWidth="1"/>
    <col min="3327" max="3328" width="17.5703125" style="2" customWidth="1"/>
    <col min="3329" max="3572" width="9.140625" style="2"/>
    <col min="3573" max="3573" width="3.5703125" style="2" customWidth="1"/>
    <col min="3574" max="3574" width="96.85546875" style="2" customWidth="1"/>
    <col min="3575" max="3575" width="30.85546875" style="2" customWidth="1"/>
    <col min="3576" max="3576" width="12.5703125" style="2" customWidth="1"/>
    <col min="3577" max="3577" width="5.140625" style="2" customWidth="1"/>
    <col min="3578" max="3578" width="9.140625" style="2"/>
    <col min="3579" max="3579" width="4.85546875" style="2" customWidth="1"/>
    <col min="3580" max="3580" width="30.5703125" style="2" customWidth="1"/>
    <col min="3581" max="3581" width="33.85546875" style="2" customWidth="1"/>
    <col min="3582" max="3582" width="5.140625" style="2" customWidth="1"/>
    <col min="3583" max="3584" width="17.5703125" style="2" customWidth="1"/>
    <col min="3585" max="3828" width="9.140625" style="2"/>
    <col min="3829" max="3829" width="3.5703125" style="2" customWidth="1"/>
    <col min="3830" max="3830" width="96.85546875" style="2" customWidth="1"/>
    <col min="3831" max="3831" width="30.85546875" style="2" customWidth="1"/>
    <col min="3832" max="3832" width="12.5703125" style="2" customWidth="1"/>
    <col min="3833" max="3833" width="5.140625" style="2" customWidth="1"/>
    <col min="3834" max="3834" width="9.140625" style="2"/>
    <col min="3835" max="3835" width="4.85546875" style="2" customWidth="1"/>
    <col min="3836" max="3836" width="30.5703125" style="2" customWidth="1"/>
    <col min="3837" max="3837" width="33.85546875" style="2" customWidth="1"/>
    <col min="3838" max="3838" width="5.140625" style="2" customWidth="1"/>
    <col min="3839" max="3840" width="17.5703125" style="2" customWidth="1"/>
    <col min="3841" max="4084" width="9.140625" style="2"/>
    <col min="4085" max="4085" width="3.5703125" style="2" customWidth="1"/>
    <col min="4086" max="4086" width="96.85546875" style="2" customWidth="1"/>
    <col min="4087" max="4087" width="30.85546875" style="2" customWidth="1"/>
    <col min="4088" max="4088" width="12.5703125" style="2" customWidth="1"/>
    <col min="4089" max="4089" width="5.140625" style="2" customWidth="1"/>
    <col min="4090" max="4090" width="9.140625" style="2"/>
    <col min="4091" max="4091" width="4.85546875" style="2" customWidth="1"/>
    <col min="4092" max="4092" width="30.5703125" style="2" customWidth="1"/>
    <col min="4093" max="4093" width="33.85546875" style="2" customWidth="1"/>
    <col min="4094" max="4094" width="5.140625" style="2" customWidth="1"/>
    <col min="4095" max="4096" width="17.5703125" style="2" customWidth="1"/>
    <col min="4097" max="4340" width="9.140625" style="2"/>
    <col min="4341" max="4341" width="3.5703125" style="2" customWidth="1"/>
    <col min="4342" max="4342" width="96.85546875" style="2" customWidth="1"/>
    <col min="4343" max="4343" width="30.85546875" style="2" customWidth="1"/>
    <col min="4344" max="4344" width="12.5703125" style="2" customWidth="1"/>
    <col min="4345" max="4345" width="5.140625" style="2" customWidth="1"/>
    <col min="4346" max="4346" width="9.140625" style="2"/>
    <col min="4347" max="4347" width="4.85546875" style="2" customWidth="1"/>
    <col min="4348" max="4348" width="30.5703125" style="2" customWidth="1"/>
    <col min="4349" max="4349" width="33.85546875" style="2" customWidth="1"/>
    <col min="4350" max="4350" width="5.140625" style="2" customWidth="1"/>
    <col min="4351" max="4352" width="17.5703125" style="2" customWidth="1"/>
    <col min="4353" max="4596" width="9.140625" style="2"/>
    <col min="4597" max="4597" width="3.5703125" style="2" customWidth="1"/>
    <col min="4598" max="4598" width="96.85546875" style="2" customWidth="1"/>
    <col min="4599" max="4599" width="30.85546875" style="2" customWidth="1"/>
    <col min="4600" max="4600" width="12.5703125" style="2" customWidth="1"/>
    <col min="4601" max="4601" width="5.140625" style="2" customWidth="1"/>
    <col min="4602" max="4602" width="9.140625" style="2"/>
    <col min="4603" max="4603" width="4.85546875" style="2" customWidth="1"/>
    <col min="4604" max="4604" width="30.5703125" style="2" customWidth="1"/>
    <col min="4605" max="4605" width="33.85546875" style="2" customWidth="1"/>
    <col min="4606" max="4606" width="5.140625" style="2" customWidth="1"/>
    <col min="4607" max="4608" width="17.5703125" style="2" customWidth="1"/>
    <col min="4609" max="4852" width="9.140625" style="2"/>
    <col min="4853" max="4853" width="3.5703125" style="2" customWidth="1"/>
    <col min="4854" max="4854" width="96.85546875" style="2" customWidth="1"/>
    <col min="4855" max="4855" width="30.85546875" style="2" customWidth="1"/>
    <col min="4856" max="4856" width="12.5703125" style="2" customWidth="1"/>
    <col min="4857" max="4857" width="5.140625" style="2" customWidth="1"/>
    <col min="4858" max="4858" width="9.140625" style="2"/>
    <col min="4859" max="4859" width="4.85546875" style="2" customWidth="1"/>
    <col min="4860" max="4860" width="30.5703125" style="2" customWidth="1"/>
    <col min="4861" max="4861" width="33.85546875" style="2" customWidth="1"/>
    <col min="4862" max="4862" width="5.140625" style="2" customWidth="1"/>
    <col min="4863" max="4864" width="17.5703125" style="2" customWidth="1"/>
    <col min="4865" max="5108" width="9.140625" style="2"/>
    <col min="5109" max="5109" width="3.5703125" style="2" customWidth="1"/>
    <col min="5110" max="5110" width="96.85546875" style="2" customWidth="1"/>
    <col min="5111" max="5111" width="30.85546875" style="2" customWidth="1"/>
    <col min="5112" max="5112" width="12.5703125" style="2" customWidth="1"/>
    <col min="5113" max="5113" width="5.140625" style="2" customWidth="1"/>
    <col min="5114" max="5114" width="9.140625" style="2"/>
    <col min="5115" max="5115" width="4.85546875" style="2" customWidth="1"/>
    <col min="5116" max="5116" width="30.5703125" style="2" customWidth="1"/>
    <col min="5117" max="5117" width="33.85546875" style="2" customWidth="1"/>
    <col min="5118" max="5118" width="5.140625" style="2" customWidth="1"/>
    <col min="5119" max="5120" width="17.5703125" style="2" customWidth="1"/>
    <col min="5121" max="5364" width="9.140625" style="2"/>
    <col min="5365" max="5365" width="3.5703125" style="2" customWidth="1"/>
    <col min="5366" max="5366" width="96.85546875" style="2" customWidth="1"/>
    <col min="5367" max="5367" width="30.85546875" style="2" customWidth="1"/>
    <col min="5368" max="5368" width="12.5703125" style="2" customWidth="1"/>
    <col min="5369" max="5369" width="5.140625" style="2" customWidth="1"/>
    <col min="5370" max="5370" width="9.140625" style="2"/>
    <col min="5371" max="5371" width="4.85546875" style="2" customWidth="1"/>
    <col min="5372" max="5372" width="30.5703125" style="2" customWidth="1"/>
    <col min="5373" max="5373" width="33.85546875" style="2" customWidth="1"/>
    <col min="5374" max="5374" width="5.140625" style="2" customWidth="1"/>
    <col min="5375" max="5376" width="17.5703125" style="2" customWidth="1"/>
    <col min="5377" max="5620" width="9.140625" style="2"/>
    <col min="5621" max="5621" width="3.5703125" style="2" customWidth="1"/>
    <col min="5622" max="5622" width="96.85546875" style="2" customWidth="1"/>
    <col min="5623" max="5623" width="30.85546875" style="2" customWidth="1"/>
    <col min="5624" max="5624" width="12.5703125" style="2" customWidth="1"/>
    <col min="5625" max="5625" width="5.140625" style="2" customWidth="1"/>
    <col min="5626" max="5626" width="9.140625" style="2"/>
    <col min="5627" max="5627" width="4.85546875" style="2" customWidth="1"/>
    <col min="5628" max="5628" width="30.5703125" style="2" customWidth="1"/>
    <col min="5629" max="5629" width="33.85546875" style="2" customWidth="1"/>
    <col min="5630" max="5630" width="5.140625" style="2" customWidth="1"/>
    <col min="5631" max="5632" width="17.5703125" style="2" customWidth="1"/>
    <col min="5633" max="5876" width="9.140625" style="2"/>
    <col min="5877" max="5877" width="3.5703125" style="2" customWidth="1"/>
    <col min="5878" max="5878" width="96.85546875" style="2" customWidth="1"/>
    <col min="5879" max="5879" width="30.85546875" style="2" customWidth="1"/>
    <col min="5880" max="5880" width="12.5703125" style="2" customWidth="1"/>
    <col min="5881" max="5881" width="5.140625" style="2" customWidth="1"/>
    <col min="5882" max="5882" width="9.140625" style="2"/>
    <col min="5883" max="5883" width="4.85546875" style="2" customWidth="1"/>
    <col min="5884" max="5884" width="30.5703125" style="2" customWidth="1"/>
    <col min="5885" max="5885" width="33.85546875" style="2" customWidth="1"/>
    <col min="5886" max="5886" width="5.140625" style="2" customWidth="1"/>
    <col min="5887" max="5888" width="17.5703125" style="2" customWidth="1"/>
    <col min="5889" max="6132" width="9.140625" style="2"/>
    <col min="6133" max="6133" width="3.5703125" style="2" customWidth="1"/>
    <col min="6134" max="6134" width="96.85546875" style="2" customWidth="1"/>
    <col min="6135" max="6135" width="30.85546875" style="2" customWidth="1"/>
    <col min="6136" max="6136" width="12.5703125" style="2" customWidth="1"/>
    <col min="6137" max="6137" width="5.140625" style="2" customWidth="1"/>
    <col min="6138" max="6138" width="9.140625" style="2"/>
    <col min="6139" max="6139" width="4.85546875" style="2" customWidth="1"/>
    <col min="6140" max="6140" width="30.5703125" style="2" customWidth="1"/>
    <col min="6141" max="6141" width="33.85546875" style="2" customWidth="1"/>
    <col min="6142" max="6142" width="5.140625" style="2" customWidth="1"/>
    <col min="6143" max="6144" width="17.5703125" style="2" customWidth="1"/>
    <col min="6145" max="6388" width="9.140625" style="2"/>
    <col min="6389" max="6389" width="3.5703125" style="2" customWidth="1"/>
    <col min="6390" max="6390" width="96.85546875" style="2" customWidth="1"/>
    <col min="6391" max="6391" width="30.85546875" style="2" customWidth="1"/>
    <col min="6392" max="6392" width="12.5703125" style="2" customWidth="1"/>
    <col min="6393" max="6393" width="5.140625" style="2" customWidth="1"/>
    <col min="6394" max="6394" width="9.140625" style="2"/>
    <col min="6395" max="6395" width="4.85546875" style="2" customWidth="1"/>
    <col min="6396" max="6396" width="30.5703125" style="2" customWidth="1"/>
    <col min="6397" max="6397" width="33.85546875" style="2" customWidth="1"/>
    <col min="6398" max="6398" width="5.140625" style="2" customWidth="1"/>
    <col min="6399" max="6400" width="17.5703125" style="2" customWidth="1"/>
    <col min="6401" max="6644" width="9.140625" style="2"/>
    <col min="6645" max="6645" width="3.5703125" style="2" customWidth="1"/>
    <col min="6646" max="6646" width="96.85546875" style="2" customWidth="1"/>
    <col min="6647" max="6647" width="30.85546875" style="2" customWidth="1"/>
    <col min="6648" max="6648" width="12.5703125" style="2" customWidth="1"/>
    <col min="6649" max="6649" width="5.140625" style="2" customWidth="1"/>
    <col min="6650" max="6650" width="9.140625" style="2"/>
    <col min="6651" max="6651" width="4.85546875" style="2" customWidth="1"/>
    <col min="6652" max="6652" width="30.5703125" style="2" customWidth="1"/>
    <col min="6653" max="6653" width="33.85546875" style="2" customWidth="1"/>
    <col min="6654" max="6654" width="5.140625" style="2" customWidth="1"/>
    <col min="6655" max="6656" width="17.5703125" style="2" customWidth="1"/>
    <col min="6657" max="6900" width="9.140625" style="2"/>
    <col min="6901" max="6901" width="3.5703125" style="2" customWidth="1"/>
    <col min="6902" max="6902" width="96.85546875" style="2" customWidth="1"/>
    <col min="6903" max="6903" width="30.85546875" style="2" customWidth="1"/>
    <col min="6904" max="6904" width="12.5703125" style="2" customWidth="1"/>
    <col min="6905" max="6905" width="5.140625" style="2" customWidth="1"/>
    <col min="6906" max="6906" width="9.140625" style="2"/>
    <col min="6907" max="6907" width="4.85546875" style="2" customWidth="1"/>
    <col min="6908" max="6908" width="30.5703125" style="2" customWidth="1"/>
    <col min="6909" max="6909" width="33.85546875" style="2" customWidth="1"/>
    <col min="6910" max="6910" width="5.140625" style="2" customWidth="1"/>
    <col min="6911" max="6912" width="17.5703125" style="2" customWidth="1"/>
    <col min="6913" max="7156" width="9.140625" style="2"/>
    <col min="7157" max="7157" width="3.5703125" style="2" customWidth="1"/>
    <col min="7158" max="7158" width="96.85546875" style="2" customWidth="1"/>
    <col min="7159" max="7159" width="30.85546875" style="2" customWidth="1"/>
    <col min="7160" max="7160" width="12.5703125" style="2" customWidth="1"/>
    <col min="7161" max="7161" width="5.140625" style="2" customWidth="1"/>
    <col min="7162" max="7162" width="9.140625" style="2"/>
    <col min="7163" max="7163" width="4.85546875" style="2" customWidth="1"/>
    <col min="7164" max="7164" width="30.5703125" style="2" customWidth="1"/>
    <col min="7165" max="7165" width="33.85546875" style="2" customWidth="1"/>
    <col min="7166" max="7166" width="5.140625" style="2" customWidth="1"/>
    <col min="7167" max="7168" width="17.5703125" style="2" customWidth="1"/>
    <col min="7169" max="7412" width="9.140625" style="2"/>
    <col min="7413" max="7413" width="3.5703125" style="2" customWidth="1"/>
    <col min="7414" max="7414" width="96.85546875" style="2" customWidth="1"/>
    <col min="7415" max="7415" width="30.85546875" style="2" customWidth="1"/>
    <col min="7416" max="7416" width="12.5703125" style="2" customWidth="1"/>
    <col min="7417" max="7417" width="5.140625" style="2" customWidth="1"/>
    <col min="7418" max="7418" width="9.140625" style="2"/>
    <col min="7419" max="7419" width="4.85546875" style="2" customWidth="1"/>
    <col min="7420" max="7420" width="30.5703125" style="2" customWidth="1"/>
    <col min="7421" max="7421" width="33.85546875" style="2" customWidth="1"/>
    <col min="7422" max="7422" width="5.140625" style="2" customWidth="1"/>
    <col min="7423" max="7424" width="17.5703125" style="2" customWidth="1"/>
    <col min="7425" max="7668" width="9.140625" style="2"/>
    <col min="7669" max="7669" width="3.5703125" style="2" customWidth="1"/>
    <col min="7670" max="7670" width="96.85546875" style="2" customWidth="1"/>
    <col min="7671" max="7671" width="30.85546875" style="2" customWidth="1"/>
    <col min="7672" max="7672" width="12.5703125" style="2" customWidth="1"/>
    <col min="7673" max="7673" width="5.140625" style="2" customWidth="1"/>
    <col min="7674" max="7674" width="9.140625" style="2"/>
    <col min="7675" max="7675" width="4.85546875" style="2" customWidth="1"/>
    <col min="7676" max="7676" width="30.5703125" style="2" customWidth="1"/>
    <col min="7677" max="7677" width="33.85546875" style="2" customWidth="1"/>
    <col min="7678" max="7678" width="5.140625" style="2" customWidth="1"/>
    <col min="7679" max="7680" width="17.5703125" style="2" customWidth="1"/>
    <col min="7681" max="7924" width="9.140625" style="2"/>
    <col min="7925" max="7925" width="3.5703125" style="2" customWidth="1"/>
    <col min="7926" max="7926" width="96.85546875" style="2" customWidth="1"/>
    <col min="7927" max="7927" width="30.85546875" style="2" customWidth="1"/>
    <col min="7928" max="7928" width="12.5703125" style="2" customWidth="1"/>
    <col min="7929" max="7929" width="5.140625" style="2" customWidth="1"/>
    <col min="7930" max="7930" width="9.140625" style="2"/>
    <col min="7931" max="7931" width="4.85546875" style="2" customWidth="1"/>
    <col min="7932" max="7932" width="30.5703125" style="2" customWidth="1"/>
    <col min="7933" max="7933" width="33.85546875" style="2" customWidth="1"/>
    <col min="7934" max="7934" width="5.140625" style="2" customWidth="1"/>
    <col min="7935" max="7936" width="17.5703125" style="2" customWidth="1"/>
    <col min="7937" max="8180" width="9.140625" style="2"/>
    <col min="8181" max="8181" width="3.5703125" style="2" customWidth="1"/>
    <col min="8182" max="8182" width="96.85546875" style="2" customWidth="1"/>
    <col min="8183" max="8183" width="30.85546875" style="2" customWidth="1"/>
    <col min="8184" max="8184" width="12.5703125" style="2" customWidth="1"/>
    <col min="8185" max="8185" width="5.140625" style="2" customWidth="1"/>
    <col min="8186" max="8186" width="9.140625" style="2"/>
    <col min="8187" max="8187" width="4.85546875" style="2" customWidth="1"/>
    <col min="8188" max="8188" width="30.5703125" style="2" customWidth="1"/>
    <col min="8189" max="8189" width="33.85546875" style="2" customWidth="1"/>
    <col min="8190" max="8190" width="5.140625" style="2" customWidth="1"/>
    <col min="8191" max="8192" width="17.5703125" style="2" customWidth="1"/>
    <col min="8193" max="8436" width="9.140625" style="2"/>
    <col min="8437" max="8437" width="3.5703125" style="2" customWidth="1"/>
    <col min="8438" max="8438" width="96.85546875" style="2" customWidth="1"/>
    <col min="8439" max="8439" width="30.85546875" style="2" customWidth="1"/>
    <col min="8440" max="8440" width="12.5703125" style="2" customWidth="1"/>
    <col min="8441" max="8441" width="5.140625" style="2" customWidth="1"/>
    <col min="8442" max="8442" width="9.140625" style="2"/>
    <col min="8443" max="8443" width="4.85546875" style="2" customWidth="1"/>
    <col min="8444" max="8444" width="30.5703125" style="2" customWidth="1"/>
    <col min="8445" max="8445" width="33.85546875" style="2" customWidth="1"/>
    <col min="8446" max="8446" width="5.140625" style="2" customWidth="1"/>
    <col min="8447" max="8448" width="17.5703125" style="2" customWidth="1"/>
    <col min="8449" max="8692" width="9.140625" style="2"/>
    <col min="8693" max="8693" width="3.5703125" style="2" customWidth="1"/>
    <col min="8694" max="8694" width="96.85546875" style="2" customWidth="1"/>
    <col min="8695" max="8695" width="30.85546875" style="2" customWidth="1"/>
    <col min="8696" max="8696" width="12.5703125" style="2" customWidth="1"/>
    <col min="8697" max="8697" width="5.140625" style="2" customWidth="1"/>
    <col min="8698" max="8698" width="9.140625" style="2"/>
    <col min="8699" max="8699" width="4.85546875" style="2" customWidth="1"/>
    <col min="8700" max="8700" width="30.5703125" style="2" customWidth="1"/>
    <col min="8701" max="8701" width="33.85546875" style="2" customWidth="1"/>
    <col min="8702" max="8702" width="5.140625" style="2" customWidth="1"/>
    <col min="8703" max="8704" width="17.5703125" style="2" customWidth="1"/>
    <col min="8705" max="8948" width="9.140625" style="2"/>
    <col min="8949" max="8949" width="3.5703125" style="2" customWidth="1"/>
    <col min="8950" max="8950" width="96.85546875" style="2" customWidth="1"/>
    <col min="8951" max="8951" width="30.85546875" style="2" customWidth="1"/>
    <col min="8952" max="8952" width="12.5703125" style="2" customWidth="1"/>
    <col min="8953" max="8953" width="5.140625" style="2" customWidth="1"/>
    <col min="8954" max="8954" width="9.140625" style="2"/>
    <col min="8955" max="8955" width="4.85546875" style="2" customWidth="1"/>
    <col min="8956" max="8956" width="30.5703125" style="2" customWidth="1"/>
    <col min="8957" max="8957" width="33.85546875" style="2" customWidth="1"/>
    <col min="8958" max="8958" width="5.140625" style="2" customWidth="1"/>
    <col min="8959" max="8960" width="17.5703125" style="2" customWidth="1"/>
    <col min="8961" max="9204" width="9.140625" style="2"/>
    <col min="9205" max="9205" width="3.5703125" style="2" customWidth="1"/>
    <col min="9206" max="9206" width="96.85546875" style="2" customWidth="1"/>
    <col min="9207" max="9207" width="30.85546875" style="2" customWidth="1"/>
    <col min="9208" max="9208" width="12.5703125" style="2" customWidth="1"/>
    <col min="9209" max="9209" width="5.140625" style="2" customWidth="1"/>
    <col min="9210" max="9210" width="9.140625" style="2"/>
    <col min="9211" max="9211" width="4.85546875" style="2" customWidth="1"/>
    <col min="9212" max="9212" width="30.5703125" style="2" customWidth="1"/>
    <col min="9213" max="9213" width="33.85546875" style="2" customWidth="1"/>
    <col min="9214" max="9214" width="5.140625" style="2" customWidth="1"/>
    <col min="9215" max="9216" width="17.5703125" style="2" customWidth="1"/>
    <col min="9217" max="9460" width="9.140625" style="2"/>
    <col min="9461" max="9461" width="3.5703125" style="2" customWidth="1"/>
    <col min="9462" max="9462" width="96.85546875" style="2" customWidth="1"/>
    <col min="9463" max="9463" width="30.85546875" style="2" customWidth="1"/>
    <col min="9464" max="9464" width="12.5703125" style="2" customWidth="1"/>
    <col min="9465" max="9465" width="5.140625" style="2" customWidth="1"/>
    <col min="9466" max="9466" width="9.140625" style="2"/>
    <col min="9467" max="9467" width="4.85546875" style="2" customWidth="1"/>
    <col min="9468" max="9468" width="30.5703125" style="2" customWidth="1"/>
    <col min="9469" max="9469" width="33.85546875" style="2" customWidth="1"/>
    <col min="9470" max="9470" width="5.140625" style="2" customWidth="1"/>
    <col min="9471" max="9472" width="17.5703125" style="2" customWidth="1"/>
    <col min="9473" max="9716" width="9.140625" style="2"/>
    <col min="9717" max="9717" width="3.5703125" style="2" customWidth="1"/>
    <col min="9718" max="9718" width="96.85546875" style="2" customWidth="1"/>
    <col min="9719" max="9719" width="30.85546875" style="2" customWidth="1"/>
    <col min="9720" max="9720" width="12.5703125" style="2" customWidth="1"/>
    <col min="9721" max="9721" width="5.140625" style="2" customWidth="1"/>
    <col min="9722" max="9722" width="9.140625" style="2"/>
    <col min="9723" max="9723" width="4.85546875" style="2" customWidth="1"/>
    <col min="9724" max="9724" width="30.5703125" style="2" customWidth="1"/>
    <col min="9725" max="9725" width="33.85546875" style="2" customWidth="1"/>
    <col min="9726" max="9726" width="5.140625" style="2" customWidth="1"/>
    <col min="9727" max="9728" width="17.5703125" style="2" customWidth="1"/>
    <col min="9729" max="9972" width="9.140625" style="2"/>
    <col min="9973" max="9973" width="3.5703125" style="2" customWidth="1"/>
    <col min="9974" max="9974" width="96.85546875" style="2" customWidth="1"/>
    <col min="9975" max="9975" width="30.85546875" style="2" customWidth="1"/>
    <col min="9976" max="9976" width="12.5703125" style="2" customWidth="1"/>
    <col min="9977" max="9977" width="5.140625" style="2" customWidth="1"/>
    <col min="9978" max="9978" width="9.140625" style="2"/>
    <col min="9979" max="9979" width="4.85546875" style="2" customWidth="1"/>
    <col min="9980" max="9980" width="30.5703125" style="2" customWidth="1"/>
    <col min="9981" max="9981" width="33.85546875" style="2" customWidth="1"/>
    <col min="9982" max="9982" width="5.140625" style="2" customWidth="1"/>
    <col min="9983" max="9984" width="17.5703125" style="2" customWidth="1"/>
    <col min="9985" max="10228" width="9.140625" style="2"/>
    <col min="10229" max="10229" width="3.5703125" style="2" customWidth="1"/>
    <col min="10230" max="10230" width="96.85546875" style="2" customWidth="1"/>
    <col min="10231" max="10231" width="30.85546875" style="2" customWidth="1"/>
    <col min="10232" max="10232" width="12.5703125" style="2" customWidth="1"/>
    <col min="10233" max="10233" width="5.140625" style="2" customWidth="1"/>
    <col min="10234" max="10234" width="9.140625" style="2"/>
    <col min="10235" max="10235" width="4.85546875" style="2" customWidth="1"/>
    <col min="10236" max="10236" width="30.5703125" style="2" customWidth="1"/>
    <col min="10237" max="10237" width="33.85546875" style="2" customWidth="1"/>
    <col min="10238" max="10238" width="5.140625" style="2" customWidth="1"/>
    <col min="10239" max="10240" width="17.5703125" style="2" customWidth="1"/>
    <col min="10241" max="10484" width="9.140625" style="2"/>
    <col min="10485" max="10485" width="3.5703125" style="2" customWidth="1"/>
    <col min="10486" max="10486" width="96.85546875" style="2" customWidth="1"/>
    <col min="10487" max="10487" width="30.85546875" style="2" customWidth="1"/>
    <col min="10488" max="10488" width="12.5703125" style="2" customWidth="1"/>
    <col min="10489" max="10489" width="5.140625" style="2" customWidth="1"/>
    <col min="10490" max="10490" width="9.140625" style="2"/>
    <col min="10491" max="10491" width="4.85546875" style="2" customWidth="1"/>
    <col min="10492" max="10492" width="30.5703125" style="2" customWidth="1"/>
    <col min="10493" max="10493" width="33.85546875" style="2" customWidth="1"/>
    <col min="10494" max="10494" width="5.140625" style="2" customWidth="1"/>
    <col min="10495" max="10496" width="17.5703125" style="2" customWidth="1"/>
    <col min="10497" max="10740" width="9.140625" style="2"/>
    <col min="10741" max="10741" width="3.5703125" style="2" customWidth="1"/>
    <col min="10742" max="10742" width="96.85546875" style="2" customWidth="1"/>
    <col min="10743" max="10743" width="30.85546875" style="2" customWidth="1"/>
    <col min="10744" max="10744" width="12.5703125" style="2" customWidth="1"/>
    <col min="10745" max="10745" width="5.140625" style="2" customWidth="1"/>
    <col min="10746" max="10746" width="9.140625" style="2"/>
    <col min="10747" max="10747" width="4.85546875" style="2" customWidth="1"/>
    <col min="10748" max="10748" width="30.5703125" style="2" customWidth="1"/>
    <col min="10749" max="10749" width="33.85546875" style="2" customWidth="1"/>
    <col min="10750" max="10750" width="5.140625" style="2" customWidth="1"/>
    <col min="10751" max="10752" width="17.5703125" style="2" customWidth="1"/>
    <col min="10753" max="10996" width="9.140625" style="2"/>
    <col min="10997" max="10997" width="3.5703125" style="2" customWidth="1"/>
    <col min="10998" max="10998" width="96.85546875" style="2" customWidth="1"/>
    <col min="10999" max="10999" width="30.85546875" style="2" customWidth="1"/>
    <col min="11000" max="11000" width="12.5703125" style="2" customWidth="1"/>
    <col min="11001" max="11001" width="5.140625" style="2" customWidth="1"/>
    <col min="11002" max="11002" width="9.140625" style="2"/>
    <col min="11003" max="11003" width="4.85546875" style="2" customWidth="1"/>
    <col min="11004" max="11004" width="30.5703125" style="2" customWidth="1"/>
    <col min="11005" max="11005" width="33.85546875" style="2" customWidth="1"/>
    <col min="11006" max="11006" width="5.140625" style="2" customWidth="1"/>
    <col min="11007" max="11008" width="17.5703125" style="2" customWidth="1"/>
    <col min="11009" max="11252" width="9.140625" style="2"/>
    <col min="11253" max="11253" width="3.5703125" style="2" customWidth="1"/>
    <col min="11254" max="11254" width="96.85546875" style="2" customWidth="1"/>
    <col min="11255" max="11255" width="30.85546875" style="2" customWidth="1"/>
    <col min="11256" max="11256" width="12.5703125" style="2" customWidth="1"/>
    <col min="11257" max="11257" width="5.140625" style="2" customWidth="1"/>
    <col min="11258" max="11258" width="9.140625" style="2"/>
    <col min="11259" max="11259" width="4.85546875" style="2" customWidth="1"/>
    <col min="11260" max="11260" width="30.5703125" style="2" customWidth="1"/>
    <col min="11261" max="11261" width="33.85546875" style="2" customWidth="1"/>
    <col min="11262" max="11262" width="5.140625" style="2" customWidth="1"/>
    <col min="11263" max="11264" width="17.5703125" style="2" customWidth="1"/>
    <col min="11265" max="11508" width="9.140625" style="2"/>
    <col min="11509" max="11509" width="3.5703125" style="2" customWidth="1"/>
    <col min="11510" max="11510" width="96.85546875" style="2" customWidth="1"/>
    <col min="11511" max="11511" width="30.85546875" style="2" customWidth="1"/>
    <col min="11512" max="11512" width="12.5703125" style="2" customWidth="1"/>
    <col min="11513" max="11513" width="5.140625" style="2" customWidth="1"/>
    <col min="11514" max="11514" width="9.140625" style="2"/>
    <col min="11515" max="11515" width="4.85546875" style="2" customWidth="1"/>
    <col min="11516" max="11516" width="30.5703125" style="2" customWidth="1"/>
    <col min="11517" max="11517" width="33.85546875" style="2" customWidth="1"/>
    <col min="11518" max="11518" width="5.140625" style="2" customWidth="1"/>
    <col min="11519" max="11520" width="17.5703125" style="2" customWidth="1"/>
    <col min="11521" max="11764" width="9.140625" style="2"/>
    <col min="11765" max="11765" width="3.5703125" style="2" customWidth="1"/>
    <col min="11766" max="11766" width="96.85546875" style="2" customWidth="1"/>
    <col min="11767" max="11767" width="30.85546875" style="2" customWidth="1"/>
    <col min="11768" max="11768" width="12.5703125" style="2" customWidth="1"/>
    <col min="11769" max="11769" width="5.140625" style="2" customWidth="1"/>
    <col min="11770" max="11770" width="9.140625" style="2"/>
    <col min="11771" max="11771" width="4.85546875" style="2" customWidth="1"/>
    <col min="11772" max="11772" width="30.5703125" style="2" customWidth="1"/>
    <col min="11773" max="11773" width="33.85546875" style="2" customWidth="1"/>
    <col min="11774" max="11774" width="5.140625" style="2" customWidth="1"/>
    <col min="11775" max="11776" width="17.5703125" style="2" customWidth="1"/>
    <col min="11777" max="12020" width="9.140625" style="2"/>
    <col min="12021" max="12021" width="3.5703125" style="2" customWidth="1"/>
    <col min="12022" max="12022" width="96.85546875" style="2" customWidth="1"/>
    <col min="12023" max="12023" width="30.85546875" style="2" customWidth="1"/>
    <col min="12024" max="12024" width="12.5703125" style="2" customWidth="1"/>
    <col min="12025" max="12025" width="5.140625" style="2" customWidth="1"/>
    <col min="12026" max="12026" width="9.140625" style="2"/>
    <col min="12027" max="12027" width="4.85546875" style="2" customWidth="1"/>
    <col min="12028" max="12028" width="30.5703125" style="2" customWidth="1"/>
    <col min="12029" max="12029" width="33.85546875" style="2" customWidth="1"/>
    <col min="12030" max="12030" width="5.140625" style="2" customWidth="1"/>
    <col min="12031" max="12032" width="17.5703125" style="2" customWidth="1"/>
    <col min="12033" max="12276" width="9.140625" style="2"/>
    <col min="12277" max="12277" width="3.5703125" style="2" customWidth="1"/>
    <col min="12278" max="12278" width="96.85546875" style="2" customWidth="1"/>
    <col min="12279" max="12279" width="30.85546875" style="2" customWidth="1"/>
    <col min="12280" max="12280" width="12.5703125" style="2" customWidth="1"/>
    <col min="12281" max="12281" width="5.140625" style="2" customWidth="1"/>
    <col min="12282" max="12282" width="9.140625" style="2"/>
    <col min="12283" max="12283" width="4.85546875" style="2" customWidth="1"/>
    <col min="12284" max="12284" width="30.5703125" style="2" customWidth="1"/>
    <col min="12285" max="12285" width="33.85546875" style="2" customWidth="1"/>
    <col min="12286" max="12286" width="5.140625" style="2" customWidth="1"/>
    <col min="12287" max="12288" width="17.5703125" style="2" customWidth="1"/>
    <col min="12289" max="12532" width="9.140625" style="2"/>
    <col min="12533" max="12533" width="3.5703125" style="2" customWidth="1"/>
    <col min="12534" max="12534" width="96.85546875" style="2" customWidth="1"/>
    <col min="12535" max="12535" width="30.85546875" style="2" customWidth="1"/>
    <col min="12536" max="12536" width="12.5703125" style="2" customWidth="1"/>
    <col min="12537" max="12537" width="5.140625" style="2" customWidth="1"/>
    <col min="12538" max="12538" width="9.140625" style="2"/>
    <col min="12539" max="12539" width="4.85546875" style="2" customWidth="1"/>
    <col min="12540" max="12540" width="30.5703125" style="2" customWidth="1"/>
    <col min="12541" max="12541" width="33.85546875" style="2" customWidth="1"/>
    <col min="12542" max="12542" width="5.140625" style="2" customWidth="1"/>
    <col min="12543" max="12544" width="17.5703125" style="2" customWidth="1"/>
    <col min="12545" max="12788" width="9.140625" style="2"/>
    <col min="12789" max="12789" width="3.5703125" style="2" customWidth="1"/>
    <col min="12790" max="12790" width="96.85546875" style="2" customWidth="1"/>
    <col min="12791" max="12791" width="30.85546875" style="2" customWidth="1"/>
    <col min="12792" max="12792" width="12.5703125" style="2" customWidth="1"/>
    <col min="12793" max="12793" width="5.140625" style="2" customWidth="1"/>
    <col min="12794" max="12794" width="9.140625" style="2"/>
    <col min="12795" max="12795" width="4.85546875" style="2" customWidth="1"/>
    <col min="12796" max="12796" width="30.5703125" style="2" customWidth="1"/>
    <col min="12797" max="12797" width="33.85546875" style="2" customWidth="1"/>
    <col min="12798" max="12798" width="5.140625" style="2" customWidth="1"/>
    <col min="12799" max="12800" width="17.5703125" style="2" customWidth="1"/>
    <col min="12801" max="13044" width="9.140625" style="2"/>
    <col min="13045" max="13045" width="3.5703125" style="2" customWidth="1"/>
    <col min="13046" max="13046" width="96.85546875" style="2" customWidth="1"/>
    <col min="13047" max="13047" width="30.85546875" style="2" customWidth="1"/>
    <col min="13048" max="13048" width="12.5703125" style="2" customWidth="1"/>
    <col min="13049" max="13049" width="5.140625" style="2" customWidth="1"/>
    <col min="13050" max="13050" width="9.140625" style="2"/>
    <col min="13051" max="13051" width="4.85546875" style="2" customWidth="1"/>
    <col min="13052" max="13052" width="30.5703125" style="2" customWidth="1"/>
    <col min="13053" max="13053" width="33.85546875" style="2" customWidth="1"/>
    <col min="13054" max="13054" width="5.140625" style="2" customWidth="1"/>
    <col min="13055" max="13056" width="17.5703125" style="2" customWidth="1"/>
    <col min="13057" max="13300" width="9.140625" style="2"/>
    <col min="13301" max="13301" width="3.5703125" style="2" customWidth="1"/>
    <col min="13302" max="13302" width="96.85546875" style="2" customWidth="1"/>
    <col min="13303" max="13303" width="30.85546875" style="2" customWidth="1"/>
    <col min="13304" max="13304" width="12.5703125" style="2" customWidth="1"/>
    <col min="13305" max="13305" width="5.140625" style="2" customWidth="1"/>
    <col min="13306" max="13306" width="9.140625" style="2"/>
    <col min="13307" max="13307" width="4.85546875" style="2" customWidth="1"/>
    <col min="13308" max="13308" width="30.5703125" style="2" customWidth="1"/>
    <col min="13309" max="13309" width="33.85546875" style="2" customWidth="1"/>
    <col min="13310" max="13310" width="5.140625" style="2" customWidth="1"/>
    <col min="13311" max="13312" width="17.5703125" style="2" customWidth="1"/>
    <col min="13313" max="13556" width="9.140625" style="2"/>
    <col min="13557" max="13557" width="3.5703125" style="2" customWidth="1"/>
    <col min="13558" max="13558" width="96.85546875" style="2" customWidth="1"/>
    <col min="13559" max="13559" width="30.85546875" style="2" customWidth="1"/>
    <col min="13560" max="13560" width="12.5703125" style="2" customWidth="1"/>
    <col min="13561" max="13561" width="5.140625" style="2" customWidth="1"/>
    <col min="13562" max="13562" width="9.140625" style="2"/>
    <col min="13563" max="13563" width="4.85546875" style="2" customWidth="1"/>
    <col min="13564" max="13564" width="30.5703125" style="2" customWidth="1"/>
    <col min="13565" max="13565" width="33.85546875" style="2" customWidth="1"/>
    <col min="13566" max="13566" width="5.140625" style="2" customWidth="1"/>
    <col min="13567" max="13568" width="17.5703125" style="2" customWidth="1"/>
    <col min="13569" max="13812" width="9.140625" style="2"/>
    <col min="13813" max="13813" width="3.5703125" style="2" customWidth="1"/>
    <col min="13814" max="13814" width="96.85546875" style="2" customWidth="1"/>
    <col min="13815" max="13815" width="30.85546875" style="2" customWidth="1"/>
    <col min="13816" max="13816" width="12.5703125" style="2" customWidth="1"/>
    <col min="13817" max="13817" width="5.140625" style="2" customWidth="1"/>
    <col min="13818" max="13818" width="9.140625" style="2"/>
    <col min="13819" max="13819" width="4.85546875" style="2" customWidth="1"/>
    <col min="13820" max="13820" width="30.5703125" style="2" customWidth="1"/>
    <col min="13821" max="13821" width="33.85546875" style="2" customWidth="1"/>
    <col min="13822" max="13822" width="5.140625" style="2" customWidth="1"/>
    <col min="13823" max="13824" width="17.5703125" style="2" customWidth="1"/>
    <col min="13825" max="14068" width="9.140625" style="2"/>
    <col min="14069" max="14069" width="3.5703125" style="2" customWidth="1"/>
    <col min="14070" max="14070" width="96.85546875" style="2" customWidth="1"/>
    <col min="14071" max="14071" width="30.85546875" style="2" customWidth="1"/>
    <col min="14072" max="14072" width="12.5703125" style="2" customWidth="1"/>
    <col min="14073" max="14073" width="5.140625" style="2" customWidth="1"/>
    <col min="14074" max="14074" width="9.140625" style="2"/>
    <col min="14075" max="14075" width="4.85546875" style="2" customWidth="1"/>
    <col min="14076" max="14076" width="30.5703125" style="2" customWidth="1"/>
    <col min="14077" max="14077" width="33.85546875" style="2" customWidth="1"/>
    <col min="14078" max="14078" width="5.140625" style="2" customWidth="1"/>
    <col min="14079" max="14080" width="17.5703125" style="2" customWidth="1"/>
    <col min="14081" max="14324" width="9.140625" style="2"/>
    <col min="14325" max="14325" width="3.5703125" style="2" customWidth="1"/>
    <col min="14326" max="14326" width="96.85546875" style="2" customWidth="1"/>
    <col min="14327" max="14327" width="30.85546875" style="2" customWidth="1"/>
    <col min="14328" max="14328" width="12.5703125" style="2" customWidth="1"/>
    <col min="14329" max="14329" width="5.140625" style="2" customWidth="1"/>
    <col min="14330" max="14330" width="9.140625" style="2"/>
    <col min="14331" max="14331" width="4.85546875" style="2" customWidth="1"/>
    <col min="14332" max="14332" width="30.5703125" style="2" customWidth="1"/>
    <col min="14333" max="14333" width="33.85546875" style="2" customWidth="1"/>
    <col min="14334" max="14334" width="5.140625" style="2" customWidth="1"/>
    <col min="14335" max="14336" width="17.5703125" style="2" customWidth="1"/>
    <col min="14337" max="14580" width="9.140625" style="2"/>
    <col min="14581" max="14581" width="3.5703125" style="2" customWidth="1"/>
    <col min="14582" max="14582" width="96.85546875" style="2" customWidth="1"/>
    <col min="14583" max="14583" width="30.85546875" style="2" customWidth="1"/>
    <col min="14584" max="14584" width="12.5703125" style="2" customWidth="1"/>
    <col min="14585" max="14585" width="5.140625" style="2" customWidth="1"/>
    <col min="14586" max="14586" width="9.140625" style="2"/>
    <col min="14587" max="14587" width="4.85546875" style="2" customWidth="1"/>
    <col min="14588" max="14588" width="30.5703125" style="2" customWidth="1"/>
    <col min="14589" max="14589" width="33.85546875" style="2" customWidth="1"/>
    <col min="14590" max="14590" width="5.140625" style="2" customWidth="1"/>
    <col min="14591" max="14592" width="17.5703125" style="2" customWidth="1"/>
    <col min="14593" max="14836" width="9.140625" style="2"/>
    <col min="14837" max="14837" width="3.5703125" style="2" customWidth="1"/>
    <col min="14838" max="14838" width="96.85546875" style="2" customWidth="1"/>
    <col min="14839" max="14839" width="30.85546875" style="2" customWidth="1"/>
    <col min="14840" max="14840" width="12.5703125" style="2" customWidth="1"/>
    <col min="14841" max="14841" width="5.140625" style="2" customWidth="1"/>
    <col min="14842" max="14842" width="9.140625" style="2"/>
    <col min="14843" max="14843" width="4.85546875" style="2" customWidth="1"/>
    <col min="14844" max="14844" width="30.5703125" style="2" customWidth="1"/>
    <col min="14845" max="14845" width="33.85546875" style="2" customWidth="1"/>
    <col min="14846" max="14846" width="5.140625" style="2" customWidth="1"/>
    <col min="14847" max="14848" width="17.5703125" style="2" customWidth="1"/>
    <col min="14849" max="15092" width="9.140625" style="2"/>
    <col min="15093" max="15093" width="3.5703125" style="2" customWidth="1"/>
    <col min="15094" max="15094" width="96.85546875" style="2" customWidth="1"/>
    <col min="15095" max="15095" width="30.85546875" style="2" customWidth="1"/>
    <col min="15096" max="15096" width="12.5703125" style="2" customWidth="1"/>
    <col min="15097" max="15097" width="5.140625" style="2" customWidth="1"/>
    <col min="15098" max="15098" width="9.140625" style="2"/>
    <col min="15099" max="15099" width="4.85546875" style="2" customWidth="1"/>
    <col min="15100" max="15100" width="30.5703125" style="2" customWidth="1"/>
    <col min="15101" max="15101" width="33.85546875" style="2" customWidth="1"/>
    <col min="15102" max="15102" width="5.140625" style="2" customWidth="1"/>
    <col min="15103" max="15104" width="17.5703125" style="2" customWidth="1"/>
    <col min="15105" max="15348" width="9.140625" style="2"/>
    <col min="15349" max="15349" width="3.5703125" style="2" customWidth="1"/>
    <col min="15350" max="15350" width="96.85546875" style="2" customWidth="1"/>
    <col min="15351" max="15351" width="30.85546875" style="2" customWidth="1"/>
    <col min="15352" max="15352" width="12.5703125" style="2" customWidth="1"/>
    <col min="15353" max="15353" width="5.140625" style="2" customWidth="1"/>
    <col min="15354" max="15354" width="9.140625" style="2"/>
    <col min="15355" max="15355" width="4.85546875" style="2" customWidth="1"/>
    <col min="15356" max="15356" width="30.5703125" style="2" customWidth="1"/>
    <col min="15357" max="15357" width="33.85546875" style="2" customWidth="1"/>
    <col min="15358" max="15358" width="5.140625" style="2" customWidth="1"/>
    <col min="15359" max="15360" width="17.5703125" style="2" customWidth="1"/>
    <col min="15361" max="15604" width="9.140625" style="2"/>
    <col min="15605" max="15605" width="3.5703125" style="2" customWidth="1"/>
    <col min="15606" max="15606" width="96.85546875" style="2" customWidth="1"/>
    <col min="15607" max="15607" width="30.85546875" style="2" customWidth="1"/>
    <col min="15608" max="15608" width="12.5703125" style="2" customWidth="1"/>
    <col min="15609" max="15609" width="5.140625" style="2" customWidth="1"/>
    <col min="15610" max="15610" width="9.140625" style="2"/>
    <col min="15611" max="15611" width="4.85546875" style="2" customWidth="1"/>
    <col min="15612" max="15612" width="30.5703125" style="2" customWidth="1"/>
    <col min="15613" max="15613" width="33.85546875" style="2" customWidth="1"/>
    <col min="15614" max="15614" width="5.140625" style="2" customWidth="1"/>
    <col min="15615" max="15616" width="17.5703125" style="2" customWidth="1"/>
    <col min="15617" max="15860" width="9.140625" style="2"/>
    <col min="15861" max="15861" width="3.5703125" style="2" customWidth="1"/>
    <col min="15862" max="15862" width="96.85546875" style="2" customWidth="1"/>
    <col min="15863" max="15863" width="30.85546875" style="2" customWidth="1"/>
    <col min="15864" max="15864" width="12.5703125" style="2" customWidth="1"/>
    <col min="15865" max="15865" width="5.140625" style="2" customWidth="1"/>
    <col min="15866" max="15866" width="9.140625" style="2"/>
    <col min="15867" max="15867" width="4.85546875" style="2" customWidth="1"/>
    <col min="15868" max="15868" width="30.5703125" style="2" customWidth="1"/>
    <col min="15869" max="15869" width="33.85546875" style="2" customWidth="1"/>
    <col min="15870" max="15870" width="5.140625" style="2" customWidth="1"/>
    <col min="15871" max="15872" width="17.5703125" style="2" customWidth="1"/>
    <col min="15873" max="16116" width="9.140625" style="2"/>
    <col min="16117" max="16117" width="3.5703125" style="2" customWidth="1"/>
    <col min="16118" max="16118" width="96.85546875" style="2" customWidth="1"/>
    <col min="16119" max="16119" width="30.85546875" style="2" customWidth="1"/>
    <col min="16120" max="16120" width="12.5703125" style="2" customWidth="1"/>
    <col min="16121" max="16121" width="5.140625" style="2" customWidth="1"/>
    <col min="16122" max="16122" width="9.140625" style="2"/>
    <col min="16123" max="16123" width="4.85546875" style="2" customWidth="1"/>
    <col min="16124" max="16124" width="30.5703125" style="2" customWidth="1"/>
    <col min="16125" max="16125" width="33.85546875" style="2" customWidth="1"/>
    <col min="16126" max="16126" width="5.140625" style="2" customWidth="1"/>
    <col min="16127" max="16128" width="17.5703125" style="2" customWidth="1"/>
    <col min="16129" max="16384" width="9.140625" style="2"/>
  </cols>
  <sheetData>
    <row r="1" spans="1:3" ht="48" customHeight="1" x14ac:dyDescent="0.2">
      <c r="A1" s="111"/>
      <c r="B1" s="143" t="s">
        <v>225</v>
      </c>
      <c r="C1" s="143"/>
    </row>
    <row r="2" spans="1:3" x14ac:dyDescent="0.2">
      <c r="A2" s="1"/>
      <c r="B2" s="3" t="s">
        <v>2</v>
      </c>
      <c r="C2" s="4">
        <v>45317</v>
      </c>
    </row>
    <row r="3" spans="1:3" x14ac:dyDescent="0.2">
      <c r="A3" s="1"/>
      <c r="B3" s="112" t="s">
        <v>3</v>
      </c>
    </row>
    <row r="4" spans="1:3" ht="25.5" x14ac:dyDescent="0.2">
      <c r="A4" s="7"/>
      <c r="B4" s="8" t="str">
        <f>[7]И1!D13</f>
        <v>Субъект Российской Федерации</v>
      </c>
      <c r="C4" s="9" t="str">
        <f>[7]И1!E13</f>
        <v>Новосибирская область</v>
      </c>
    </row>
    <row r="5" spans="1:3" x14ac:dyDescent="0.2">
      <c r="A5" s="7"/>
      <c r="B5" s="8" t="str">
        <f>[7]И1!D14</f>
        <v>Тип муниципального образования (выберите из списка)</v>
      </c>
      <c r="C5" s="9">
        <f>[7]И1!E14</f>
        <v>0</v>
      </c>
    </row>
    <row r="6" spans="1:3" x14ac:dyDescent="0.2">
      <c r="A6" s="7"/>
      <c r="B6" s="8" t="str">
        <f>IF([7]И1!E15="","",[7]И1!D15)</f>
        <v/>
      </c>
      <c r="C6" s="9" t="str">
        <f>IF([7]И1!E15="","",[7]И1!E15)</f>
        <v/>
      </c>
    </row>
    <row r="7" spans="1:3" x14ac:dyDescent="0.2">
      <c r="A7" s="7"/>
      <c r="B7" s="8" t="str">
        <f>[7]И1!D16</f>
        <v>Код ОКТМО</v>
      </c>
      <c r="C7" s="10">
        <f>[7]И1!E16</f>
        <v>0</v>
      </c>
    </row>
    <row r="8" spans="1:3" x14ac:dyDescent="0.2">
      <c r="A8" s="7"/>
      <c r="B8" s="11" t="str">
        <f>[7]И1!D17</f>
        <v>Система теплоснабжения</v>
      </c>
      <c r="C8" s="12">
        <f>[7]И1!E17</f>
        <v>0</v>
      </c>
    </row>
    <row r="9" spans="1:3" x14ac:dyDescent="0.2">
      <c r="A9" s="7"/>
      <c r="B9" s="8" t="str">
        <f>[7]И1!D8</f>
        <v>Период регулирования (i)-й</v>
      </c>
      <c r="C9" s="13">
        <f>[7]И1!E8</f>
        <v>2024</v>
      </c>
    </row>
    <row r="10" spans="1:3" x14ac:dyDescent="0.2">
      <c r="A10" s="7"/>
      <c r="B10" s="8" t="str">
        <f>[7]И1!D9</f>
        <v>Период регулирования (i-1)-й</v>
      </c>
      <c r="C10" s="13">
        <f>[7]И1!E9</f>
        <v>2023</v>
      </c>
    </row>
    <row r="11" spans="1:3" x14ac:dyDescent="0.2">
      <c r="A11" s="7"/>
      <c r="B11" s="8" t="str">
        <f>[7]И1!D10</f>
        <v>Период регулирования (i-2)-й</v>
      </c>
      <c r="C11" s="13">
        <f>[7]И1!E10</f>
        <v>2022</v>
      </c>
    </row>
    <row r="12" spans="1:3" x14ac:dyDescent="0.2">
      <c r="A12" s="7"/>
      <c r="B12" s="8" t="str">
        <f>[7]И1!D11</f>
        <v>Базовый год (б)</v>
      </c>
      <c r="C12" s="13">
        <f>[7]И1!E11</f>
        <v>2019</v>
      </c>
    </row>
    <row r="13" spans="1:3" ht="38.25" x14ac:dyDescent="0.2">
      <c r="A13" s="7"/>
      <c r="B13" s="8" t="str">
        <f>[7]И1!D18</f>
        <v>Вид топлива, использование которого преобладает в системе теплоснабжения</v>
      </c>
      <c r="C13" s="14" t="str">
        <f>[7]С1.1!E13</f>
        <v>уголь (вид угля не указан в топливном балансе)</v>
      </c>
    </row>
    <row r="14" spans="1:3" ht="31.7" customHeight="1" thickBot="1" x14ac:dyDescent="0.25">
      <c r="A14" s="146" t="s">
        <v>4</v>
      </c>
      <c r="B14" s="146"/>
      <c r="C14" s="146"/>
    </row>
    <row r="15" spans="1:3" x14ac:dyDescent="0.2">
      <c r="A15" s="15" t="s">
        <v>5</v>
      </c>
      <c r="B15" s="113" t="s">
        <v>6</v>
      </c>
      <c r="C15" s="114" t="s">
        <v>7</v>
      </c>
    </row>
    <row r="16" spans="1:3" x14ac:dyDescent="0.2">
      <c r="A16" s="18">
        <v>1</v>
      </c>
      <c r="B16" s="115">
        <v>2</v>
      </c>
      <c r="C16" s="116">
        <v>3</v>
      </c>
    </row>
    <row r="17" spans="1:3" x14ac:dyDescent="0.2">
      <c r="A17" s="21">
        <v>1</v>
      </c>
      <c r="B17" s="22" t="s">
        <v>8</v>
      </c>
      <c r="C17" s="23">
        <f>SUM(C18:C22)</f>
        <v>3536.0020620875512</v>
      </c>
    </row>
    <row r="18" spans="1:3" ht="42.75" x14ac:dyDescent="0.2">
      <c r="A18" s="21" t="s">
        <v>9</v>
      </c>
      <c r="B18" s="24" t="s">
        <v>10</v>
      </c>
      <c r="C18" s="25">
        <f>[7]С1!F12</f>
        <v>681.72722270675411</v>
      </c>
    </row>
    <row r="19" spans="1:3" ht="42.75" x14ac:dyDescent="0.2">
      <c r="A19" s="21" t="s">
        <v>11</v>
      </c>
      <c r="B19" s="24" t="s">
        <v>12</v>
      </c>
      <c r="C19" s="25">
        <f>[7]С2!F12</f>
        <v>1979.0048693777144</v>
      </c>
    </row>
    <row r="20" spans="1:3" ht="30" x14ac:dyDescent="0.2">
      <c r="A20" s="21" t="s">
        <v>13</v>
      </c>
      <c r="B20" s="24" t="s">
        <v>14</v>
      </c>
      <c r="C20" s="25">
        <f>[7]С3!F12</f>
        <v>470.00338548559591</v>
      </c>
    </row>
    <row r="21" spans="1:3" ht="42.75" x14ac:dyDescent="0.2">
      <c r="A21" s="21" t="s">
        <v>15</v>
      </c>
      <c r="B21" s="24" t="s">
        <v>226</v>
      </c>
      <c r="C21" s="25">
        <f>[7]С4!F12</f>
        <v>335.93321075106411</v>
      </c>
    </row>
    <row r="22" spans="1:3" ht="30" x14ac:dyDescent="0.2">
      <c r="A22" s="21" t="s">
        <v>17</v>
      </c>
      <c r="B22" s="24" t="s">
        <v>227</v>
      </c>
      <c r="C22" s="25">
        <f>[7]С5!F12</f>
        <v>69.333373766422582</v>
      </c>
    </row>
    <row r="23" spans="1:3" ht="43.5" thickBot="1" x14ac:dyDescent="0.25">
      <c r="A23" s="26" t="s">
        <v>19</v>
      </c>
      <c r="B23" s="140" t="s">
        <v>228</v>
      </c>
      <c r="C23" s="27" t="str">
        <f>[7]С6!F12</f>
        <v>-</v>
      </c>
    </row>
    <row r="24" spans="1:3" ht="13.5" thickBot="1" x14ac:dyDescent="0.25">
      <c r="A24" s="1"/>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229</v>
      </c>
      <c r="C28" s="32">
        <f>[7]С1.1!E16</f>
        <v>5100</v>
      </c>
    </row>
    <row r="29" spans="1:3" ht="42.75" x14ac:dyDescent="0.2">
      <c r="A29" s="21" t="s">
        <v>11</v>
      </c>
      <c r="B29" s="31" t="s">
        <v>230</v>
      </c>
      <c r="C29" s="32">
        <f>[7]С1.1!E27</f>
        <v>3063.03</v>
      </c>
    </row>
    <row r="30" spans="1:3" ht="17.25" x14ac:dyDescent="0.2">
      <c r="A30" s="21" t="s">
        <v>13</v>
      </c>
      <c r="B30" s="31" t="s">
        <v>30</v>
      </c>
      <c r="C30" s="34">
        <f>[7]С1.1!E19</f>
        <v>-0.19900000000000001</v>
      </c>
    </row>
    <row r="31" spans="1:3" ht="17.25" x14ac:dyDescent="0.2">
      <c r="A31" s="21" t="s">
        <v>15</v>
      </c>
      <c r="B31" s="31" t="s">
        <v>31</v>
      </c>
      <c r="C31" s="34">
        <f>[7]С1.1!E20</f>
        <v>5.7000000000000002E-2</v>
      </c>
    </row>
    <row r="32" spans="1:3" ht="30" x14ac:dyDescent="0.2">
      <c r="A32" s="21" t="s">
        <v>17</v>
      </c>
      <c r="B32" s="35" t="s">
        <v>231</v>
      </c>
      <c r="C32" s="117">
        <f>[7]С1!F13</f>
        <v>176.4</v>
      </c>
    </row>
    <row r="33" spans="1:3" x14ac:dyDescent="0.2">
      <c r="A33" s="21" t="s">
        <v>19</v>
      </c>
      <c r="B33" s="35" t="s">
        <v>33</v>
      </c>
      <c r="C33" s="37">
        <f>[7]С1!F16</f>
        <v>7000</v>
      </c>
    </row>
    <row r="34" spans="1:3" ht="14.25" x14ac:dyDescent="0.2">
      <c r="A34" s="21" t="s">
        <v>34</v>
      </c>
      <c r="B34" s="39" t="s">
        <v>232</v>
      </c>
      <c r="C34" s="40">
        <f>[7]С1!F17</f>
        <v>0.72857142857142854</v>
      </c>
    </row>
    <row r="35" spans="1:3" ht="15.75" x14ac:dyDescent="0.2">
      <c r="A35" s="118" t="s">
        <v>36</v>
      </c>
      <c r="B35" s="42" t="s">
        <v>37</v>
      </c>
      <c r="C35" s="40">
        <f>[7]С1!F20</f>
        <v>21.588411179999994</v>
      </c>
    </row>
    <row r="36" spans="1:3" ht="15.75" x14ac:dyDescent="0.2">
      <c r="A36" s="118" t="s">
        <v>38</v>
      </c>
      <c r="B36" s="43" t="s">
        <v>39</v>
      </c>
      <c r="C36" s="40">
        <f>[7]С1!F21</f>
        <v>20.818139999999996</v>
      </c>
    </row>
    <row r="37" spans="1:3" ht="14.25" x14ac:dyDescent="0.2">
      <c r="A37" s="118" t="s">
        <v>40</v>
      </c>
      <c r="B37" s="44" t="s">
        <v>41</v>
      </c>
      <c r="C37" s="40">
        <f>[7]С1!F22</f>
        <v>1.0369999999999999</v>
      </c>
    </row>
    <row r="38" spans="1:3" ht="53.25" thickBot="1" x14ac:dyDescent="0.25">
      <c r="A38" s="26" t="s">
        <v>42</v>
      </c>
      <c r="B38" s="45" t="s">
        <v>43</v>
      </c>
      <c r="C38" s="46">
        <f>[7]С1!F23</f>
        <v>1.0469999999999999</v>
      </c>
    </row>
    <row r="39" spans="1:3" ht="13.5" thickBot="1" x14ac:dyDescent="0.25">
      <c r="A39" s="47"/>
      <c r="B39" s="119"/>
      <c r="C39" s="120"/>
    </row>
    <row r="40" spans="1:3" ht="30" customHeight="1" x14ac:dyDescent="0.2">
      <c r="A40" s="49" t="s">
        <v>44</v>
      </c>
      <c r="B40" s="145" t="s">
        <v>45</v>
      </c>
      <c r="C40" s="145"/>
    </row>
    <row r="41" spans="1:3" ht="25.5" x14ac:dyDescent="0.2">
      <c r="A41" s="21" t="s">
        <v>46</v>
      </c>
      <c r="B41" s="35" t="s">
        <v>47</v>
      </c>
      <c r="C41" s="50" t="str">
        <f>[7]С2.1!E12</f>
        <v>V</v>
      </c>
    </row>
    <row r="42" spans="1:3" ht="25.5" x14ac:dyDescent="0.2">
      <c r="A42" s="21" t="s">
        <v>48</v>
      </c>
      <c r="B42" s="31" t="s">
        <v>49</v>
      </c>
      <c r="C42" s="50" t="str">
        <f>[7]С2.1!E13</f>
        <v>6 и менее баллов</v>
      </c>
    </row>
    <row r="43" spans="1:3" ht="25.5" x14ac:dyDescent="0.2">
      <c r="A43" s="21" t="s">
        <v>50</v>
      </c>
      <c r="B43" s="31" t="s">
        <v>233</v>
      </c>
      <c r="C43" s="50" t="str">
        <f>[7]С2.1!E14</f>
        <v>от 200 до 500</v>
      </c>
    </row>
    <row r="44" spans="1:3" ht="25.5" x14ac:dyDescent="0.2">
      <c r="A44" s="21" t="s">
        <v>52</v>
      </c>
      <c r="B44" s="31" t="s">
        <v>234</v>
      </c>
      <c r="C44" s="51" t="str">
        <f>[7]С2.1!E15</f>
        <v>нет</v>
      </c>
    </row>
    <row r="45" spans="1:3" ht="30" x14ac:dyDescent="0.2">
      <c r="A45" s="21" t="s">
        <v>54</v>
      </c>
      <c r="B45" s="31" t="s">
        <v>55</v>
      </c>
      <c r="C45" s="32">
        <f>[7]С2!F18</f>
        <v>35106.652004551666</v>
      </c>
    </row>
    <row r="46" spans="1:3" ht="30" x14ac:dyDescent="0.2">
      <c r="A46" s="21" t="s">
        <v>56</v>
      </c>
      <c r="B46" s="52" t="s">
        <v>57</v>
      </c>
      <c r="C46" s="32">
        <f>IF([7]С2!F19&gt;0,[7]С2!F19,[7]С2!F20)</f>
        <v>23441.524932855718</v>
      </c>
    </row>
    <row r="47" spans="1:3" ht="25.5" x14ac:dyDescent="0.2">
      <c r="A47" s="21" t="s">
        <v>58</v>
      </c>
      <c r="B47" s="53" t="s">
        <v>59</v>
      </c>
      <c r="C47" s="32">
        <f>[7]С2.1!E19</f>
        <v>-38</v>
      </c>
    </row>
    <row r="48" spans="1:3" ht="25.5" x14ac:dyDescent="0.2">
      <c r="A48" s="21" t="s">
        <v>60</v>
      </c>
      <c r="B48" s="53" t="s">
        <v>61</v>
      </c>
      <c r="C48" s="32" t="str">
        <f>[7]С2.1!E22</f>
        <v>нет</v>
      </c>
    </row>
    <row r="49" spans="1:3" ht="38.25" x14ac:dyDescent="0.2">
      <c r="A49" s="21" t="s">
        <v>62</v>
      </c>
      <c r="B49" s="54" t="s">
        <v>63</v>
      </c>
      <c r="C49" s="32">
        <f>[7]С2.2!E10</f>
        <v>1287</v>
      </c>
    </row>
    <row r="50" spans="1:3" ht="25.5" x14ac:dyDescent="0.2">
      <c r="A50" s="21" t="s">
        <v>64</v>
      </c>
      <c r="B50" s="55" t="s">
        <v>65</v>
      </c>
      <c r="C50" s="32">
        <f>[7]С2.2!E12</f>
        <v>5.97</v>
      </c>
    </row>
    <row r="51" spans="1:3" ht="52.5" x14ac:dyDescent="0.2">
      <c r="A51" s="21" t="s">
        <v>66</v>
      </c>
      <c r="B51" s="56" t="s">
        <v>67</v>
      </c>
      <c r="C51" s="32">
        <f>[7]С2.2!E13</f>
        <v>1</v>
      </c>
    </row>
    <row r="52" spans="1:3" ht="27.75" x14ac:dyDescent="0.2">
      <c r="A52" s="21" t="s">
        <v>68</v>
      </c>
      <c r="B52" s="55" t="s">
        <v>69</v>
      </c>
      <c r="C52" s="32">
        <f>[7]С2.2!E14</f>
        <v>12104</v>
      </c>
    </row>
    <row r="53" spans="1:3" ht="25.5" x14ac:dyDescent="0.2">
      <c r="A53" s="21" t="s">
        <v>70</v>
      </c>
      <c r="B53" s="56" t="s">
        <v>71</v>
      </c>
      <c r="C53" s="34">
        <f>[7]С2.2!E15</f>
        <v>4.8000000000000001E-2</v>
      </c>
    </row>
    <row r="54" spans="1:3" x14ac:dyDescent="0.2">
      <c r="A54" s="21" t="s">
        <v>72</v>
      </c>
      <c r="B54" s="56" t="s">
        <v>73</v>
      </c>
      <c r="C54" s="32">
        <f>[7]С2.2!E16</f>
        <v>1</v>
      </c>
    </row>
    <row r="55" spans="1:3" ht="15.75" x14ac:dyDescent="0.2">
      <c r="A55" s="21" t="s">
        <v>74</v>
      </c>
      <c r="B55" s="58" t="s">
        <v>75</v>
      </c>
      <c r="C55" s="32">
        <f>[7]С2!F21</f>
        <v>1</v>
      </c>
    </row>
    <row r="56" spans="1:3" ht="30" x14ac:dyDescent="0.2">
      <c r="A56" s="59" t="s">
        <v>76</v>
      </c>
      <c r="B56" s="31" t="s">
        <v>235</v>
      </c>
      <c r="C56" s="32">
        <f>[7]С2!F13</f>
        <v>183796.83936385796</v>
      </c>
    </row>
    <row r="57" spans="1:3" ht="30" x14ac:dyDescent="0.2">
      <c r="A57" s="59" t="s">
        <v>78</v>
      </c>
      <c r="B57" s="58" t="s">
        <v>236</v>
      </c>
      <c r="C57" s="32">
        <f>[7]С2!F14</f>
        <v>113455</v>
      </c>
    </row>
    <row r="58" spans="1:3" ht="15.75" x14ac:dyDescent="0.2">
      <c r="A58" s="59" t="s">
        <v>80</v>
      </c>
      <c r="B58" s="60" t="s">
        <v>81</v>
      </c>
      <c r="C58" s="40">
        <f>[7]С2!F15</f>
        <v>1.071</v>
      </c>
    </row>
    <row r="59" spans="1:3" ht="15.75" x14ac:dyDescent="0.2">
      <c r="A59" s="59" t="s">
        <v>82</v>
      </c>
      <c r="B59" s="60" t="s">
        <v>83</v>
      </c>
      <c r="C59" s="40">
        <f>[7]С2!F16</f>
        <v>1</v>
      </c>
    </row>
    <row r="60" spans="1:3" ht="17.25" x14ac:dyDescent="0.2">
      <c r="A60" s="59" t="s">
        <v>84</v>
      </c>
      <c r="B60" s="58" t="s">
        <v>85</v>
      </c>
      <c r="C60" s="32">
        <f>[7]С2!F17</f>
        <v>1.01</v>
      </c>
    </row>
    <row r="61" spans="1:3" s="65" customFormat="1" ht="14.25" x14ac:dyDescent="0.2">
      <c r="A61" s="59" t="s">
        <v>86</v>
      </c>
      <c r="B61" s="63" t="s">
        <v>87</v>
      </c>
      <c r="C61" s="64">
        <f>[7]С2!F33</f>
        <v>10</v>
      </c>
    </row>
    <row r="62" spans="1:3" ht="30" x14ac:dyDescent="0.2">
      <c r="A62" s="59" t="s">
        <v>88</v>
      </c>
      <c r="B62" s="66" t="s">
        <v>89</v>
      </c>
      <c r="C62" s="32">
        <f>[7]С2!F26</f>
        <v>0</v>
      </c>
    </row>
    <row r="63" spans="1:3" ht="17.25" x14ac:dyDescent="0.2">
      <c r="A63" s="59" t="s">
        <v>90</v>
      </c>
      <c r="B63" s="52" t="s">
        <v>237</v>
      </c>
      <c r="C63" s="32">
        <f>[7]С2!F27</f>
        <v>0</v>
      </c>
    </row>
    <row r="64" spans="1:3" ht="17.25" x14ac:dyDescent="0.2">
      <c r="A64" s="59" t="s">
        <v>92</v>
      </c>
      <c r="B64" s="58" t="s">
        <v>238</v>
      </c>
      <c r="C64" s="64">
        <f>[7]С2!F28</f>
        <v>4200</v>
      </c>
    </row>
    <row r="65" spans="1:3" ht="42.75" x14ac:dyDescent="0.2">
      <c r="A65" s="59" t="s">
        <v>94</v>
      </c>
      <c r="B65" s="31" t="s">
        <v>239</v>
      </c>
      <c r="C65" s="32">
        <f>[7]С2!F22</f>
        <v>38698.422798410109</v>
      </c>
    </row>
    <row r="66" spans="1:3" ht="30" x14ac:dyDescent="0.2">
      <c r="A66" s="59" t="s">
        <v>96</v>
      </c>
      <c r="B66" s="60" t="s">
        <v>240</v>
      </c>
      <c r="C66" s="32">
        <f>[7]С2!F23</f>
        <v>1990</v>
      </c>
    </row>
    <row r="67" spans="1:3" ht="30" x14ac:dyDescent="0.2">
      <c r="A67" s="59" t="s">
        <v>98</v>
      </c>
      <c r="B67" s="52" t="s">
        <v>99</v>
      </c>
      <c r="C67" s="32">
        <f>[7]С2.1!E27</f>
        <v>14307.876789999998</v>
      </c>
    </row>
    <row r="68" spans="1:3" ht="38.25" x14ac:dyDescent="0.2">
      <c r="A68" s="59" t="s">
        <v>100</v>
      </c>
      <c r="B68" s="67" t="s">
        <v>101</v>
      </c>
      <c r="C68" s="51">
        <f>[7]С2.3!E21</f>
        <v>0</v>
      </c>
    </row>
    <row r="69" spans="1:3" ht="25.5" x14ac:dyDescent="0.2">
      <c r="A69" s="59" t="s">
        <v>102</v>
      </c>
      <c r="B69" s="68" t="s">
        <v>103</v>
      </c>
      <c r="C69" s="69">
        <f>[7]С2.3!E11</f>
        <v>9.89</v>
      </c>
    </row>
    <row r="70" spans="1:3" ht="25.5" x14ac:dyDescent="0.2">
      <c r="A70" s="59" t="s">
        <v>104</v>
      </c>
      <c r="B70" s="68" t="s">
        <v>105</v>
      </c>
      <c r="C70" s="64">
        <f>[7]С2.3!E13</f>
        <v>300</v>
      </c>
    </row>
    <row r="71" spans="1:3" ht="25.5" x14ac:dyDescent="0.2">
      <c r="A71" s="59" t="s">
        <v>106</v>
      </c>
      <c r="B71" s="67" t="s">
        <v>107</v>
      </c>
      <c r="C71" s="70">
        <f>IF([7]С2.3!E22&gt;0,[7]С2.3!E22,[7]С2.3!E14)</f>
        <v>61211</v>
      </c>
    </row>
    <row r="72" spans="1:3" ht="38.25" x14ac:dyDescent="0.2">
      <c r="A72" s="59" t="s">
        <v>108</v>
      </c>
      <c r="B72" s="67" t="s">
        <v>109</v>
      </c>
      <c r="C72" s="70">
        <f>IF([7]С2.3!E23&gt;0,[7]С2.3!E23,[7]С2.3!E15)</f>
        <v>45675</v>
      </c>
    </row>
    <row r="73" spans="1:3" ht="30" x14ac:dyDescent="0.2">
      <c r="A73" s="59" t="s">
        <v>110</v>
      </c>
      <c r="B73" s="52" t="s">
        <v>111</v>
      </c>
      <c r="C73" s="32">
        <f>[7]С2.1!E28</f>
        <v>9541.9567200000001</v>
      </c>
    </row>
    <row r="74" spans="1:3" ht="38.25" x14ac:dyDescent="0.2">
      <c r="A74" s="59" t="s">
        <v>112</v>
      </c>
      <c r="B74" s="67" t="s">
        <v>113</v>
      </c>
      <c r="C74" s="51">
        <f>[7]С2.3!E25</f>
        <v>0</v>
      </c>
    </row>
    <row r="75" spans="1:3" ht="25.5" x14ac:dyDescent="0.2">
      <c r="A75" s="59" t="s">
        <v>114</v>
      </c>
      <c r="B75" s="68" t="s">
        <v>115</v>
      </c>
      <c r="C75" s="69">
        <f>[7]С2.3!E12</f>
        <v>0.56000000000000005</v>
      </c>
    </row>
    <row r="76" spans="1:3" ht="25.5" x14ac:dyDescent="0.2">
      <c r="A76" s="59" t="s">
        <v>116</v>
      </c>
      <c r="B76" s="68" t="s">
        <v>105</v>
      </c>
      <c r="C76" s="64">
        <f>[7]С2.3!E13</f>
        <v>300</v>
      </c>
    </row>
    <row r="77" spans="1:3" ht="25.5" x14ac:dyDescent="0.2">
      <c r="A77" s="59" t="s">
        <v>117</v>
      </c>
      <c r="B77" s="71" t="s">
        <v>118</v>
      </c>
      <c r="C77" s="70">
        <f>IF([7]С2.3!E26&gt;0,[7]С2.3!E26,[7]С2.3!E16)</f>
        <v>65637</v>
      </c>
    </row>
    <row r="78" spans="1:3" ht="38.25" x14ac:dyDescent="0.2">
      <c r="A78" s="59" t="s">
        <v>119</v>
      </c>
      <c r="B78" s="71" t="s">
        <v>120</v>
      </c>
      <c r="C78" s="70">
        <f>IF([7]С2.3!E27&gt;0,[7]С2.3!E27,[7]С2.3!E17)</f>
        <v>31684</v>
      </c>
    </row>
    <row r="79" spans="1:3" ht="17.25" x14ac:dyDescent="0.2">
      <c r="A79" s="59" t="s">
        <v>123</v>
      </c>
      <c r="B79" s="31" t="s">
        <v>124</v>
      </c>
      <c r="C79" s="34">
        <f>[7]С2!F29</f>
        <v>9.5962865259740182E-2</v>
      </c>
    </row>
    <row r="80" spans="1:3" ht="30" x14ac:dyDescent="0.2">
      <c r="A80" s="59" t="s">
        <v>125</v>
      </c>
      <c r="B80" s="52" t="s">
        <v>126</v>
      </c>
      <c r="C80" s="72">
        <f>[7]С2!F30</f>
        <v>8.4029304029304031E-2</v>
      </c>
    </row>
    <row r="81" spans="1:3" ht="17.25" x14ac:dyDescent="0.2">
      <c r="A81" s="59" t="s">
        <v>127</v>
      </c>
      <c r="B81" s="73" t="s">
        <v>128</v>
      </c>
      <c r="C81" s="34">
        <f>[7]С2!F31</f>
        <v>0.13880000000000001</v>
      </c>
    </row>
    <row r="82" spans="1:3" s="65" customFormat="1" ht="18" thickBot="1" x14ac:dyDescent="0.25">
      <c r="A82" s="74" t="s">
        <v>129</v>
      </c>
      <c r="B82" s="75" t="s">
        <v>130</v>
      </c>
      <c r="C82" s="76">
        <f>[7]С2!F32</f>
        <v>0.12640000000000001</v>
      </c>
    </row>
    <row r="83" spans="1:3" ht="13.5" thickBot="1" x14ac:dyDescent="0.25">
      <c r="A83" s="47"/>
      <c r="B83" s="48"/>
      <c r="C83" s="14"/>
    </row>
    <row r="84" spans="1:3" s="65" customFormat="1" ht="30" customHeight="1" x14ac:dyDescent="0.2">
      <c r="A84" s="77" t="s">
        <v>131</v>
      </c>
      <c r="B84" s="145" t="s">
        <v>132</v>
      </c>
      <c r="C84" s="145"/>
    </row>
    <row r="85" spans="1:3" s="65" customFormat="1" ht="30" x14ac:dyDescent="0.2">
      <c r="A85" s="78" t="s">
        <v>133</v>
      </c>
      <c r="B85" s="31" t="s">
        <v>134</v>
      </c>
      <c r="C85" s="32">
        <f>[7]С3!F14</f>
        <v>6006.4348717330786</v>
      </c>
    </row>
    <row r="86" spans="1:3" s="65" customFormat="1" ht="42.75" x14ac:dyDescent="0.2">
      <c r="A86" s="78" t="s">
        <v>135</v>
      </c>
      <c r="B86" s="52" t="s">
        <v>136</v>
      </c>
      <c r="C86" s="79">
        <f>[7]С3!F15</f>
        <v>0.2</v>
      </c>
    </row>
    <row r="87" spans="1:3" s="65" customFormat="1" ht="14.25" x14ac:dyDescent="0.2">
      <c r="A87" s="78" t="s">
        <v>137</v>
      </c>
      <c r="B87" s="80" t="s">
        <v>138</v>
      </c>
      <c r="C87" s="64">
        <f>[7]С3!F18</f>
        <v>15</v>
      </c>
    </row>
    <row r="88" spans="1:3" s="65" customFormat="1" ht="17.25" x14ac:dyDescent="0.2">
      <c r="A88" s="78" t="s">
        <v>139</v>
      </c>
      <c r="B88" s="31" t="s">
        <v>140</v>
      </c>
      <c r="C88" s="32">
        <f>[7]С3!F19</f>
        <v>3778.1614077800232</v>
      </c>
    </row>
    <row r="89" spans="1:3" s="65" customFormat="1" ht="55.5" x14ac:dyDescent="0.2">
      <c r="A89" s="78" t="s">
        <v>141</v>
      </c>
      <c r="B89" s="52" t="s">
        <v>142</v>
      </c>
      <c r="C89" s="81">
        <f>[7]С3!F20</f>
        <v>2.1999999999999999E-2</v>
      </c>
    </row>
    <row r="90" spans="1:3" s="65" customFormat="1" ht="14.25" x14ac:dyDescent="0.2">
      <c r="A90" s="78" t="s">
        <v>143</v>
      </c>
      <c r="B90" s="58" t="s">
        <v>87</v>
      </c>
      <c r="C90" s="64">
        <f>[7]С3!F21</f>
        <v>10</v>
      </c>
    </row>
    <row r="91" spans="1:3" s="65" customFormat="1" ht="17.25" x14ac:dyDescent="0.2">
      <c r="A91" s="78" t="s">
        <v>144</v>
      </c>
      <c r="B91" s="31" t="s">
        <v>145</v>
      </c>
      <c r="C91" s="32">
        <f>[7]С3!F22</f>
        <v>0</v>
      </c>
    </row>
    <row r="92" spans="1:3" s="65" customFormat="1" ht="55.5" x14ac:dyDescent="0.2">
      <c r="A92" s="78" t="s">
        <v>146</v>
      </c>
      <c r="B92" s="52" t="s">
        <v>147</v>
      </c>
      <c r="C92" s="81">
        <f>[7]С3!F23</f>
        <v>3.0000000000000001E-3</v>
      </c>
    </row>
    <row r="93" spans="1:3" s="65" customFormat="1" ht="27.75" thickBot="1" x14ac:dyDescent="0.25">
      <c r="A93" s="82" t="s">
        <v>148</v>
      </c>
      <c r="B93" s="83" t="s">
        <v>241</v>
      </c>
      <c r="C93" s="84">
        <f>[7]С3!F24</f>
        <v>0</v>
      </c>
    </row>
    <row r="94" spans="1:3" ht="13.5" thickBot="1" x14ac:dyDescent="0.25">
      <c r="A94" s="47"/>
      <c r="B94" s="48"/>
      <c r="C94" s="14"/>
    </row>
    <row r="95" spans="1:3" ht="30" customHeight="1" x14ac:dyDescent="0.2">
      <c r="A95" s="85" t="s">
        <v>149</v>
      </c>
      <c r="B95" s="145" t="s">
        <v>150</v>
      </c>
      <c r="C95" s="145"/>
    </row>
    <row r="96" spans="1:3" ht="30" x14ac:dyDescent="0.2">
      <c r="A96" s="59" t="s">
        <v>151</v>
      </c>
      <c r="B96" s="31" t="s">
        <v>242</v>
      </c>
      <c r="C96" s="32">
        <f>[7]С4!F16</f>
        <v>1652.5</v>
      </c>
    </row>
    <row r="97" spans="1:3" ht="30" x14ac:dyDescent="0.2">
      <c r="A97" s="59" t="s">
        <v>153</v>
      </c>
      <c r="B97" s="58" t="s">
        <v>243</v>
      </c>
      <c r="C97" s="32">
        <f>[7]С4!F17</f>
        <v>73547</v>
      </c>
    </row>
    <row r="98" spans="1:3" ht="17.25" x14ac:dyDescent="0.2">
      <c r="A98" s="59" t="s">
        <v>155</v>
      </c>
      <c r="B98" s="58" t="s">
        <v>156</v>
      </c>
      <c r="C98" s="40">
        <f>[7]С4!F18</f>
        <v>0.02</v>
      </c>
    </row>
    <row r="99" spans="1:3" ht="30" x14ac:dyDescent="0.2">
      <c r="A99" s="59" t="s">
        <v>157</v>
      </c>
      <c r="B99" s="58" t="s">
        <v>158</v>
      </c>
      <c r="C99" s="32">
        <f>[7]С4!F19</f>
        <v>12104</v>
      </c>
    </row>
    <row r="100" spans="1:3" ht="28.5" x14ac:dyDescent="0.2">
      <c r="A100" s="59" t="s">
        <v>159</v>
      </c>
      <c r="B100" s="58" t="s">
        <v>160</v>
      </c>
      <c r="C100" s="40">
        <f>[7]С4!F20</f>
        <v>1.4999999999999999E-2</v>
      </c>
    </row>
    <row r="101" spans="1:3" ht="30" x14ac:dyDescent="0.2">
      <c r="A101" s="59" t="s">
        <v>161</v>
      </c>
      <c r="B101" s="31" t="s">
        <v>244</v>
      </c>
      <c r="C101" s="32">
        <f>[7]С4!F21</f>
        <v>1933.1949342509995</v>
      </c>
    </row>
    <row r="102" spans="1:3" ht="24" customHeight="1" x14ac:dyDescent="0.2">
      <c r="A102" s="59" t="s">
        <v>163</v>
      </c>
      <c r="B102" s="52" t="s">
        <v>164</v>
      </c>
      <c r="C102" s="33">
        <f>IF([7]С4.2!F8="да",[7]С4.2!D21,[7]С4.2!D15)</f>
        <v>0</v>
      </c>
    </row>
    <row r="103" spans="1:3" ht="68.25" x14ac:dyDescent="0.2">
      <c r="A103" s="59" t="s">
        <v>165</v>
      </c>
      <c r="B103" s="52" t="s">
        <v>166</v>
      </c>
      <c r="C103" s="32">
        <f>[7]С4!F22</f>
        <v>3.6112641666666665</v>
      </c>
    </row>
    <row r="104" spans="1:3" ht="30" x14ac:dyDescent="0.2">
      <c r="A104" s="59" t="s">
        <v>167</v>
      </c>
      <c r="B104" s="58" t="s">
        <v>245</v>
      </c>
      <c r="C104" s="32">
        <f>[7]С4!F23</f>
        <v>180</v>
      </c>
    </row>
    <row r="105" spans="1:3" ht="14.25" x14ac:dyDescent="0.2">
      <c r="A105" s="59" t="s">
        <v>169</v>
      </c>
      <c r="B105" s="52" t="s">
        <v>170</v>
      </c>
      <c r="C105" s="32">
        <f>[7]С4!F24</f>
        <v>8497.1999999999989</v>
      </c>
    </row>
    <row r="106" spans="1:3" ht="14.25" x14ac:dyDescent="0.2">
      <c r="A106" s="59" t="s">
        <v>171</v>
      </c>
      <c r="B106" s="58" t="s">
        <v>172</v>
      </c>
      <c r="C106" s="40">
        <f>[7]С4!F25</f>
        <v>0.35</v>
      </c>
    </row>
    <row r="107" spans="1:3" ht="17.25" x14ac:dyDescent="0.2">
      <c r="A107" s="59" t="s">
        <v>173</v>
      </c>
      <c r="B107" s="31" t="s">
        <v>174</v>
      </c>
      <c r="C107" s="32">
        <f>[7]С4!F26</f>
        <v>0</v>
      </c>
    </row>
    <row r="108" spans="1:3" ht="25.5" x14ac:dyDescent="0.2">
      <c r="A108" s="59" t="s">
        <v>175</v>
      </c>
      <c r="B108" s="52" t="s">
        <v>101</v>
      </c>
      <c r="C108" s="33">
        <f>[7]С4.3!E16</f>
        <v>0</v>
      </c>
    </row>
    <row r="109" spans="1:3" ht="25.5" x14ac:dyDescent="0.2">
      <c r="A109" s="59" t="s">
        <v>176</v>
      </c>
      <c r="B109" s="52" t="s">
        <v>177</v>
      </c>
      <c r="C109" s="32">
        <f>[7]С4.3!E17</f>
        <v>0</v>
      </c>
    </row>
    <row r="110" spans="1:3" ht="38.25" x14ac:dyDescent="0.2">
      <c r="A110" s="59" t="s">
        <v>178</v>
      </c>
      <c r="B110" s="52" t="s">
        <v>113</v>
      </c>
      <c r="C110" s="33">
        <f>[7]С4.3!E18</f>
        <v>0</v>
      </c>
    </row>
    <row r="111" spans="1:3" x14ac:dyDescent="0.2">
      <c r="A111" s="59" t="s">
        <v>179</v>
      </c>
      <c r="B111" s="52" t="s">
        <v>180</v>
      </c>
      <c r="C111" s="32">
        <f>[7]С4.3!E19</f>
        <v>0</v>
      </c>
    </row>
    <row r="112" spans="1:3" x14ac:dyDescent="0.2">
      <c r="A112" s="59" t="s">
        <v>181</v>
      </c>
      <c r="B112" s="58" t="s">
        <v>182</v>
      </c>
      <c r="C112" s="32">
        <f>[7]С4.3!E11</f>
        <v>1871</v>
      </c>
    </row>
    <row r="113" spans="1:3" x14ac:dyDescent="0.2">
      <c r="A113" s="59" t="s">
        <v>183</v>
      </c>
      <c r="B113" s="58" t="s">
        <v>184</v>
      </c>
      <c r="C113" s="51">
        <f>[7]С4.3!E12</f>
        <v>1636</v>
      </c>
    </row>
    <row r="114" spans="1:3" x14ac:dyDescent="0.2">
      <c r="A114" s="59" t="s">
        <v>185</v>
      </c>
      <c r="B114" s="58" t="s">
        <v>186</v>
      </c>
      <c r="C114" s="51">
        <f>[7]С4.3!E13</f>
        <v>204</v>
      </c>
    </row>
    <row r="115" spans="1:3" ht="30" x14ac:dyDescent="0.2">
      <c r="A115" s="59" t="s">
        <v>187</v>
      </c>
      <c r="B115" s="31" t="s">
        <v>246</v>
      </c>
      <c r="C115" s="32">
        <f>[7]С4!F27</f>
        <v>0</v>
      </c>
    </row>
    <row r="116" spans="1:3" ht="25.5" x14ac:dyDescent="0.2">
      <c r="A116" s="59" t="s">
        <v>189</v>
      </c>
      <c r="B116" s="52" t="s">
        <v>247</v>
      </c>
      <c r="C116" s="32">
        <f>[7]С4!F28</f>
        <v>0</v>
      </c>
    </row>
    <row r="117" spans="1:3" ht="42.75" x14ac:dyDescent="0.2">
      <c r="A117" s="59" t="s">
        <v>191</v>
      </c>
      <c r="B117" s="52" t="s">
        <v>192</v>
      </c>
      <c r="C117" s="32">
        <f>[7]С4!F29</f>
        <v>0</v>
      </c>
    </row>
    <row r="118" spans="1:3" ht="30" x14ac:dyDescent="0.2">
      <c r="A118" s="59" t="s">
        <v>193</v>
      </c>
      <c r="B118" s="39" t="s">
        <v>194</v>
      </c>
      <c r="C118" s="32">
        <f>[7]С4!F30</f>
        <v>1623.4723888288027</v>
      </c>
    </row>
    <row r="119" spans="1:3" ht="42.75" x14ac:dyDescent="0.2">
      <c r="A119" s="59" t="s">
        <v>248</v>
      </c>
      <c r="B119" s="89" t="s">
        <v>249</v>
      </c>
      <c r="C119" s="32">
        <f>[7]С4!F33</f>
        <v>1010.5011744884268</v>
      </c>
    </row>
    <row r="120" spans="1:3" ht="30" x14ac:dyDescent="0.2">
      <c r="A120" s="59" t="s">
        <v>250</v>
      </c>
      <c r="B120" s="121" t="s">
        <v>251</v>
      </c>
      <c r="C120" s="32">
        <f>[7]С4!F35</f>
        <v>17.040680999999999</v>
      </c>
    </row>
    <row r="121" spans="1:3" ht="14.25" x14ac:dyDescent="0.2">
      <c r="A121" s="59" t="s">
        <v>252</v>
      </c>
      <c r="B121" s="55" t="s">
        <v>253</v>
      </c>
      <c r="C121" s="32">
        <f>[7]С4!F36</f>
        <v>14319.9</v>
      </c>
    </row>
    <row r="122" spans="1:3" ht="28.5" thickBot="1" x14ac:dyDescent="0.25">
      <c r="A122" s="74" t="s">
        <v>254</v>
      </c>
      <c r="B122" s="122" t="s">
        <v>255</v>
      </c>
      <c r="C122" s="84">
        <f>[7]С4!F37</f>
        <v>1.19</v>
      </c>
    </row>
    <row r="123" spans="1:3" s="87" customFormat="1" ht="13.5" thickBot="1" x14ac:dyDescent="0.25">
      <c r="A123" s="47"/>
      <c r="B123" s="48"/>
      <c r="C123" s="14"/>
    </row>
    <row r="124" spans="1:3" s="65" customFormat="1" ht="30" customHeight="1" x14ac:dyDescent="0.2">
      <c r="A124" s="77" t="s">
        <v>195</v>
      </c>
      <c r="B124" s="145" t="s">
        <v>196</v>
      </c>
      <c r="C124" s="145"/>
    </row>
    <row r="125" spans="1:3" ht="16.5" thickBot="1" x14ac:dyDescent="0.25">
      <c r="A125" s="26" t="s">
        <v>197</v>
      </c>
      <c r="B125" s="86" t="s">
        <v>198</v>
      </c>
      <c r="C125" s="84">
        <f>[7]С5!F17</f>
        <v>0.02</v>
      </c>
    </row>
    <row r="126" spans="1:3" s="87" customFormat="1" ht="13.5" thickBot="1" x14ac:dyDescent="0.25">
      <c r="A126" s="47"/>
      <c r="B126" s="48"/>
      <c r="C126" s="14"/>
    </row>
    <row r="127" spans="1:3" ht="42.75" customHeight="1" x14ac:dyDescent="0.2">
      <c r="A127" s="85" t="s">
        <v>199</v>
      </c>
      <c r="B127" s="147" t="s">
        <v>200</v>
      </c>
      <c r="C127" s="147"/>
    </row>
    <row r="128" spans="1:3" ht="68.25" x14ac:dyDescent="0.2">
      <c r="A128" s="59" t="s">
        <v>201</v>
      </c>
      <c r="B128" s="88" t="s">
        <v>202</v>
      </c>
      <c r="C128" s="32" t="s">
        <v>256</v>
      </c>
    </row>
    <row r="129" spans="1:3" ht="42.75" hidden="1" x14ac:dyDescent="0.2">
      <c r="A129" s="59" t="s">
        <v>203</v>
      </c>
      <c r="B129" s="89" t="s">
        <v>204</v>
      </c>
      <c r="C129" s="90"/>
    </row>
    <row r="130" spans="1:3" ht="69" thickBot="1" x14ac:dyDescent="0.25">
      <c r="A130" s="74" t="s">
        <v>205</v>
      </c>
      <c r="B130" s="123" t="s">
        <v>206</v>
      </c>
      <c r="C130" s="124" t="s">
        <v>256</v>
      </c>
    </row>
    <row r="131" spans="1:3" ht="62.25" hidden="1" customHeight="1" x14ac:dyDescent="0.2">
      <c r="A131" s="125" t="s">
        <v>207</v>
      </c>
      <c r="B131" s="126" t="s">
        <v>208</v>
      </c>
      <c r="C131" s="127"/>
    </row>
    <row r="132" spans="1:3" ht="68.25" hidden="1" x14ac:dyDescent="0.2">
      <c r="A132" s="59" t="s">
        <v>209</v>
      </c>
      <c r="B132" s="89" t="s">
        <v>257</v>
      </c>
      <c r="C132" s="34"/>
    </row>
    <row r="133" spans="1:3" ht="69" hidden="1" thickBot="1" x14ac:dyDescent="0.25">
      <c r="A133" s="74" t="s">
        <v>211</v>
      </c>
      <c r="B133" s="92" t="s">
        <v>212</v>
      </c>
      <c r="C133" s="76"/>
    </row>
    <row r="134" spans="1:3" s="87" customFormat="1" ht="13.5" thickBot="1" x14ac:dyDescent="0.25">
      <c r="A134" s="47"/>
      <c r="B134" s="48"/>
      <c r="C134" s="14"/>
    </row>
    <row r="135" spans="1:3" ht="26.25" customHeight="1" x14ac:dyDescent="0.2">
      <c r="A135" s="85" t="s">
        <v>213</v>
      </c>
      <c r="B135" s="93" t="s">
        <v>214</v>
      </c>
      <c r="C135" s="94">
        <f>[7]С2!F37</f>
        <v>20.818139999999996</v>
      </c>
    </row>
    <row r="136" spans="1:3" ht="14.25" x14ac:dyDescent="0.2">
      <c r="A136" s="59" t="s">
        <v>215</v>
      </c>
      <c r="B136" s="128" t="s">
        <v>216</v>
      </c>
      <c r="C136" s="32">
        <f>[7]С2!F38</f>
        <v>7</v>
      </c>
    </row>
    <row r="137" spans="1:3" ht="17.25" x14ac:dyDescent="0.2">
      <c r="A137" s="59" t="s">
        <v>217</v>
      </c>
      <c r="B137" s="128" t="s">
        <v>218</v>
      </c>
      <c r="C137" s="32">
        <f>[7]С2!F40</f>
        <v>0.97</v>
      </c>
    </row>
    <row r="138" spans="1:3" ht="15" thickBot="1" x14ac:dyDescent="0.25">
      <c r="A138" s="74" t="s">
        <v>219</v>
      </c>
      <c r="B138" s="129" t="s">
        <v>220</v>
      </c>
      <c r="C138" s="46">
        <f>[7]С2!F42</f>
        <v>0.35</v>
      </c>
    </row>
    <row r="139" spans="1:3" s="87" customFormat="1" ht="13.5" thickBot="1" x14ac:dyDescent="0.25">
      <c r="A139" s="47"/>
      <c r="B139" s="48"/>
      <c r="C139" s="14"/>
    </row>
    <row r="140" spans="1:3" ht="30" x14ac:dyDescent="0.2">
      <c r="A140" s="85" t="s">
        <v>221</v>
      </c>
      <c r="B140" s="95" t="s">
        <v>258</v>
      </c>
      <c r="C140" s="130">
        <f>[7]С2!F35</f>
        <v>1.4976266307379205</v>
      </c>
    </row>
    <row r="141" spans="1:3" ht="22.7" customHeight="1" thickBot="1" x14ac:dyDescent="0.25">
      <c r="A141" s="74" t="s">
        <v>223</v>
      </c>
      <c r="B141" s="141" t="s">
        <v>224</v>
      </c>
      <c r="C141" s="141"/>
    </row>
    <row r="142" spans="1:3" ht="13.5" thickBot="1" x14ac:dyDescent="0.25">
      <c r="A142" s="97"/>
      <c r="B142" s="131" t="s">
        <v>0</v>
      </c>
      <c r="C142" s="132"/>
    </row>
    <row r="143" spans="1:3" x14ac:dyDescent="0.2">
      <c r="A143" s="97"/>
      <c r="B143" s="133">
        <v>2020</v>
      </c>
      <c r="C143" s="134">
        <f>[7]С2.5!$E$11</f>
        <v>-2.9000000000000026E-2</v>
      </c>
    </row>
    <row r="144" spans="1:3" x14ac:dyDescent="0.2">
      <c r="A144" s="97"/>
      <c r="B144" s="104">
        <f>B143+1</f>
        <v>2021</v>
      </c>
      <c r="C144" s="135">
        <f>[7]С2.5!$F$11</f>
        <v>0.245</v>
      </c>
    </row>
    <row r="145" spans="1:3" x14ac:dyDescent="0.2">
      <c r="A145" s="97"/>
      <c r="B145" s="104">
        <f t="shared" ref="B145:B208" si="0">B144+1</f>
        <v>2022</v>
      </c>
      <c r="C145" s="135">
        <f>[7]С2.5!$G$11</f>
        <v>0.114</v>
      </c>
    </row>
    <row r="146" spans="1:3" ht="13.5" thickBot="1" x14ac:dyDescent="0.25">
      <c r="A146" s="97"/>
      <c r="B146" s="106">
        <f t="shared" si="0"/>
        <v>2023</v>
      </c>
      <c r="C146" s="136">
        <f>[7]С2.5!$H$11</f>
        <v>2.4E-2</v>
      </c>
    </row>
    <row r="147" spans="1:3" x14ac:dyDescent="0.2">
      <c r="A147" s="97"/>
      <c r="B147" s="137">
        <f t="shared" si="0"/>
        <v>2024</v>
      </c>
      <c r="C147" s="138">
        <f>[7]С2.5!$I$11</f>
        <v>8.5999999999999993E-2</v>
      </c>
    </row>
    <row r="148" spans="1:3" hidden="1" x14ac:dyDescent="0.2">
      <c r="A148" s="97"/>
      <c r="B148" s="104">
        <f t="shared" si="0"/>
        <v>2025</v>
      </c>
      <c r="C148" s="135">
        <f>[7]С2.5!$J$11</f>
        <v>0.21215960863291</v>
      </c>
    </row>
    <row r="149" spans="1:3" hidden="1" x14ac:dyDescent="0.2">
      <c r="A149" s="97"/>
      <c r="B149" s="104">
        <f t="shared" si="0"/>
        <v>2026</v>
      </c>
      <c r="C149" s="135">
        <f>[7]С2.5!$K$11</f>
        <v>3.5813361771260002E-2</v>
      </c>
    </row>
    <row r="150" spans="1:3" hidden="1" x14ac:dyDescent="0.2">
      <c r="A150" s="97"/>
      <c r="B150" s="104">
        <f t="shared" si="0"/>
        <v>2027</v>
      </c>
      <c r="C150" s="135">
        <f>[7]С2.5!$L$11</f>
        <v>3.2682303599220003E-2</v>
      </c>
    </row>
    <row r="151" spans="1:3" hidden="1" x14ac:dyDescent="0.2">
      <c r="A151" s="97"/>
      <c r="B151" s="104">
        <f t="shared" si="0"/>
        <v>2028</v>
      </c>
      <c r="C151" s="135">
        <f>[7]С2.5!$M$11</f>
        <v>0</v>
      </c>
    </row>
    <row r="152" spans="1:3" hidden="1" x14ac:dyDescent="0.2">
      <c r="A152" s="97"/>
      <c r="B152" s="104">
        <f t="shared" si="0"/>
        <v>2029</v>
      </c>
      <c r="C152" s="135">
        <f>[7]С2.5!$N$11</f>
        <v>0</v>
      </c>
    </row>
    <row r="153" spans="1:3" hidden="1" x14ac:dyDescent="0.2">
      <c r="A153" s="97"/>
      <c r="B153" s="104">
        <f t="shared" si="0"/>
        <v>2030</v>
      </c>
      <c r="C153" s="135">
        <f>[7]С2.5!$O$11</f>
        <v>0</v>
      </c>
    </row>
    <row r="154" spans="1:3" hidden="1" x14ac:dyDescent="0.2">
      <c r="A154" s="97"/>
      <c r="B154" s="104">
        <f t="shared" si="0"/>
        <v>2031</v>
      </c>
      <c r="C154" s="135">
        <f>[7]С2.5!$P$11</f>
        <v>0</v>
      </c>
    </row>
    <row r="155" spans="1:3" hidden="1" x14ac:dyDescent="0.2">
      <c r="A155" s="87"/>
      <c r="B155" s="104">
        <f t="shared" si="0"/>
        <v>2032</v>
      </c>
      <c r="C155" s="135">
        <f>[7]С2.5!$Q$11</f>
        <v>0</v>
      </c>
    </row>
    <row r="156" spans="1:3" hidden="1" x14ac:dyDescent="0.2">
      <c r="A156" s="87"/>
      <c r="B156" s="104">
        <f t="shared" si="0"/>
        <v>2033</v>
      </c>
      <c r="C156" s="135">
        <f>[7]С2.5!$R$11</f>
        <v>0</v>
      </c>
    </row>
    <row r="157" spans="1:3" hidden="1" x14ac:dyDescent="0.2">
      <c r="B157" s="104">
        <f t="shared" si="0"/>
        <v>2034</v>
      </c>
      <c r="C157" s="135">
        <f>[7]С2.5!$S$11</f>
        <v>0</v>
      </c>
    </row>
    <row r="158" spans="1:3" hidden="1" x14ac:dyDescent="0.2">
      <c r="B158" s="104">
        <f t="shared" si="0"/>
        <v>2035</v>
      </c>
      <c r="C158" s="135">
        <f>[7]С2.5!$T$11</f>
        <v>0</v>
      </c>
    </row>
    <row r="159" spans="1:3" hidden="1" x14ac:dyDescent="0.2">
      <c r="B159" s="104">
        <f t="shared" si="0"/>
        <v>2036</v>
      </c>
      <c r="C159" s="135">
        <f>[7]С2.5!$U$11</f>
        <v>0</v>
      </c>
    </row>
    <row r="160" spans="1:3" hidden="1" x14ac:dyDescent="0.2">
      <c r="B160" s="104">
        <f t="shared" si="0"/>
        <v>2037</v>
      </c>
      <c r="C160" s="135">
        <f>[7]С2.5!$V$11</f>
        <v>0</v>
      </c>
    </row>
    <row r="161" spans="2:3" hidden="1" x14ac:dyDescent="0.2">
      <c r="B161" s="104">
        <f t="shared" si="0"/>
        <v>2038</v>
      </c>
      <c r="C161" s="135">
        <f>[7]С2.5!$W$11</f>
        <v>0</v>
      </c>
    </row>
    <row r="162" spans="2:3" hidden="1" x14ac:dyDescent="0.2">
      <c r="B162" s="104">
        <f t="shared" si="0"/>
        <v>2039</v>
      </c>
      <c r="C162" s="135">
        <f>[7]С2.5!$X$11</f>
        <v>0</v>
      </c>
    </row>
    <row r="163" spans="2:3" hidden="1" x14ac:dyDescent="0.2">
      <c r="B163" s="104">
        <f t="shared" si="0"/>
        <v>2040</v>
      </c>
      <c r="C163" s="135">
        <f>[7]С2.5!$Y$11</f>
        <v>0</v>
      </c>
    </row>
    <row r="164" spans="2:3" hidden="1" x14ac:dyDescent="0.2">
      <c r="B164" s="104">
        <f t="shared" si="0"/>
        <v>2041</v>
      </c>
      <c r="C164" s="135">
        <f>[7]С2.5!$Z$11</f>
        <v>0</v>
      </c>
    </row>
    <row r="165" spans="2:3" hidden="1" x14ac:dyDescent="0.2">
      <c r="B165" s="104">
        <f t="shared" si="0"/>
        <v>2042</v>
      </c>
      <c r="C165" s="135">
        <f>[7]С2.5!$AA$11</f>
        <v>0</v>
      </c>
    </row>
    <row r="166" spans="2:3" hidden="1" x14ac:dyDescent="0.2">
      <c r="B166" s="104">
        <f t="shared" si="0"/>
        <v>2043</v>
      </c>
      <c r="C166" s="135">
        <f>[7]С2.5!$AB$11</f>
        <v>0</v>
      </c>
    </row>
    <row r="167" spans="2:3" hidden="1" x14ac:dyDescent="0.2">
      <c r="B167" s="104">
        <f t="shared" si="0"/>
        <v>2044</v>
      </c>
      <c r="C167" s="135">
        <f>[7]С2.5!$AC$11</f>
        <v>0</v>
      </c>
    </row>
    <row r="168" spans="2:3" hidden="1" x14ac:dyDescent="0.2">
      <c r="B168" s="104">
        <f t="shared" si="0"/>
        <v>2045</v>
      </c>
      <c r="C168" s="135">
        <f>[7]С2.5!$AD$11</f>
        <v>0</v>
      </c>
    </row>
    <row r="169" spans="2:3" hidden="1" x14ac:dyDescent="0.2">
      <c r="B169" s="104">
        <f t="shared" si="0"/>
        <v>2046</v>
      </c>
      <c r="C169" s="135">
        <f>[7]С2.5!$AE$11</f>
        <v>0</v>
      </c>
    </row>
    <row r="170" spans="2:3" hidden="1" x14ac:dyDescent="0.2">
      <c r="B170" s="104">
        <f t="shared" si="0"/>
        <v>2047</v>
      </c>
      <c r="C170" s="135">
        <f>[7]С2.5!$AF$11</f>
        <v>0</v>
      </c>
    </row>
    <row r="171" spans="2:3" hidden="1" x14ac:dyDescent="0.2">
      <c r="B171" s="104">
        <f t="shared" si="0"/>
        <v>2048</v>
      </c>
      <c r="C171" s="135">
        <f>[7]С2.5!$AG$11</f>
        <v>0</v>
      </c>
    </row>
    <row r="172" spans="2:3" hidden="1" x14ac:dyDescent="0.2">
      <c r="B172" s="104">
        <f t="shared" si="0"/>
        <v>2049</v>
      </c>
      <c r="C172" s="135">
        <f>[7]С2.5!$AH$11</f>
        <v>0</v>
      </c>
    </row>
    <row r="173" spans="2:3" hidden="1" x14ac:dyDescent="0.2">
      <c r="B173" s="104">
        <f t="shared" si="0"/>
        <v>2050</v>
      </c>
      <c r="C173" s="135">
        <f>[7]С2.5!$AI$11</f>
        <v>0</v>
      </c>
    </row>
    <row r="174" spans="2:3" hidden="1" x14ac:dyDescent="0.2">
      <c r="B174" s="104">
        <f t="shared" si="0"/>
        <v>2051</v>
      </c>
      <c r="C174" s="135">
        <f>[7]С2.5!$AJ$11</f>
        <v>0</v>
      </c>
    </row>
    <row r="175" spans="2:3" hidden="1" x14ac:dyDescent="0.2">
      <c r="B175" s="104">
        <f t="shared" si="0"/>
        <v>2052</v>
      </c>
      <c r="C175" s="135">
        <f>[7]С2.5!$AK$11</f>
        <v>0</v>
      </c>
    </row>
    <row r="176" spans="2:3" hidden="1" x14ac:dyDescent="0.2">
      <c r="B176" s="104">
        <f t="shared" si="0"/>
        <v>2053</v>
      </c>
      <c r="C176" s="135">
        <f>[7]С2.5!$AL$11</f>
        <v>0</v>
      </c>
    </row>
    <row r="177" spans="2:3" hidden="1" x14ac:dyDescent="0.2">
      <c r="B177" s="104">
        <f t="shared" si="0"/>
        <v>2054</v>
      </c>
      <c r="C177" s="135">
        <f>[7]С2.5!$AM$11</f>
        <v>0</v>
      </c>
    </row>
    <row r="178" spans="2:3" hidden="1" x14ac:dyDescent="0.2">
      <c r="B178" s="104">
        <f t="shared" si="0"/>
        <v>2055</v>
      </c>
      <c r="C178" s="135">
        <f>[7]С2.5!$AN$11</f>
        <v>0</v>
      </c>
    </row>
    <row r="179" spans="2:3" hidden="1" x14ac:dyDescent="0.2">
      <c r="B179" s="104">
        <f t="shared" si="0"/>
        <v>2056</v>
      </c>
      <c r="C179" s="135">
        <f>[7]С2.5!$AO$11</f>
        <v>0</v>
      </c>
    </row>
    <row r="180" spans="2:3" hidden="1" x14ac:dyDescent="0.2">
      <c r="B180" s="104">
        <f t="shared" si="0"/>
        <v>2057</v>
      </c>
      <c r="C180" s="135">
        <f>[7]С2.5!$AP$11</f>
        <v>0</v>
      </c>
    </row>
    <row r="181" spans="2:3" hidden="1" x14ac:dyDescent="0.2">
      <c r="B181" s="104">
        <f t="shared" si="0"/>
        <v>2058</v>
      </c>
      <c r="C181" s="135">
        <f>[7]С2.5!$AQ$11</f>
        <v>0</v>
      </c>
    </row>
    <row r="182" spans="2:3" hidden="1" x14ac:dyDescent="0.2">
      <c r="B182" s="104">
        <f t="shared" si="0"/>
        <v>2059</v>
      </c>
      <c r="C182" s="135">
        <f>[7]С2.5!$AR$11</f>
        <v>0</v>
      </c>
    </row>
    <row r="183" spans="2:3" hidden="1" x14ac:dyDescent="0.2">
      <c r="B183" s="104">
        <f t="shared" si="0"/>
        <v>2060</v>
      </c>
      <c r="C183" s="135">
        <f>[7]С2.5!$AS$11</f>
        <v>0</v>
      </c>
    </row>
    <row r="184" spans="2:3" hidden="1" x14ac:dyDescent="0.2">
      <c r="B184" s="104">
        <f t="shared" si="0"/>
        <v>2061</v>
      </c>
      <c r="C184" s="135">
        <f>[7]С2.5!$AT$11</f>
        <v>0</v>
      </c>
    </row>
    <row r="185" spans="2:3" hidden="1" x14ac:dyDescent="0.2">
      <c r="B185" s="104">
        <f t="shared" si="0"/>
        <v>2062</v>
      </c>
      <c r="C185" s="135">
        <f>[7]С2.5!$AU$11</f>
        <v>0</v>
      </c>
    </row>
    <row r="186" spans="2:3" hidden="1" x14ac:dyDescent="0.2">
      <c r="B186" s="104">
        <f t="shared" si="0"/>
        <v>2063</v>
      </c>
      <c r="C186" s="135">
        <f>[7]С2.5!$AV$11</f>
        <v>0</v>
      </c>
    </row>
    <row r="187" spans="2:3" hidden="1" x14ac:dyDescent="0.2">
      <c r="B187" s="104">
        <f t="shared" si="0"/>
        <v>2064</v>
      </c>
      <c r="C187" s="135">
        <f>[7]С2.5!$AW$11</f>
        <v>0</v>
      </c>
    </row>
    <row r="188" spans="2:3" hidden="1" x14ac:dyDescent="0.2">
      <c r="B188" s="104">
        <f t="shared" si="0"/>
        <v>2065</v>
      </c>
      <c r="C188" s="135">
        <f>[7]С2.5!$AX$11</f>
        <v>0</v>
      </c>
    </row>
    <row r="189" spans="2:3" hidden="1" x14ac:dyDescent="0.2">
      <c r="B189" s="104">
        <f t="shared" si="0"/>
        <v>2066</v>
      </c>
      <c r="C189" s="135">
        <f>[7]С2.5!$AY$11</f>
        <v>0</v>
      </c>
    </row>
    <row r="190" spans="2:3" hidden="1" x14ac:dyDescent="0.2">
      <c r="B190" s="104">
        <f t="shared" si="0"/>
        <v>2067</v>
      </c>
      <c r="C190" s="135">
        <f>[7]С2.5!$AZ$11</f>
        <v>0</v>
      </c>
    </row>
    <row r="191" spans="2:3" hidden="1" x14ac:dyDescent="0.2">
      <c r="B191" s="104">
        <f t="shared" si="0"/>
        <v>2068</v>
      </c>
      <c r="C191" s="135">
        <f>[7]С2.5!$BA$11</f>
        <v>0</v>
      </c>
    </row>
    <row r="192" spans="2:3" hidden="1" x14ac:dyDescent="0.2">
      <c r="B192" s="104">
        <f t="shared" si="0"/>
        <v>2069</v>
      </c>
      <c r="C192" s="135">
        <f>[7]С2.5!$BB$11</f>
        <v>0</v>
      </c>
    </row>
    <row r="193" spans="2:3" hidden="1" x14ac:dyDescent="0.2">
      <c r="B193" s="104">
        <f t="shared" si="0"/>
        <v>2070</v>
      </c>
      <c r="C193" s="135">
        <f>[7]С2.5!$BC$11</f>
        <v>0</v>
      </c>
    </row>
    <row r="194" spans="2:3" hidden="1" x14ac:dyDescent="0.2">
      <c r="B194" s="104">
        <f t="shared" si="0"/>
        <v>2071</v>
      </c>
      <c r="C194" s="135">
        <f>[7]С2.5!$BD$11</f>
        <v>0</v>
      </c>
    </row>
    <row r="195" spans="2:3" hidden="1" x14ac:dyDescent="0.2">
      <c r="B195" s="104">
        <f t="shared" si="0"/>
        <v>2072</v>
      </c>
      <c r="C195" s="135">
        <f>[7]С2.5!$BE$11</f>
        <v>0</v>
      </c>
    </row>
    <row r="196" spans="2:3" hidden="1" x14ac:dyDescent="0.2">
      <c r="B196" s="104">
        <f t="shared" si="0"/>
        <v>2073</v>
      </c>
      <c r="C196" s="135">
        <f>[7]С2.5!$BF$11</f>
        <v>0</v>
      </c>
    </row>
    <row r="197" spans="2:3" hidden="1" x14ac:dyDescent="0.2">
      <c r="B197" s="104">
        <f t="shared" si="0"/>
        <v>2074</v>
      </c>
      <c r="C197" s="135">
        <f>[7]С2.5!$BG$11</f>
        <v>0</v>
      </c>
    </row>
    <row r="198" spans="2:3" hidden="1" x14ac:dyDescent="0.2">
      <c r="B198" s="104">
        <f t="shared" si="0"/>
        <v>2075</v>
      </c>
      <c r="C198" s="135">
        <f>[7]С2.5!$BH$11</f>
        <v>0</v>
      </c>
    </row>
    <row r="199" spans="2:3" hidden="1" x14ac:dyDescent="0.2">
      <c r="B199" s="104">
        <f t="shared" si="0"/>
        <v>2076</v>
      </c>
      <c r="C199" s="135">
        <f>[7]С2.5!$BI$11</f>
        <v>0</v>
      </c>
    </row>
    <row r="200" spans="2:3" hidden="1" x14ac:dyDescent="0.2">
      <c r="B200" s="104">
        <f t="shared" si="0"/>
        <v>2077</v>
      </c>
      <c r="C200" s="135">
        <f>[7]С2.5!$BJ$11</f>
        <v>0</v>
      </c>
    </row>
    <row r="201" spans="2:3" hidden="1" x14ac:dyDescent="0.2">
      <c r="B201" s="104">
        <f t="shared" si="0"/>
        <v>2078</v>
      </c>
      <c r="C201" s="135">
        <f>[7]С2.5!$BK$11</f>
        <v>0</v>
      </c>
    </row>
    <row r="202" spans="2:3" hidden="1" x14ac:dyDescent="0.2">
      <c r="B202" s="104">
        <f t="shared" si="0"/>
        <v>2079</v>
      </c>
      <c r="C202" s="135">
        <f>[7]С2.5!$BL$11</f>
        <v>0</v>
      </c>
    </row>
    <row r="203" spans="2:3" hidden="1" x14ac:dyDescent="0.2">
      <c r="B203" s="104">
        <f t="shared" si="0"/>
        <v>2080</v>
      </c>
      <c r="C203" s="135">
        <f>[7]С2.5!$BM$11</f>
        <v>0</v>
      </c>
    </row>
    <row r="204" spans="2:3" hidden="1" x14ac:dyDescent="0.2">
      <c r="B204" s="104">
        <f t="shared" si="0"/>
        <v>2081</v>
      </c>
      <c r="C204" s="135">
        <f>[7]С2.5!$BN$11</f>
        <v>0</v>
      </c>
    </row>
    <row r="205" spans="2:3" hidden="1" x14ac:dyDescent="0.2">
      <c r="B205" s="104">
        <f t="shared" si="0"/>
        <v>2082</v>
      </c>
      <c r="C205" s="135">
        <f>[7]С2.5!$BO$11</f>
        <v>0</v>
      </c>
    </row>
    <row r="206" spans="2:3" hidden="1" x14ac:dyDescent="0.2">
      <c r="B206" s="104">
        <f t="shared" si="0"/>
        <v>2083</v>
      </c>
      <c r="C206" s="135">
        <f>[7]С2.5!$BP$11</f>
        <v>0</v>
      </c>
    </row>
    <row r="207" spans="2:3" hidden="1" x14ac:dyDescent="0.2">
      <c r="B207" s="104">
        <f t="shared" si="0"/>
        <v>2084</v>
      </c>
      <c r="C207" s="135">
        <f>[7]С2.5!$BQ$11</f>
        <v>0</v>
      </c>
    </row>
    <row r="208" spans="2:3" hidden="1" x14ac:dyDescent="0.2">
      <c r="B208" s="104">
        <f t="shared" si="0"/>
        <v>2085</v>
      </c>
      <c r="C208" s="135">
        <f>[7]С2.5!$BR$11</f>
        <v>0</v>
      </c>
    </row>
    <row r="209" spans="2:3" hidden="1" x14ac:dyDescent="0.2">
      <c r="B209" s="104">
        <f t="shared" ref="B209:B223" si="1">B208+1</f>
        <v>2086</v>
      </c>
      <c r="C209" s="135">
        <f>[7]С2.5!$BS$11</f>
        <v>0</v>
      </c>
    </row>
    <row r="210" spans="2:3" hidden="1" x14ac:dyDescent="0.2">
      <c r="B210" s="104">
        <f t="shared" si="1"/>
        <v>2087</v>
      </c>
      <c r="C210" s="135">
        <f>[7]С2.5!$BT$11</f>
        <v>0</v>
      </c>
    </row>
    <row r="211" spans="2:3" hidden="1" x14ac:dyDescent="0.2">
      <c r="B211" s="104">
        <f t="shared" si="1"/>
        <v>2088</v>
      </c>
      <c r="C211" s="135">
        <f>[7]С2.5!$BU$11</f>
        <v>0</v>
      </c>
    </row>
    <row r="212" spans="2:3" hidden="1" x14ac:dyDescent="0.2">
      <c r="B212" s="104">
        <f t="shared" si="1"/>
        <v>2089</v>
      </c>
      <c r="C212" s="135">
        <f>[7]С2.5!$BV$11</f>
        <v>0</v>
      </c>
    </row>
    <row r="213" spans="2:3" hidden="1" x14ac:dyDescent="0.2">
      <c r="B213" s="104">
        <f t="shared" si="1"/>
        <v>2090</v>
      </c>
      <c r="C213" s="135">
        <f>[7]С2.5!$BW$11</f>
        <v>0</v>
      </c>
    </row>
    <row r="214" spans="2:3" hidden="1" x14ac:dyDescent="0.2">
      <c r="B214" s="104">
        <f t="shared" si="1"/>
        <v>2091</v>
      </c>
      <c r="C214" s="135">
        <f>[7]С2.5!$BX$11</f>
        <v>0</v>
      </c>
    </row>
    <row r="215" spans="2:3" hidden="1" x14ac:dyDescent="0.2">
      <c r="B215" s="104">
        <f t="shared" si="1"/>
        <v>2092</v>
      </c>
      <c r="C215" s="135">
        <f>[7]С2.5!$BY$11</f>
        <v>0</v>
      </c>
    </row>
    <row r="216" spans="2:3" hidden="1" x14ac:dyDescent="0.2">
      <c r="B216" s="104">
        <f t="shared" si="1"/>
        <v>2093</v>
      </c>
      <c r="C216" s="135">
        <f>[7]С2.5!$BZ$11</f>
        <v>0</v>
      </c>
    </row>
    <row r="217" spans="2:3" hidden="1" x14ac:dyDescent="0.2">
      <c r="B217" s="104">
        <f t="shared" si="1"/>
        <v>2094</v>
      </c>
      <c r="C217" s="135">
        <f>[7]С2.5!$CA$11</f>
        <v>0</v>
      </c>
    </row>
    <row r="218" spans="2:3" hidden="1" x14ac:dyDescent="0.2">
      <c r="B218" s="104">
        <f t="shared" si="1"/>
        <v>2095</v>
      </c>
      <c r="C218" s="135">
        <f>[7]С2.5!$CB$11</f>
        <v>0</v>
      </c>
    </row>
    <row r="219" spans="2:3" hidden="1" x14ac:dyDescent="0.2">
      <c r="B219" s="104">
        <f t="shared" si="1"/>
        <v>2096</v>
      </c>
      <c r="C219" s="135">
        <f>[7]С2.5!$CC$11</f>
        <v>0</v>
      </c>
    </row>
    <row r="220" spans="2:3" hidden="1" x14ac:dyDescent="0.2">
      <c r="B220" s="104">
        <f t="shared" si="1"/>
        <v>2097</v>
      </c>
      <c r="C220" s="135">
        <f>[7]С2.5!$CD$11</f>
        <v>0</v>
      </c>
    </row>
    <row r="221" spans="2:3" hidden="1" x14ac:dyDescent="0.2">
      <c r="B221" s="104">
        <f t="shared" si="1"/>
        <v>2098</v>
      </c>
      <c r="C221" s="135">
        <f>[7]С2.5!$CE$11</f>
        <v>0</v>
      </c>
    </row>
    <row r="222" spans="2:3" hidden="1" x14ac:dyDescent="0.2">
      <c r="B222" s="104">
        <f t="shared" si="1"/>
        <v>2099</v>
      </c>
      <c r="C222" s="135">
        <f>[7]С2.5!$CF$11</f>
        <v>0</v>
      </c>
    </row>
    <row r="223" spans="2:3" ht="13.5" hidden="1" thickBot="1" x14ac:dyDescent="0.25">
      <c r="B223" s="106">
        <f t="shared" si="1"/>
        <v>2100</v>
      </c>
      <c r="C223" s="136">
        <f>[7]С2.5!$CG$11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6" customWidth="1"/>
    <col min="4" max="246" width="9.140625" style="2"/>
    <col min="247" max="247" width="3.5703125" style="2" customWidth="1"/>
    <col min="248" max="248" width="96.85546875" style="2" customWidth="1"/>
    <col min="249" max="249" width="30.85546875" style="2" customWidth="1"/>
    <col min="250" max="250" width="12.5703125" style="2" customWidth="1"/>
    <col min="251" max="251" width="5.140625" style="2" customWidth="1"/>
    <col min="252" max="252" width="9.140625" style="2"/>
    <col min="253" max="253" width="4.85546875" style="2" customWidth="1"/>
    <col min="254" max="254" width="30.5703125" style="2" customWidth="1"/>
    <col min="255" max="255" width="33.85546875" style="2" customWidth="1"/>
    <col min="256" max="256" width="5.140625" style="2" customWidth="1"/>
    <col min="257" max="258" width="17.5703125" style="2" customWidth="1"/>
    <col min="259" max="502" width="9.140625" style="2"/>
    <col min="503" max="503" width="3.5703125" style="2" customWidth="1"/>
    <col min="504" max="504" width="96.85546875" style="2" customWidth="1"/>
    <col min="505" max="505" width="30.85546875" style="2" customWidth="1"/>
    <col min="506" max="506" width="12.5703125" style="2" customWidth="1"/>
    <col min="507" max="507" width="5.140625" style="2" customWidth="1"/>
    <col min="508" max="508" width="9.140625" style="2"/>
    <col min="509" max="509" width="4.85546875" style="2" customWidth="1"/>
    <col min="510" max="510" width="30.5703125" style="2" customWidth="1"/>
    <col min="511" max="511" width="33.85546875" style="2" customWidth="1"/>
    <col min="512" max="512" width="5.140625" style="2" customWidth="1"/>
    <col min="513" max="514" width="17.5703125" style="2" customWidth="1"/>
    <col min="515" max="758" width="9.140625" style="2"/>
    <col min="759" max="759" width="3.5703125" style="2" customWidth="1"/>
    <col min="760" max="760" width="96.85546875" style="2" customWidth="1"/>
    <col min="761" max="761" width="30.85546875" style="2" customWidth="1"/>
    <col min="762" max="762" width="12.5703125" style="2" customWidth="1"/>
    <col min="763" max="763" width="5.140625" style="2" customWidth="1"/>
    <col min="764" max="764" width="9.140625" style="2"/>
    <col min="765" max="765" width="4.85546875" style="2" customWidth="1"/>
    <col min="766" max="766" width="30.5703125" style="2" customWidth="1"/>
    <col min="767" max="767" width="33.85546875" style="2" customWidth="1"/>
    <col min="768" max="768" width="5.140625" style="2" customWidth="1"/>
    <col min="769" max="770" width="17.5703125" style="2" customWidth="1"/>
    <col min="771" max="1014" width="9.140625" style="2"/>
    <col min="1015" max="1015" width="3.5703125" style="2" customWidth="1"/>
    <col min="1016" max="1016" width="96.85546875" style="2" customWidth="1"/>
    <col min="1017" max="1017" width="30.85546875" style="2" customWidth="1"/>
    <col min="1018" max="1018" width="12.5703125" style="2" customWidth="1"/>
    <col min="1019" max="1019" width="5.140625" style="2" customWidth="1"/>
    <col min="1020" max="1020" width="9.140625" style="2"/>
    <col min="1021" max="1021" width="4.85546875" style="2" customWidth="1"/>
    <col min="1022" max="1022" width="30.5703125" style="2" customWidth="1"/>
    <col min="1023" max="1023" width="33.85546875" style="2" customWidth="1"/>
    <col min="1024" max="1024" width="5.140625" style="2" customWidth="1"/>
    <col min="1025" max="1026" width="17.5703125" style="2" customWidth="1"/>
    <col min="1027" max="1270" width="9.140625" style="2"/>
    <col min="1271" max="1271" width="3.5703125" style="2" customWidth="1"/>
    <col min="1272" max="1272" width="96.85546875" style="2" customWidth="1"/>
    <col min="1273" max="1273" width="30.85546875" style="2" customWidth="1"/>
    <col min="1274" max="1274" width="12.5703125" style="2" customWidth="1"/>
    <col min="1275" max="1275" width="5.140625" style="2" customWidth="1"/>
    <col min="1276" max="1276" width="9.140625" style="2"/>
    <col min="1277" max="1277" width="4.85546875" style="2" customWidth="1"/>
    <col min="1278" max="1278" width="30.5703125" style="2" customWidth="1"/>
    <col min="1279" max="1279" width="33.85546875" style="2" customWidth="1"/>
    <col min="1280" max="1280" width="5.140625" style="2" customWidth="1"/>
    <col min="1281" max="1282" width="17.5703125" style="2" customWidth="1"/>
    <col min="1283" max="1526" width="9.140625" style="2"/>
    <col min="1527" max="1527" width="3.5703125" style="2" customWidth="1"/>
    <col min="1528" max="1528" width="96.85546875" style="2" customWidth="1"/>
    <col min="1529" max="1529" width="30.85546875" style="2" customWidth="1"/>
    <col min="1530" max="1530" width="12.5703125" style="2" customWidth="1"/>
    <col min="1531" max="1531" width="5.140625" style="2" customWidth="1"/>
    <col min="1532" max="1532" width="9.140625" style="2"/>
    <col min="1533" max="1533" width="4.85546875" style="2" customWidth="1"/>
    <col min="1534" max="1534" width="30.5703125" style="2" customWidth="1"/>
    <col min="1535" max="1535" width="33.85546875" style="2" customWidth="1"/>
    <col min="1536" max="1536" width="5.140625" style="2" customWidth="1"/>
    <col min="1537" max="1538" width="17.5703125" style="2" customWidth="1"/>
    <col min="1539" max="1782" width="9.140625" style="2"/>
    <col min="1783" max="1783" width="3.5703125" style="2" customWidth="1"/>
    <col min="1784" max="1784" width="96.85546875" style="2" customWidth="1"/>
    <col min="1785" max="1785" width="30.85546875" style="2" customWidth="1"/>
    <col min="1786" max="1786" width="12.5703125" style="2" customWidth="1"/>
    <col min="1787" max="1787" width="5.140625" style="2" customWidth="1"/>
    <col min="1788" max="1788" width="9.140625" style="2"/>
    <col min="1789" max="1789" width="4.85546875" style="2" customWidth="1"/>
    <col min="1790" max="1790" width="30.5703125" style="2" customWidth="1"/>
    <col min="1791" max="1791" width="33.85546875" style="2" customWidth="1"/>
    <col min="1792" max="1792" width="5.140625" style="2" customWidth="1"/>
    <col min="1793" max="1794" width="17.5703125" style="2" customWidth="1"/>
    <col min="1795" max="2038" width="9.140625" style="2"/>
    <col min="2039" max="2039" width="3.5703125" style="2" customWidth="1"/>
    <col min="2040" max="2040" width="96.85546875" style="2" customWidth="1"/>
    <col min="2041" max="2041" width="30.85546875" style="2" customWidth="1"/>
    <col min="2042" max="2042" width="12.5703125" style="2" customWidth="1"/>
    <col min="2043" max="2043" width="5.140625" style="2" customWidth="1"/>
    <col min="2044" max="2044" width="9.140625" style="2"/>
    <col min="2045" max="2045" width="4.85546875" style="2" customWidth="1"/>
    <col min="2046" max="2046" width="30.5703125" style="2" customWidth="1"/>
    <col min="2047" max="2047" width="33.85546875" style="2" customWidth="1"/>
    <col min="2048" max="2048" width="5.140625" style="2" customWidth="1"/>
    <col min="2049" max="2050" width="17.5703125" style="2" customWidth="1"/>
    <col min="2051" max="2294" width="9.140625" style="2"/>
    <col min="2295" max="2295" width="3.5703125" style="2" customWidth="1"/>
    <col min="2296" max="2296" width="96.85546875" style="2" customWidth="1"/>
    <col min="2297" max="2297" width="30.85546875" style="2" customWidth="1"/>
    <col min="2298" max="2298" width="12.5703125" style="2" customWidth="1"/>
    <col min="2299" max="2299" width="5.140625" style="2" customWidth="1"/>
    <col min="2300" max="2300" width="9.140625" style="2"/>
    <col min="2301" max="2301" width="4.85546875" style="2" customWidth="1"/>
    <col min="2302" max="2302" width="30.5703125" style="2" customWidth="1"/>
    <col min="2303" max="2303" width="33.85546875" style="2" customWidth="1"/>
    <col min="2304" max="2304" width="5.140625" style="2" customWidth="1"/>
    <col min="2305" max="2306" width="17.5703125" style="2" customWidth="1"/>
    <col min="2307" max="2550" width="9.140625" style="2"/>
    <col min="2551" max="2551" width="3.5703125" style="2" customWidth="1"/>
    <col min="2552" max="2552" width="96.85546875" style="2" customWidth="1"/>
    <col min="2553" max="2553" width="30.85546875" style="2" customWidth="1"/>
    <col min="2554" max="2554" width="12.5703125" style="2" customWidth="1"/>
    <col min="2555" max="2555" width="5.140625" style="2" customWidth="1"/>
    <col min="2556" max="2556" width="9.140625" style="2"/>
    <col min="2557" max="2557" width="4.85546875" style="2" customWidth="1"/>
    <col min="2558" max="2558" width="30.5703125" style="2" customWidth="1"/>
    <col min="2559" max="2559" width="33.85546875" style="2" customWidth="1"/>
    <col min="2560" max="2560" width="5.140625" style="2" customWidth="1"/>
    <col min="2561" max="2562" width="17.5703125" style="2" customWidth="1"/>
    <col min="2563" max="2806" width="9.140625" style="2"/>
    <col min="2807" max="2807" width="3.5703125" style="2" customWidth="1"/>
    <col min="2808" max="2808" width="96.85546875" style="2" customWidth="1"/>
    <col min="2809" max="2809" width="30.85546875" style="2" customWidth="1"/>
    <col min="2810" max="2810" width="12.5703125" style="2" customWidth="1"/>
    <col min="2811" max="2811" width="5.140625" style="2" customWidth="1"/>
    <col min="2812" max="2812" width="9.140625" style="2"/>
    <col min="2813" max="2813" width="4.85546875" style="2" customWidth="1"/>
    <col min="2814" max="2814" width="30.5703125" style="2" customWidth="1"/>
    <col min="2815" max="2815" width="33.85546875" style="2" customWidth="1"/>
    <col min="2816" max="2816" width="5.140625" style="2" customWidth="1"/>
    <col min="2817" max="2818" width="17.5703125" style="2" customWidth="1"/>
    <col min="2819" max="3062" width="9.140625" style="2"/>
    <col min="3063" max="3063" width="3.5703125" style="2" customWidth="1"/>
    <col min="3064" max="3064" width="96.85546875" style="2" customWidth="1"/>
    <col min="3065" max="3065" width="30.85546875" style="2" customWidth="1"/>
    <col min="3066" max="3066" width="12.5703125" style="2" customWidth="1"/>
    <col min="3067" max="3067" width="5.140625" style="2" customWidth="1"/>
    <col min="3068" max="3068" width="9.140625" style="2"/>
    <col min="3069" max="3069" width="4.85546875" style="2" customWidth="1"/>
    <col min="3070" max="3070" width="30.5703125" style="2" customWidth="1"/>
    <col min="3071" max="3071" width="33.85546875" style="2" customWidth="1"/>
    <col min="3072" max="3072" width="5.140625" style="2" customWidth="1"/>
    <col min="3073" max="3074" width="17.5703125" style="2" customWidth="1"/>
    <col min="3075" max="3318" width="9.140625" style="2"/>
    <col min="3319" max="3319" width="3.5703125" style="2" customWidth="1"/>
    <col min="3320" max="3320" width="96.85546875" style="2" customWidth="1"/>
    <col min="3321" max="3321" width="30.85546875" style="2" customWidth="1"/>
    <col min="3322" max="3322" width="12.5703125" style="2" customWidth="1"/>
    <col min="3323" max="3323" width="5.140625" style="2" customWidth="1"/>
    <col min="3324" max="3324" width="9.140625" style="2"/>
    <col min="3325" max="3325" width="4.85546875" style="2" customWidth="1"/>
    <col min="3326" max="3326" width="30.5703125" style="2" customWidth="1"/>
    <col min="3327" max="3327" width="33.85546875" style="2" customWidth="1"/>
    <col min="3328" max="3328" width="5.140625" style="2" customWidth="1"/>
    <col min="3329" max="3330" width="17.5703125" style="2" customWidth="1"/>
    <col min="3331" max="3574" width="9.140625" style="2"/>
    <col min="3575" max="3575" width="3.5703125" style="2" customWidth="1"/>
    <col min="3576" max="3576" width="96.85546875" style="2" customWidth="1"/>
    <col min="3577" max="3577" width="30.85546875" style="2" customWidth="1"/>
    <col min="3578" max="3578" width="12.5703125" style="2" customWidth="1"/>
    <col min="3579" max="3579" width="5.140625" style="2" customWidth="1"/>
    <col min="3580" max="3580" width="9.140625" style="2"/>
    <col min="3581" max="3581" width="4.85546875" style="2" customWidth="1"/>
    <col min="3582" max="3582" width="30.5703125" style="2" customWidth="1"/>
    <col min="3583" max="3583" width="33.85546875" style="2" customWidth="1"/>
    <col min="3584" max="3584" width="5.140625" style="2" customWidth="1"/>
    <col min="3585" max="3586" width="17.5703125" style="2" customWidth="1"/>
    <col min="3587" max="3830" width="9.140625" style="2"/>
    <col min="3831" max="3831" width="3.5703125" style="2" customWidth="1"/>
    <col min="3832" max="3832" width="96.85546875" style="2" customWidth="1"/>
    <col min="3833" max="3833" width="30.85546875" style="2" customWidth="1"/>
    <col min="3834" max="3834" width="12.5703125" style="2" customWidth="1"/>
    <col min="3835" max="3835" width="5.140625" style="2" customWidth="1"/>
    <col min="3836" max="3836" width="9.140625" style="2"/>
    <col min="3837" max="3837" width="4.85546875" style="2" customWidth="1"/>
    <col min="3838" max="3838" width="30.5703125" style="2" customWidth="1"/>
    <col min="3839" max="3839" width="33.85546875" style="2" customWidth="1"/>
    <col min="3840" max="3840" width="5.140625" style="2" customWidth="1"/>
    <col min="3841" max="3842" width="17.5703125" style="2" customWidth="1"/>
    <col min="3843" max="4086" width="9.140625" style="2"/>
    <col min="4087" max="4087" width="3.5703125" style="2" customWidth="1"/>
    <col min="4088" max="4088" width="96.85546875" style="2" customWidth="1"/>
    <col min="4089" max="4089" width="30.85546875" style="2" customWidth="1"/>
    <col min="4090" max="4090" width="12.5703125" style="2" customWidth="1"/>
    <col min="4091" max="4091" width="5.140625" style="2" customWidth="1"/>
    <col min="4092" max="4092" width="9.140625" style="2"/>
    <col min="4093" max="4093" width="4.85546875" style="2" customWidth="1"/>
    <col min="4094" max="4094" width="30.5703125" style="2" customWidth="1"/>
    <col min="4095" max="4095" width="33.85546875" style="2" customWidth="1"/>
    <col min="4096" max="4096" width="5.140625" style="2" customWidth="1"/>
    <col min="4097" max="4098" width="17.5703125" style="2" customWidth="1"/>
    <col min="4099" max="4342" width="9.140625" style="2"/>
    <col min="4343" max="4343" width="3.5703125" style="2" customWidth="1"/>
    <col min="4344" max="4344" width="96.85546875" style="2" customWidth="1"/>
    <col min="4345" max="4345" width="30.85546875" style="2" customWidth="1"/>
    <col min="4346" max="4346" width="12.5703125" style="2" customWidth="1"/>
    <col min="4347" max="4347" width="5.140625" style="2" customWidth="1"/>
    <col min="4348" max="4348" width="9.140625" style="2"/>
    <col min="4349" max="4349" width="4.85546875" style="2" customWidth="1"/>
    <col min="4350" max="4350" width="30.5703125" style="2" customWidth="1"/>
    <col min="4351" max="4351" width="33.85546875" style="2" customWidth="1"/>
    <col min="4352" max="4352" width="5.140625" style="2" customWidth="1"/>
    <col min="4353" max="4354" width="17.5703125" style="2" customWidth="1"/>
    <col min="4355" max="4598" width="9.140625" style="2"/>
    <col min="4599" max="4599" width="3.5703125" style="2" customWidth="1"/>
    <col min="4600" max="4600" width="96.85546875" style="2" customWidth="1"/>
    <col min="4601" max="4601" width="30.85546875" style="2" customWidth="1"/>
    <col min="4602" max="4602" width="12.5703125" style="2" customWidth="1"/>
    <col min="4603" max="4603" width="5.140625" style="2" customWidth="1"/>
    <col min="4604" max="4604" width="9.140625" style="2"/>
    <col min="4605" max="4605" width="4.85546875" style="2" customWidth="1"/>
    <col min="4606" max="4606" width="30.5703125" style="2" customWidth="1"/>
    <col min="4607" max="4607" width="33.85546875" style="2" customWidth="1"/>
    <col min="4608" max="4608" width="5.140625" style="2" customWidth="1"/>
    <col min="4609" max="4610" width="17.5703125" style="2" customWidth="1"/>
    <col min="4611" max="4854" width="9.140625" style="2"/>
    <col min="4855" max="4855" width="3.5703125" style="2" customWidth="1"/>
    <col min="4856" max="4856" width="96.85546875" style="2" customWidth="1"/>
    <col min="4857" max="4857" width="30.85546875" style="2" customWidth="1"/>
    <col min="4858" max="4858" width="12.5703125" style="2" customWidth="1"/>
    <col min="4859" max="4859" width="5.140625" style="2" customWidth="1"/>
    <col min="4860" max="4860" width="9.140625" style="2"/>
    <col min="4861" max="4861" width="4.85546875" style="2" customWidth="1"/>
    <col min="4862" max="4862" width="30.5703125" style="2" customWidth="1"/>
    <col min="4863" max="4863" width="33.85546875" style="2" customWidth="1"/>
    <col min="4864" max="4864" width="5.140625" style="2" customWidth="1"/>
    <col min="4865" max="4866" width="17.5703125" style="2" customWidth="1"/>
    <col min="4867" max="5110" width="9.140625" style="2"/>
    <col min="5111" max="5111" width="3.5703125" style="2" customWidth="1"/>
    <col min="5112" max="5112" width="96.85546875" style="2" customWidth="1"/>
    <col min="5113" max="5113" width="30.85546875" style="2" customWidth="1"/>
    <col min="5114" max="5114" width="12.5703125" style="2" customWidth="1"/>
    <col min="5115" max="5115" width="5.140625" style="2" customWidth="1"/>
    <col min="5116" max="5116" width="9.140625" style="2"/>
    <col min="5117" max="5117" width="4.85546875" style="2" customWidth="1"/>
    <col min="5118" max="5118" width="30.5703125" style="2" customWidth="1"/>
    <col min="5119" max="5119" width="33.85546875" style="2" customWidth="1"/>
    <col min="5120" max="5120" width="5.140625" style="2" customWidth="1"/>
    <col min="5121" max="5122" width="17.5703125" style="2" customWidth="1"/>
    <col min="5123" max="5366" width="9.140625" style="2"/>
    <col min="5367" max="5367" width="3.5703125" style="2" customWidth="1"/>
    <col min="5368" max="5368" width="96.85546875" style="2" customWidth="1"/>
    <col min="5369" max="5369" width="30.85546875" style="2" customWidth="1"/>
    <col min="5370" max="5370" width="12.5703125" style="2" customWidth="1"/>
    <col min="5371" max="5371" width="5.140625" style="2" customWidth="1"/>
    <col min="5372" max="5372" width="9.140625" style="2"/>
    <col min="5373" max="5373" width="4.85546875" style="2" customWidth="1"/>
    <col min="5374" max="5374" width="30.5703125" style="2" customWidth="1"/>
    <col min="5375" max="5375" width="33.85546875" style="2" customWidth="1"/>
    <col min="5376" max="5376" width="5.140625" style="2" customWidth="1"/>
    <col min="5377" max="5378" width="17.5703125" style="2" customWidth="1"/>
    <col min="5379" max="5622" width="9.140625" style="2"/>
    <col min="5623" max="5623" width="3.5703125" style="2" customWidth="1"/>
    <col min="5624" max="5624" width="96.85546875" style="2" customWidth="1"/>
    <col min="5625" max="5625" width="30.85546875" style="2" customWidth="1"/>
    <col min="5626" max="5626" width="12.5703125" style="2" customWidth="1"/>
    <col min="5627" max="5627" width="5.140625" style="2" customWidth="1"/>
    <col min="5628" max="5628" width="9.140625" style="2"/>
    <col min="5629" max="5629" width="4.85546875" style="2" customWidth="1"/>
    <col min="5630" max="5630" width="30.5703125" style="2" customWidth="1"/>
    <col min="5631" max="5631" width="33.85546875" style="2" customWidth="1"/>
    <col min="5632" max="5632" width="5.140625" style="2" customWidth="1"/>
    <col min="5633" max="5634" width="17.5703125" style="2" customWidth="1"/>
    <col min="5635" max="5878" width="9.140625" style="2"/>
    <col min="5879" max="5879" width="3.5703125" style="2" customWidth="1"/>
    <col min="5880" max="5880" width="96.85546875" style="2" customWidth="1"/>
    <col min="5881" max="5881" width="30.85546875" style="2" customWidth="1"/>
    <col min="5882" max="5882" width="12.5703125" style="2" customWidth="1"/>
    <col min="5883" max="5883" width="5.140625" style="2" customWidth="1"/>
    <col min="5884" max="5884" width="9.140625" style="2"/>
    <col min="5885" max="5885" width="4.85546875" style="2" customWidth="1"/>
    <col min="5886" max="5886" width="30.5703125" style="2" customWidth="1"/>
    <col min="5887" max="5887" width="33.85546875" style="2" customWidth="1"/>
    <col min="5888" max="5888" width="5.140625" style="2" customWidth="1"/>
    <col min="5889" max="5890" width="17.5703125" style="2" customWidth="1"/>
    <col min="5891" max="6134" width="9.140625" style="2"/>
    <col min="6135" max="6135" width="3.5703125" style="2" customWidth="1"/>
    <col min="6136" max="6136" width="96.85546875" style="2" customWidth="1"/>
    <col min="6137" max="6137" width="30.85546875" style="2" customWidth="1"/>
    <col min="6138" max="6138" width="12.5703125" style="2" customWidth="1"/>
    <col min="6139" max="6139" width="5.140625" style="2" customWidth="1"/>
    <col min="6140" max="6140" width="9.140625" style="2"/>
    <col min="6141" max="6141" width="4.85546875" style="2" customWidth="1"/>
    <col min="6142" max="6142" width="30.5703125" style="2" customWidth="1"/>
    <col min="6143" max="6143" width="33.85546875" style="2" customWidth="1"/>
    <col min="6144" max="6144" width="5.140625" style="2" customWidth="1"/>
    <col min="6145" max="6146" width="17.5703125" style="2" customWidth="1"/>
    <col min="6147" max="6390" width="9.140625" style="2"/>
    <col min="6391" max="6391" width="3.5703125" style="2" customWidth="1"/>
    <col min="6392" max="6392" width="96.85546875" style="2" customWidth="1"/>
    <col min="6393" max="6393" width="30.85546875" style="2" customWidth="1"/>
    <col min="6394" max="6394" width="12.5703125" style="2" customWidth="1"/>
    <col min="6395" max="6395" width="5.140625" style="2" customWidth="1"/>
    <col min="6396" max="6396" width="9.140625" style="2"/>
    <col min="6397" max="6397" width="4.85546875" style="2" customWidth="1"/>
    <col min="6398" max="6398" width="30.5703125" style="2" customWidth="1"/>
    <col min="6399" max="6399" width="33.85546875" style="2" customWidth="1"/>
    <col min="6400" max="6400" width="5.140625" style="2" customWidth="1"/>
    <col min="6401" max="6402" width="17.5703125" style="2" customWidth="1"/>
    <col min="6403" max="6646" width="9.140625" style="2"/>
    <col min="6647" max="6647" width="3.5703125" style="2" customWidth="1"/>
    <col min="6648" max="6648" width="96.85546875" style="2" customWidth="1"/>
    <col min="6649" max="6649" width="30.85546875" style="2" customWidth="1"/>
    <col min="6650" max="6650" width="12.5703125" style="2" customWidth="1"/>
    <col min="6651" max="6651" width="5.140625" style="2" customWidth="1"/>
    <col min="6652" max="6652" width="9.140625" style="2"/>
    <col min="6653" max="6653" width="4.85546875" style="2" customWidth="1"/>
    <col min="6654" max="6654" width="30.5703125" style="2" customWidth="1"/>
    <col min="6655" max="6655" width="33.85546875" style="2" customWidth="1"/>
    <col min="6656" max="6656" width="5.140625" style="2" customWidth="1"/>
    <col min="6657" max="6658" width="17.5703125" style="2" customWidth="1"/>
    <col min="6659" max="6902" width="9.140625" style="2"/>
    <col min="6903" max="6903" width="3.5703125" style="2" customWidth="1"/>
    <col min="6904" max="6904" width="96.85546875" style="2" customWidth="1"/>
    <col min="6905" max="6905" width="30.85546875" style="2" customWidth="1"/>
    <col min="6906" max="6906" width="12.5703125" style="2" customWidth="1"/>
    <col min="6907" max="6907" width="5.140625" style="2" customWidth="1"/>
    <col min="6908" max="6908" width="9.140625" style="2"/>
    <col min="6909" max="6909" width="4.85546875" style="2" customWidth="1"/>
    <col min="6910" max="6910" width="30.5703125" style="2" customWidth="1"/>
    <col min="6911" max="6911" width="33.85546875" style="2" customWidth="1"/>
    <col min="6912" max="6912" width="5.140625" style="2" customWidth="1"/>
    <col min="6913" max="6914" width="17.5703125" style="2" customWidth="1"/>
    <col min="6915" max="7158" width="9.140625" style="2"/>
    <col min="7159" max="7159" width="3.5703125" style="2" customWidth="1"/>
    <col min="7160" max="7160" width="96.85546875" style="2" customWidth="1"/>
    <col min="7161" max="7161" width="30.85546875" style="2" customWidth="1"/>
    <col min="7162" max="7162" width="12.5703125" style="2" customWidth="1"/>
    <col min="7163" max="7163" width="5.140625" style="2" customWidth="1"/>
    <col min="7164" max="7164" width="9.140625" style="2"/>
    <col min="7165" max="7165" width="4.85546875" style="2" customWidth="1"/>
    <col min="7166" max="7166" width="30.5703125" style="2" customWidth="1"/>
    <col min="7167" max="7167" width="33.85546875" style="2" customWidth="1"/>
    <col min="7168" max="7168" width="5.140625" style="2" customWidth="1"/>
    <col min="7169" max="7170" width="17.5703125" style="2" customWidth="1"/>
    <col min="7171" max="7414" width="9.140625" style="2"/>
    <col min="7415" max="7415" width="3.5703125" style="2" customWidth="1"/>
    <col min="7416" max="7416" width="96.85546875" style="2" customWidth="1"/>
    <col min="7417" max="7417" width="30.85546875" style="2" customWidth="1"/>
    <col min="7418" max="7418" width="12.5703125" style="2" customWidth="1"/>
    <col min="7419" max="7419" width="5.140625" style="2" customWidth="1"/>
    <col min="7420" max="7420" width="9.140625" style="2"/>
    <col min="7421" max="7421" width="4.85546875" style="2" customWidth="1"/>
    <col min="7422" max="7422" width="30.5703125" style="2" customWidth="1"/>
    <col min="7423" max="7423" width="33.85546875" style="2" customWidth="1"/>
    <col min="7424" max="7424" width="5.140625" style="2" customWidth="1"/>
    <col min="7425" max="7426" width="17.5703125" style="2" customWidth="1"/>
    <col min="7427" max="7670" width="9.140625" style="2"/>
    <col min="7671" max="7671" width="3.5703125" style="2" customWidth="1"/>
    <col min="7672" max="7672" width="96.85546875" style="2" customWidth="1"/>
    <col min="7673" max="7673" width="30.85546875" style="2" customWidth="1"/>
    <col min="7674" max="7674" width="12.5703125" style="2" customWidth="1"/>
    <col min="7675" max="7675" width="5.140625" style="2" customWidth="1"/>
    <col min="7676" max="7676" width="9.140625" style="2"/>
    <col min="7677" max="7677" width="4.85546875" style="2" customWidth="1"/>
    <col min="7678" max="7678" width="30.5703125" style="2" customWidth="1"/>
    <col min="7679" max="7679" width="33.85546875" style="2" customWidth="1"/>
    <col min="7680" max="7680" width="5.140625" style="2" customWidth="1"/>
    <col min="7681" max="7682" width="17.5703125" style="2" customWidth="1"/>
    <col min="7683" max="7926" width="9.140625" style="2"/>
    <col min="7927" max="7927" width="3.5703125" style="2" customWidth="1"/>
    <col min="7928" max="7928" width="96.85546875" style="2" customWidth="1"/>
    <col min="7929" max="7929" width="30.85546875" style="2" customWidth="1"/>
    <col min="7930" max="7930" width="12.5703125" style="2" customWidth="1"/>
    <col min="7931" max="7931" width="5.140625" style="2" customWidth="1"/>
    <col min="7932" max="7932" width="9.140625" style="2"/>
    <col min="7933" max="7933" width="4.85546875" style="2" customWidth="1"/>
    <col min="7934" max="7934" width="30.5703125" style="2" customWidth="1"/>
    <col min="7935" max="7935" width="33.85546875" style="2" customWidth="1"/>
    <col min="7936" max="7936" width="5.140625" style="2" customWidth="1"/>
    <col min="7937" max="7938" width="17.5703125" style="2" customWidth="1"/>
    <col min="7939" max="8182" width="9.140625" style="2"/>
    <col min="8183" max="8183" width="3.5703125" style="2" customWidth="1"/>
    <col min="8184" max="8184" width="96.85546875" style="2" customWidth="1"/>
    <col min="8185" max="8185" width="30.85546875" style="2" customWidth="1"/>
    <col min="8186" max="8186" width="12.5703125" style="2" customWidth="1"/>
    <col min="8187" max="8187" width="5.140625" style="2" customWidth="1"/>
    <col min="8188" max="8188" width="9.140625" style="2"/>
    <col min="8189" max="8189" width="4.85546875" style="2" customWidth="1"/>
    <col min="8190" max="8190" width="30.5703125" style="2" customWidth="1"/>
    <col min="8191" max="8191" width="33.85546875" style="2" customWidth="1"/>
    <col min="8192" max="8192" width="5.140625" style="2" customWidth="1"/>
    <col min="8193" max="8194" width="17.5703125" style="2" customWidth="1"/>
    <col min="8195" max="8438" width="9.140625" style="2"/>
    <col min="8439" max="8439" width="3.5703125" style="2" customWidth="1"/>
    <col min="8440" max="8440" width="96.85546875" style="2" customWidth="1"/>
    <col min="8441" max="8441" width="30.85546875" style="2" customWidth="1"/>
    <col min="8442" max="8442" width="12.5703125" style="2" customWidth="1"/>
    <col min="8443" max="8443" width="5.140625" style="2" customWidth="1"/>
    <col min="8444" max="8444" width="9.140625" style="2"/>
    <col min="8445" max="8445" width="4.85546875" style="2" customWidth="1"/>
    <col min="8446" max="8446" width="30.5703125" style="2" customWidth="1"/>
    <col min="8447" max="8447" width="33.85546875" style="2" customWidth="1"/>
    <col min="8448" max="8448" width="5.140625" style="2" customWidth="1"/>
    <col min="8449" max="8450" width="17.5703125" style="2" customWidth="1"/>
    <col min="8451" max="8694" width="9.140625" style="2"/>
    <col min="8695" max="8695" width="3.5703125" style="2" customWidth="1"/>
    <col min="8696" max="8696" width="96.85546875" style="2" customWidth="1"/>
    <col min="8697" max="8697" width="30.85546875" style="2" customWidth="1"/>
    <col min="8698" max="8698" width="12.5703125" style="2" customWidth="1"/>
    <col min="8699" max="8699" width="5.140625" style="2" customWidth="1"/>
    <col min="8700" max="8700" width="9.140625" style="2"/>
    <col min="8701" max="8701" width="4.85546875" style="2" customWidth="1"/>
    <col min="8702" max="8702" width="30.5703125" style="2" customWidth="1"/>
    <col min="8703" max="8703" width="33.85546875" style="2" customWidth="1"/>
    <col min="8704" max="8704" width="5.140625" style="2" customWidth="1"/>
    <col min="8705" max="8706" width="17.5703125" style="2" customWidth="1"/>
    <col min="8707" max="8950" width="9.140625" style="2"/>
    <col min="8951" max="8951" width="3.5703125" style="2" customWidth="1"/>
    <col min="8952" max="8952" width="96.85546875" style="2" customWidth="1"/>
    <col min="8953" max="8953" width="30.85546875" style="2" customWidth="1"/>
    <col min="8954" max="8954" width="12.5703125" style="2" customWidth="1"/>
    <col min="8955" max="8955" width="5.140625" style="2" customWidth="1"/>
    <col min="8956" max="8956" width="9.140625" style="2"/>
    <col min="8957" max="8957" width="4.85546875" style="2" customWidth="1"/>
    <col min="8958" max="8958" width="30.5703125" style="2" customWidth="1"/>
    <col min="8959" max="8959" width="33.85546875" style="2" customWidth="1"/>
    <col min="8960" max="8960" width="5.140625" style="2" customWidth="1"/>
    <col min="8961" max="8962" width="17.5703125" style="2" customWidth="1"/>
    <col min="8963" max="9206" width="9.140625" style="2"/>
    <col min="9207" max="9207" width="3.5703125" style="2" customWidth="1"/>
    <col min="9208" max="9208" width="96.85546875" style="2" customWidth="1"/>
    <col min="9209" max="9209" width="30.85546875" style="2" customWidth="1"/>
    <col min="9210" max="9210" width="12.5703125" style="2" customWidth="1"/>
    <col min="9211" max="9211" width="5.140625" style="2" customWidth="1"/>
    <col min="9212" max="9212" width="9.140625" style="2"/>
    <col min="9213" max="9213" width="4.85546875" style="2" customWidth="1"/>
    <col min="9214" max="9214" width="30.5703125" style="2" customWidth="1"/>
    <col min="9215" max="9215" width="33.85546875" style="2" customWidth="1"/>
    <col min="9216" max="9216" width="5.140625" style="2" customWidth="1"/>
    <col min="9217" max="9218" width="17.5703125" style="2" customWidth="1"/>
    <col min="9219" max="9462" width="9.140625" style="2"/>
    <col min="9463" max="9463" width="3.5703125" style="2" customWidth="1"/>
    <col min="9464" max="9464" width="96.85546875" style="2" customWidth="1"/>
    <col min="9465" max="9465" width="30.85546875" style="2" customWidth="1"/>
    <col min="9466" max="9466" width="12.5703125" style="2" customWidth="1"/>
    <col min="9467" max="9467" width="5.140625" style="2" customWidth="1"/>
    <col min="9468" max="9468" width="9.140625" style="2"/>
    <col min="9469" max="9469" width="4.85546875" style="2" customWidth="1"/>
    <col min="9470" max="9470" width="30.5703125" style="2" customWidth="1"/>
    <col min="9471" max="9471" width="33.85546875" style="2" customWidth="1"/>
    <col min="9472" max="9472" width="5.140625" style="2" customWidth="1"/>
    <col min="9473" max="9474" width="17.5703125" style="2" customWidth="1"/>
    <col min="9475" max="9718" width="9.140625" style="2"/>
    <col min="9719" max="9719" width="3.5703125" style="2" customWidth="1"/>
    <col min="9720" max="9720" width="96.85546875" style="2" customWidth="1"/>
    <col min="9721" max="9721" width="30.85546875" style="2" customWidth="1"/>
    <col min="9722" max="9722" width="12.5703125" style="2" customWidth="1"/>
    <col min="9723" max="9723" width="5.140625" style="2" customWidth="1"/>
    <col min="9724" max="9724" width="9.140625" style="2"/>
    <col min="9725" max="9725" width="4.85546875" style="2" customWidth="1"/>
    <col min="9726" max="9726" width="30.5703125" style="2" customWidth="1"/>
    <col min="9727" max="9727" width="33.85546875" style="2" customWidth="1"/>
    <col min="9728" max="9728" width="5.140625" style="2" customWidth="1"/>
    <col min="9729" max="9730" width="17.5703125" style="2" customWidth="1"/>
    <col min="9731" max="9974" width="9.140625" style="2"/>
    <col min="9975" max="9975" width="3.5703125" style="2" customWidth="1"/>
    <col min="9976" max="9976" width="96.85546875" style="2" customWidth="1"/>
    <col min="9977" max="9977" width="30.85546875" style="2" customWidth="1"/>
    <col min="9978" max="9978" width="12.5703125" style="2" customWidth="1"/>
    <col min="9979" max="9979" width="5.140625" style="2" customWidth="1"/>
    <col min="9980" max="9980" width="9.140625" style="2"/>
    <col min="9981" max="9981" width="4.85546875" style="2" customWidth="1"/>
    <col min="9982" max="9982" width="30.5703125" style="2" customWidth="1"/>
    <col min="9983" max="9983" width="33.85546875" style="2" customWidth="1"/>
    <col min="9984" max="9984" width="5.140625" style="2" customWidth="1"/>
    <col min="9985" max="9986" width="17.5703125" style="2" customWidth="1"/>
    <col min="9987" max="10230" width="9.140625" style="2"/>
    <col min="10231" max="10231" width="3.5703125" style="2" customWidth="1"/>
    <col min="10232" max="10232" width="96.85546875" style="2" customWidth="1"/>
    <col min="10233" max="10233" width="30.85546875" style="2" customWidth="1"/>
    <col min="10234" max="10234" width="12.5703125" style="2" customWidth="1"/>
    <col min="10235" max="10235" width="5.140625" style="2" customWidth="1"/>
    <col min="10236" max="10236" width="9.140625" style="2"/>
    <col min="10237" max="10237" width="4.85546875" style="2" customWidth="1"/>
    <col min="10238" max="10238" width="30.5703125" style="2" customWidth="1"/>
    <col min="10239" max="10239" width="33.85546875" style="2" customWidth="1"/>
    <col min="10240" max="10240" width="5.140625" style="2" customWidth="1"/>
    <col min="10241" max="10242" width="17.5703125" style="2" customWidth="1"/>
    <col min="10243" max="10486" width="9.140625" style="2"/>
    <col min="10487" max="10487" width="3.5703125" style="2" customWidth="1"/>
    <col min="10488" max="10488" width="96.85546875" style="2" customWidth="1"/>
    <col min="10489" max="10489" width="30.85546875" style="2" customWidth="1"/>
    <col min="10490" max="10490" width="12.5703125" style="2" customWidth="1"/>
    <col min="10491" max="10491" width="5.140625" style="2" customWidth="1"/>
    <col min="10492" max="10492" width="9.140625" style="2"/>
    <col min="10493" max="10493" width="4.85546875" style="2" customWidth="1"/>
    <col min="10494" max="10494" width="30.5703125" style="2" customWidth="1"/>
    <col min="10495" max="10495" width="33.85546875" style="2" customWidth="1"/>
    <col min="10496" max="10496" width="5.140625" style="2" customWidth="1"/>
    <col min="10497" max="10498" width="17.5703125" style="2" customWidth="1"/>
    <col min="10499" max="10742" width="9.140625" style="2"/>
    <col min="10743" max="10743" width="3.5703125" style="2" customWidth="1"/>
    <col min="10744" max="10744" width="96.85546875" style="2" customWidth="1"/>
    <col min="10745" max="10745" width="30.85546875" style="2" customWidth="1"/>
    <col min="10746" max="10746" width="12.5703125" style="2" customWidth="1"/>
    <col min="10747" max="10747" width="5.140625" style="2" customWidth="1"/>
    <col min="10748" max="10748" width="9.140625" style="2"/>
    <col min="10749" max="10749" width="4.85546875" style="2" customWidth="1"/>
    <col min="10750" max="10750" width="30.5703125" style="2" customWidth="1"/>
    <col min="10751" max="10751" width="33.85546875" style="2" customWidth="1"/>
    <col min="10752" max="10752" width="5.140625" style="2" customWidth="1"/>
    <col min="10753" max="10754" width="17.5703125" style="2" customWidth="1"/>
    <col min="10755" max="10998" width="9.140625" style="2"/>
    <col min="10999" max="10999" width="3.5703125" style="2" customWidth="1"/>
    <col min="11000" max="11000" width="96.85546875" style="2" customWidth="1"/>
    <col min="11001" max="11001" width="30.85546875" style="2" customWidth="1"/>
    <col min="11002" max="11002" width="12.5703125" style="2" customWidth="1"/>
    <col min="11003" max="11003" width="5.140625" style="2" customWidth="1"/>
    <col min="11004" max="11004" width="9.140625" style="2"/>
    <col min="11005" max="11005" width="4.85546875" style="2" customWidth="1"/>
    <col min="11006" max="11006" width="30.5703125" style="2" customWidth="1"/>
    <col min="11007" max="11007" width="33.85546875" style="2" customWidth="1"/>
    <col min="11008" max="11008" width="5.140625" style="2" customWidth="1"/>
    <col min="11009" max="11010" width="17.5703125" style="2" customWidth="1"/>
    <col min="11011" max="11254" width="9.140625" style="2"/>
    <col min="11255" max="11255" width="3.5703125" style="2" customWidth="1"/>
    <col min="11256" max="11256" width="96.85546875" style="2" customWidth="1"/>
    <col min="11257" max="11257" width="30.85546875" style="2" customWidth="1"/>
    <col min="11258" max="11258" width="12.5703125" style="2" customWidth="1"/>
    <col min="11259" max="11259" width="5.140625" style="2" customWidth="1"/>
    <col min="11260" max="11260" width="9.140625" style="2"/>
    <col min="11261" max="11261" width="4.85546875" style="2" customWidth="1"/>
    <col min="11262" max="11262" width="30.5703125" style="2" customWidth="1"/>
    <col min="11263" max="11263" width="33.85546875" style="2" customWidth="1"/>
    <col min="11264" max="11264" width="5.140625" style="2" customWidth="1"/>
    <col min="11265" max="11266" width="17.5703125" style="2" customWidth="1"/>
    <col min="11267" max="11510" width="9.140625" style="2"/>
    <col min="11511" max="11511" width="3.5703125" style="2" customWidth="1"/>
    <col min="11512" max="11512" width="96.85546875" style="2" customWidth="1"/>
    <col min="11513" max="11513" width="30.85546875" style="2" customWidth="1"/>
    <col min="11514" max="11514" width="12.5703125" style="2" customWidth="1"/>
    <col min="11515" max="11515" width="5.140625" style="2" customWidth="1"/>
    <col min="11516" max="11516" width="9.140625" style="2"/>
    <col min="11517" max="11517" width="4.85546875" style="2" customWidth="1"/>
    <col min="11518" max="11518" width="30.5703125" style="2" customWidth="1"/>
    <col min="11519" max="11519" width="33.85546875" style="2" customWidth="1"/>
    <col min="11520" max="11520" width="5.140625" style="2" customWidth="1"/>
    <col min="11521" max="11522" width="17.5703125" style="2" customWidth="1"/>
    <col min="11523" max="11766" width="9.140625" style="2"/>
    <col min="11767" max="11767" width="3.5703125" style="2" customWidth="1"/>
    <col min="11768" max="11768" width="96.85546875" style="2" customWidth="1"/>
    <col min="11769" max="11769" width="30.85546875" style="2" customWidth="1"/>
    <col min="11770" max="11770" width="12.5703125" style="2" customWidth="1"/>
    <col min="11771" max="11771" width="5.140625" style="2" customWidth="1"/>
    <col min="11772" max="11772" width="9.140625" style="2"/>
    <col min="11773" max="11773" width="4.85546875" style="2" customWidth="1"/>
    <col min="11774" max="11774" width="30.5703125" style="2" customWidth="1"/>
    <col min="11775" max="11775" width="33.85546875" style="2" customWidth="1"/>
    <col min="11776" max="11776" width="5.140625" style="2" customWidth="1"/>
    <col min="11777" max="11778" width="17.5703125" style="2" customWidth="1"/>
    <col min="11779" max="12022" width="9.140625" style="2"/>
    <col min="12023" max="12023" width="3.5703125" style="2" customWidth="1"/>
    <col min="12024" max="12024" width="96.85546875" style="2" customWidth="1"/>
    <col min="12025" max="12025" width="30.85546875" style="2" customWidth="1"/>
    <col min="12026" max="12026" width="12.5703125" style="2" customWidth="1"/>
    <col min="12027" max="12027" width="5.140625" style="2" customWidth="1"/>
    <col min="12028" max="12028" width="9.140625" style="2"/>
    <col min="12029" max="12029" width="4.85546875" style="2" customWidth="1"/>
    <col min="12030" max="12030" width="30.5703125" style="2" customWidth="1"/>
    <col min="12031" max="12031" width="33.85546875" style="2" customWidth="1"/>
    <col min="12032" max="12032" width="5.140625" style="2" customWidth="1"/>
    <col min="12033" max="12034" width="17.5703125" style="2" customWidth="1"/>
    <col min="12035" max="12278" width="9.140625" style="2"/>
    <col min="12279" max="12279" width="3.5703125" style="2" customWidth="1"/>
    <col min="12280" max="12280" width="96.85546875" style="2" customWidth="1"/>
    <col min="12281" max="12281" width="30.85546875" style="2" customWidth="1"/>
    <col min="12282" max="12282" width="12.5703125" style="2" customWidth="1"/>
    <col min="12283" max="12283" width="5.140625" style="2" customWidth="1"/>
    <col min="12284" max="12284" width="9.140625" style="2"/>
    <col min="12285" max="12285" width="4.85546875" style="2" customWidth="1"/>
    <col min="12286" max="12286" width="30.5703125" style="2" customWidth="1"/>
    <col min="12287" max="12287" width="33.85546875" style="2" customWidth="1"/>
    <col min="12288" max="12288" width="5.140625" style="2" customWidth="1"/>
    <col min="12289" max="12290" width="17.5703125" style="2" customWidth="1"/>
    <col min="12291" max="12534" width="9.140625" style="2"/>
    <col min="12535" max="12535" width="3.5703125" style="2" customWidth="1"/>
    <col min="12536" max="12536" width="96.85546875" style="2" customWidth="1"/>
    <col min="12537" max="12537" width="30.85546875" style="2" customWidth="1"/>
    <col min="12538" max="12538" width="12.5703125" style="2" customWidth="1"/>
    <col min="12539" max="12539" width="5.140625" style="2" customWidth="1"/>
    <col min="12540" max="12540" width="9.140625" style="2"/>
    <col min="12541" max="12541" width="4.85546875" style="2" customWidth="1"/>
    <col min="12542" max="12542" width="30.5703125" style="2" customWidth="1"/>
    <col min="12543" max="12543" width="33.85546875" style="2" customWidth="1"/>
    <col min="12544" max="12544" width="5.140625" style="2" customWidth="1"/>
    <col min="12545" max="12546" width="17.5703125" style="2" customWidth="1"/>
    <col min="12547" max="12790" width="9.140625" style="2"/>
    <col min="12791" max="12791" width="3.5703125" style="2" customWidth="1"/>
    <col min="12792" max="12792" width="96.85546875" style="2" customWidth="1"/>
    <col min="12793" max="12793" width="30.85546875" style="2" customWidth="1"/>
    <col min="12794" max="12794" width="12.5703125" style="2" customWidth="1"/>
    <col min="12795" max="12795" width="5.140625" style="2" customWidth="1"/>
    <col min="12796" max="12796" width="9.140625" style="2"/>
    <col min="12797" max="12797" width="4.85546875" style="2" customWidth="1"/>
    <col min="12798" max="12798" width="30.5703125" style="2" customWidth="1"/>
    <col min="12799" max="12799" width="33.85546875" style="2" customWidth="1"/>
    <col min="12800" max="12800" width="5.140625" style="2" customWidth="1"/>
    <col min="12801" max="12802" width="17.5703125" style="2" customWidth="1"/>
    <col min="12803" max="13046" width="9.140625" style="2"/>
    <col min="13047" max="13047" width="3.5703125" style="2" customWidth="1"/>
    <col min="13048" max="13048" width="96.85546875" style="2" customWidth="1"/>
    <col min="13049" max="13049" width="30.85546875" style="2" customWidth="1"/>
    <col min="13050" max="13050" width="12.5703125" style="2" customWidth="1"/>
    <col min="13051" max="13051" width="5.140625" style="2" customWidth="1"/>
    <col min="13052" max="13052" width="9.140625" style="2"/>
    <col min="13053" max="13053" width="4.85546875" style="2" customWidth="1"/>
    <col min="13054" max="13054" width="30.5703125" style="2" customWidth="1"/>
    <col min="13055" max="13055" width="33.85546875" style="2" customWidth="1"/>
    <col min="13056" max="13056" width="5.140625" style="2" customWidth="1"/>
    <col min="13057" max="13058" width="17.5703125" style="2" customWidth="1"/>
    <col min="13059" max="13302" width="9.140625" style="2"/>
    <col min="13303" max="13303" width="3.5703125" style="2" customWidth="1"/>
    <col min="13304" max="13304" width="96.85546875" style="2" customWidth="1"/>
    <col min="13305" max="13305" width="30.85546875" style="2" customWidth="1"/>
    <col min="13306" max="13306" width="12.5703125" style="2" customWidth="1"/>
    <col min="13307" max="13307" width="5.140625" style="2" customWidth="1"/>
    <col min="13308" max="13308" width="9.140625" style="2"/>
    <col min="13309" max="13309" width="4.85546875" style="2" customWidth="1"/>
    <col min="13310" max="13310" width="30.5703125" style="2" customWidth="1"/>
    <col min="13311" max="13311" width="33.85546875" style="2" customWidth="1"/>
    <col min="13312" max="13312" width="5.140625" style="2" customWidth="1"/>
    <col min="13313" max="13314" width="17.5703125" style="2" customWidth="1"/>
    <col min="13315" max="13558" width="9.140625" style="2"/>
    <col min="13559" max="13559" width="3.5703125" style="2" customWidth="1"/>
    <col min="13560" max="13560" width="96.85546875" style="2" customWidth="1"/>
    <col min="13561" max="13561" width="30.85546875" style="2" customWidth="1"/>
    <col min="13562" max="13562" width="12.5703125" style="2" customWidth="1"/>
    <col min="13563" max="13563" width="5.140625" style="2" customWidth="1"/>
    <col min="13564" max="13564" width="9.140625" style="2"/>
    <col min="13565" max="13565" width="4.85546875" style="2" customWidth="1"/>
    <col min="13566" max="13566" width="30.5703125" style="2" customWidth="1"/>
    <col min="13567" max="13567" width="33.85546875" style="2" customWidth="1"/>
    <col min="13568" max="13568" width="5.140625" style="2" customWidth="1"/>
    <col min="13569" max="13570" width="17.5703125" style="2" customWidth="1"/>
    <col min="13571" max="13814" width="9.140625" style="2"/>
    <col min="13815" max="13815" width="3.5703125" style="2" customWidth="1"/>
    <col min="13816" max="13816" width="96.85546875" style="2" customWidth="1"/>
    <col min="13817" max="13817" width="30.85546875" style="2" customWidth="1"/>
    <col min="13818" max="13818" width="12.5703125" style="2" customWidth="1"/>
    <col min="13819" max="13819" width="5.140625" style="2" customWidth="1"/>
    <col min="13820" max="13820" width="9.140625" style="2"/>
    <col min="13821" max="13821" width="4.85546875" style="2" customWidth="1"/>
    <col min="13822" max="13822" width="30.5703125" style="2" customWidth="1"/>
    <col min="13823" max="13823" width="33.85546875" style="2" customWidth="1"/>
    <col min="13824" max="13824" width="5.140625" style="2" customWidth="1"/>
    <col min="13825" max="13826" width="17.5703125" style="2" customWidth="1"/>
    <col min="13827" max="14070" width="9.140625" style="2"/>
    <col min="14071" max="14071" width="3.5703125" style="2" customWidth="1"/>
    <col min="14072" max="14072" width="96.85546875" style="2" customWidth="1"/>
    <col min="14073" max="14073" width="30.85546875" style="2" customWidth="1"/>
    <col min="14074" max="14074" width="12.5703125" style="2" customWidth="1"/>
    <col min="14075" max="14075" width="5.140625" style="2" customWidth="1"/>
    <col min="14076" max="14076" width="9.140625" style="2"/>
    <col min="14077" max="14077" width="4.85546875" style="2" customWidth="1"/>
    <col min="14078" max="14078" width="30.5703125" style="2" customWidth="1"/>
    <col min="14079" max="14079" width="33.85546875" style="2" customWidth="1"/>
    <col min="14080" max="14080" width="5.140625" style="2" customWidth="1"/>
    <col min="14081" max="14082" width="17.5703125" style="2" customWidth="1"/>
    <col min="14083" max="14326" width="9.140625" style="2"/>
    <col min="14327" max="14327" width="3.5703125" style="2" customWidth="1"/>
    <col min="14328" max="14328" width="96.85546875" style="2" customWidth="1"/>
    <col min="14329" max="14329" width="30.85546875" style="2" customWidth="1"/>
    <col min="14330" max="14330" width="12.5703125" style="2" customWidth="1"/>
    <col min="14331" max="14331" width="5.140625" style="2" customWidth="1"/>
    <col min="14332" max="14332" width="9.140625" style="2"/>
    <col min="14333" max="14333" width="4.85546875" style="2" customWidth="1"/>
    <col min="14334" max="14334" width="30.5703125" style="2" customWidth="1"/>
    <col min="14335" max="14335" width="33.85546875" style="2" customWidth="1"/>
    <col min="14336" max="14336" width="5.140625" style="2" customWidth="1"/>
    <col min="14337" max="14338" width="17.5703125" style="2" customWidth="1"/>
    <col min="14339" max="14582" width="9.140625" style="2"/>
    <col min="14583" max="14583" width="3.5703125" style="2" customWidth="1"/>
    <col min="14584" max="14584" width="96.85546875" style="2" customWidth="1"/>
    <col min="14585" max="14585" width="30.85546875" style="2" customWidth="1"/>
    <col min="14586" max="14586" width="12.5703125" style="2" customWidth="1"/>
    <col min="14587" max="14587" width="5.140625" style="2" customWidth="1"/>
    <col min="14588" max="14588" width="9.140625" style="2"/>
    <col min="14589" max="14589" width="4.85546875" style="2" customWidth="1"/>
    <col min="14590" max="14590" width="30.5703125" style="2" customWidth="1"/>
    <col min="14591" max="14591" width="33.85546875" style="2" customWidth="1"/>
    <col min="14592" max="14592" width="5.140625" style="2" customWidth="1"/>
    <col min="14593" max="14594" width="17.5703125" style="2" customWidth="1"/>
    <col min="14595" max="14838" width="9.140625" style="2"/>
    <col min="14839" max="14839" width="3.5703125" style="2" customWidth="1"/>
    <col min="14840" max="14840" width="96.85546875" style="2" customWidth="1"/>
    <col min="14841" max="14841" width="30.85546875" style="2" customWidth="1"/>
    <col min="14842" max="14842" width="12.5703125" style="2" customWidth="1"/>
    <col min="14843" max="14843" width="5.140625" style="2" customWidth="1"/>
    <col min="14844" max="14844" width="9.140625" style="2"/>
    <col min="14845" max="14845" width="4.85546875" style="2" customWidth="1"/>
    <col min="14846" max="14846" width="30.5703125" style="2" customWidth="1"/>
    <col min="14847" max="14847" width="33.85546875" style="2" customWidth="1"/>
    <col min="14848" max="14848" width="5.140625" style="2" customWidth="1"/>
    <col min="14849" max="14850" width="17.5703125" style="2" customWidth="1"/>
    <col min="14851" max="15094" width="9.140625" style="2"/>
    <col min="15095" max="15095" width="3.5703125" style="2" customWidth="1"/>
    <col min="15096" max="15096" width="96.85546875" style="2" customWidth="1"/>
    <col min="15097" max="15097" width="30.85546875" style="2" customWidth="1"/>
    <col min="15098" max="15098" width="12.5703125" style="2" customWidth="1"/>
    <col min="15099" max="15099" width="5.140625" style="2" customWidth="1"/>
    <col min="15100" max="15100" width="9.140625" style="2"/>
    <col min="15101" max="15101" width="4.85546875" style="2" customWidth="1"/>
    <col min="15102" max="15102" width="30.5703125" style="2" customWidth="1"/>
    <col min="15103" max="15103" width="33.85546875" style="2" customWidth="1"/>
    <col min="15104" max="15104" width="5.140625" style="2" customWidth="1"/>
    <col min="15105" max="15106" width="17.5703125" style="2" customWidth="1"/>
    <col min="15107" max="15350" width="9.140625" style="2"/>
    <col min="15351" max="15351" width="3.5703125" style="2" customWidth="1"/>
    <col min="15352" max="15352" width="96.85546875" style="2" customWidth="1"/>
    <col min="15353" max="15353" width="30.85546875" style="2" customWidth="1"/>
    <col min="15354" max="15354" width="12.5703125" style="2" customWidth="1"/>
    <col min="15355" max="15355" width="5.140625" style="2" customWidth="1"/>
    <col min="15356" max="15356" width="9.140625" style="2"/>
    <col min="15357" max="15357" width="4.85546875" style="2" customWidth="1"/>
    <col min="15358" max="15358" width="30.5703125" style="2" customWidth="1"/>
    <col min="15359" max="15359" width="33.85546875" style="2" customWidth="1"/>
    <col min="15360" max="15360" width="5.140625" style="2" customWidth="1"/>
    <col min="15361" max="15362" width="17.5703125" style="2" customWidth="1"/>
    <col min="15363" max="15606" width="9.140625" style="2"/>
    <col min="15607" max="15607" width="3.5703125" style="2" customWidth="1"/>
    <col min="15608" max="15608" width="96.85546875" style="2" customWidth="1"/>
    <col min="15609" max="15609" width="30.85546875" style="2" customWidth="1"/>
    <col min="15610" max="15610" width="12.5703125" style="2" customWidth="1"/>
    <col min="15611" max="15611" width="5.140625" style="2" customWidth="1"/>
    <col min="15612" max="15612" width="9.140625" style="2"/>
    <col min="15613" max="15613" width="4.85546875" style="2" customWidth="1"/>
    <col min="15614" max="15614" width="30.5703125" style="2" customWidth="1"/>
    <col min="15615" max="15615" width="33.85546875" style="2" customWidth="1"/>
    <col min="15616" max="15616" width="5.140625" style="2" customWidth="1"/>
    <col min="15617" max="15618" width="17.5703125" style="2" customWidth="1"/>
    <col min="15619" max="15862" width="9.140625" style="2"/>
    <col min="15863" max="15863" width="3.5703125" style="2" customWidth="1"/>
    <col min="15864" max="15864" width="96.85546875" style="2" customWidth="1"/>
    <col min="15865" max="15865" width="30.85546875" style="2" customWidth="1"/>
    <col min="15866" max="15866" width="12.5703125" style="2" customWidth="1"/>
    <col min="15867" max="15867" width="5.140625" style="2" customWidth="1"/>
    <col min="15868" max="15868" width="9.140625" style="2"/>
    <col min="15869" max="15869" width="4.85546875" style="2" customWidth="1"/>
    <col min="15870" max="15870" width="30.5703125" style="2" customWidth="1"/>
    <col min="15871" max="15871" width="33.85546875" style="2" customWidth="1"/>
    <col min="15872" max="15872" width="5.140625" style="2" customWidth="1"/>
    <col min="15873" max="15874" width="17.5703125" style="2" customWidth="1"/>
    <col min="15875" max="16118" width="9.140625" style="2"/>
    <col min="16119" max="16119" width="3.5703125" style="2" customWidth="1"/>
    <col min="16120" max="16120" width="96.85546875" style="2" customWidth="1"/>
    <col min="16121" max="16121" width="30.85546875" style="2" customWidth="1"/>
    <col min="16122" max="16122" width="12.5703125" style="2" customWidth="1"/>
    <col min="16123" max="16123" width="5.140625" style="2" customWidth="1"/>
    <col min="16124" max="16124" width="9.140625" style="2"/>
    <col min="16125" max="16125" width="4.85546875" style="2" customWidth="1"/>
    <col min="16126" max="16126" width="30.5703125" style="2" customWidth="1"/>
    <col min="16127" max="16127" width="33.85546875" style="2" customWidth="1"/>
    <col min="16128" max="16128" width="5.140625" style="2" customWidth="1"/>
    <col min="16129" max="16130" width="17.5703125" style="2" customWidth="1"/>
    <col min="16131" max="16384" width="9.140625" style="2"/>
  </cols>
  <sheetData>
    <row r="1" spans="1:3" ht="48" customHeight="1" x14ac:dyDescent="0.2">
      <c r="A1" s="111"/>
      <c r="B1" s="143" t="s">
        <v>225</v>
      </c>
      <c r="C1" s="143"/>
    </row>
    <row r="2" spans="1:3" x14ac:dyDescent="0.2">
      <c r="A2" s="1"/>
      <c r="B2" s="3" t="s">
        <v>2</v>
      </c>
      <c r="C2" s="4">
        <v>45317</v>
      </c>
    </row>
    <row r="3" spans="1:3" x14ac:dyDescent="0.2">
      <c r="A3" s="1"/>
      <c r="B3" s="112" t="s">
        <v>3</v>
      </c>
    </row>
    <row r="4" spans="1:3" ht="25.5" x14ac:dyDescent="0.2">
      <c r="A4" s="7"/>
      <c r="B4" s="8" t="str">
        <f>[8]И1!D13</f>
        <v>Субъект Российской Федерации</v>
      </c>
      <c r="C4" s="9" t="str">
        <f>[8]И1!E13</f>
        <v>Новосибирская область</v>
      </c>
    </row>
    <row r="5" spans="1:3" ht="38.25" x14ac:dyDescent="0.2">
      <c r="A5" s="7"/>
      <c r="B5" s="8" t="str">
        <f>[8]И1!D14</f>
        <v>Тип муниципального образования (выберите из списка)</v>
      </c>
      <c r="C5" s="9" t="str">
        <f>[8]И1!E14</f>
        <v>село Кирза, Ордынский муниципальный район</v>
      </c>
    </row>
    <row r="6" spans="1:3" x14ac:dyDescent="0.2">
      <c r="A6" s="7"/>
      <c r="B6" s="8" t="str">
        <f>IF([8]И1!E15="","",[8]И1!D15)</f>
        <v/>
      </c>
      <c r="C6" s="9" t="str">
        <f>IF([8]И1!E15="","",[8]И1!E15)</f>
        <v/>
      </c>
    </row>
    <row r="7" spans="1:3" x14ac:dyDescent="0.2">
      <c r="A7" s="7"/>
      <c r="B7" s="8" t="str">
        <f>[8]И1!D16</f>
        <v>Код ОКТМО</v>
      </c>
      <c r="C7" s="10" t="str">
        <f>[8]И1!E16</f>
        <v>50642407101</v>
      </c>
    </row>
    <row r="8" spans="1:3" x14ac:dyDescent="0.2">
      <c r="A8" s="7"/>
      <c r="B8" s="11" t="str">
        <f>[8]И1!D17</f>
        <v>Система теплоснабжения</v>
      </c>
      <c r="C8" s="12">
        <f>[8]И1!E17</f>
        <v>0</v>
      </c>
    </row>
    <row r="9" spans="1:3" x14ac:dyDescent="0.2">
      <c r="A9" s="7"/>
      <c r="B9" s="8" t="str">
        <f>[8]И1!D8</f>
        <v>Период регулирования (i)-й</v>
      </c>
      <c r="C9" s="13">
        <f>[8]И1!E8</f>
        <v>2024</v>
      </c>
    </row>
    <row r="10" spans="1:3" x14ac:dyDescent="0.2">
      <c r="A10" s="7"/>
      <c r="B10" s="8" t="str">
        <f>[8]И1!D9</f>
        <v>Период регулирования (i-1)-й</v>
      </c>
      <c r="C10" s="13">
        <f>[8]И1!E9</f>
        <v>2023</v>
      </c>
    </row>
    <row r="11" spans="1:3" x14ac:dyDescent="0.2">
      <c r="A11" s="7"/>
      <c r="B11" s="8" t="str">
        <f>[8]И1!D10</f>
        <v>Период регулирования (i-2)-й</v>
      </c>
      <c r="C11" s="13">
        <f>[8]И1!E10</f>
        <v>2022</v>
      </c>
    </row>
    <row r="12" spans="1:3" x14ac:dyDescent="0.2">
      <c r="A12" s="7"/>
      <c r="B12" s="8" t="str">
        <f>[8]И1!D11</f>
        <v>Базовый год (б)</v>
      </c>
      <c r="C12" s="13">
        <f>[8]И1!E11</f>
        <v>2019</v>
      </c>
    </row>
    <row r="13" spans="1:3" ht="38.25" x14ac:dyDescent="0.2">
      <c r="A13" s="7"/>
      <c r="B13" s="8" t="str">
        <f>[8]И1!D18</f>
        <v>Вид топлива, использование которого преобладает в системе теплоснабжения</v>
      </c>
      <c r="C13" s="14" t="str">
        <f>[8]С1.1!E13</f>
        <v>уголь (вид угля не указан в топливном балансе)</v>
      </c>
    </row>
    <row r="14" spans="1:3" ht="31.7" customHeight="1" thickBot="1" x14ac:dyDescent="0.25">
      <c r="A14" s="146" t="s">
        <v>4</v>
      </c>
      <c r="B14" s="146"/>
      <c r="C14" s="146"/>
    </row>
    <row r="15" spans="1:3" x14ac:dyDescent="0.2">
      <c r="A15" s="15" t="s">
        <v>5</v>
      </c>
      <c r="B15" s="113" t="s">
        <v>6</v>
      </c>
      <c r="C15" s="114" t="s">
        <v>7</v>
      </c>
    </row>
    <row r="16" spans="1:3" x14ac:dyDescent="0.2">
      <c r="A16" s="18">
        <v>1</v>
      </c>
      <c r="B16" s="115">
        <v>2</v>
      </c>
      <c r="C16" s="116">
        <v>3</v>
      </c>
    </row>
    <row r="17" spans="1:3" x14ac:dyDescent="0.2">
      <c r="A17" s="21">
        <v>1</v>
      </c>
      <c r="B17" s="22" t="s">
        <v>8</v>
      </c>
      <c r="C17" s="23">
        <f>SUM(C18:C22)</f>
        <v>3659.7482027040082</v>
      </c>
    </row>
    <row r="18" spans="1:3" ht="42.75" x14ac:dyDescent="0.2">
      <c r="A18" s="21" t="s">
        <v>9</v>
      </c>
      <c r="B18" s="24" t="s">
        <v>10</v>
      </c>
      <c r="C18" s="25">
        <f>[8]С1!F12</f>
        <v>681.72722270675411</v>
      </c>
    </row>
    <row r="19" spans="1:3" ht="42.75" x14ac:dyDescent="0.2">
      <c r="A19" s="21" t="s">
        <v>11</v>
      </c>
      <c r="B19" s="24" t="s">
        <v>12</v>
      </c>
      <c r="C19" s="25">
        <f>[8]С2!F12</f>
        <v>1988.7336845318171</v>
      </c>
    </row>
    <row r="20" spans="1:3" ht="30" x14ac:dyDescent="0.2">
      <c r="A20" s="21" t="s">
        <v>13</v>
      </c>
      <c r="B20" s="24" t="s">
        <v>14</v>
      </c>
      <c r="C20" s="25">
        <f>[8]С3!F12</f>
        <v>472.61808029676507</v>
      </c>
    </row>
    <row r="21" spans="1:3" ht="42.75" x14ac:dyDescent="0.2">
      <c r="A21" s="21" t="s">
        <v>15</v>
      </c>
      <c r="B21" s="24" t="s">
        <v>226</v>
      </c>
      <c r="C21" s="25">
        <f>[8]С4!F12</f>
        <v>444.90944648820164</v>
      </c>
    </row>
    <row r="22" spans="1:3" ht="30" x14ac:dyDescent="0.2">
      <c r="A22" s="21" t="s">
        <v>17</v>
      </c>
      <c r="B22" s="24" t="s">
        <v>227</v>
      </c>
      <c r="C22" s="25">
        <f>[8]С5!F12</f>
        <v>71.759768680470756</v>
      </c>
    </row>
    <row r="23" spans="1:3" ht="43.5" thickBot="1" x14ac:dyDescent="0.25">
      <c r="A23" s="26" t="s">
        <v>19</v>
      </c>
      <c r="B23" s="140" t="s">
        <v>228</v>
      </c>
      <c r="C23" s="27" t="str">
        <f>[8]С6!F12</f>
        <v>-</v>
      </c>
    </row>
    <row r="24" spans="1:3" ht="13.5" thickBot="1" x14ac:dyDescent="0.25">
      <c r="A24" s="1"/>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229</v>
      </c>
      <c r="C28" s="32">
        <f>[8]С1.1!E16</f>
        <v>5100</v>
      </c>
    </row>
    <row r="29" spans="1:3" ht="42.75" x14ac:dyDescent="0.2">
      <c r="A29" s="21" t="s">
        <v>11</v>
      </c>
      <c r="B29" s="31" t="s">
        <v>230</v>
      </c>
      <c r="C29" s="32">
        <f>[8]С1.1!E27</f>
        <v>3063.03</v>
      </c>
    </row>
    <row r="30" spans="1:3" ht="17.25" x14ac:dyDescent="0.2">
      <c r="A30" s="21" t="s">
        <v>13</v>
      </c>
      <c r="B30" s="31" t="s">
        <v>30</v>
      </c>
      <c r="C30" s="34">
        <f>[8]С1.1!E19</f>
        <v>-0.19900000000000001</v>
      </c>
    </row>
    <row r="31" spans="1:3" ht="17.25" x14ac:dyDescent="0.2">
      <c r="A31" s="21" t="s">
        <v>15</v>
      </c>
      <c r="B31" s="31" t="s">
        <v>31</v>
      </c>
      <c r="C31" s="34">
        <f>[8]С1.1!E20</f>
        <v>5.7000000000000002E-2</v>
      </c>
    </row>
    <row r="32" spans="1:3" ht="30" x14ac:dyDescent="0.2">
      <c r="A32" s="21" t="s">
        <v>17</v>
      </c>
      <c r="B32" s="35" t="s">
        <v>231</v>
      </c>
      <c r="C32" s="117">
        <f>[8]С1!F13</f>
        <v>176.4</v>
      </c>
    </row>
    <row r="33" spans="1:3" x14ac:dyDescent="0.2">
      <c r="A33" s="21" t="s">
        <v>19</v>
      </c>
      <c r="B33" s="35" t="s">
        <v>33</v>
      </c>
      <c r="C33" s="37">
        <f>[8]С1!F16</f>
        <v>7000</v>
      </c>
    </row>
    <row r="34" spans="1:3" ht="14.25" x14ac:dyDescent="0.2">
      <c r="A34" s="21" t="s">
        <v>34</v>
      </c>
      <c r="B34" s="39" t="s">
        <v>232</v>
      </c>
      <c r="C34" s="40">
        <f>[8]С1!F17</f>
        <v>0.72857142857142854</v>
      </c>
    </row>
    <row r="35" spans="1:3" ht="15.75" x14ac:dyDescent="0.2">
      <c r="A35" s="118" t="s">
        <v>36</v>
      </c>
      <c r="B35" s="42" t="s">
        <v>37</v>
      </c>
      <c r="C35" s="40">
        <f>[8]С1!F20</f>
        <v>21.588411179999994</v>
      </c>
    </row>
    <row r="36" spans="1:3" ht="15.75" x14ac:dyDescent="0.2">
      <c r="A36" s="118" t="s">
        <v>38</v>
      </c>
      <c r="B36" s="43" t="s">
        <v>39</v>
      </c>
      <c r="C36" s="40">
        <f>[8]С1!F21</f>
        <v>20.818139999999996</v>
      </c>
    </row>
    <row r="37" spans="1:3" ht="14.25" x14ac:dyDescent="0.2">
      <c r="A37" s="118" t="s">
        <v>40</v>
      </c>
      <c r="B37" s="44" t="s">
        <v>41</v>
      </c>
      <c r="C37" s="40">
        <f>[8]С1!F22</f>
        <v>1.0369999999999999</v>
      </c>
    </row>
    <row r="38" spans="1:3" ht="53.25" thickBot="1" x14ac:dyDescent="0.25">
      <c r="A38" s="26" t="s">
        <v>42</v>
      </c>
      <c r="B38" s="45" t="s">
        <v>43</v>
      </c>
      <c r="C38" s="46">
        <f>[8]С1!F23</f>
        <v>1.0469999999999999</v>
      </c>
    </row>
    <row r="39" spans="1:3" ht="13.5" thickBot="1" x14ac:dyDescent="0.25">
      <c r="A39" s="47"/>
      <c r="B39" s="119"/>
      <c r="C39" s="120"/>
    </row>
    <row r="40" spans="1:3" ht="30" customHeight="1" x14ac:dyDescent="0.2">
      <c r="A40" s="49" t="s">
        <v>44</v>
      </c>
      <c r="B40" s="145" t="s">
        <v>45</v>
      </c>
      <c r="C40" s="145"/>
    </row>
    <row r="41" spans="1:3" ht="25.5" x14ac:dyDescent="0.2">
      <c r="A41" s="21" t="s">
        <v>46</v>
      </c>
      <c r="B41" s="35" t="s">
        <v>47</v>
      </c>
      <c r="C41" s="50" t="str">
        <f>[8]С2.1!E12</f>
        <v>V</v>
      </c>
    </row>
    <row r="42" spans="1:3" ht="25.5" x14ac:dyDescent="0.2">
      <c r="A42" s="21" t="s">
        <v>48</v>
      </c>
      <c r="B42" s="31" t="s">
        <v>49</v>
      </c>
      <c r="C42" s="50" t="str">
        <f>[8]С2.1!E13</f>
        <v>6 и менее баллов</v>
      </c>
    </row>
    <row r="43" spans="1:3" ht="25.5" x14ac:dyDescent="0.2">
      <c r="A43" s="21" t="s">
        <v>50</v>
      </c>
      <c r="B43" s="31" t="s">
        <v>233</v>
      </c>
      <c r="C43" s="50" t="str">
        <f>[8]С2.1!E14</f>
        <v>от 200 до 500</v>
      </c>
    </row>
    <row r="44" spans="1:3" ht="25.5" x14ac:dyDescent="0.2">
      <c r="A44" s="21" t="s">
        <v>52</v>
      </c>
      <c r="B44" s="31" t="s">
        <v>234</v>
      </c>
      <c r="C44" s="51" t="str">
        <f>[8]С2.1!E15</f>
        <v>нет</v>
      </c>
    </row>
    <row r="45" spans="1:3" ht="30" x14ac:dyDescent="0.2">
      <c r="A45" s="21" t="s">
        <v>54</v>
      </c>
      <c r="B45" s="31" t="s">
        <v>55</v>
      </c>
      <c r="C45" s="32">
        <f>[8]С2!F18</f>
        <v>35106.652004551666</v>
      </c>
    </row>
    <row r="46" spans="1:3" ht="30" x14ac:dyDescent="0.2">
      <c r="A46" s="21" t="s">
        <v>56</v>
      </c>
      <c r="B46" s="52" t="s">
        <v>57</v>
      </c>
      <c r="C46" s="32">
        <f>IF([8]С2!F19&gt;0,[8]С2!F19,[8]С2!F20)</f>
        <v>23441.524932855718</v>
      </c>
    </row>
    <row r="47" spans="1:3" ht="25.5" x14ac:dyDescent="0.2">
      <c r="A47" s="21" t="s">
        <v>58</v>
      </c>
      <c r="B47" s="53" t="s">
        <v>59</v>
      </c>
      <c r="C47" s="32">
        <f>[8]С2.1!E19</f>
        <v>-37</v>
      </c>
    </row>
    <row r="48" spans="1:3" ht="25.5" x14ac:dyDescent="0.2">
      <c r="A48" s="21" t="s">
        <v>60</v>
      </c>
      <c r="B48" s="53" t="s">
        <v>61</v>
      </c>
      <c r="C48" s="32" t="str">
        <f>[8]С2.1!E22</f>
        <v>нет</v>
      </c>
    </row>
    <row r="49" spans="1:3" ht="38.25" x14ac:dyDescent="0.2">
      <c r="A49" s="21" t="s">
        <v>62</v>
      </c>
      <c r="B49" s="54" t="s">
        <v>63</v>
      </c>
      <c r="C49" s="32">
        <f>[8]С2.2!E10</f>
        <v>1287</v>
      </c>
    </row>
    <row r="50" spans="1:3" ht="25.5" x14ac:dyDescent="0.2">
      <c r="A50" s="21" t="s">
        <v>64</v>
      </c>
      <c r="B50" s="55" t="s">
        <v>65</v>
      </c>
      <c r="C50" s="32">
        <f>[8]С2.2!E12</f>
        <v>5.97</v>
      </c>
    </row>
    <row r="51" spans="1:3" ht="52.5" x14ac:dyDescent="0.2">
      <c r="A51" s="21" t="s">
        <v>66</v>
      </c>
      <c r="B51" s="56" t="s">
        <v>67</v>
      </c>
      <c r="C51" s="32">
        <f>[8]С2.2!E13</f>
        <v>1</v>
      </c>
    </row>
    <row r="52" spans="1:3" ht="27.75" x14ac:dyDescent="0.2">
      <c r="A52" s="21" t="s">
        <v>68</v>
      </c>
      <c r="B52" s="55" t="s">
        <v>69</v>
      </c>
      <c r="C52" s="32">
        <f>[8]С2.2!E14</f>
        <v>12104</v>
      </c>
    </row>
    <row r="53" spans="1:3" ht="25.5" x14ac:dyDescent="0.2">
      <c r="A53" s="21" t="s">
        <v>70</v>
      </c>
      <c r="B53" s="56" t="s">
        <v>71</v>
      </c>
      <c r="C53" s="34">
        <f>[8]С2.2!E15</f>
        <v>4.8000000000000001E-2</v>
      </c>
    </row>
    <row r="54" spans="1:3" x14ac:dyDescent="0.2">
      <c r="A54" s="21" t="s">
        <v>72</v>
      </c>
      <c r="B54" s="56" t="s">
        <v>73</v>
      </c>
      <c r="C54" s="32">
        <f>[8]С2.2!E16</f>
        <v>1</v>
      </c>
    </row>
    <row r="55" spans="1:3" ht="15.75" x14ac:dyDescent="0.2">
      <c r="A55" s="21" t="s">
        <v>74</v>
      </c>
      <c r="B55" s="58" t="s">
        <v>75</v>
      </c>
      <c r="C55" s="32">
        <f>[8]С2!F21</f>
        <v>1</v>
      </c>
    </row>
    <row r="56" spans="1:3" ht="30" x14ac:dyDescent="0.2">
      <c r="A56" s="59" t="s">
        <v>76</v>
      </c>
      <c r="B56" s="31" t="s">
        <v>235</v>
      </c>
      <c r="C56" s="32">
        <f>[8]С2!F13</f>
        <v>183796.83936385796</v>
      </c>
    </row>
    <row r="57" spans="1:3" ht="30" x14ac:dyDescent="0.2">
      <c r="A57" s="59" t="s">
        <v>78</v>
      </c>
      <c r="B57" s="58" t="s">
        <v>236</v>
      </c>
      <c r="C57" s="32">
        <f>[8]С2!F14</f>
        <v>113455</v>
      </c>
    </row>
    <row r="58" spans="1:3" ht="15.75" x14ac:dyDescent="0.2">
      <c r="A58" s="59" t="s">
        <v>80</v>
      </c>
      <c r="B58" s="60" t="s">
        <v>81</v>
      </c>
      <c r="C58" s="40">
        <f>[8]С2!F15</f>
        <v>1.071</v>
      </c>
    </row>
    <row r="59" spans="1:3" ht="15.75" x14ac:dyDescent="0.2">
      <c r="A59" s="59" t="s">
        <v>82</v>
      </c>
      <c r="B59" s="60" t="s">
        <v>83</v>
      </c>
      <c r="C59" s="40">
        <f>[8]С2!F16</f>
        <v>1</v>
      </c>
    </row>
    <row r="60" spans="1:3" ht="17.25" x14ac:dyDescent="0.2">
      <c r="A60" s="59" t="s">
        <v>84</v>
      </c>
      <c r="B60" s="58" t="s">
        <v>85</v>
      </c>
      <c r="C60" s="32">
        <f>[8]С2!F17</f>
        <v>1.01</v>
      </c>
    </row>
    <row r="61" spans="1:3" s="65" customFormat="1" ht="14.25" x14ac:dyDescent="0.2">
      <c r="A61" s="59" t="s">
        <v>86</v>
      </c>
      <c r="B61" s="63" t="s">
        <v>87</v>
      </c>
      <c r="C61" s="64">
        <f>[8]С2!F33</f>
        <v>10</v>
      </c>
    </row>
    <row r="62" spans="1:3" ht="30" x14ac:dyDescent="0.2">
      <c r="A62" s="59" t="s">
        <v>88</v>
      </c>
      <c r="B62" s="66" t="s">
        <v>89</v>
      </c>
      <c r="C62" s="32">
        <f>[8]С2!F26</f>
        <v>1266.3745527115127</v>
      </c>
    </row>
    <row r="63" spans="1:3" ht="17.25" x14ac:dyDescent="0.2">
      <c r="A63" s="59" t="s">
        <v>90</v>
      </c>
      <c r="B63" s="52" t="s">
        <v>237</v>
      </c>
      <c r="C63" s="32">
        <f>[8]С2!F27</f>
        <v>0.201330388</v>
      </c>
    </row>
    <row r="64" spans="1:3" ht="17.25" x14ac:dyDescent="0.2">
      <c r="A64" s="59" t="s">
        <v>92</v>
      </c>
      <c r="B64" s="58" t="s">
        <v>238</v>
      </c>
      <c r="C64" s="64">
        <f>[8]С2!F28</f>
        <v>4200</v>
      </c>
    </row>
    <row r="65" spans="1:3" ht="42.75" x14ac:dyDescent="0.2">
      <c r="A65" s="59" t="s">
        <v>94</v>
      </c>
      <c r="B65" s="31" t="s">
        <v>239</v>
      </c>
      <c r="C65" s="32">
        <f>[8]С2!F22</f>
        <v>38698.422798410109</v>
      </c>
    </row>
    <row r="66" spans="1:3" ht="30" x14ac:dyDescent="0.2">
      <c r="A66" s="59" t="s">
        <v>96</v>
      </c>
      <c r="B66" s="60" t="s">
        <v>240</v>
      </c>
      <c r="C66" s="32">
        <f>[8]С2!F23</f>
        <v>1990</v>
      </c>
    </row>
    <row r="67" spans="1:3" ht="30" x14ac:dyDescent="0.2">
      <c r="A67" s="59" t="s">
        <v>98</v>
      </c>
      <c r="B67" s="52" t="s">
        <v>99</v>
      </c>
      <c r="C67" s="32">
        <f>[8]С2.1!E27</f>
        <v>14307.876789999998</v>
      </c>
    </row>
    <row r="68" spans="1:3" ht="38.25" x14ac:dyDescent="0.2">
      <c r="A68" s="59" t="s">
        <v>100</v>
      </c>
      <c r="B68" s="67" t="s">
        <v>101</v>
      </c>
      <c r="C68" s="51">
        <f>[8]С2.3!E21</f>
        <v>0</v>
      </c>
    </row>
    <row r="69" spans="1:3" ht="25.5" x14ac:dyDescent="0.2">
      <c r="A69" s="59" t="s">
        <v>102</v>
      </c>
      <c r="B69" s="68" t="s">
        <v>103</v>
      </c>
      <c r="C69" s="69">
        <f>[8]С2.3!E11</f>
        <v>9.89</v>
      </c>
    </row>
    <row r="70" spans="1:3" ht="25.5" x14ac:dyDescent="0.2">
      <c r="A70" s="59" t="s">
        <v>104</v>
      </c>
      <c r="B70" s="68" t="s">
        <v>105</v>
      </c>
      <c r="C70" s="64">
        <f>[8]С2.3!E13</f>
        <v>300</v>
      </c>
    </row>
    <row r="71" spans="1:3" ht="25.5" x14ac:dyDescent="0.2">
      <c r="A71" s="59" t="s">
        <v>106</v>
      </c>
      <c r="B71" s="67" t="s">
        <v>107</v>
      </c>
      <c r="C71" s="70">
        <f>IF([8]С2.3!E22&gt;0,[8]С2.3!E22,[8]С2.3!E14)</f>
        <v>61211</v>
      </c>
    </row>
    <row r="72" spans="1:3" ht="38.25" x14ac:dyDescent="0.2">
      <c r="A72" s="59" t="s">
        <v>108</v>
      </c>
      <c r="B72" s="67" t="s">
        <v>109</v>
      </c>
      <c r="C72" s="70">
        <f>IF([8]С2.3!E23&gt;0,[8]С2.3!E23,[8]С2.3!E15)</f>
        <v>45675</v>
      </c>
    </row>
    <row r="73" spans="1:3" ht="30" x14ac:dyDescent="0.2">
      <c r="A73" s="59" t="s">
        <v>110</v>
      </c>
      <c r="B73" s="52" t="s">
        <v>111</v>
      </c>
      <c r="C73" s="32">
        <f>[8]С2.1!E28</f>
        <v>9541.9567200000001</v>
      </c>
    </row>
    <row r="74" spans="1:3" ht="38.25" x14ac:dyDescent="0.2">
      <c r="A74" s="59" t="s">
        <v>112</v>
      </c>
      <c r="B74" s="67" t="s">
        <v>113</v>
      </c>
      <c r="C74" s="51">
        <f>[8]С2.3!E25</f>
        <v>0</v>
      </c>
    </row>
    <row r="75" spans="1:3" ht="25.5" x14ac:dyDescent="0.2">
      <c r="A75" s="59" t="s">
        <v>114</v>
      </c>
      <c r="B75" s="68" t="s">
        <v>115</v>
      </c>
      <c r="C75" s="69">
        <f>[8]С2.3!E12</f>
        <v>0.56000000000000005</v>
      </c>
    </row>
    <row r="76" spans="1:3" ht="25.5" x14ac:dyDescent="0.2">
      <c r="A76" s="59" t="s">
        <v>116</v>
      </c>
      <c r="B76" s="68" t="s">
        <v>105</v>
      </c>
      <c r="C76" s="64">
        <f>[8]С2.3!E13</f>
        <v>300</v>
      </c>
    </row>
    <row r="77" spans="1:3" ht="25.5" x14ac:dyDescent="0.2">
      <c r="A77" s="59" t="s">
        <v>117</v>
      </c>
      <c r="B77" s="71" t="s">
        <v>118</v>
      </c>
      <c r="C77" s="70">
        <f>IF([8]С2.3!E26&gt;0,[8]С2.3!E26,[8]С2.3!E16)</f>
        <v>65637</v>
      </c>
    </row>
    <row r="78" spans="1:3" ht="38.25" x14ac:dyDescent="0.2">
      <c r="A78" s="59" t="s">
        <v>119</v>
      </c>
      <c r="B78" s="71" t="s">
        <v>120</v>
      </c>
      <c r="C78" s="70">
        <f>IF([8]С2.3!E27&gt;0,[8]С2.3!E27,[8]С2.3!E17)</f>
        <v>31684</v>
      </c>
    </row>
    <row r="79" spans="1:3" ht="17.25" x14ac:dyDescent="0.2">
      <c r="A79" s="59" t="s">
        <v>123</v>
      </c>
      <c r="B79" s="31" t="s">
        <v>124</v>
      </c>
      <c r="C79" s="34">
        <f>[8]С2!F29</f>
        <v>9.5962865259740182E-2</v>
      </c>
    </row>
    <row r="80" spans="1:3" ht="30" x14ac:dyDescent="0.2">
      <c r="A80" s="59" t="s">
        <v>125</v>
      </c>
      <c r="B80" s="52" t="s">
        <v>126</v>
      </c>
      <c r="C80" s="72">
        <f>[8]С2!F30</f>
        <v>8.4029304029304031E-2</v>
      </c>
    </row>
    <row r="81" spans="1:3" ht="17.25" x14ac:dyDescent="0.2">
      <c r="A81" s="59" t="s">
        <v>127</v>
      </c>
      <c r="B81" s="73" t="s">
        <v>128</v>
      </c>
      <c r="C81" s="34">
        <f>[8]С2!F31</f>
        <v>0.13880000000000001</v>
      </c>
    </row>
    <row r="82" spans="1:3" s="65" customFormat="1" ht="18" thickBot="1" x14ac:dyDescent="0.25">
      <c r="A82" s="74" t="s">
        <v>129</v>
      </c>
      <c r="B82" s="75" t="s">
        <v>130</v>
      </c>
      <c r="C82" s="76">
        <f>[8]С2!F32</f>
        <v>0.12640000000000001</v>
      </c>
    </row>
    <row r="83" spans="1:3" ht="13.5" thickBot="1" x14ac:dyDescent="0.25">
      <c r="A83" s="47"/>
      <c r="B83" s="48"/>
      <c r="C83" s="14"/>
    </row>
    <row r="84" spans="1:3" s="65" customFormat="1" ht="30" customHeight="1" x14ac:dyDescent="0.2">
      <c r="A84" s="77" t="s">
        <v>131</v>
      </c>
      <c r="B84" s="145" t="s">
        <v>132</v>
      </c>
      <c r="C84" s="145"/>
    </row>
    <row r="85" spans="1:3" s="65" customFormat="1" ht="30" x14ac:dyDescent="0.2">
      <c r="A85" s="78" t="s">
        <v>133</v>
      </c>
      <c r="B85" s="31" t="s">
        <v>134</v>
      </c>
      <c r="C85" s="32">
        <f>[8]С3!F14</f>
        <v>6057.0688307111368</v>
      </c>
    </row>
    <row r="86" spans="1:3" s="65" customFormat="1" ht="42.75" x14ac:dyDescent="0.2">
      <c r="A86" s="78" t="s">
        <v>135</v>
      </c>
      <c r="B86" s="52" t="s">
        <v>136</v>
      </c>
      <c r="C86" s="79">
        <f>[8]С3!F15</f>
        <v>0.2</v>
      </c>
    </row>
    <row r="87" spans="1:3" s="65" customFormat="1" ht="14.25" x14ac:dyDescent="0.2">
      <c r="A87" s="78" t="s">
        <v>137</v>
      </c>
      <c r="B87" s="80" t="s">
        <v>138</v>
      </c>
      <c r="C87" s="64">
        <f>[8]С3!F18</f>
        <v>15</v>
      </c>
    </row>
    <row r="88" spans="1:3" s="65" customFormat="1" ht="17.25" x14ac:dyDescent="0.2">
      <c r="A88" s="78" t="s">
        <v>139</v>
      </c>
      <c r="B88" s="31" t="s">
        <v>140</v>
      </c>
      <c r="C88" s="32">
        <f>[8]С3!F19</f>
        <v>3778.1614077800232</v>
      </c>
    </row>
    <row r="89" spans="1:3" s="65" customFormat="1" ht="55.5" x14ac:dyDescent="0.2">
      <c r="A89" s="78" t="s">
        <v>141</v>
      </c>
      <c r="B89" s="52" t="s">
        <v>142</v>
      </c>
      <c r="C89" s="81">
        <f>[8]С3!F20</f>
        <v>2.1999999999999999E-2</v>
      </c>
    </row>
    <row r="90" spans="1:3" s="65" customFormat="1" ht="14.25" x14ac:dyDescent="0.2">
      <c r="A90" s="78" t="s">
        <v>143</v>
      </c>
      <c r="B90" s="58" t="s">
        <v>87</v>
      </c>
      <c r="C90" s="64">
        <f>[8]С3!F21</f>
        <v>10</v>
      </c>
    </row>
    <row r="91" spans="1:3" s="65" customFormat="1" ht="17.25" x14ac:dyDescent="0.2">
      <c r="A91" s="78" t="s">
        <v>144</v>
      </c>
      <c r="B91" s="31" t="s">
        <v>145</v>
      </c>
      <c r="C91" s="32">
        <f>[8]С3!F22</f>
        <v>3.7991236581345382</v>
      </c>
    </row>
    <row r="92" spans="1:3" s="65" customFormat="1" ht="55.5" x14ac:dyDescent="0.2">
      <c r="A92" s="78" t="s">
        <v>146</v>
      </c>
      <c r="B92" s="52" t="s">
        <v>147</v>
      </c>
      <c r="C92" s="81">
        <f>[8]С3!F23</f>
        <v>3.0000000000000001E-3</v>
      </c>
    </row>
    <row r="93" spans="1:3" s="65" customFormat="1" ht="27.75" thickBot="1" x14ac:dyDescent="0.25">
      <c r="A93" s="82" t="s">
        <v>148</v>
      </c>
      <c r="B93" s="83" t="s">
        <v>241</v>
      </c>
      <c r="C93" s="84">
        <f>[8]С3!F24</f>
        <v>1266.3745527115127</v>
      </c>
    </row>
    <row r="94" spans="1:3" ht="13.5" thickBot="1" x14ac:dyDescent="0.25">
      <c r="A94" s="47"/>
      <c r="B94" s="48"/>
      <c r="C94" s="14"/>
    </row>
    <row r="95" spans="1:3" ht="30" customHeight="1" x14ac:dyDescent="0.2">
      <c r="A95" s="85" t="s">
        <v>149</v>
      </c>
      <c r="B95" s="145" t="s">
        <v>150</v>
      </c>
      <c r="C95" s="145"/>
    </row>
    <row r="96" spans="1:3" ht="30" x14ac:dyDescent="0.2">
      <c r="A96" s="59" t="s">
        <v>151</v>
      </c>
      <c r="B96" s="31" t="s">
        <v>242</v>
      </c>
      <c r="C96" s="32">
        <f>[8]С4!F16</f>
        <v>1652.5</v>
      </c>
    </row>
    <row r="97" spans="1:3" ht="30" x14ac:dyDescent="0.2">
      <c r="A97" s="59" t="s">
        <v>153</v>
      </c>
      <c r="B97" s="58" t="s">
        <v>243</v>
      </c>
      <c r="C97" s="32">
        <f>[8]С4!F17</f>
        <v>73547</v>
      </c>
    </row>
    <row r="98" spans="1:3" ht="17.25" x14ac:dyDescent="0.2">
      <c r="A98" s="59" t="s">
        <v>155</v>
      </c>
      <c r="B98" s="58" t="s">
        <v>156</v>
      </c>
      <c r="C98" s="40">
        <f>[8]С4!F18</f>
        <v>0.02</v>
      </c>
    </row>
    <row r="99" spans="1:3" ht="30" x14ac:dyDescent="0.2">
      <c r="A99" s="59" t="s">
        <v>157</v>
      </c>
      <c r="B99" s="58" t="s">
        <v>158</v>
      </c>
      <c r="C99" s="32">
        <f>[8]С4!F19</f>
        <v>12104</v>
      </c>
    </row>
    <row r="100" spans="1:3" ht="28.5" x14ac:dyDescent="0.2">
      <c r="A100" s="59" t="s">
        <v>159</v>
      </c>
      <c r="B100" s="58" t="s">
        <v>160</v>
      </c>
      <c r="C100" s="40">
        <f>[8]С4!F20</f>
        <v>1.4999999999999999E-2</v>
      </c>
    </row>
    <row r="101" spans="1:3" ht="30" x14ac:dyDescent="0.2">
      <c r="A101" s="59" t="s">
        <v>161</v>
      </c>
      <c r="B101" s="31" t="s">
        <v>244</v>
      </c>
      <c r="C101" s="32">
        <f>[8]С4!F21</f>
        <v>1933.1949342509995</v>
      </c>
    </row>
    <row r="102" spans="1:3" ht="24" customHeight="1" x14ac:dyDescent="0.2">
      <c r="A102" s="59" t="s">
        <v>163</v>
      </c>
      <c r="B102" s="52" t="s">
        <v>164</v>
      </c>
      <c r="C102" s="33">
        <f>IF([8]С4.2!F8="да",[8]С4.2!D21,[8]С4.2!D15)</f>
        <v>0</v>
      </c>
    </row>
    <row r="103" spans="1:3" ht="68.25" x14ac:dyDescent="0.2">
      <c r="A103" s="59" t="s">
        <v>165</v>
      </c>
      <c r="B103" s="52" t="s">
        <v>166</v>
      </c>
      <c r="C103" s="32">
        <f>[8]С4!F22</f>
        <v>3.6112641666666665</v>
      </c>
    </row>
    <row r="104" spans="1:3" ht="30" x14ac:dyDescent="0.2">
      <c r="A104" s="59" t="s">
        <v>167</v>
      </c>
      <c r="B104" s="58" t="s">
        <v>245</v>
      </c>
      <c r="C104" s="32">
        <f>[8]С4!F23</f>
        <v>180</v>
      </c>
    </row>
    <row r="105" spans="1:3" ht="14.25" x14ac:dyDescent="0.2">
      <c r="A105" s="59" t="s">
        <v>169</v>
      </c>
      <c r="B105" s="52" t="s">
        <v>170</v>
      </c>
      <c r="C105" s="32">
        <f>[8]С4!F24</f>
        <v>8497.1999999999989</v>
      </c>
    </row>
    <row r="106" spans="1:3" ht="14.25" x14ac:dyDescent="0.2">
      <c r="A106" s="59" t="s">
        <v>171</v>
      </c>
      <c r="B106" s="58" t="s">
        <v>172</v>
      </c>
      <c r="C106" s="40">
        <f>[8]С4!F25</f>
        <v>0.35</v>
      </c>
    </row>
    <row r="107" spans="1:3" ht="17.25" x14ac:dyDescent="0.2">
      <c r="A107" s="59" t="s">
        <v>173</v>
      </c>
      <c r="B107" s="31" t="s">
        <v>174</v>
      </c>
      <c r="C107" s="32">
        <f>[8]С4!F26</f>
        <v>89.7941</v>
      </c>
    </row>
    <row r="108" spans="1:3" ht="25.5" x14ac:dyDescent="0.2">
      <c r="A108" s="59" t="s">
        <v>175</v>
      </c>
      <c r="B108" s="52" t="s">
        <v>101</v>
      </c>
      <c r="C108" s="33">
        <f>[8]С4.3!E16</f>
        <v>0</v>
      </c>
    </row>
    <row r="109" spans="1:3" ht="25.5" x14ac:dyDescent="0.2">
      <c r="A109" s="59" t="s">
        <v>176</v>
      </c>
      <c r="B109" s="52" t="s">
        <v>177</v>
      </c>
      <c r="C109" s="32">
        <f>[8]С4.3!E17</f>
        <v>24.5</v>
      </c>
    </row>
    <row r="110" spans="1:3" ht="38.25" x14ac:dyDescent="0.2">
      <c r="A110" s="59" t="s">
        <v>178</v>
      </c>
      <c r="B110" s="52" t="s">
        <v>113</v>
      </c>
      <c r="C110" s="33">
        <f>[8]С4.3!E18</f>
        <v>0</v>
      </c>
    </row>
    <row r="111" spans="1:3" x14ac:dyDescent="0.2">
      <c r="A111" s="59" t="s">
        <v>179</v>
      </c>
      <c r="B111" s="52" t="s">
        <v>180</v>
      </c>
      <c r="C111" s="32">
        <f>[8]С4.3!E19</f>
        <v>18.983333333333334</v>
      </c>
    </row>
    <row r="112" spans="1:3" x14ac:dyDescent="0.2">
      <c r="A112" s="59" t="s">
        <v>181</v>
      </c>
      <c r="B112" s="58" t="s">
        <v>182</v>
      </c>
      <c r="C112" s="32">
        <f>[8]С4.3!E11</f>
        <v>1871</v>
      </c>
    </row>
    <row r="113" spans="1:3" x14ac:dyDescent="0.2">
      <c r="A113" s="59" t="s">
        <v>183</v>
      </c>
      <c r="B113" s="58" t="s">
        <v>184</v>
      </c>
      <c r="C113" s="51">
        <f>[8]С4.3!E12</f>
        <v>1636</v>
      </c>
    </row>
    <row r="114" spans="1:3" x14ac:dyDescent="0.2">
      <c r="A114" s="59" t="s">
        <v>185</v>
      </c>
      <c r="B114" s="58" t="s">
        <v>186</v>
      </c>
      <c r="C114" s="51">
        <f>[8]С4.3!E13</f>
        <v>204</v>
      </c>
    </row>
    <row r="115" spans="1:3" ht="30" x14ac:dyDescent="0.2">
      <c r="A115" s="59" t="s">
        <v>187</v>
      </c>
      <c r="B115" s="31" t="s">
        <v>246</v>
      </c>
      <c r="C115" s="32">
        <f>[8]С4!F27</f>
        <v>1351.1912129385403</v>
      </c>
    </row>
    <row r="116" spans="1:3" ht="25.5" x14ac:dyDescent="0.2">
      <c r="A116" s="59" t="s">
        <v>189</v>
      </c>
      <c r="B116" s="52" t="s">
        <v>247</v>
      </c>
      <c r="C116" s="32">
        <f>[8]С4!F28</f>
        <v>1037.7812695380494</v>
      </c>
    </row>
    <row r="117" spans="1:3" ht="42.75" x14ac:dyDescent="0.2">
      <c r="A117" s="59" t="s">
        <v>191</v>
      </c>
      <c r="B117" s="52" t="s">
        <v>192</v>
      </c>
      <c r="C117" s="32">
        <f>[8]С4!F29</f>
        <v>313.40994340049093</v>
      </c>
    </row>
    <row r="118" spans="1:3" ht="30" x14ac:dyDescent="0.2">
      <c r="A118" s="59" t="s">
        <v>193</v>
      </c>
      <c r="B118" s="39" t="s">
        <v>194</v>
      </c>
      <c r="C118" s="32">
        <f>[8]С4!F30</f>
        <v>1734.0969419185608</v>
      </c>
    </row>
    <row r="119" spans="1:3" ht="42.75" x14ac:dyDescent="0.2">
      <c r="A119" s="59" t="s">
        <v>248</v>
      </c>
      <c r="B119" s="89" t="s">
        <v>249</v>
      </c>
      <c r="C119" s="32">
        <f>[8]С4!F33</f>
        <v>1010.5011744884268</v>
      </c>
    </row>
    <row r="120" spans="1:3" ht="30" x14ac:dyDescent="0.2">
      <c r="A120" s="59" t="s">
        <v>250</v>
      </c>
      <c r="B120" s="121" t="s">
        <v>251</v>
      </c>
      <c r="C120" s="32">
        <f>[8]С4!F35</f>
        <v>17.040680999999999</v>
      </c>
    </row>
    <row r="121" spans="1:3" ht="14.25" x14ac:dyDescent="0.2">
      <c r="A121" s="59" t="s">
        <v>252</v>
      </c>
      <c r="B121" s="55" t="s">
        <v>253</v>
      </c>
      <c r="C121" s="32">
        <f>[8]С4!F36</f>
        <v>14319.9</v>
      </c>
    </row>
    <row r="122" spans="1:3" ht="28.5" thickBot="1" x14ac:dyDescent="0.25">
      <c r="A122" s="74" t="s">
        <v>254</v>
      </c>
      <c r="B122" s="122" t="s">
        <v>255</v>
      </c>
      <c r="C122" s="84">
        <f>[8]С4!F37</f>
        <v>1.19</v>
      </c>
    </row>
    <row r="123" spans="1:3" s="87" customFormat="1" ht="13.5" thickBot="1" x14ac:dyDescent="0.25">
      <c r="A123" s="47"/>
      <c r="B123" s="48"/>
      <c r="C123" s="14"/>
    </row>
    <row r="124" spans="1:3" s="65" customFormat="1" ht="30" customHeight="1" x14ac:dyDescent="0.2">
      <c r="A124" s="77" t="s">
        <v>195</v>
      </c>
      <c r="B124" s="145" t="s">
        <v>196</v>
      </c>
      <c r="C124" s="145"/>
    </row>
    <row r="125" spans="1:3" ht="16.5" thickBot="1" x14ac:dyDescent="0.25">
      <c r="A125" s="26" t="s">
        <v>197</v>
      </c>
      <c r="B125" s="86" t="s">
        <v>198</v>
      </c>
      <c r="C125" s="84">
        <f>[8]С5!F17</f>
        <v>0.02</v>
      </c>
    </row>
    <row r="126" spans="1:3" s="87" customFormat="1" ht="13.5" thickBot="1" x14ac:dyDescent="0.25">
      <c r="A126" s="47"/>
      <c r="B126" s="48"/>
      <c r="C126" s="14"/>
    </row>
    <row r="127" spans="1:3" ht="42.75" customHeight="1" x14ac:dyDescent="0.2">
      <c r="A127" s="85" t="s">
        <v>199</v>
      </c>
      <c r="B127" s="147" t="s">
        <v>200</v>
      </c>
      <c r="C127" s="147"/>
    </row>
    <row r="128" spans="1:3" ht="68.25" x14ac:dyDescent="0.2">
      <c r="A128" s="59" t="s">
        <v>201</v>
      </c>
      <c r="B128" s="88" t="s">
        <v>202</v>
      </c>
      <c r="C128" s="32" t="s">
        <v>256</v>
      </c>
    </row>
    <row r="129" spans="1:3" ht="42.75" hidden="1" x14ac:dyDescent="0.2">
      <c r="A129" s="59" t="s">
        <v>203</v>
      </c>
      <c r="B129" s="89" t="s">
        <v>204</v>
      </c>
      <c r="C129" s="90"/>
    </row>
    <row r="130" spans="1:3" ht="69" thickBot="1" x14ac:dyDescent="0.25">
      <c r="A130" s="74" t="s">
        <v>205</v>
      </c>
      <c r="B130" s="123" t="s">
        <v>206</v>
      </c>
      <c r="C130" s="124" t="s">
        <v>256</v>
      </c>
    </row>
    <row r="131" spans="1:3" ht="62.25" hidden="1" customHeight="1" x14ac:dyDescent="0.2">
      <c r="A131" s="125" t="s">
        <v>207</v>
      </c>
      <c r="B131" s="126" t="s">
        <v>208</v>
      </c>
      <c r="C131" s="127"/>
    </row>
    <row r="132" spans="1:3" ht="68.25" hidden="1" x14ac:dyDescent="0.2">
      <c r="A132" s="59" t="s">
        <v>209</v>
      </c>
      <c r="B132" s="89" t="s">
        <v>257</v>
      </c>
      <c r="C132" s="34"/>
    </row>
    <row r="133" spans="1:3" ht="69" hidden="1" thickBot="1" x14ac:dyDescent="0.25">
      <c r="A133" s="74" t="s">
        <v>211</v>
      </c>
      <c r="B133" s="92" t="s">
        <v>212</v>
      </c>
      <c r="C133" s="76"/>
    </row>
    <row r="134" spans="1:3" s="87" customFormat="1" ht="13.5" thickBot="1" x14ac:dyDescent="0.25">
      <c r="A134" s="47"/>
      <c r="B134" s="48"/>
      <c r="C134" s="14"/>
    </row>
    <row r="135" spans="1:3" ht="26.25" customHeight="1" x14ac:dyDescent="0.2">
      <c r="A135" s="85" t="s">
        <v>213</v>
      </c>
      <c r="B135" s="93" t="s">
        <v>214</v>
      </c>
      <c r="C135" s="94">
        <f>[8]С2!F37</f>
        <v>20.818139999999996</v>
      </c>
    </row>
    <row r="136" spans="1:3" ht="14.25" x14ac:dyDescent="0.2">
      <c r="A136" s="59" t="s">
        <v>215</v>
      </c>
      <c r="B136" s="128" t="s">
        <v>216</v>
      </c>
      <c r="C136" s="32">
        <f>[8]С2!F38</f>
        <v>7</v>
      </c>
    </row>
    <row r="137" spans="1:3" ht="17.25" x14ac:dyDescent="0.2">
      <c r="A137" s="59" t="s">
        <v>217</v>
      </c>
      <c r="B137" s="128" t="s">
        <v>218</v>
      </c>
      <c r="C137" s="32">
        <f>[8]С2!F40</f>
        <v>0.97</v>
      </c>
    </row>
    <row r="138" spans="1:3" ht="15" thickBot="1" x14ac:dyDescent="0.25">
      <c r="A138" s="74" t="s">
        <v>219</v>
      </c>
      <c r="B138" s="129" t="s">
        <v>220</v>
      </c>
      <c r="C138" s="46">
        <f>[8]С2!F42</f>
        <v>0.35</v>
      </c>
    </row>
    <row r="139" spans="1:3" s="87" customFormat="1" ht="13.5" thickBot="1" x14ac:dyDescent="0.25">
      <c r="A139" s="47"/>
      <c r="B139" s="48"/>
      <c r="C139" s="14"/>
    </row>
    <row r="140" spans="1:3" ht="30" x14ac:dyDescent="0.2">
      <c r="A140" s="85" t="s">
        <v>221</v>
      </c>
      <c r="B140" s="95" t="s">
        <v>258</v>
      </c>
      <c r="C140" s="130">
        <f>[8]С2!F35</f>
        <v>1.4976266307379205</v>
      </c>
    </row>
    <row r="141" spans="1:3" ht="22.7" customHeight="1" thickBot="1" x14ac:dyDescent="0.25">
      <c r="A141" s="74" t="s">
        <v>223</v>
      </c>
      <c r="B141" s="141" t="s">
        <v>224</v>
      </c>
      <c r="C141" s="141"/>
    </row>
    <row r="142" spans="1:3" ht="13.5" thickBot="1" x14ac:dyDescent="0.25">
      <c r="A142" s="97"/>
      <c r="B142" s="131" t="s">
        <v>0</v>
      </c>
      <c r="C142" s="132"/>
    </row>
    <row r="143" spans="1:3" x14ac:dyDescent="0.2">
      <c r="A143" s="97"/>
      <c r="B143" s="133">
        <v>2020</v>
      </c>
      <c r="C143" s="134">
        <f>[8]С2.5!$E$11</f>
        <v>-2.9000000000000026E-2</v>
      </c>
    </row>
    <row r="144" spans="1:3" x14ac:dyDescent="0.2">
      <c r="A144" s="97"/>
      <c r="B144" s="104">
        <f>B143+1</f>
        <v>2021</v>
      </c>
      <c r="C144" s="135">
        <f>[8]С2.5!$F$11</f>
        <v>0.245</v>
      </c>
    </row>
    <row r="145" spans="1:3" x14ac:dyDescent="0.2">
      <c r="A145" s="97"/>
      <c r="B145" s="104">
        <f t="shared" ref="B145:B208" si="0">B144+1</f>
        <v>2022</v>
      </c>
      <c r="C145" s="135">
        <f>[8]С2.5!$G$11</f>
        <v>0.114</v>
      </c>
    </row>
    <row r="146" spans="1:3" ht="13.5" thickBot="1" x14ac:dyDescent="0.25">
      <c r="A146" s="97"/>
      <c r="B146" s="106">
        <f t="shared" si="0"/>
        <v>2023</v>
      </c>
      <c r="C146" s="136">
        <f>[8]С2.5!$H$11</f>
        <v>2.4E-2</v>
      </c>
    </row>
    <row r="147" spans="1:3" x14ac:dyDescent="0.2">
      <c r="A147" s="97"/>
      <c r="B147" s="137">
        <f t="shared" si="0"/>
        <v>2024</v>
      </c>
      <c r="C147" s="138">
        <f>[8]С2.5!$I$11</f>
        <v>8.5999999999999993E-2</v>
      </c>
    </row>
    <row r="148" spans="1:3" hidden="1" x14ac:dyDescent="0.2">
      <c r="A148" s="97"/>
      <c r="B148" s="104">
        <f t="shared" si="0"/>
        <v>2025</v>
      </c>
      <c r="C148" s="135">
        <f>[8]С2.5!$J$11</f>
        <v>0.21215960863291</v>
      </c>
    </row>
    <row r="149" spans="1:3" hidden="1" x14ac:dyDescent="0.2">
      <c r="A149" s="97"/>
      <c r="B149" s="104">
        <f t="shared" si="0"/>
        <v>2026</v>
      </c>
      <c r="C149" s="135">
        <f>[8]С2.5!$K$11</f>
        <v>3.5813361771260002E-2</v>
      </c>
    </row>
    <row r="150" spans="1:3" hidden="1" x14ac:dyDescent="0.2">
      <c r="A150" s="97"/>
      <c r="B150" s="104">
        <f t="shared" si="0"/>
        <v>2027</v>
      </c>
      <c r="C150" s="135">
        <f>[8]С2.5!$L$11</f>
        <v>3.2682303599220003E-2</v>
      </c>
    </row>
    <row r="151" spans="1:3" hidden="1" x14ac:dyDescent="0.2">
      <c r="A151" s="97"/>
      <c r="B151" s="104">
        <f t="shared" si="0"/>
        <v>2028</v>
      </c>
      <c r="C151" s="135">
        <f>[8]С2.5!$M$11</f>
        <v>0</v>
      </c>
    </row>
    <row r="152" spans="1:3" hidden="1" x14ac:dyDescent="0.2">
      <c r="A152" s="97"/>
      <c r="B152" s="104">
        <f t="shared" si="0"/>
        <v>2029</v>
      </c>
      <c r="C152" s="135">
        <f>[8]С2.5!$N$11</f>
        <v>0</v>
      </c>
    </row>
    <row r="153" spans="1:3" hidden="1" x14ac:dyDescent="0.2">
      <c r="A153" s="97"/>
      <c r="B153" s="104">
        <f t="shared" si="0"/>
        <v>2030</v>
      </c>
      <c r="C153" s="135">
        <f>[8]С2.5!$O$11</f>
        <v>0</v>
      </c>
    </row>
    <row r="154" spans="1:3" hidden="1" x14ac:dyDescent="0.2">
      <c r="A154" s="97"/>
      <c r="B154" s="104">
        <f t="shared" si="0"/>
        <v>2031</v>
      </c>
      <c r="C154" s="135">
        <f>[8]С2.5!$P$11</f>
        <v>0</v>
      </c>
    </row>
    <row r="155" spans="1:3" hidden="1" x14ac:dyDescent="0.2">
      <c r="A155" s="87"/>
      <c r="B155" s="104">
        <f t="shared" si="0"/>
        <v>2032</v>
      </c>
      <c r="C155" s="135">
        <f>[8]С2.5!$Q$11</f>
        <v>0</v>
      </c>
    </row>
    <row r="156" spans="1:3" hidden="1" x14ac:dyDescent="0.2">
      <c r="A156" s="87"/>
      <c r="B156" s="104">
        <f t="shared" si="0"/>
        <v>2033</v>
      </c>
      <c r="C156" s="135">
        <f>[8]С2.5!$R$11</f>
        <v>0</v>
      </c>
    </row>
    <row r="157" spans="1:3" hidden="1" x14ac:dyDescent="0.2">
      <c r="B157" s="104">
        <f t="shared" si="0"/>
        <v>2034</v>
      </c>
      <c r="C157" s="135">
        <f>[8]С2.5!$S$11</f>
        <v>0</v>
      </c>
    </row>
    <row r="158" spans="1:3" hidden="1" x14ac:dyDescent="0.2">
      <c r="B158" s="104">
        <f t="shared" si="0"/>
        <v>2035</v>
      </c>
      <c r="C158" s="135">
        <f>[8]С2.5!$T$11</f>
        <v>0</v>
      </c>
    </row>
    <row r="159" spans="1:3" hidden="1" x14ac:dyDescent="0.2">
      <c r="B159" s="104">
        <f t="shared" si="0"/>
        <v>2036</v>
      </c>
      <c r="C159" s="135">
        <f>[8]С2.5!$U$11</f>
        <v>0</v>
      </c>
    </row>
    <row r="160" spans="1:3" hidden="1" x14ac:dyDescent="0.2">
      <c r="B160" s="104">
        <f t="shared" si="0"/>
        <v>2037</v>
      </c>
      <c r="C160" s="135">
        <f>[8]С2.5!$V$11</f>
        <v>0</v>
      </c>
    </row>
    <row r="161" spans="2:3" hidden="1" x14ac:dyDescent="0.2">
      <c r="B161" s="104">
        <f t="shared" si="0"/>
        <v>2038</v>
      </c>
      <c r="C161" s="135">
        <f>[8]С2.5!$W$11</f>
        <v>0</v>
      </c>
    </row>
    <row r="162" spans="2:3" hidden="1" x14ac:dyDescent="0.2">
      <c r="B162" s="104">
        <f t="shared" si="0"/>
        <v>2039</v>
      </c>
      <c r="C162" s="135">
        <f>[8]С2.5!$X$11</f>
        <v>0</v>
      </c>
    </row>
    <row r="163" spans="2:3" hidden="1" x14ac:dyDescent="0.2">
      <c r="B163" s="104">
        <f t="shared" si="0"/>
        <v>2040</v>
      </c>
      <c r="C163" s="135">
        <f>[8]С2.5!$Y$11</f>
        <v>0</v>
      </c>
    </row>
    <row r="164" spans="2:3" hidden="1" x14ac:dyDescent="0.2">
      <c r="B164" s="104">
        <f t="shared" si="0"/>
        <v>2041</v>
      </c>
      <c r="C164" s="135">
        <f>[8]С2.5!$Z$11</f>
        <v>0</v>
      </c>
    </row>
    <row r="165" spans="2:3" hidden="1" x14ac:dyDescent="0.2">
      <c r="B165" s="104">
        <f t="shared" si="0"/>
        <v>2042</v>
      </c>
      <c r="C165" s="135">
        <f>[8]С2.5!$AA$11</f>
        <v>0</v>
      </c>
    </row>
    <row r="166" spans="2:3" hidden="1" x14ac:dyDescent="0.2">
      <c r="B166" s="104">
        <f t="shared" si="0"/>
        <v>2043</v>
      </c>
      <c r="C166" s="135">
        <f>[8]С2.5!$AB$11</f>
        <v>0</v>
      </c>
    </row>
    <row r="167" spans="2:3" hidden="1" x14ac:dyDescent="0.2">
      <c r="B167" s="104">
        <f t="shared" si="0"/>
        <v>2044</v>
      </c>
      <c r="C167" s="135">
        <f>[8]С2.5!$AC$11</f>
        <v>0</v>
      </c>
    </row>
    <row r="168" spans="2:3" hidden="1" x14ac:dyDescent="0.2">
      <c r="B168" s="104">
        <f t="shared" si="0"/>
        <v>2045</v>
      </c>
      <c r="C168" s="135">
        <f>[8]С2.5!$AD$11</f>
        <v>0</v>
      </c>
    </row>
    <row r="169" spans="2:3" hidden="1" x14ac:dyDescent="0.2">
      <c r="B169" s="104">
        <f t="shared" si="0"/>
        <v>2046</v>
      </c>
      <c r="C169" s="135">
        <f>[8]С2.5!$AE$11</f>
        <v>0</v>
      </c>
    </row>
    <row r="170" spans="2:3" hidden="1" x14ac:dyDescent="0.2">
      <c r="B170" s="104">
        <f t="shared" si="0"/>
        <v>2047</v>
      </c>
      <c r="C170" s="135">
        <f>[8]С2.5!$AF$11</f>
        <v>0</v>
      </c>
    </row>
    <row r="171" spans="2:3" hidden="1" x14ac:dyDescent="0.2">
      <c r="B171" s="104">
        <f t="shared" si="0"/>
        <v>2048</v>
      </c>
      <c r="C171" s="135">
        <f>[8]С2.5!$AG$11</f>
        <v>0</v>
      </c>
    </row>
    <row r="172" spans="2:3" hidden="1" x14ac:dyDescent="0.2">
      <c r="B172" s="104">
        <f t="shared" si="0"/>
        <v>2049</v>
      </c>
      <c r="C172" s="135">
        <f>[8]С2.5!$AH$11</f>
        <v>0</v>
      </c>
    </row>
    <row r="173" spans="2:3" hidden="1" x14ac:dyDescent="0.2">
      <c r="B173" s="104">
        <f t="shared" si="0"/>
        <v>2050</v>
      </c>
      <c r="C173" s="135">
        <f>[8]С2.5!$AI$11</f>
        <v>0</v>
      </c>
    </row>
    <row r="174" spans="2:3" hidden="1" x14ac:dyDescent="0.2">
      <c r="B174" s="104">
        <f t="shared" si="0"/>
        <v>2051</v>
      </c>
      <c r="C174" s="135">
        <f>[8]С2.5!$AJ$11</f>
        <v>0</v>
      </c>
    </row>
    <row r="175" spans="2:3" hidden="1" x14ac:dyDescent="0.2">
      <c r="B175" s="104">
        <f t="shared" si="0"/>
        <v>2052</v>
      </c>
      <c r="C175" s="135">
        <f>[8]С2.5!$AK$11</f>
        <v>0</v>
      </c>
    </row>
    <row r="176" spans="2:3" hidden="1" x14ac:dyDescent="0.2">
      <c r="B176" s="104">
        <f t="shared" si="0"/>
        <v>2053</v>
      </c>
      <c r="C176" s="135">
        <f>[8]С2.5!$AL$11</f>
        <v>0</v>
      </c>
    </row>
    <row r="177" spans="2:3" hidden="1" x14ac:dyDescent="0.2">
      <c r="B177" s="104">
        <f t="shared" si="0"/>
        <v>2054</v>
      </c>
      <c r="C177" s="135">
        <f>[8]С2.5!$AM$11</f>
        <v>0</v>
      </c>
    </row>
    <row r="178" spans="2:3" hidden="1" x14ac:dyDescent="0.2">
      <c r="B178" s="104">
        <f t="shared" si="0"/>
        <v>2055</v>
      </c>
      <c r="C178" s="135">
        <f>[8]С2.5!$AN$11</f>
        <v>0</v>
      </c>
    </row>
    <row r="179" spans="2:3" hidden="1" x14ac:dyDescent="0.2">
      <c r="B179" s="104">
        <f t="shared" si="0"/>
        <v>2056</v>
      </c>
      <c r="C179" s="135">
        <f>[8]С2.5!$AO$11</f>
        <v>0</v>
      </c>
    </row>
    <row r="180" spans="2:3" hidden="1" x14ac:dyDescent="0.2">
      <c r="B180" s="104">
        <f t="shared" si="0"/>
        <v>2057</v>
      </c>
      <c r="C180" s="135">
        <f>[8]С2.5!$AP$11</f>
        <v>0</v>
      </c>
    </row>
    <row r="181" spans="2:3" hidden="1" x14ac:dyDescent="0.2">
      <c r="B181" s="104">
        <f t="shared" si="0"/>
        <v>2058</v>
      </c>
      <c r="C181" s="135">
        <f>[8]С2.5!$AQ$11</f>
        <v>0</v>
      </c>
    </row>
    <row r="182" spans="2:3" hidden="1" x14ac:dyDescent="0.2">
      <c r="B182" s="104">
        <f t="shared" si="0"/>
        <v>2059</v>
      </c>
      <c r="C182" s="135">
        <f>[8]С2.5!$AR$11</f>
        <v>0</v>
      </c>
    </row>
    <row r="183" spans="2:3" hidden="1" x14ac:dyDescent="0.2">
      <c r="B183" s="104">
        <f t="shared" si="0"/>
        <v>2060</v>
      </c>
      <c r="C183" s="135">
        <f>[8]С2.5!$AS$11</f>
        <v>0</v>
      </c>
    </row>
    <row r="184" spans="2:3" hidden="1" x14ac:dyDescent="0.2">
      <c r="B184" s="104">
        <f t="shared" si="0"/>
        <v>2061</v>
      </c>
      <c r="C184" s="135">
        <f>[8]С2.5!$AT$11</f>
        <v>0</v>
      </c>
    </row>
    <row r="185" spans="2:3" hidden="1" x14ac:dyDescent="0.2">
      <c r="B185" s="104">
        <f t="shared" si="0"/>
        <v>2062</v>
      </c>
      <c r="C185" s="135">
        <f>[8]С2.5!$AU$11</f>
        <v>0</v>
      </c>
    </row>
    <row r="186" spans="2:3" hidden="1" x14ac:dyDescent="0.2">
      <c r="B186" s="104">
        <f t="shared" si="0"/>
        <v>2063</v>
      </c>
      <c r="C186" s="135">
        <f>[8]С2.5!$AV$11</f>
        <v>0</v>
      </c>
    </row>
    <row r="187" spans="2:3" hidden="1" x14ac:dyDescent="0.2">
      <c r="B187" s="104">
        <f t="shared" si="0"/>
        <v>2064</v>
      </c>
      <c r="C187" s="135">
        <f>[8]С2.5!$AW$11</f>
        <v>0</v>
      </c>
    </row>
    <row r="188" spans="2:3" hidden="1" x14ac:dyDescent="0.2">
      <c r="B188" s="104">
        <f t="shared" si="0"/>
        <v>2065</v>
      </c>
      <c r="C188" s="135">
        <f>[8]С2.5!$AX$11</f>
        <v>0</v>
      </c>
    </row>
    <row r="189" spans="2:3" hidden="1" x14ac:dyDescent="0.2">
      <c r="B189" s="104">
        <f t="shared" si="0"/>
        <v>2066</v>
      </c>
      <c r="C189" s="135">
        <f>[8]С2.5!$AY$11</f>
        <v>0</v>
      </c>
    </row>
    <row r="190" spans="2:3" hidden="1" x14ac:dyDescent="0.2">
      <c r="B190" s="104">
        <f t="shared" si="0"/>
        <v>2067</v>
      </c>
      <c r="C190" s="135">
        <f>[8]С2.5!$AZ$11</f>
        <v>0</v>
      </c>
    </row>
    <row r="191" spans="2:3" hidden="1" x14ac:dyDescent="0.2">
      <c r="B191" s="104">
        <f t="shared" si="0"/>
        <v>2068</v>
      </c>
      <c r="C191" s="135">
        <f>[8]С2.5!$BA$11</f>
        <v>0</v>
      </c>
    </row>
    <row r="192" spans="2:3" hidden="1" x14ac:dyDescent="0.2">
      <c r="B192" s="104">
        <f t="shared" si="0"/>
        <v>2069</v>
      </c>
      <c r="C192" s="135">
        <f>[8]С2.5!$BB$11</f>
        <v>0</v>
      </c>
    </row>
    <row r="193" spans="2:3" hidden="1" x14ac:dyDescent="0.2">
      <c r="B193" s="104">
        <f t="shared" si="0"/>
        <v>2070</v>
      </c>
      <c r="C193" s="135">
        <f>[8]С2.5!$BC$11</f>
        <v>0</v>
      </c>
    </row>
    <row r="194" spans="2:3" hidden="1" x14ac:dyDescent="0.2">
      <c r="B194" s="104">
        <f t="shared" si="0"/>
        <v>2071</v>
      </c>
      <c r="C194" s="135">
        <f>[8]С2.5!$BD$11</f>
        <v>0</v>
      </c>
    </row>
    <row r="195" spans="2:3" hidden="1" x14ac:dyDescent="0.2">
      <c r="B195" s="104">
        <f t="shared" si="0"/>
        <v>2072</v>
      </c>
      <c r="C195" s="135">
        <f>[8]С2.5!$BE$11</f>
        <v>0</v>
      </c>
    </row>
    <row r="196" spans="2:3" hidden="1" x14ac:dyDescent="0.2">
      <c r="B196" s="104">
        <f t="shared" si="0"/>
        <v>2073</v>
      </c>
      <c r="C196" s="135">
        <f>[8]С2.5!$BF$11</f>
        <v>0</v>
      </c>
    </row>
    <row r="197" spans="2:3" hidden="1" x14ac:dyDescent="0.2">
      <c r="B197" s="104">
        <f t="shared" si="0"/>
        <v>2074</v>
      </c>
      <c r="C197" s="135">
        <f>[8]С2.5!$BG$11</f>
        <v>0</v>
      </c>
    </row>
    <row r="198" spans="2:3" hidden="1" x14ac:dyDescent="0.2">
      <c r="B198" s="104">
        <f t="shared" si="0"/>
        <v>2075</v>
      </c>
      <c r="C198" s="135">
        <f>[8]С2.5!$BH$11</f>
        <v>0</v>
      </c>
    </row>
    <row r="199" spans="2:3" hidden="1" x14ac:dyDescent="0.2">
      <c r="B199" s="104">
        <f t="shared" si="0"/>
        <v>2076</v>
      </c>
      <c r="C199" s="135">
        <f>[8]С2.5!$BI$11</f>
        <v>0</v>
      </c>
    </row>
    <row r="200" spans="2:3" hidden="1" x14ac:dyDescent="0.2">
      <c r="B200" s="104">
        <f t="shared" si="0"/>
        <v>2077</v>
      </c>
      <c r="C200" s="135">
        <f>[8]С2.5!$BJ$11</f>
        <v>0</v>
      </c>
    </row>
    <row r="201" spans="2:3" hidden="1" x14ac:dyDescent="0.2">
      <c r="B201" s="104">
        <f t="shared" si="0"/>
        <v>2078</v>
      </c>
      <c r="C201" s="135">
        <f>[8]С2.5!$BK$11</f>
        <v>0</v>
      </c>
    </row>
    <row r="202" spans="2:3" hidden="1" x14ac:dyDescent="0.2">
      <c r="B202" s="104">
        <f t="shared" si="0"/>
        <v>2079</v>
      </c>
      <c r="C202" s="135">
        <f>[8]С2.5!$BL$11</f>
        <v>0</v>
      </c>
    </row>
    <row r="203" spans="2:3" hidden="1" x14ac:dyDescent="0.2">
      <c r="B203" s="104">
        <f t="shared" si="0"/>
        <v>2080</v>
      </c>
      <c r="C203" s="135">
        <f>[8]С2.5!$BM$11</f>
        <v>0</v>
      </c>
    </row>
    <row r="204" spans="2:3" hidden="1" x14ac:dyDescent="0.2">
      <c r="B204" s="104">
        <f t="shared" si="0"/>
        <v>2081</v>
      </c>
      <c r="C204" s="135">
        <f>[8]С2.5!$BN$11</f>
        <v>0</v>
      </c>
    </row>
    <row r="205" spans="2:3" hidden="1" x14ac:dyDescent="0.2">
      <c r="B205" s="104">
        <f t="shared" si="0"/>
        <v>2082</v>
      </c>
      <c r="C205" s="135">
        <f>[8]С2.5!$BO$11</f>
        <v>0</v>
      </c>
    </row>
    <row r="206" spans="2:3" hidden="1" x14ac:dyDescent="0.2">
      <c r="B206" s="104">
        <f t="shared" si="0"/>
        <v>2083</v>
      </c>
      <c r="C206" s="135">
        <f>[8]С2.5!$BP$11</f>
        <v>0</v>
      </c>
    </row>
    <row r="207" spans="2:3" hidden="1" x14ac:dyDescent="0.2">
      <c r="B207" s="104">
        <f t="shared" si="0"/>
        <v>2084</v>
      </c>
      <c r="C207" s="135">
        <f>[8]С2.5!$BQ$11</f>
        <v>0</v>
      </c>
    </row>
    <row r="208" spans="2:3" hidden="1" x14ac:dyDescent="0.2">
      <c r="B208" s="104">
        <f t="shared" si="0"/>
        <v>2085</v>
      </c>
      <c r="C208" s="135">
        <f>[8]С2.5!$BR$11</f>
        <v>0</v>
      </c>
    </row>
    <row r="209" spans="2:3" hidden="1" x14ac:dyDescent="0.2">
      <c r="B209" s="104">
        <f t="shared" ref="B209:B223" si="1">B208+1</f>
        <v>2086</v>
      </c>
      <c r="C209" s="135">
        <f>[8]С2.5!$BS$11</f>
        <v>0</v>
      </c>
    </row>
    <row r="210" spans="2:3" hidden="1" x14ac:dyDescent="0.2">
      <c r="B210" s="104">
        <f t="shared" si="1"/>
        <v>2087</v>
      </c>
      <c r="C210" s="135">
        <f>[8]С2.5!$BT$11</f>
        <v>0</v>
      </c>
    </row>
    <row r="211" spans="2:3" hidden="1" x14ac:dyDescent="0.2">
      <c r="B211" s="104">
        <f t="shared" si="1"/>
        <v>2088</v>
      </c>
      <c r="C211" s="135">
        <f>[8]С2.5!$BU$11</f>
        <v>0</v>
      </c>
    </row>
    <row r="212" spans="2:3" hidden="1" x14ac:dyDescent="0.2">
      <c r="B212" s="104">
        <f t="shared" si="1"/>
        <v>2089</v>
      </c>
      <c r="C212" s="135">
        <f>[8]С2.5!$BV$11</f>
        <v>0</v>
      </c>
    </row>
    <row r="213" spans="2:3" hidden="1" x14ac:dyDescent="0.2">
      <c r="B213" s="104">
        <f t="shared" si="1"/>
        <v>2090</v>
      </c>
      <c r="C213" s="135">
        <f>[8]С2.5!$BW$11</f>
        <v>0</v>
      </c>
    </row>
    <row r="214" spans="2:3" hidden="1" x14ac:dyDescent="0.2">
      <c r="B214" s="104">
        <f t="shared" si="1"/>
        <v>2091</v>
      </c>
      <c r="C214" s="135">
        <f>[8]С2.5!$BX$11</f>
        <v>0</v>
      </c>
    </row>
    <row r="215" spans="2:3" hidden="1" x14ac:dyDescent="0.2">
      <c r="B215" s="104">
        <f t="shared" si="1"/>
        <v>2092</v>
      </c>
      <c r="C215" s="135">
        <f>[8]С2.5!$BY$11</f>
        <v>0</v>
      </c>
    </row>
    <row r="216" spans="2:3" hidden="1" x14ac:dyDescent="0.2">
      <c r="B216" s="104">
        <f t="shared" si="1"/>
        <v>2093</v>
      </c>
      <c r="C216" s="135">
        <f>[8]С2.5!$BZ$11</f>
        <v>0</v>
      </c>
    </row>
    <row r="217" spans="2:3" hidden="1" x14ac:dyDescent="0.2">
      <c r="B217" s="104">
        <f t="shared" si="1"/>
        <v>2094</v>
      </c>
      <c r="C217" s="135">
        <f>[8]С2.5!$CA$11</f>
        <v>0</v>
      </c>
    </row>
    <row r="218" spans="2:3" hidden="1" x14ac:dyDescent="0.2">
      <c r="B218" s="104">
        <f t="shared" si="1"/>
        <v>2095</v>
      </c>
      <c r="C218" s="135">
        <f>[8]С2.5!$CB$11</f>
        <v>0</v>
      </c>
    </row>
    <row r="219" spans="2:3" hidden="1" x14ac:dyDescent="0.2">
      <c r="B219" s="104">
        <f t="shared" si="1"/>
        <v>2096</v>
      </c>
      <c r="C219" s="135">
        <f>[8]С2.5!$CC$11</f>
        <v>0</v>
      </c>
    </row>
    <row r="220" spans="2:3" hidden="1" x14ac:dyDescent="0.2">
      <c r="B220" s="104">
        <f t="shared" si="1"/>
        <v>2097</v>
      </c>
      <c r="C220" s="135">
        <f>[8]С2.5!$CD$11</f>
        <v>0</v>
      </c>
    </row>
    <row r="221" spans="2:3" hidden="1" x14ac:dyDescent="0.2">
      <c r="B221" s="104">
        <f t="shared" si="1"/>
        <v>2098</v>
      </c>
      <c r="C221" s="135">
        <f>[8]С2.5!$CE$11</f>
        <v>0</v>
      </c>
    </row>
    <row r="222" spans="2:3" hidden="1" x14ac:dyDescent="0.2">
      <c r="B222" s="104">
        <f t="shared" si="1"/>
        <v>2099</v>
      </c>
      <c r="C222" s="135">
        <f>[8]С2.5!$CF$11</f>
        <v>0</v>
      </c>
    </row>
    <row r="223" spans="2:3" ht="13.5" hidden="1" thickBot="1" x14ac:dyDescent="0.25">
      <c r="B223" s="106">
        <f t="shared" si="1"/>
        <v>2100</v>
      </c>
      <c r="C223" s="136">
        <f>[8]С2.5!$CG$11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9.140625" style="2" customWidth="1"/>
    <col min="2" max="2" width="100.5703125" style="2" customWidth="1"/>
    <col min="3" max="3" width="20.85546875" style="6" customWidth="1"/>
    <col min="4" max="245" width="9.140625" style="2"/>
    <col min="246" max="246" width="3.5703125" style="2" customWidth="1"/>
    <col min="247" max="247" width="96.85546875" style="2" customWidth="1"/>
    <col min="248" max="248" width="30.85546875" style="2" customWidth="1"/>
    <col min="249" max="249" width="12.5703125" style="2" customWidth="1"/>
    <col min="250" max="250" width="5.140625" style="2" customWidth="1"/>
    <col min="251" max="251" width="9.140625" style="2"/>
    <col min="252" max="252" width="4.85546875" style="2" customWidth="1"/>
    <col min="253" max="253" width="30.5703125" style="2" customWidth="1"/>
    <col min="254" max="254" width="33.85546875" style="2" customWidth="1"/>
    <col min="255" max="255" width="5.140625" style="2" customWidth="1"/>
    <col min="256" max="257" width="17.5703125" style="2" customWidth="1"/>
    <col min="258" max="501" width="9.140625" style="2"/>
    <col min="502" max="502" width="3.5703125" style="2" customWidth="1"/>
    <col min="503" max="503" width="96.85546875" style="2" customWidth="1"/>
    <col min="504" max="504" width="30.85546875" style="2" customWidth="1"/>
    <col min="505" max="505" width="12.5703125" style="2" customWidth="1"/>
    <col min="506" max="506" width="5.140625" style="2" customWidth="1"/>
    <col min="507" max="507" width="9.140625" style="2"/>
    <col min="508" max="508" width="4.85546875" style="2" customWidth="1"/>
    <col min="509" max="509" width="30.5703125" style="2" customWidth="1"/>
    <col min="510" max="510" width="33.85546875" style="2" customWidth="1"/>
    <col min="511" max="511" width="5.140625" style="2" customWidth="1"/>
    <col min="512" max="513" width="17.5703125" style="2" customWidth="1"/>
    <col min="514" max="757" width="9.140625" style="2"/>
    <col min="758" max="758" width="3.5703125" style="2" customWidth="1"/>
    <col min="759" max="759" width="96.85546875" style="2" customWidth="1"/>
    <col min="760" max="760" width="30.85546875" style="2" customWidth="1"/>
    <col min="761" max="761" width="12.5703125" style="2" customWidth="1"/>
    <col min="762" max="762" width="5.140625" style="2" customWidth="1"/>
    <col min="763" max="763" width="9.140625" style="2"/>
    <col min="764" max="764" width="4.85546875" style="2" customWidth="1"/>
    <col min="765" max="765" width="30.5703125" style="2" customWidth="1"/>
    <col min="766" max="766" width="33.85546875" style="2" customWidth="1"/>
    <col min="767" max="767" width="5.140625" style="2" customWidth="1"/>
    <col min="768" max="769" width="17.5703125" style="2" customWidth="1"/>
    <col min="770" max="1013" width="9.140625" style="2"/>
    <col min="1014" max="1014" width="3.5703125" style="2" customWidth="1"/>
    <col min="1015" max="1015" width="96.85546875" style="2" customWidth="1"/>
    <col min="1016" max="1016" width="30.85546875" style="2" customWidth="1"/>
    <col min="1017" max="1017" width="12.5703125" style="2" customWidth="1"/>
    <col min="1018" max="1018" width="5.140625" style="2" customWidth="1"/>
    <col min="1019" max="1019" width="9.140625" style="2"/>
    <col min="1020" max="1020" width="4.85546875" style="2" customWidth="1"/>
    <col min="1021" max="1021" width="30.5703125" style="2" customWidth="1"/>
    <col min="1022" max="1022" width="33.85546875" style="2" customWidth="1"/>
    <col min="1023" max="1023" width="5.140625" style="2" customWidth="1"/>
    <col min="1024" max="1025" width="17.5703125" style="2" customWidth="1"/>
    <col min="1026" max="1269" width="9.140625" style="2"/>
    <col min="1270" max="1270" width="3.5703125" style="2" customWidth="1"/>
    <col min="1271" max="1271" width="96.85546875" style="2" customWidth="1"/>
    <col min="1272" max="1272" width="30.85546875" style="2" customWidth="1"/>
    <col min="1273" max="1273" width="12.5703125" style="2" customWidth="1"/>
    <col min="1274" max="1274" width="5.140625" style="2" customWidth="1"/>
    <col min="1275" max="1275" width="9.140625" style="2"/>
    <col min="1276" max="1276" width="4.85546875" style="2" customWidth="1"/>
    <col min="1277" max="1277" width="30.5703125" style="2" customWidth="1"/>
    <col min="1278" max="1278" width="33.85546875" style="2" customWidth="1"/>
    <col min="1279" max="1279" width="5.140625" style="2" customWidth="1"/>
    <col min="1280" max="1281" width="17.5703125" style="2" customWidth="1"/>
    <col min="1282" max="1525" width="9.140625" style="2"/>
    <col min="1526" max="1526" width="3.5703125" style="2" customWidth="1"/>
    <col min="1527" max="1527" width="96.85546875" style="2" customWidth="1"/>
    <col min="1528" max="1528" width="30.85546875" style="2" customWidth="1"/>
    <col min="1529" max="1529" width="12.5703125" style="2" customWidth="1"/>
    <col min="1530" max="1530" width="5.140625" style="2" customWidth="1"/>
    <col min="1531" max="1531" width="9.140625" style="2"/>
    <col min="1532" max="1532" width="4.85546875" style="2" customWidth="1"/>
    <col min="1533" max="1533" width="30.5703125" style="2" customWidth="1"/>
    <col min="1534" max="1534" width="33.85546875" style="2" customWidth="1"/>
    <col min="1535" max="1535" width="5.140625" style="2" customWidth="1"/>
    <col min="1536" max="1537" width="17.5703125" style="2" customWidth="1"/>
    <col min="1538" max="1781" width="9.140625" style="2"/>
    <col min="1782" max="1782" width="3.5703125" style="2" customWidth="1"/>
    <col min="1783" max="1783" width="96.85546875" style="2" customWidth="1"/>
    <col min="1784" max="1784" width="30.85546875" style="2" customWidth="1"/>
    <col min="1785" max="1785" width="12.5703125" style="2" customWidth="1"/>
    <col min="1786" max="1786" width="5.140625" style="2" customWidth="1"/>
    <col min="1787" max="1787" width="9.140625" style="2"/>
    <col min="1788" max="1788" width="4.85546875" style="2" customWidth="1"/>
    <col min="1789" max="1789" width="30.5703125" style="2" customWidth="1"/>
    <col min="1790" max="1790" width="33.85546875" style="2" customWidth="1"/>
    <col min="1791" max="1791" width="5.140625" style="2" customWidth="1"/>
    <col min="1792" max="1793" width="17.5703125" style="2" customWidth="1"/>
    <col min="1794" max="2037" width="9.140625" style="2"/>
    <col min="2038" max="2038" width="3.5703125" style="2" customWidth="1"/>
    <col min="2039" max="2039" width="96.85546875" style="2" customWidth="1"/>
    <col min="2040" max="2040" width="30.85546875" style="2" customWidth="1"/>
    <col min="2041" max="2041" width="12.5703125" style="2" customWidth="1"/>
    <col min="2042" max="2042" width="5.140625" style="2" customWidth="1"/>
    <col min="2043" max="2043" width="9.140625" style="2"/>
    <col min="2044" max="2044" width="4.85546875" style="2" customWidth="1"/>
    <col min="2045" max="2045" width="30.5703125" style="2" customWidth="1"/>
    <col min="2046" max="2046" width="33.85546875" style="2" customWidth="1"/>
    <col min="2047" max="2047" width="5.140625" style="2" customWidth="1"/>
    <col min="2048" max="2049" width="17.5703125" style="2" customWidth="1"/>
    <col min="2050" max="2293" width="9.140625" style="2"/>
    <col min="2294" max="2294" width="3.5703125" style="2" customWidth="1"/>
    <col min="2295" max="2295" width="96.85546875" style="2" customWidth="1"/>
    <col min="2296" max="2296" width="30.85546875" style="2" customWidth="1"/>
    <col min="2297" max="2297" width="12.5703125" style="2" customWidth="1"/>
    <col min="2298" max="2298" width="5.140625" style="2" customWidth="1"/>
    <col min="2299" max="2299" width="9.140625" style="2"/>
    <col min="2300" max="2300" width="4.85546875" style="2" customWidth="1"/>
    <col min="2301" max="2301" width="30.5703125" style="2" customWidth="1"/>
    <col min="2302" max="2302" width="33.85546875" style="2" customWidth="1"/>
    <col min="2303" max="2303" width="5.140625" style="2" customWidth="1"/>
    <col min="2304" max="2305" width="17.5703125" style="2" customWidth="1"/>
    <col min="2306" max="2549" width="9.140625" style="2"/>
    <col min="2550" max="2550" width="3.5703125" style="2" customWidth="1"/>
    <col min="2551" max="2551" width="96.85546875" style="2" customWidth="1"/>
    <col min="2552" max="2552" width="30.85546875" style="2" customWidth="1"/>
    <col min="2553" max="2553" width="12.5703125" style="2" customWidth="1"/>
    <col min="2554" max="2554" width="5.140625" style="2" customWidth="1"/>
    <col min="2555" max="2555" width="9.140625" style="2"/>
    <col min="2556" max="2556" width="4.85546875" style="2" customWidth="1"/>
    <col min="2557" max="2557" width="30.5703125" style="2" customWidth="1"/>
    <col min="2558" max="2558" width="33.85546875" style="2" customWidth="1"/>
    <col min="2559" max="2559" width="5.140625" style="2" customWidth="1"/>
    <col min="2560" max="2561" width="17.5703125" style="2" customWidth="1"/>
    <col min="2562" max="2805" width="9.140625" style="2"/>
    <col min="2806" max="2806" width="3.5703125" style="2" customWidth="1"/>
    <col min="2807" max="2807" width="96.85546875" style="2" customWidth="1"/>
    <col min="2808" max="2808" width="30.85546875" style="2" customWidth="1"/>
    <col min="2809" max="2809" width="12.5703125" style="2" customWidth="1"/>
    <col min="2810" max="2810" width="5.140625" style="2" customWidth="1"/>
    <col min="2811" max="2811" width="9.140625" style="2"/>
    <col min="2812" max="2812" width="4.85546875" style="2" customWidth="1"/>
    <col min="2813" max="2813" width="30.5703125" style="2" customWidth="1"/>
    <col min="2814" max="2814" width="33.85546875" style="2" customWidth="1"/>
    <col min="2815" max="2815" width="5.140625" style="2" customWidth="1"/>
    <col min="2816" max="2817" width="17.5703125" style="2" customWidth="1"/>
    <col min="2818" max="3061" width="9.140625" style="2"/>
    <col min="3062" max="3062" width="3.5703125" style="2" customWidth="1"/>
    <col min="3063" max="3063" width="96.85546875" style="2" customWidth="1"/>
    <col min="3064" max="3064" width="30.85546875" style="2" customWidth="1"/>
    <col min="3065" max="3065" width="12.5703125" style="2" customWidth="1"/>
    <col min="3066" max="3066" width="5.140625" style="2" customWidth="1"/>
    <col min="3067" max="3067" width="9.140625" style="2"/>
    <col min="3068" max="3068" width="4.85546875" style="2" customWidth="1"/>
    <col min="3069" max="3069" width="30.5703125" style="2" customWidth="1"/>
    <col min="3070" max="3070" width="33.85546875" style="2" customWidth="1"/>
    <col min="3071" max="3071" width="5.140625" style="2" customWidth="1"/>
    <col min="3072" max="3073" width="17.5703125" style="2" customWidth="1"/>
    <col min="3074" max="3317" width="9.140625" style="2"/>
    <col min="3318" max="3318" width="3.5703125" style="2" customWidth="1"/>
    <col min="3319" max="3319" width="96.85546875" style="2" customWidth="1"/>
    <col min="3320" max="3320" width="30.85546875" style="2" customWidth="1"/>
    <col min="3321" max="3321" width="12.5703125" style="2" customWidth="1"/>
    <col min="3322" max="3322" width="5.140625" style="2" customWidth="1"/>
    <col min="3323" max="3323" width="9.140625" style="2"/>
    <col min="3324" max="3324" width="4.85546875" style="2" customWidth="1"/>
    <col min="3325" max="3325" width="30.5703125" style="2" customWidth="1"/>
    <col min="3326" max="3326" width="33.85546875" style="2" customWidth="1"/>
    <col min="3327" max="3327" width="5.140625" style="2" customWidth="1"/>
    <col min="3328" max="3329" width="17.5703125" style="2" customWidth="1"/>
    <col min="3330" max="3573" width="9.140625" style="2"/>
    <col min="3574" max="3574" width="3.5703125" style="2" customWidth="1"/>
    <col min="3575" max="3575" width="96.85546875" style="2" customWidth="1"/>
    <col min="3576" max="3576" width="30.85546875" style="2" customWidth="1"/>
    <col min="3577" max="3577" width="12.5703125" style="2" customWidth="1"/>
    <col min="3578" max="3578" width="5.140625" style="2" customWidth="1"/>
    <col min="3579" max="3579" width="9.140625" style="2"/>
    <col min="3580" max="3580" width="4.85546875" style="2" customWidth="1"/>
    <col min="3581" max="3581" width="30.5703125" style="2" customWidth="1"/>
    <col min="3582" max="3582" width="33.85546875" style="2" customWidth="1"/>
    <col min="3583" max="3583" width="5.140625" style="2" customWidth="1"/>
    <col min="3584" max="3585" width="17.5703125" style="2" customWidth="1"/>
    <col min="3586" max="3829" width="9.140625" style="2"/>
    <col min="3830" max="3830" width="3.5703125" style="2" customWidth="1"/>
    <col min="3831" max="3831" width="96.85546875" style="2" customWidth="1"/>
    <col min="3832" max="3832" width="30.85546875" style="2" customWidth="1"/>
    <col min="3833" max="3833" width="12.5703125" style="2" customWidth="1"/>
    <col min="3834" max="3834" width="5.140625" style="2" customWidth="1"/>
    <col min="3835" max="3835" width="9.140625" style="2"/>
    <col min="3836" max="3836" width="4.85546875" style="2" customWidth="1"/>
    <col min="3837" max="3837" width="30.5703125" style="2" customWidth="1"/>
    <col min="3838" max="3838" width="33.85546875" style="2" customWidth="1"/>
    <col min="3839" max="3839" width="5.140625" style="2" customWidth="1"/>
    <col min="3840" max="3841" width="17.5703125" style="2" customWidth="1"/>
    <col min="3842" max="4085" width="9.140625" style="2"/>
    <col min="4086" max="4086" width="3.5703125" style="2" customWidth="1"/>
    <col min="4087" max="4087" width="96.85546875" style="2" customWidth="1"/>
    <col min="4088" max="4088" width="30.85546875" style="2" customWidth="1"/>
    <col min="4089" max="4089" width="12.5703125" style="2" customWidth="1"/>
    <col min="4090" max="4090" width="5.140625" style="2" customWidth="1"/>
    <col min="4091" max="4091" width="9.140625" style="2"/>
    <col min="4092" max="4092" width="4.85546875" style="2" customWidth="1"/>
    <col min="4093" max="4093" width="30.5703125" style="2" customWidth="1"/>
    <col min="4094" max="4094" width="33.85546875" style="2" customWidth="1"/>
    <col min="4095" max="4095" width="5.140625" style="2" customWidth="1"/>
    <col min="4096" max="4097" width="17.5703125" style="2" customWidth="1"/>
    <col min="4098" max="4341" width="9.140625" style="2"/>
    <col min="4342" max="4342" width="3.5703125" style="2" customWidth="1"/>
    <col min="4343" max="4343" width="96.85546875" style="2" customWidth="1"/>
    <col min="4344" max="4344" width="30.85546875" style="2" customWidth="1"/>
    <col min="4345" max="4345" width="12.5703125" style="2" customWidth="1"/>
    <col min="4346" max="4346" width="5.140625" style="2" customWidth="1"/>
    <col min="4347" max="4347" width="9.140625" style="2"/>
    <col min="4348" max="4348" width="4.85546875" style="2" customWidth="1"/>
    <col min="4349" max="4349" width="30.5703125" style="2" customWidth="1"/>
    <col min="4350" max="4350" width="33.85546875" style="2" customWidth="1"/>
    <col min="4351" max="4351" width="5.140625" style="2" customWidth="1"/>
    <col min="4352" max="4353" width="17.5703125" style="2" customWidth="1"/>
    <col min="4354" max="4597" width="9.140625" style="2"/>
    <col min="4598" max="4598" width="3.5703125" style="2" customWidth="1"/>
    <col min="4599" max="4599" width="96.85546875" style="2" customWidth="1"/>
    <col min="4600" max="4600" width="30.85546875" style="2" customWidth="1"/>
    <col min="4601" max="4601" width="12.5703125" style="2" customWidth="1"/>
    <col min="4602" max="4602" width="5.140625" style="2" customWidth="1"/>
    <col min="4603" max="4603" width="9.140625" style="2"/>
    <col min="4604" max="4604" width="4.85546875" style="2" customWidth="1"/>
    <col min="4605" max="4605" width="30.5703125" style="2" customWidth="1"/>
    <col min="4606" max="4606" width="33.85546875" style="2" customWidth="1"/>
    <col min="4607" max="4607" width="5.140625" style="2" customWidth="1"/>
    <col min="4608" max="4609" width="17.5703125" style="2" customWidth="1"/>
    <col min="4610" max="4853" width="9.140625" style="2"/>
    <col min="4854" max="4854" width="3.5703125" style="2" customWidth="1"/>
    <col min="4855" max="4855" width="96.85546875" style="2" customWidth="1"/>
    <col min="4856" max="4856" width="30.85546875" style="2" customWidth="1"/>
    <col min="4857" max="4857" width="12.5703125" style="2" customWidth="1"/>
    <col min="4858" max="4858" width="5.140625" style="2" customWidth="1"/>
    <col min="4859" max="4859" width="9.140625" style="2"/>
    <col min="4860" max="4860" width="4.85546875" style="2" customWidth="1"/>
    <col min="4861" max="4861" width="30.5703125" style="2" customWidth="1"/>
    <col min="4862" max="4862" width="33.85546875" style="2" customWidth="1"/>
    <col min="4863" max="4863" width="5.140625" style="2" customWidth="1"/>
    <col min="4864" max="4865" width="17.5703125" style="2" customWidth="1"/>
    <col min="4866" max="5109" width="9.140625" style="2"/>
    <col min="5110" max="5110" width="3.5703125" style="2" customWidth="1"/>
    <col min="5111" max="5111" width="96.85546875" style="2" customWidth="1"/>
    <col min="5112" max="5112" width="30.85546875" style="2" customWidth="1"/>
    <col min="5113" max="5113" width="12.5703125" style="2" customWidth="1"/>
    <col min="5114" max="5114" width="5.140625" style="2" customWidth="1"/>
    <col min="5115" max="5115" width="9.140625" style="2"/>
    <col min="5116" max="5116" width="4.85546875" style="2" customWidth="1"/>
    <col min="5117" max="5117" width="30.5703125" style="2" customWidth="1"/>
    <col min="5118" max="5118" width="33.85546875" style="2" customWidth="1"/>
    <col min="5119" max="5119" width="5.140625" style="2" customWidth="1"/>
    <col min="5120" max="5121" width="17.5703125" style="2" customWidth="1"/>
    <col min="5122" max="5365" width="9.140625" style="2"/>
    <col min="5366" max="5366" width="3.5703125" style="2" customWidth="1"/>
    <col min="5367" max="5367" width="96.85546875" style="2" customWidth="1"/>
    <col min="5368" max="5368" width="30.85546875" style="2" customWidth="1"/>
    <col min="5369" max="5369" width="12.5703125" style="2" customWidth="1"/>
    <col min="5370" max="5370" width="5.140625" style="2" customWidth="1"/>
    <col min="5371" max="5371" width="9.140625" style="2"/>
    <col min="5372" max="5372" width="4.85546875" style="2" customWidth="1"/>
    <col min="5373" max="5373" width="30.5703125" style="2" customWidth="1"/>
    <col min="5374" max="5374" width="33.85546875" style="2" customWidth="1"/>
    <col min="5375" max="5375" width="5.140625" style="2" customWidth="1"/>
    <col min="5376" max="5377" width="17.5703125" style="2" customWidth="1"/>
    <col min="5378" max="5621" width="9.140625" style="2"/>
    <col min="5622" max="5622" width="3.5703125" style="2" customWidth="1"/>
    <col min="5623" max="5623" width="96.85546875" style="2" customWidth="1"/>
    <col min="5624" max="5624" width="30.85546875" style="2" customWidth="1"/>
    <col min="5625" max="5625" width="12.5703125" style="2" customWidth="1"/>
    <col min="5626" max="5626" width="5.140625" style="2" customWidth="1"/>
    <col min="5627" max="5627" width="9.140625" style="2"/>
    <col min="5628" max="5628" width="4.85546875" style="2" customWidth="1"/>
    <col min="5629" max="5629" width="30.5703125" style="2" customWidth="1"/>
    <col min="5630" max="5630" width="33.85546875" style="2" customWidth="1"/>
    <col min="5631" max="5631" width="5.140625" style="2" customWidth="1"/>
    <col min="5632" max="5633" width="17.5703125" style="2" customWidth="1"/>
    <col min="5634" max="5877" width="9.140625" style="2"/>
    <col min="5878" max="5878" width="3.5703125" style="2" customWidth="1"/>
    <col min="5879" max="5879" width="96.85546875" style="2" customWidth="1"/>
    <col min="5880" max="5880" width="30.85546875" style="2" customWidth="1"/>
    <col min="5881" max="5881" width="12.5703125" style="2" customWidth="1"/>
    <col min="5882" max="5882" width="5.140625" style="2" customWidth="1"/>
    <col min="5883" max="5883" width="9.140625" style="2"/>
    <col min="5884" max="5884" width="4.85546875" style="2" customWidth="1"/>
    <col min="5885" max="5885" width="30.5703125" style="2" customWidth="1"/>
    <col min="5886" max="5886" width="33.85546875" style="2" customWidth="1"/>
    <col min="5887" max="5887" width="5.140625" style="2" customWidth="1"/>
    <col min="5888" max="5889" width="17.5703125" style="2" customWidth="1"/>
    <col min="5890" max="6133" width="9.140625" style="2"/>
    <col min="6134" max="6134" width="3.5703125" style="2" customWidth="1"/>
    <col min="6135" max="6135" width="96.85546875" style="2" customWidth="1"/>
    <col min="6136" max="6136" width="30.85546875" style="2" customWidth="1"/>
    <col min="6137" max="6137" width="12.5703125" style="2" customWidth="1"/>
    <col min="6138" max="6138" width="5.140625" style="2" customWidth="1"/>
    <col min="6139" max="6139" width="9.140625" style="2"/>
    <col min="6140" max="6140" width="4.85546875" style="2" customWidth="1"/>
    <col min="6141" max="6141" width="30.5703125" style="2" customWidth="1"/>
    <col min="6142" max="6142" width="33.85546875" style="2" customWidth="1"/>
    <col min="6143" max="6143" width="5.140625" style="2" customWidth="1"/>
    <col min="6144" max="6145" width="17.5703125" style="2" customWidth="1"/>
    <col min="6146" max="6389" width="9.140625" style="2"/>
    <col min="6390" max="6390" width="3.5703125" style="2" customWidth="1"/>
    <col min="6391" max="6391" width="96.85546875" style="2" customWidth="1"/>
    <col min="6392" max="6392" width="30.85546875" style="2" customWidth="1"/>
    <col min="6393" max="6393" width="12.5703125" style="2" customWidth="1"/>
    <col min="6394" max="6394" width="5.140625" style="2" customWidth="1"/>
    <col min="6395" max="6395" width="9.140625" style="2"/>
    <col min="6396" max="6396" width="4.85546875" style="2" customWidth="1"/>
    <col min="6397" max="6397" width="30.5703125" style="2" customWidth="1"/>
    <col min="6398" max="6398" width="33.85546875" style="2" customWidth="1"/>
    <col min="6399" max="6399" width="5.140625" style="2" customWidth="1"/>
    <col min="6400" max="6401" width="17.5703125" style="2" customWidth="1"/>
    <col min="6402" max="6645" width="9.140625" style="2"/>
    <col min="6646" max="6646" width="3.5703125" style="2" customWidth="1"/>
    <col min="6647" max="6647" width="96.85546875" style="2" customWidth="1"/>
    <col min="6648" max="6648" width="30.85546875" style="2" customWidth="1"/>
    <col min="6649" max="6649" width="12.5703125" style="2" customWidth="1"/>
    <col min="6650" max="6650" width="5.140625" style="2" customWidth="1"/>
    <col min="6651" max="6651" width="9.140625" style="2"/>
    <col min="6652" max="6652" width="4.85546875" style="2" customWidth="1"/>
    <col min="6653" max="6653" width="30.5703125" style="2" customWidth="1"/>
    <col min="6654" max="6654" width="33.85546875" style="2" customWidth="1"/>
    <col min="6655" max="6655" width="5.140625" style="2" customWidth="1"/>
    <col min="6656" max="6657" width="17.5703125" style="2" customWidth="1"/>
    <col min="6658" max="6901" width="9.140625" style="2"/>
    <col min="6902" max="6902" width="3.5703125" style="2" customWidth="1"/>
    <col min="6903" max="6903" width="96.85546875" style="2" customWidth="1"/>
    <col min="6904" max="6904" width="30.85546875" style="2" customWidth="1"/>
    <col min="6905" max="6905" width="12.5703125" style="2" customWidth="1"/>
    <col min="6906" max="6906" width="5.140625" style="2" customWidth="1"/>
    <col min="6907" max="6907" width="9.140625" style="2"/>
    <col min="6908" max="6908" width="4.85546875" style="2" customWidth="1"/>
    <col min="6909" max="6909" width="30.5703125" style="2" customWidth="1"/>
    <col min="6910" max="6910" width="33.85546875" style="2" customWidth="1"/>
    <col min="6911" max="6911" width="5.140625" style="2" customWidth="1"/>
    <col min="6912" max="6913" width="17.5703125" style="2" customWidth="1"/>
    <col min="6914" max="7157" width="9.140625" style="2"/>
    <col min="7158" max="7158" width="3.5703125" style="2" customWidth="1"/>
    <col min="7159" max="7159" width="96.85546875" style="2" customWidth="1"/>
    <col min="7160" max="7160" width="30.85546875" style="2" customWidth="1"/>
    <col min="7161" max="7161" width="12.5703125" style="2" customWidth="1"/>
    <col min="7162" max="7162" width="5.140625" style="2" customWidth="1"/>
    <col min="7163" max="7163" width="9.140625" style="2"/>
    <col min="7164" max="7164" width="4.85546875" style="2" customWidth="1"/>
    <col min="7165" max="7165" width="30.5703125" style="2" customWidth="1"/>
    <col min="7166" max="7166" width="33.85546875" style="2" customWidth="1"/>
    <col min="7167" max="7167" width="5.140625" style="2" customWidth="1"/>
    <col min="7168" max="7169" width="17.5703125" style="2" customWidth="1"/>
    <col min="7170" max="7413" width="9.140625" style="2"/>
    <col min="7414" max="7414" width="3.5703125" style="2" customWidth="1"/>
    <col min="7415" max="7415" width="96.85546875" style="2" customWidth="1"/>
    <col min="7416" max="7416" width="30.85546875" style="2" customWidth="1"/>
    <col min="7417" max="7417" width="12.5703125" style="2" customWidth="1"/>
    <col min="7418" max="7418" width="5.140625" style="2" customWidth="1"/>
    <col min="7419" max="7419" width="9.140625" style="2"/>
    <col min="7420" max="7420" width="4.85546875" style="2" customWidth="1"/>
    <col min="7421" max="7421" width="30.5703125" style="2" customWidth="1"/>
    <col min="7422" max="7422" width="33.85546875" style="2" customWidth="1"/>
    <col min="7423" max="7423" width="5.140625" style="2" customWidth="1"/>
    <col min="7424" max="7425" width="17.5703125" style="2" customWidth="1"/>
    <col min="7426" max="7669" width="9.140625" style="2"/>
    <col min="7670" max="7670" width="3.5703125" style="2" customWidth="1"/>
    <col min="7671" max="7671" width="96.85546875" style="2" customWidth="1"/>
    <col min="7672" max="7672" width="30.85546875" style="2" customWidth="1"/>
    <col min="7673" max="7673" width="12.5703125" style="2" customWidth="1"/>
    <col min="7674" max="7674" width="5.140625" style="2" customWidth="1"/>
    <col min="7675" max="7675" width="9.140625" style="2"/>
    <col min="7676" max="7676" width="4.85546875" style="2" customWidth="1"/>
    <col min="7677" max="7677" width="30.5703125" style="2" customWidth="1"/>
    <col min="7678" max="7678" width="33.85546875" style="2" customWidth="1"/>
    <col min="7679" max="7679" width="5.140625" style="2" customWidth="1"/>
    <col min="7680" max="7681" width="17.5703125" style="2" customWidth="1"/>
    <col min="7682" max="7925" width="9.140625" style="2"/>
    <col min="7926" max="7926" width="3.5703125" style="2" customWidth="1"/>
    <col min="7927" max="7927" width="96.85546875" style="2" customWidth="1"/>
    <col min="7928" max="7928" width="30.85546875" style="2" customWidth="1"/>
    <col min="7929" max="7929" width="12.5703125" style="2" customWidth="1"/>
    <col min="7930" max="7930" width="5.140625" style="2" customWidth="1"/>
    <col min="7931" max="7931" width="9.140625" style="2"/>
    <col min="7932" max="7932" width="4.85546875" style="2" customWidth="1"/>
    <col min="7933" max="7933" width="30.5703125" style="2" customWidth="1"/>
    <col min="7934" max="7934" width="33.85546875" style="2" customWidth="1"/>
    <col min="7935" max="7935" width="5.140625" style="2" customWidth="1"/>
    <col min="7936" max="7937" width="17.5703125" style="2" customWidth="1"/>
    <col min="7938" max="8181" width="9.140625" style="2"/>
    <col min="8182" max="8182" width="3.5703125" style="2" customWidth="1"/>
    <col min="8183" max="8183" width="96.85546875" style="2" customWidth="1"/>
    <col min="8184" max="8184" width="30.85546875" style="2" customWidth="1"/>
    <col min="8185" max="8185" width="12.5703125" style="2" customWidth="1"/>
    <col min="8186" max="8186" width="5.140625" style="2" customWidth="1"/>
    <col min="8187" max="8187" width="9.140625" style="2"/>
    <col min="8188" max="8188" width="4.85546875" style="2" customWidth="1"/>
    <col min="8189" max="8189" width="30.5703125" style="2" customWidth="1"/>
    <col min="8190" max="8190" width="33.85546875" style="2" customWidth="1"/>
    <col min="8191" max="8191" width="5.140625" style="2" customWidth="1"/>
    <col min="8192" max="8193" width="17.5703125" style="2" customWidth="1"/>
    <col min="8194" max="8437" width="9.140625" style="2"/>
    <col min="8438" max="8438" width="3.5703125" style="2" customWidth="1"/>
    <col min="8439" max="8439" width="96.85546875" style="2" customWidth="1"/>
    <col min="8440" max="8440" width="30.85546875" style="2" customWidth="1"/>
    <col min="8441" max="8441" width="12.5703125" style="2" customWidth="1"/>
    <col min="8442" max="8442" width="5.140625" style="2" customWidth="1"/>
    <col min="8443" max="8443" width="9.140625" style="2"/>
    <col min="8444" max="8444" width="4.85546875" style="2" customWidth="1"/>
    <col min="8445" max="8445" width="30.5703125" style="2" customWidth="1"/>
    <col min="8446" max="8446" width="33.85546875" style="2" customWidth="1"/>
    <col min="8447" max="8447" width="5.140625" style="2" customWidth="1"/>
    <col min="8448" max="8449" width="17.5703125" style="2" customWidth="1"/>
    <col min="8450" max="8693" width="9.140625" style="2"/>
    <col min="8694" max="8694" width="3.5703125" style="2" customWidth="1"/>
    <col min="8695" max="8695" width="96.85546875" style="2" customWidth="1"/>
    <col min="8696" max="8696" width="30.85546875" style="2" customWidth="1"/>
    <col min="8697" max="8697" width="12.5703125" style="2" customWidth="1"/>
    <col min="8698" max="8698" width="5.140625" style="2" customWidth="1"/>
    <col min="8699" max="8699" width="9.140625" style="2"/>
    <col min="8700" max="8700" width="4.85546875" style="2" customWidth="1"/>
    <col min="8701" max="8701" width="30.5703125" style="2" customWidth="1"/>
    <col min="8702" max="8702" width="33.85546875" style="2" customWidth="1"/>
    <col min="8703" max="8703" width="5.140625" style="2" customWidth="1"/>
    <col min="8704" max="8705" width="17.5703125" style="2" customWidth="1"/>
    <col min="8706" max="8949" width="9.140625" style="2"/>
    <col min="8950" max="8950" width="3.5703125" style="2" customWidth="1"/>
    <col min="8951" max="8951" width="96.85546875" style="2" customWidth="1"/>
    <col min="8952" max="8952" width="30.85546875" style="2" customWidth="1"/>
    <col min="8953" max="8953" width="12.5703125" style="2" customWidth="1"/>
    <col min="8954" max="8954" width="5.140625" style="2" customWidth="1"/>
    <col min="8955" max="8955" width="9.140625" style="2"/>
    <col min="8956" max="8956" width="4.85546875" style="2" customWidth="1"/>
    <col min="8957" max="8957" width="30.5703125" style="2" customWidth="1"/>
    <col min="8958" max="8958" width="33.85546875" style="2" customWidth="1"/>
    <col min="8959" max="8959" width="5.140625" style="2" customWidth="1"/>
    <col min="8960" max="8961" width="17.5703125" style="2" customWidth="1"/>
    <col min="8962" max="9205" width="9.140625" style="2"/>
    <col min="9206" max="9206" width="3.5703125" style="2" customWidth="1"/>
    <col min="9207" max="9207" width="96.85546875" style="2" customWidth="1"/>
    <col min="9208" max="9208" width="30.85546875" style="2" customWidth="1"/>
    <col min="9209" max="9209" width="12.5703125" style="2" customWidth="1"/>
    <col min="9210" max="9210" width="5.140625" style="2" customWidth="1"/>
    <col min="9211" max="9211" width="9.140625" style="2"/>
    <col min="9212" max="9212" width="4.85546875" style="2" customWidth="1"/>
    <col min="9213" max="9213" width="30.5703125" style="2" customWidth="1"/>
    <col min="9214" max="9214" width="33.85546875" style="2" customWidth="1"/>
    <col min="9215" max="9215" width="5.140625" style="2" customWidth="1"/>
    <col min="9216" max="9217" width="17.5703125" style="2" customWidth="1"/>
    <col min="9218" max="9461" width="9.140625" style="2"/>
    <col min="9462" max="9462" width="3.5703125" style="2" customWidth="1"/>
    <col min="9463" max="9463" width="96.85546875" style="2" customWidth="1"/>
    <col min="9464" max="9464" width="30.85546875" style="2" customWidth="1"/>
    <col min="9465" max="9465" width="12.5703125" style="2" customWidth="1"/>
    <col min="9466" max="9466" width="5.140625" style="2" customWidth="1"/>
    <col min="9467" max="9467" width="9.140625" style="2"/>
    <col min="9468" max="9468" width="4.85546875" style="2" customWidth="1"/>
    <col min="9469" max="9469" width="30.5703125" style="2" customWidth="1"/>
    <col min="9470" max="9470" width="33.85546875" style="2" customWidth="1"/>
    <col min="9471" max="9471" width="5.140625" style="2" customWidth="1"/>
    <col min="9472" max="9473" width="17.5703125" style="2" customWidth="1"/>
    <col min="9474" max="9717" width="9.140625" style="2"/>
    <col min="9718" max="9718" width="3.5703125" style="2" customWidth="1"/>
    <col min="9719" max="9719" width="96.85546875" style="2" customWidth="1"/>
    <col min="9720" max="9720" width="30.85546875" style="2" customWidth="1"/>
    <col min="9721" max="9721" width="12.5703125" style="2" customWidth="1"/>
    <col min="9722" max="9722" width="5.140625" style="2" customWidth="1"/>
    <col min="9723" max="9723" width="9.140625" style="2"/>
    <col min="9724" max="9724" width="4.85546875" style="2" customWidth="1"/>
    <col min="9725" max="9725" width="30.5703125" style="2" customWidth="1"/>
    <col min="9726" max="9726" width="33.85546875" style="2" customWidth="1"/>
    <col min="9727" max="9727" width="5.140625" style="2" customWidth="1"/>
    <col min="9728" max="9729" width="17.5703125" style="2" customWidth="1"/>
    <col min="9730" max="9973" width="9.140625" style="2"/>
    <col min="9974" max="9974" width="3.5703125" style="2" customWidth="1"/>
    <col min="9975" max="9975" width="96.85546875" style="2" customWidth="1"/>
    <col min="9976" max="9976" width="30.85546875" style="2" customWidth="1"/>
    <col min="9977" max="9977" width="12.5703125" style="2" customWidth="1"/>
    <col min="9978" max="9978" width="5.140625" style="2" customWidth="1"/>
    <col min="9979" max="9979" width="9.140625" style="2"/>
    <col min="9980" max="9980" width="4.85546875" style="2" customWidth="1"/>
    <col min="9981" max="9981" width="30.5703125" style="2" customWidth="1"/>
    <col min="9982" max="9982" width="33.85546875" style="2" customWidth="1"/>
    <col min="9983" max="9983" width="5.140625" style="2" customWidth="1"/>
    <col min="9984" max="9985" width="17.5703125" style="2" customWidth="1"/>
    <col min="9986" max="10229" width="9.140625" style="2"/>
    <col min="10230" max="10230" width="3.5703125" style="2" customWidth="1"/>
    <col min="10231" max="10231" width="96.85546875" style="2" customWidth="1"/>
    <col min="10232" max="10232" width="30.85546875" style="2" customWidth="1"/>
    <col min="10233" max="10233" width="12.5703125" style="2" customWidth="1"/>
    <col min="10234" max="10234" width="5.140625" style="2" customWidth="1"/>
    <col min="10235" max="10235" width="9.140625" style="2"/>
    <col min="10236" max="10236" width="4.85546875" style="2" customWidth="1"/>
    <col min="10237" max="10237" width="30.5703125" style="2" customWidth="1"/>
    <col min="10238" max="10238" width="33.85546875" style="2" customWidth="1"/>
    <col min="10239" max="10239" width="5.140625" style="2" customWidth="1"/>
    <col min="10240" max="10241" width="17.5703125" style="2" customWidth="1"/>
    <col min="10242" max="10485" width="9.140625" style="2"/>
    <col min="10486" max="10486" width="3.5703125" style="2" customWidth="1"/>
    <col min="10487" max="10487" width="96.85546875" style="2" customWidth="1"/>
    <col min="10488" max="10488" width="30.85546875" style="2" customWidth="1"/>
    <col min="10489" max="10489" width="12.5703125" style="2" customWidth="1"/>
    <col min="10490" max="10490" width="5.140625" style="2" customWidth="1"/>
    <col min="10491" max="10491" width="9.140625" style="2"/>
    <col min="10492" max="10492" width="4.85546875" style="2" customWidth="1"/>
    <col min="10493" max="10493" width="30.5703125" style="2" customWidth="1"/>
    <col min="10494" max="10494" width="33.85546875" style="2" customWidth="1"/>
    <col min="10495" max="10495" width="5.140625" style="2" customWidth="1"/>
    <col min="10496" max="10497" width="17.5703125" style="2" customWidth="1"/>
    <col min="10498" max="10741" width="9.140625" style="2"/>
    <col min="10742" max="10742" width="3.5703125" style="2" customWidth="1"/>
    <col min="10743" max="10743" width="96.85546875" style="2" customWidth="1"/>
    <col min="10744" max="10744" width="30.85546875" style="2" customWidth="1"/>
    <col min="10745" max="10745" width="12.5703125" style="2" customWidth="1"/>
    <col min="10746" max="10746" width="5.140625" style="2" customWidth="1"/>
    <col min="10747" max="10747" width="9.140625" style="2"/>
    <col min="10748" max="10748" width="4.85546875" style="2" customWidth="1"/>
    <col min="10749" max="10749" width="30.5703125" style="2" customWidth="1"/>
    <col min="10750" max="10750" width="33.85546875" style="2" customWidth="1"/>
    <col min="10751" max="10751" width="5.140625" style="2" customWidth="1"/>
    <col min="10752" max="10753" width="17.5703125" style="2" customWidth="1"/>
    <col min="10754" max="10997" width="9.140625" style="2"/>
    <col min="10998" max="10998" width="3.5703125" style="2" customWidth="1"/>
    <col min="10999" max="10999" width="96.85546875" style="2" customWidth="1"/>
    <col min="11000" max="11000" width="30.85546875" style="2" customWidth="1"/>
    <col min="11001" max="11001" width="12.5703125" style="2" customWidth="1"/>
    <col min="11002" max="11002" width="5.140625" style="2" customWidth="1"/>
    <col min="11003" max="11003" width="9.140625" style="2"/>
    <col min="11004" max="11004" width="4.85546875" style="2" customWidth="1"/>
    <col min="11005" max="11005" width="30.5703125" style="2" customWidth="1"/>
    <col min="11006" max="11006" width="33.85546875" style="2" customWidth="1"/>
    <col min="11007" max="11007" width="5.140625" style="2" customWidth="1"/>
    <col min="11008" max="11009" width="17.5703125" style="2" customWidth="1"/>
    <col min="11010" max="11253" width="9.140625" style="2"/>
    <col min="11254" max="11254" width="3.5703125" style="2" customWidth="1"/>
    <col min="11255" max="11255" width="96.85546875" style="2" customWidth="1"/>
    <col min="11256" max="11256" width="30.85546875" style="2" customWidth="1"/>
    <col min="11257" max="11257" width="12.5703125" style="2" customWidth="1"/>
    <col min="11258" max="11258" width="5.140625" style="2" customWidth="1"/>
    <col min="11259" max="11259" width="9.140625" style="2"/>
    <col min="11260" max="11260" width="4.85546875" style="2" customWidth="1"/>
    <col min="11261" max="11261" width="30.5703125" style="2" customWidth="1"/>
    <col min="11262" max="11262" width="33.85546875" style="2" customWidth="1"/>
    <col min="11263" max="11263" width="5.140625" style="2" customWidth="1"/>
    <col min="11264" max="11265" width="17.5703125" style="2" customWidth="1"/>
    <col min="11266" max="11509" width="9.140625" style="2"/>
    <col min="11510" max="11510" width="3.5703125" style="2" customWidth="1"/>
    <col min="11511" max="11511" width="96.85546875" style="2" customWidth="1"/>
    <col min="11512" max="11512" width="30.85546875" style="2" customWidth="1"/>
    <col min="11513" max="11513" width="12.5703125" style="2" customWidth="1"/>
    <col min="11514" max="11514" width="5.140625" style="2" customWidth="1"/>
    <col min="11515" max="11515" width="9.140625" style="2"/>
    <col min="11516" max="11516" width="4.85546875" style="2" customWidth="1"/>
    <col min="11517" max="11517" width="30.5703125" style="2" customWidth="1"/>
    <col min="11518" max="11518" width="33.85546875" style="2" customWidth="1"/>
    <col min="11519" max="11519" width="5.140625" style="2" customWidth="1"/>
    <col min="11520" max="11521" width="17.5703125" style="2" customWidth="1"/>
    <col min="11522" max="11765" width="9.140625" style="2"/>
    <col min="11766" max="11766" width="3.5703125" style="2" customWidth="1"/>
    <col min="11767" max="11767" width="96.85546875" style="2" customWidth="1"/>
    <col min="11768" max="11768" width="30.85546875" style="2" customWidth="1"/>
    <col min="11769" max="11769" width="12.5703125" style="2" customWidth="1"/>
    <col min="11770" max="11770" width="5.140625" style="2" customWidth="1"/>
    <col min="11771" max="11771" width="9.140625" style="2"/>
    <col min="11772" max="11772" width="4.85546875" style="2" customWidth="1"/>
    <col min="11773" max="11773" width="30.5703125" style="2" customWidth="1"/>
    <col min="11774" max="11774" width="33.85546875" style="2" customWidth="1"/>
    <col min="11775" max="11775" width="5.140625" style="2" customWidth="1"/>
    <col min="11776" max="11777" width="17.5703125" style="2" customWidth="1"/>
    <col min="11778" max="12021" width="9.140625" style="2"/>
    <col min="12022" max="12022" width="3.5703125" style="2" customWidth="1"/>
    <col min="12023" max="12023" width="96.85546875" style="2" customWidth="1"/>
    <col min="12024" max="12024" width="30.85546875" style="2" customWidth="1"/>
    <col min="12025" max="12025" width="12.5703125" style="2" customWidth="1"/>
    <col min="12026" max="12026" width="5.140625" style="2" customWidth="1"/>
    <col min="12027" max="12027" width="9.140625" style="2"/>
    <col min="12028" max="12028" width="4.85546875" style="2" customWidth="1"/>
    <col min="12029" max="12029" width="30.5703125" style="2" customWidth="1"/>
    <col min="12030" max="12030" width="33.85546875" style="2" customWidth="1"/>
    <col min="12031" max="12031" width="5.140625" style="2" customWidth="1"/>
    <col min="12032" max="12033" width="17.5703125" style="2" customWidth="1"/>
    <col min="12034" max="12277" width="9.140625" style="2"/>
    <col min="12278" max="12278" width="3.5703125" style="2" customWidth="1"/>
    <col min="12279" max="12279" width="96.85546875" style="2" customWidth="1"/>
    <col min="12280" max="12280" width="30.85546875" style="2" customWidth="1"/>
    <col min="12281" max="12281" width="12.5703125" style="2" customWidth="1"/>
    <col min="12282" max="12282" width="5.140625" style="2" customWidth="1"/>
    <col min="12283" max="12283" width="9.140625" style="2"/>
    <col min="12284" max="12284" width="4.85546875" style="2" customWidth="1"/>
    <col min="12285" max="12285" width="30.5703125" style="2" customWidth="1"/>
    <col min="12286" max="12286" width="33.85546875" style="2" customWidth="1"/>
    <col min="12287" max="12287" width="5.140625" style="2" customWidth="1"/>
    <col min="12288" max="12289" width="17.5703125" style="2" customWidth="1"/>
    <col min="12290" max="12533" width="9.140625" style="2"/>
    <col min="12534" max="12534" width="3.5703125" style="2" customWidth="1"/>
    <col min="12535" max="12535" width="96.85546875" style="2" customWidth="1"/>
    <col min="12536" max="12536" width="30.85546875" style="2" customWidth="1"/>
    <col min="12537" max="12537" width="12.5703125" style="2" customWidth="1"/>
    <col min="12538" max="12538" width="5.140625" style="2" customWidth="1"/>
    <col min="12539" max="12539" width="9.140625" style="2"/>
    <col min="12540" max="12540" width="4.85546875" style="2" customWidth="1"/>
    <col min="12541" max="12541" width="30.5703125" style="2" customWidth="1"/>
    <col min="12542" max="12542" width="33.85546875" style="2" customWidth="1"/>
    <col min="12543" max="12543" width="5.140625" style="2" customWidth="1"/>
    <col min="12544" max="12545" width="17.5703125" style="2" customWidth="1"/>
    <col min="12546" max="12789" width="9.140625" style="2"/>
    <col min="12790" max="12790" width="3.5703125" style="2" customWidth="1"/>
    <col min="12791" max="12791" width="96.85546875" style="2" customWidth="1"/>
    <col min="12792" max="12792" width="30.85546875" style="2" customWidth="1"/>
    <col min="12793" max="12793" width="12.5703125" style="2" customWidth="1"/>
    <col min="12794" max="12794" width="5.140625" style="2" customWidth="1"/>
    <col min="12795" max="12795" width="9.140625" style="2"/>
    <col min="12796" max="12796" width="4.85546875" style="2" customWidth="1"/>
    <col min="12797" max="12797" width="30.5703125" style="2" customWidth="1"/>
    <col min="12798" max="12798" width="33.85546875" style="2" customWidth="1"/>
    <col min="12799" max="12799" width="5.140625" style="2" customWidth="1"/>
    <col min="12800" max="12801" width="17.5703125" style="2" customWidth="1"/>
    <col min="12802" max="13045" width="9.140625" style="2"/>
    <col min="13046" max="13046" width="3.5703125" style="2" customWidth="1"/>
    <col min="13047" max="13047" width="96.85546875" style="2" customWidth="1"/>
    <col min="13048" max="13048" width="30.85546875" style="2" customWidth="1"/>
    <col min="13049" max="13049" width="12.5703125" style="2" customWidth="1"/>
    <col min="13050" max="13050" width="5.140625" style="2" customWidth="1"/>
    <col min="13051" max="13051" width="9.140625" style="2"/>
    <col min="13052" max="13052" width="4.85546875" style="2" customWidth="1"/>
    <col min="13053" max="13053" width="30.5703125" style="2" customWidth="1"/>
    <col min="13054" max="13054" width="33.85546875" style="2" customWidth="1"/>
    <col min="13055" max="13055" width="5.140625" style="2" customWidth="1"/>
    <col min="13056" max="13057" width="17.5703125" style="2" customWidth="1"/>
    <col min="13058" max="13301" width="9.140625" style="2"/>
    <col min="13302" max="13302" width="3.5703125" style="2" customWidth="1"/>
    <col min="13303" max="13303" width="96.85546875" style="2" customWidth="1"/>
    <col min="13304" max="13304" width="30.85546875" style="2" customWidth="1"/>
    <col min="13305" max="13305" width="12.5703125" style="2" customWidth="1"/>
    <col min="13306" max="13306" width="5.140625" style="2" customWidth="1"/>
    <col min="13307" max="13307" width="9.140625" style="2"/>
    <col min="13308" max="13308" width="4.85546875" style="2" customWidth="1"/>
    <col min="13309" max="13309" width="30.5703125" style="2" customWidth="1"/>
    <col min="13310" max="13310" width="33.85546875" style="2" customWidth="1"/>
    <col min="13311" max="13311" width="5.140625" style="2" customWidth="1"/>
    <col min="13312" max="13313" width="17.5703125" style="2" customWidth="1"/>
    <col min="13314" max="13557" width="9.140625" style="2"/>
    <col min="13558" max="13558" width="3.5703125" style="2" customWidth="1"/>
    <col min="13559" max="13559" width="96.85546875" style="2" customWidth="1"/>
    <col min="13560" max="13560" width="30.85546875" style="2" customWidth="1"/>
    <col min="13561" max="13561" width="12.5703125" style="2" customWidth="1"/>
    <col min="13562" max="13562" width="5.140625" style="2" customWidth="1"/>
    <col min="13563" max="13563" width="9.140625" style="2"/>
    <col min="13564" max="13564" width="4.85546875" style="2" customWidth="1"/>
    <col min="13565" max="13565" width="30.5703125" style="2" customWidth="1"/>
    <col min="13566" max="13566" width="33.85546875" style="2" customWidth="1"/>
    <col min="13567" max="13567" width="5.140625" style="2" customWidth="1"/>
    <col min="13568" max="13569" width="17.5703125" style="2" customWidth="1"/>
    <col min="13570" max="13813" width="9.140625" style="2"/>
    <col min="13814" max="13814" width="3.5703125" style="2" customWidth="1"/>
    <col min="13815" max="13815" width="96.85546875" style="2" customWidth="1"/>
    <col min="13816" max="13816" width="30.85546875" style="2" customWidth="1"/>
    <col min="13817" max="13817" width="12.5703125" style="2" customWidth="1"/>
    <col min="13818" max="13818" width="5.140625" style="2" customWidth="1"/>
    <col min="13819" max="13819" width="9.140625" style="2"/>
    <col min="13820" max="13820" width="4.85546875" style="2" customWidth="1"/>
    <col min="13821" max="13821" width="30.5703125" style="2" customWidth="1"/>
    <col min="13822" max="13822" width="33.85546875" style="2" customWidth="1"/>
    <col min="13823" max="13823" width="5.140625" style="2" customWidth="1"/>
    <col min="13824" max="13825" width="17.5703125" style="2" customWidth="1"/>
    <col min="13826" max="14069" width="9.140625" style="2"/>
    <col min="14070" max="14070" width="3.5703125" style="2" customWidth="1"/>
    <col min="14071" max="14071" width="96.85546875" style="2" customWidth="1"/>
    <col min="14072" max="14072" width="30.85546875" style="2" customWidth="1"/>
    <col min="14073" max="14073" width="12.5703125" style="2" customWidth="1"/>
    <col min="14074" max="14074" width="5.140625" style="2" customWidth="1"/>
    <col min="14075" max="14075" width="9.140625" style="2"/>
    <col min="14076" max="14076" width="4.85546875" style="2" customWidth="1"/>
    <col min="14077" max="14077" width="30.5703125" style="2" customWidth="1"/>
    <col min="14078" max="14078" width="33.85546875" style="2" customWidth="1"/>
    <col min="14079" max="14079" width="5.140625" style="2" customWidth="1"/>
    <col min="14080" max="14081" width="17.5703125" style="2" customWidth="1"/>
    <col min="14082" max="14325" width="9.140625" style="2"/>
    <col min="14326" max="14326" width="3.5703125" style="2" customWidth="1"/>
    <col min="14327" max="14327" width="96.85546875" style="2" customWidth="1"/>
    <col min="14328" max="14328" width="30.85546875" style="2" customWidth="1"/>
    <col min="14329" max="14329" width="12.5703125" style="2" customWidth="1"/>
    <col min="14330" max="14330" width="5.140625" style="2" customWidth="1"/>
    <col min="14331" max="14331" width="9.140625" style="2"/>
    <col min="14332" max="14332" width="4.85546875" style="2" customWidth="1"/>
    <col min="14333" max="14333" width="30.5703125" style="2" customWidth="1"/>
    <col min="14334" max="14334" width="33.85546875" style="2" customWidth="1"/>
    <col min="14335" max="14335" width="5.140625" style="2" customWidth="1"/>
    <col min="14336" max="14337" width="17.5703125" style="2" customWidth="1"/>
    <col min="14338" max="14581" width="9.140625" style="2"/>
    <col min="14582" max="14582" width="3.5703125" style="2" customWidth="1"/>
    <col min="14583" max="14583" width="96.85546875" style="2" customWidth="1"/>
    <col min="14584" max="14584" width="30.85546875" style="2" customWidth="1"/>
    <col min="14585" max="14585" width="12.5703125" style="2" customWidth="1"/>
    <col min="14586" max="14586" width="5.140625" style="2" customWidth="1"/>
    <col min="14587" max="14587" width="9.140625" style="2"/>
    <col min="14588" max="14588" width="4.85546875" style="2" customWidth="1"/>
    <col min="14589" max="14589" width="30.5703125" style="2" customWidth="1"/>
    <col min="14590" max="14590" width="33.85546875" style="2" customWidth="1"/>
    <col min="14591" max="14591" width="5.140625" style="2" customWidth="1"/>
    <col min="14592" max="14593" width="17.5703125" style="2" customWidth="1"/>
    <col min="14594" max="14837" width="9.140625" style="2"/>
    <col min="14838" max="14838" width="3.5703125" style="2" customWidth="1"/>
    <col min="14839" max="14839" width="96.85546875" style="2" customWidth="1"/>
    <col min="14840" max="14840" width="30.85546875" style="2" customWidth="1"/>
    <col min="14841" max="14841" width="12.5703125" style="2" customWidth="1"/>
    <col min="14842" max="14842" width="5.140625" style="2" customWidth="1"/>
    <col min="14843" max="14843" width="9.140625" style="2"/>
    <col min="14844" max="14844" width="4.85546875" style="2" customWidth="1"/>
    <col min="14845" max="14845" width="30.5703125" style="2" customWidth="1"/>
    <col min="14846" max="14846" width="33.85546875" style="2" customWidth="1"/>
    <col min="14847" max="14847" width="5.140625" style="2" customWidth="1"/>
    <col min="14848" max="14849" width="17.5703125" style="2" customWidth="1"/>
    <col min="14850" max="15093" width="9.140625" style="2"/>
    <col min="15094" max="15094" width="3.5703125" style="2" customWidth="1"/>
    <col min="15095" max="15095" width="96.85546875" style="2" customWidth="1"/>
    <col min="15096" max="15096" width="30.85546875" style="2" customWidth="1"/>
    <col min="15097" max="15097" width="12.5703125" style="2" customWidth="1"/>
    <col min="15098" max="15098" width="5.140625" style="2" customWidth="1"/>
    <col min="15099" max="15099" width="9.140625" style="2"/>
    <col min="15100" max="15100" width="4.85546875" style="2" customWidth="1"/>
    <col min="15101" max="15101" width="30.5703125" style="2" customWidth="1"/>
    <col min="15102" max="15102" width="33.85546875" style="2" customWidth="1"/>
    <col min="15103" max="15103" width="5.140625" style="2" customWidth="1"/>
    <col min="15104" max="15105" width="17.5703125" style="2" customWidth="1"/>
    <col min="15106" max="15349" width="9.140625" style="2"/>
    <col min="15350" max="15350" width="3.5703125" style="2" customWidth="1"/>
    <col min="15351" max="15351" width="96.85546875" style="2" customWidth="1"/>
    <col min="15352" max="15352" width="30.85546875" style="2" customWidth="1"/>
    <col min="15353" max="15353" width="12.5703125" style="2" customWidth="1"/>
    <col min="15354" max="15354" width="5.140625" style="2" customWidth="1"/>
    <col min="15355" max="15355" width="9.140625" style="2"/>
    <col min="15356" max="15356" width="4.85546875" style="2" customWidth="1"/>
    <col min="15357" max="15357" width="30.5703125" style="2" customWidth="1"/>
    <col min="15358" max="15358" width="33.85546875" style="2" customWidth="1"/>
    <col min="15359" max="15359" width="5.140625" style="2" customWidth="1"/>
    <col min="15360" max="15361" width="17.5703125" style="2" customWidth="1"/>
    <col min="15362" max="15605" width="9.140625" style="2"/>
    <col min="15606" max="15606" width="3.5703125" style="2" customWidth="1"/>
    <col min="15607" max="15607" width="96.85546875" style="2" customWidth="1"/>
    <col min="15608" max="15608" width="30.85546875" style="2" customWidth="1"/>
    <col min="15609" max="15609" width="12.5703125" style="2" customWidth="1"/>
    <col min="15610" max="15610" width="5.140625" style="2" customWidth="1"/>
    <col min="15611" max="15611" width="9.140625" style="2"/>
    <col min="15612" max="15612" width="4.85546875" style="2" customWidth="1"/>
    <col min="15613" max="15613" width="30.5703125" style="2" customWidth="1"/>
    <col min="15614" max="15614" width="33.85546875" style="2" customWidth="1"/>
    <col min="15615" max="15615" width="5.140625" style="2" customWidth="1"/>
    <col min="15616" max="15617" width="17.5703125" style="2" customWidth="1"/>
    <col min="15618" max="15861" width="9.140625" style="2"/>
    <col min="15862" max="15862" width="3.5703125" style="2" customWidth="1"/>
    <col min="15863" max="15863" width="96.85546875" style="2" customWidth="1"/>
    <col min="15864" max="15864" width="30.85546875" style="2" customWidth="1"/>
    <col min="15865" max="15865" width="12.5703125" style="2" customWidth="1"/>
    <col min="15866" max="15866" width="5.140625" style="2" customWidth="1"/>
    <col min="15867" max="15867" width="9.140625" style="2"/>
    <col min="15868" max="15868" width="4.85546875" style="2" customWidth="1"/>
    <col min="15869" max="15869" width="30.5703125" style="2" customWidth="1"/>
    <col min="15870" max="15870" width="33.85546875" style="2" customWidth="1"/>
    <col min="15871" max="15871" width="5.140625" style="2" customWidth="1"/>
    <col min="15872" max="15873" width="17.5703125" style="2" customWidth="1"/>
    <col min="15874" max="16117" width="9.140625" style="2"/>
    <col min="16118" max="16118" width="3.5703125" style="2" customWidth="1"/>
    <col min="16119" max="16119" width="96.85546875" style="2" customWidth="1"/>
    <col min="16120" max="16120" width="30.85546875" style="2" customWidth="1"/>
    <col min="16121" max="16121" width="12.5703125" style="2" customWidth="1"/>
    <col min="16122" max="16122" width="5.140625" style="2" customWidth="1"/>
    <col min="16123" max="16123" width="9.140625" style="2"/>
    <col min="16124" max="16124" width="4.85546875" style="2" customWidth="1"/>
    <col min="16125" max="16125" width="30.5703125" style="2" customWidth="1"/>
    <col min="16126" max="16126" width="33.85546875" style="2" customWidth="1"/>
    <col min="16127" max="16127" width="5.140625" style="2" customWidth="1"/>
    <col min="16128" max="16129" width="17.5703125" style="2" customWidth="1"/>
    <col min="16130" max="16384" width="9.140625" style="2"/>
  </cols>
  <sheetData>
    <row r="1" spans="1:3" ht="48" customHeight="1" x14ac:dyDescent="0.2">
      <c r="A1" s="111"/>
      <c r="B1" s="143" t="s">
        <v>225</v>
      </c>
      <c r="C1" s="143"/>
    </row>
    <row r="2" spans="1:3" x14ac:dyDescent="0.2">
      <c r="A2" s="1"/>
      <c r="B2" s="3" t="s">
        <v>2</v>
      </c>
      <c r="C2" s="4">
        <v>45317</v>
      </c>
    </row>
    <row r="3" spans="1:3" x14ac:dyDescent="0.2">
      <c r="A3" s="1"/>
      <c r="B3" s="112" t="s">
        <v>3</v>
      </c>
    </row>
    <row r="4" spans="1:3" ht="25.5" x14ac:dyDescent="0.2">
      <c r="A4" s="7"/>
      <c r="B4" s="8" t="str">
        <f>[9]И1!D13</f>
        <v>Субъект Российской Федерации</v>
      </c>
      <c r="C4" s="9" t="str">
        <f>[9]И1!E13</f>
        <v>Новосибирская область</v>
      </c>
    </row>
    <row r="5" spans="1:3" ht="38.25" x14ac:dyDescent="0.2">
      <c r="A5" s="7"/>
      <c r="B5" s="8" t="str">
        <f>[9]И1!D14</f>
        <v>Тип муниципального образования (выберите из списка)</v>
      </c>
      <c r="C5" s="9" t="str">
        <f>[9]И1!E14</f>
        <v>село Козиха, Ордынский муниципальный район</v>
      </c>
    </row>
    <row r="6" spans="1:3" x14ac:dyDescent="0.2">
      <c r="A6" s="7"/>
      <c r="B6" s="8" t="str">
        <f>IF([9]И1!E15="","",[9]И1!D15)</f>
        <v/>
      </c>
      <c r="C6" s="9" t="str">
        <f>IF([9]И1!E15="","",[9]И1!E15)</f>
        <v/>
      </c>
    </row>
    <row r="7" spans="1:3" x14ac:dyDescent="0.2">
      <c r="A7" s="7"/>
      <c r="B7" s="8" t="str">
        <f>[9]И1!D16</f>
        <v>Код ОКТМО</v>
      </c>
      <c r="C7" s="10" t="str">
        <f>[9]И1!E16</f>
        <v>50642410101</v>
      </c>
    </row>
    <row r="8" spans="1:3" x14ac:dyDescent="0.2">
      <c r="A8" s="7"/>
      <c r="B8" s="11" t="str">
        <f>[9]И1!D17</f>
        <v>Система теплоснабжения</v>
      </c>
      <c r="C8" s="12">
        <f>[9]И1!E17</f>
        <v>0</v>
      </c>
    </row>
    <row r="9" spans="1:3" x14ac:dyDescent="0.2">
      <c r="A9" s="7"/>
      <c r="B9" s="8" t="str">
        <f>[9]И1!D8</f>
        <v>Период регулирования (i)-й</v>
      </c>
      <c r="C9" s="13">
        <f>[9]И1!E8</f>
        <v>2024</v>
      </c>
    </row>
    <row r="10" spans="1:3" x14ac:dyDescent="0.2">
      <c r="A10" s="7"/>
      <c r="B10" s="8" t="str">
        <f>[9]И1!D9</f>
        <v>Период регулирования (i-1)-й</v>
      </c>
      <c r="C10" s="13">
        <f>[9]И1!E9</f>
        <v>2023</v>
      </c>
    </row>
    <row r="11" spans="1:3" x14ac:dyDescent="0.2">
      <c r="A11" s="7"/>
      <c r="B11" s="8" t="str">
        <f>[9]И1!D10</f>
        <v>Период регулирования (i-2)-й</v>
      </c>
      <c r="C11" s="13">
        <f>[9]И1!E10</f>
        <v>2022</v>
      </c>
    </row>
    <row r="12" spans="1:3" x14ac:dyDescent="0.2">
      <c r="A12" s="7"/>
      <c r="B12" s="8" t="str">
        <f>[9]И1!D11</f>
        <v>Базовый год (б)</v>
      </c>
      <c r="C12" s="13">
        <f>[9]И1!E11</f>
        <v>2019</v>
      </c>
    </row>
    <row r="13" spans="1:3" ht="38.25" x14ac:dyDescent="0.2">
      <c r="A13" s="7"/>
      <c r="B13" s="8" t="str">
        <f>[9]И1!D18</f>
        <v>Вид топлива, использование которого преобладает в системе теплоснабжения</v>
      </c>
      <c r="C13" s="14" t="str">
        <f>[9]С1.1!E13</f>
        <v>уголь (вид угля не указан в топливном балансе)</v>
      </c>
    </row>
    <row r="14" spans="1:3" ht="31.7" customHeight="1" thickBot="1" x14ac:dyDescent="0.25">
      <c r="A14" s="146" t="s">
        <v>4</v>
      </c>
      <c r="B14" s="146"/>
      <c r="C14" s="146"/>
    </row>
    <row r="15" spans="1:3" x14ac:dyDescent="0.2">
      <c r="A15" s="15" t="s">
        <v>5</v>
      </c>
      <c r="B15" s="113" t="s">
        <v>6</v>
      </c>
      <c r="C15" s="114" t="s">
        <v>7</v>
      </c>
    </row>
    <row r="16" spans="1:3" x14ac:dyDescent="0.2">
      <c r="A16" s="18">
        <v>1</v>
      </c>
      <c r="B16" s="115">
        <v>2</v>
      </c>
      <c r="C16" s="116">
        <v>3</v>
      </c>
    </row>
    <row r="17" spans="1:3" x14ac:dyDescent="0.2">
      <c r="A17" s="21">
        <v>1</v>
      </c>
      <c r="B17" s="22" t="s">
        <v>8</v>
      </c>
      <c r="C17" s="23">
        <f>SUM(C18:C22)</f>
        <v>3657.8216699555314</v>
      </c>
    </row>
    <row r="18" spans="1:3" ht="42.75" x14ac:dyDescent="0.2">
      <c r="A18" s="21" t="s">
        <v>9</v>
      </c>
      <c r="B18" s="24" t="s">
        <v>10</v>
      </c>
      <c r="C18" s="25">
        <f>[9]С1!F12</f>
        <v>681.72722270675411</v>
      </c>
    </row>
    <row r="19" spans="1:3" ht="42.75" x14ac:dyDescent="0.2">
      <c r="A19" s="21" t="s">
        <v>11</v>
      </c>
      <c r="B19" s="24" t="s">
        <v>12</v>
      </c>
      <c r="C19" s="25">
        <f>[9]С2!F12</f>
        <v>1988.7336845318171</v>
      </c>
    </row>
    <row r="20" spans="1:3" ht="30" x14ac:dyDescent="0.2">
      <c r="A20" s="21" t="s">
        <v>13</v>
      </c>
      <c r="B20" s="24" t="s">
        <v>14</v>
      </c>
      <c r="C20" s="25">
        <f>[9]С3!F12</f>
        <v>472.61808029676507</v>
      </c>
    </row>
    <row r="21" spans="1:3" ht="42.75" x14ac:dyDescent="0.2">
      <c r="A21" s="21" t="s">
        <v>15</v>
      </c>
      <c r="B21" s="24" t="s">
        <v>226</v>
      </c>
      <c r="C21" s="25">
        <f>[9]С4!F12</f>
        <v>443.02068889165531</v>
      </c>
    </row>
    <row r="22" spans="1:3" ht="30" x14ac:dyDescent="0.2">
      <c r="A22" s="21" t="s">
        <v>17</v>
      </c>
      <c r="B22" s="24" t="s">
        <v>227</v>
      </c>
      <c r="C22" s="25">
        <f>[9]С5!F12</f>
        <v>71.721993528539841</v>
      </c>
    </row>
    <row r="23" spans="1:3" ht="43.5" thickBot="1" x14ac:dyDescent="0.25">
      <c r="A23" s="26" t="s">
        <v>19</v>
      </c>
      <c r="B23" s="140" t="s">
        <v>228</v>
      </c>
      <c r="C23" s="27" t="str">
        <f>[9]С6!F12</f>
        <v>-</v>
      </c>
    </row>
    <row r="24" spans="1:3" ht="13.5" thickBot="1" x14ac:dyDescent="0.25">
      <c r="A24" s="1"/>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229</v>
      </c>
      <c r="C28" s="32">
        <f>[9]С1.1!E16</f>
        <v>5100</v>
      </c>
    </row>
    <row r="29" spans="1:3" ht="42.75" x14ac:dyDescent="0.2">
      <c r="A29" s="21" t="s">
        <v>11</v>
      </c>
      <c r="B29" s="31" t="s">
        <v>230</v>
      </c>
      <c r="C29" s="32">
        <f>[9]С1.1!E27</f>
        <v>3063.03</v>
      </c>
    </row>
    <row r="30" spans="1:3" ht="17.25" x14ac:dyDescent="0.2">
      <c r="A30" s="21" t="s">
        <v>13</v>
      </c>
      <c r="B30" s="31" t="s">
        <v>30</v>
      </c>
      <c r="C30" s="34">
        <f>[9]С1.1!E19</f>
        <v>-0.19900000000000001</v>
      </c>
    </row>
    <row r="31" spans="1:3" ht="17.25" x14ac:dyDescent="0.2">
      <c r="A31" s="21" t="s">
        <v>15</v>
      </c>
      <c r="B31" s="31" t="s">
        <v>31</v>
      </c>
      <c r="C31" s="34">
        <f>[9]С1.1!E20</f>
        <v>5.7000000000000002E-2</v>
      </c>
    </row>
    <row r="32" spans="1:3" ht="30" x14ac:dyDescent="0.2">
      <c r="A32" s="21" t="s">
        <v>17</v>
      </c>
      <c r="B32" s="35" t="s">
        <v>231</v>
      </c>
      <c r="C32" s="117">
        <f>[9]С1!F13</f>
        <v>176.4</v>
      </c>
    </row>
    <row r="33" spans="1:3" x14ac:dyDescent="0.2">
      <c r="A33" s="21" t="s">
        <v>19</v>
      </c>
      <c r="B33" s="35" t="s">
        <v>33</v>
      </c>
      <c r="C33" s="37">
        <f>[9]С1!F16</f>
        <v>7000</v>
      </c>
    </row>
    <row r="34" spans="1:3" ht="14.25" x14ac:dyDescent="0.2">
      <c r="A34" s="21" t="s">
        <v>34</v>
      </c>
      <c r="B34" s="39" t="s">
        <v>232</v>
      </c>
      <c r="C34" s="40">
        <f>[9]С1!F17</f>
        <v>0.72857142857142854</v>
      </c>
    </row>
    <row r="35" spans="1:3" ht="15.75" x14ac:dyDescent="0.2">
      <c r="A35" s="118" t="s">
        <v>36</v>
      </c>
      <c r="B35" s="42" t="s">
        <v>37</v>
      </c>
      <c r="C35" s="40">
        <f>[9]С1!F20</f>
        <v>21.588411179999994</v>
      </c>
    </row>
    <row r="36" spans="1:3" ht="15.75" x14ac:dyDescent="0.2">
      <c r="A36" s="118" t="s">
        <v>38</v>
      </c>
      <c r="B36" s="43" t="s">
        <v>39</v>
      </c>
      <c r="C36" s="40">
        <f>[9]С1!F21</f>
        <v>20.818139999999996</v>
      </c>
    </row>
    <row r="37" spans="1:3" ht="14.25" x14ac:dyDescent="0.2">
      <c r="A37" s="118" t="s">
        <v>40</v>
      </c>
      <c r="B37" s="44" t="s">
        <v>41</v>
      </c>
      <c r="C37" s="40">
        <f>[9]С1!F22</f>
        <v>1.0369999999999999</v>
      </c>
    </row>
    <row r="38" spans="1:3" ht="53.25" thickBot="1" x14ac:dyDescent="0.25">
      <c r="A38" s="26" t="s">
        <v>42</v>
      </c>
      <c r="B38" s="45" t="s">
        <v>43</v>
      </c>
      <c r="C38" s="46">
        <f>[9]С1!F23</f>
        <v>1.0469999999999999</v>
      </c>
    </row>
    <row r="39" spans="1:3" ht="13.5" thickBot="1" x14ac:dyDescent="0.25">
      <c r="A39" s="47"/>
      <c r="B39" s="119"/>
      <c r="C39" s="120"/>
    </row>
    <row r="40" spans="1:3" ht="30" customHeight="1" x14ac:dyDescent="0.2">
      <c r="A40" s="49" t="s">
        <v>44</v>
      </c>
      <c r="B40" s="145" t="s">
        <v>45</v>
      </c>
      <c r="C40" s="145"/>
    </row>
    <row r="41" spans="1:3" ht="25.5" x14ac:dyDescent="0.2">
      <c r="A41" s="21" t="s">
        <v>46</v>
      </c>
      <c r="B41" s="35" t="s">
        <v>47</v>
      </c>
      <c r="C41" s="50" t="str">
        <f>[9]С2.1!E12</f>
        <v>V</v>
      </c>
    </row>
    <row r="42" spans="1:3" ht="25.5" x14ac:dyDescent="0.2">
      <c r="A42" s="21" t="s">
        <v>48</v>
      </c>
      <c r="B42" s="31" t="s">
        <v>49</v>
      </c>
      <c r="C42" s="50" t="str">
        <f>[9]С2.1!E13</f>
        <v>6 и менее баллов</v>
      </c>
    </row>
    <row r="43" spans="1:3" ht="25.5" x14ac:dyDescent="0.2">
      <c r="A43" s="21" t="s">
        <v>50</v>
      </c>
      <c r="B43" s="31" t="s">
        <v>233</v>
      </c>
      <c r="C43" s="50" t="str">
        <f>[9]С2.1!E14</f>
        <v>от 200 до 500</v>
      </c>
    </row>
    <row r="44" spans="1:3" ht="25.5" x14ac:dyDescent="0.2">
      <c r="A44" s="21" t="s">
        <v>52</v>
      </c>
      <c r="B44" s="31" t="s">
        <v>234</v>
      </c>
      <c r="C44" s="51" t="str">
        <f>[9]С2.1!E15</f>
        <v>нет</v>
      </c>
    </row>
    <row r="45" spans="1:3" ht="30" x14ac:dyDescent="0.2">
      <c r="A45" s="21" t="s">
        <v>54</v>
      </c>
      <c r="B45" s="31" t="s">
        <v>55</v>
      </c>
      <c r="C45" s="32">
        <f>[9]С2!F18</f>
        <v>35106.652004551666</v>
      </c>
    </row>
    <row r="46" spans="1:3" ht="30" x14ac:dyDescent="0.2">
      <c r="A46" s="21" t="s">
        <v>56</v>
      </c>
      <c r="B46" s="52" t="s">
        <v>57</v>
      </c>
      <c r="C46" s="32">
        <f>IF([9]С2!F19&gt;0,[9]С2!F19,[9]С2!F20)</f>
        <v>23441.524932855718</v>
      </c>
    </row>
    <row r="47" spans="1:3" ht="25.5" x14ac:dyDescent="0.2">
      <c r="A47" s="21" t="s">
        <v>58</v>
      </c>
      <c r="B47" s="53" t="s">
        <v>59</v>
      </c>
      <c r="C47" s="32">
        <f>[9]С2.1!E19</f>
        <v>-37</v>
      </c>
    </row>
    <row r="48" spans="1:3" ht="25.5" x14ac:dyDescent="0.2">
      <c r="A48" s="21" t="s">
        <v>60</v>
      </c>
      <c r="B48" s="53" t="s">
        <v>61</v>
      </c>
      <c r="C48" s="32" t="str">
        <f>[9]С2.1!E22</f>
        <v>нет</v>
      </c>
    </row>
    <row r="49" spans="1:3" ht="38.25" x14ac:dyDescent="0.2">
      <c r="A49" s="21" t="s">
        <v>62</v>
      </c>
      <c r="B49" s="54" t="s">
        <v>63</v>
      </c>
      <c r="C49" s="32">
        <f>[9]С2.2!E10</f>
        <v>1287</v>
      </c>
    </row>
    <row r="50" spans="1:3" ht="25.5" x14ac:dyDescent="0.2">
      <c r="A50" s="21" t="s">
        <v>64</v>
      </c>
      <c r="B50" s="55" t="s">
        <v>65</v>
      </c>
      <c r="C50" s="32">
        <f>[9]С2.2!E12</f>
        <v>5.97</v>
      </c>
    </row>
    <row r="51" spans="1:3" ht="52.5" x14ac:dyDescent="0.2">
      <c r="A51" s="21" t="s">
        <v>66</v>
      </c>
      <c r="B51" s="56" t="s">
        <v>67</v>
      </c>
      <c r="C51" s="32">
        <f>[9]С2.2!E13</f>
        <v>1</v>
      </c>
    </row>
    <row r="52" spans="1:3" ht="27.75" x14ac:dyDescent="0.2">
      <c r="A52" s="21" t="s">
        <v>68</v>
      </c>
      <c r="B52" s="55" t="s">
        <v>69</v>
      </c>
      <c r="C52" s="32">
        <f>[9]С2.2!E14</f>
        <v>12104</v>
      </c>
    </row>
    <row r="53" spans="1:3" ht="25.5" x14ac:dyDescent="0.2">
      <c r="A53" s="21" t="s">
        <v>70</v>
      </c>
      <c r="B53" s="56" t="s">
        <v>71</v>
      </c>
      <c r="C53" s="34">
        <f>[9]С2.2!E15</f>
        <v>4.8000000000000001E-2</v>
      </c>
    </row>
    <row r="54" spans="1:3" x14ac:dyDescent="0.2">
      <c r="A54" s="21" t="s">
        <v>72</v>
      </c>
      <c r="B54" s="56" t="s">
        <v>73</v>
      </c>
      <c r="C54" s="32">
        <f>[9]С2.2!E16</f>
        <v>1</v>
      </c>
    </row>
    <row r="55" spans="1:3" ht="15.75" x14ac:dyDescent="0.2">
      <c r="A55" s="21" t="s">
        <v>74</v>
      </c>
      <c r="B55" s="58" t="s">
        <v>75</v>
      </c>
      <c r="C55" s="32">
        <f>[9]С2!F21</f>
        <v>1</v>
      </c>
    </row>
    <row r="56" spans="1:3" ht="30" x14ac:dyDescent="0.2">
      <c r="A56" s="59" t="s">
        <v>76</v>
      </c>
      <c r="B56" s="31" t="s">
        <v>235</v>
      </c>
      <c r="C56" s="32">
        <f>[9]С2!F13</f>
        <v>183796.83936385796</v>
      </c>
    </row>
    <row r="57" spans="1:3" ht="30" x14ac:dyDescent="0.2">
      <c r="A57" s="59" t="s">
        <v>78</v>
      </c>
      <c r="B57" s="58" t="s">
        <v>236</v>
      </c>
      <c r="C57" s="32">
        <f>[9]С2!F14</f>
        <v>113455</v>
      </c>
    </row>
    <row r="58" spans="1:3" ht="15.75" x14ac:dyDescent="0.2">
      <c r="A58" s="59" t="s">
        <v>80</v>
      </c>
      <c r="B58" s="60" t="s">
        <v>81</v>
      </c>
      <c r="C58" s="40">
        <f>[9]С2!F15</f>
        <v>1.071</v>
      </c>
    </row>
    <row r="59" spans="1:3" ht="15.75" x14ac:dyDescent="0.2">
      <c r="A59" s="59" t="s">
        <v>82</v>
      </c>
      <c r="B59" s="60" t="s">
        <v>83</v>
      </c>
      <c r="C59" s="40">
        <f>[9]С2!F16</f>
        <v>1</v>
      </c>
    </row>
    <row r="60" spans="1:3" ht="17.25" x14ac:dyDescent="0.2">
      <c r="A60" s="59" t="s">
        <v>84</v>
      </c>
      <c r="B60" s="58" t="s">
        <v>85</v>
      </c>
      <c r="C60" s="32">
        <f>[9]С2!F17</f>
        <v>1.01</v>
      </c>
    </row>
    <row r="61" spans="1:3" s="65" customFormat="1" ht="14.25" x14ac:dyDescent="0.2">
      <c r="A61" s="59" t="s">
        <v>86</v>
      </c>
      <c r="B61" s="63" t="s">
        <v>87</v>
      </c>
      <c r="C61" s="64">
        <f>[9]С2!F33</f>
        <v>10</v>
      </c>
    </row>
    <row r="62" spans="1:3" ht="30" x14ac:dyDescent="0.2">
      <c r="A62" s="59" t="s">
        <v>88</v>
      </c>
      <c r="B62" s="66" t="s">
        <v>89</v>
      </c>
      <c r="C62" s="32">
        <f>[9]С2!F26</f>
        <v>1266.3745527115127</v>
      </c>
    </row>
    <row r="63" spans="1:3" ht="17.25" x14ac:dyDescent="0.2">
      <c r="A63" s="59" t="s">
        <v>90</v>
      </c>
      <c r="B63" s="52" t="s">
        <v>237</v>
      </c>
      <c r="C63" s="32">
        <f>[9]С2!F27</f>
        <v>0.201330388</v>
      </c>
    </row>
    <row r="64" spans="1:3" ht="17.25" x14ac:dyDescent="0.2">
      <c r="A64" s="59" t="s">
        <v>92</v>
      </c>
      <c r="B64" s="58" t="s">
        <v>238</v>
      </c>
      <c r="C64" s="64">
        <f>[9]С2!F28</f>
        <v>4200</v>
      </c>
    </row>
    <row r="65" spans="1:3" ht="42.75" x14ac:dyDescent="0.2">
      <c r="A65" s="59" t="s">
        <v>94</v>
      </c>
      <c r="B65" s="31" t="s">
        <v>239</v>
      </c>
      <c r="C65" s="32">
        <f>[9]С2!F22</f>
        <v>38698.422798410109</v>
      </c>
    </row>
    <row r="66" spans="1:3" ht="30" x14ac:dyDescent="0.2">
      <c r="A66" s="59" t="s">
        <v>96</v>
      </c>
      <c r="B66" s="60" t="s">
        <v>240</v>
      </c>
      <c r="C66" s="32">
        <f>[9]С2!F23</f>
        <v>1990</v>
      </c>
    </row>
    <row r="67" spans="1:3" ht="30" x14ac:dyDescent="0.2">
      <c r="A67" s="59" t="s">
        <v>98</v>
      </c>
      <c r="B67" s="52" t="s">
        <v>99</v>
      </c>
      <c r="C67" s="32">
        <f>[9]С2.1!E27</f>
        <v>14307.876789999998</v>
      </c>
    </row>
    <row r="68" spans="1:3" ht="38.25" x14ac:dyDescent="0.2">
      <c r="A68" s="59" t="s">
        <v>100</v>
      </c>
      <c r="B68" s="67" t="s">
        <v>101</v>
      </c>
      <c r="C68" s="51">
        <f>[9]С2.3!E21</f>
        <v>0</v>
      </c>
    </row>
    <row r="69" spans="1:3" ht="25.5" x14ac:dyDescent="0.2">
      <c r="A69" s="59" t="s">
        <v>102</v>
      </c>
      <c r="B69" s="68" t="s">
        <v>103</v>
      </c>
      <c r="C69" s="69">
        <f>[9]С2.3!E11</f>
        <v>9.89</v>
      </c>
    </row>
    <row r="70" spans="1:3" ht="25.5" x14ac:dyDescent="0.2">
      <c r="A70" s="59" t="s">
        <v>104</v>
      </c>
      <c r="B70" s="68" t="s">
        <v>105</v>
      </c>
      <c r="C70" s="64">
        <f>[9]С2.3!E13</f>
        <v>300</v>
      </c>
    </row>
    <row r="71" spans="1:3" ht="25.5" x14ac:dyDescent="0.2">
      <c r="A71" s="59" t="s">
        <v>106</v>
      </c>
      <c r="B71" s="67" t="s">
        <v>107</v>
      </c>
      <c r="C71" s="70">
        <f>IF([9]С2.3!E22&gt;0,[9]С2.3!E22,[9]С2.3!E14)</f>
        <v>61211</v>
      </c>
    </row>
    <row r="72" spans="1:3" ht="38.25" x14ac:dyDescent="0.2">
      <c r="A72" s="59" t="s">
        <v>108</v>
      </c>
      <c r="B72" s="67" t="s">
        <v>109</v>
      </c>
      <c r="C72" s="70">
        <f>IF([9]С2.3!E23&gt;0,[9]С2.3!E23,[9]С2.3!E15)</f>
        <v>45675</v>
      </c>
    </row>
    <row r="73" spans="1:3" ht="30" x14ac:dyDescent="0.2">
      <c r="A73" s="59" t="s">
        <v>110</v>
      </c>
      <c r="B73" s="52" t="s">
        <v>111</v>
      </c>
      <c r="C73" s="32">
        <f>[9]С2.1!E28</f>
        <v>9541.9567200000001</v>
      </c>
    </row>
    <row r="74" spans="1:3" ht="38.25" x14ac:dyDescent="0.2">
      <c r="A74" s="59" t="s">
        <v>112</v>
      </c>
      <c r="B74" s="67" t="s">
        <v>113</v>
      </c>
      <c r="C74" s="51">
        <f>[9]С2.3!E25</f>
        <v>0</v>
      </c>
    </row>
    <row r="75" spans="1:3" ht="25.5" x14ac:dyDescent="0.2">
      <c r="A75" s="59" t="s">
        <v>114</v>
      </c>
      <c r="B75" s="68" t="s">
        <v>115</v>
      </c>
      <c r="C75" s="69">
        <f>[9]С2.3!E12</f>
        <v>0.56000000000000005</v>
      </c>
    </row>
    <row r="76" spans="1:3" ht="25.5" x14ac:dyDescent="0.2">
      <c r="A76" s="59" t="s">
        <v>116</v>
      </c>
      <c r="B76" s="68" t="s">
        <v>105</v>
      </c>
      <c r="C76" s="64">
        <f>[9]С2.3!E13</f>
        <v>300</v>
      </c>
    </row>
    <row r="77" spans="1:3" ht="25.5" x14ac:dyDescent="0.2">
      <c r="A77" s="59" t="s">
        <v>117</v>
      </c>
      <c r="B77" s="71" t="s">
        <v>118</v>
      </c>
      <c r="C77" s="70">
        <f>IF([9]С2.3!E26&gt;0,[9]С2.3!E26,[9]С2.3!E16)</f>
        <v>65637</v>
      </c>
    </row>
    <row r="78" spans="1:3" ht="38.25" x14ac:dyDescent="0.2">
      <c r="A78" s="59" t="s">
        <v>119</v>
      </c>
      <c r="B78" s="71" t="s">
        <v>120</v>
      </c>
      <c r="C78" s="70">
        <f>IF([9]С2.3!E27&gt;0,[9]С2.3!E27,[9]С2.3!E17)</f>
        <v>31684</v>
      </c>
    </row>
    <row r="79" spans="1:3" ht="17.25" x14ac:dyDescent="0.2">
      <c r="A79" s="59" t="s">
        <v>123</v>
      </c>
      <c r="B79" s="31" t="s">
        <v>124</v>
      </c>
      <c r="C79" s="34">
        <f>[9]С2!F29</f>
        <v>9.5962865259740182E-2</v>
      </c>
    </row>
    <row r="80" spans="1:3" ht="30" x14ac:dyDescent="0.2">
      <c r="A80" s="59" t="s">
        <v>125</v>
      </c>
      <c r="B80" s="52" t="s">
        <v>126</v>
      </c>
      <c r="C80" s="72">
        <f>[9]С2!F30</f>
        <v>8.4029304029304031E-2</v>
      </c>
    </row>
    <row r="81" spans="1:3" ht="17.25" x14ac:dyDescent="0.2">
      <c r="A81" s="59" t="s">
        <v>127</v>
      </c>
      <c r="B81" s="73" t="s">
        <v>128</v>
      </c>
      <c r="C81" s="34">
        <f>[9]С2!F31</f>
        <v>0.13880000000000001</v>
      </c>
    </row>
    <row r="82" spans="1:3" s="65" customFormat="1" ht="18" thickBot="1" x14ac:dyDescent="0.25">
      <c r="A82" s="74" t="s">
        <v>129</v>
      </c>
      <c r="B82" s="75" t="s">
        <v>130</v>
      </c>
      <c r="C82" s="76">
        <f>[9]С2!F32</f>
        <v>0.12640000000000001</v>
      </c>
    </row>
    <row r="83" spans="1:3" ht="13.5" thickBot="1" x14ac:dyDescent="0.25">
      <c r="A83" s="47"/>
      <c r="B83" s="48"/>
      <c r="C83" s="14"/>
    </row>
    <row r="84" spans="1:3" s="65" customFormat="1" ht="30" customHeight="1" x14ac:dyDescent="0.2">
      <c r="A84" s="77" t="s">
        <v>131</v>
      </c>
      <c r="B84" s="145" t="s">
        <v>132</v>
      </c>
      <c r="C84" s="145"/>
    </row>
    <row r="85" spans="1:3" s="65" customFormat="1" ht="30" x14ac:dyDescent="0.2">
      <c r="A85" s="78" t="s">
        <v>133</v>
      </c>
      <c r="B85" s="31" t="s">
        <v>134</v>
      </c>
      <c r="C85" s="32">
        <f>[9]С3!F14</f>
        <v>6057.0688307111368</v>
      </c>
    </row>
    <row r="86" spans="1:3" s="65" customFormat="1" ht="42.75" x14ac:dyDescent="0.2">
      <c r="A86" s="78" t="s">
        <v>135</v>
      </c>
      <c r="B86" s="52" t="s">
        <v>136</v>
      </c>
      <c r="C86" s="79">
        <f>[9]С3!F15</f>
        <v>0.2</v>
      </c>
    </row>
    <row r="87" spans="1:3" s="65" customFormat="1" ht="14.25" x14ac:dyDescent="0.2">
      <c r="A87" s="78" t="s">
        <v>137</v>
      </c>
      <c r="B87" s="80" t="s">
        <v>138</v>
      </c>
      <c r="C87" s="64">
        <f>[9]С3!F18</f>
        <v>15</v>
      </c>
    </row>
    <row r="88" spans="1:3" s="65" customFormat="1" ht="17.25" x14ac:dyDescent="0.2">
      <c r="A88" s="78" t="s">
        <v>139</v>
      </c>
      <c r="B88" s="31" t="s">
        <v>140</v>
      </c>
      <c r="C88" s="32">
        <f>[9]С3!F19</f>
        <v>3778.1614077800232</v>
      </c>
    </row>
    <row r="89" spans="1:3" s="65" customFormat="1" ht="55.5" x14ac:dyDescent="0.2">
      <c r="A89" s="78" t="s">
        <v>141</v>
      </c>
      <c r="B89" s="52" t="s">
        <v>142</v>
      </c>
      <c r="C89" s="81">
        <f>[9]С3!F20</f>
        <v>2.1999999999999999E-2</v>
      </c>
    </row>
    <row r="90" spans="1:3" s="65" customFormat="1" ht="14.25" x14ac:dyDescent="0.2">
      <c r="A90" s="78" t="s">
        <v>143</v>
      </c>
      <c r="B90" s="58" t="s">
        <v>87</v>
      </c>
      <c r="C90" s="64">
        <f>[9]С3!F21</f>
        <v>10</v>
      </c>
    </row>
    <row r="91" spans="1:3" s="65" customFormat="1" ht="17.25" x14ac:dyDescent="0.2">
      <c r="A91" s="78" t="s">
        <v>144</v>
      </c>
      <c r="B91" s="31" t="s">
        <v>145</v>
      </c>
      <c r="C91" s="32">
        <f>[9]С3!F22</f>
        <v>3.7991236581345382</v>
      </c>
    </row>
    <row r="92" spans="1:3" s="65" customFormat="1" ht="55.5" x14ac:dyDescent="0.2">
      <c r="A92" s="78" t="s">
        <v>146</v>
      </c>
      <c r="B92" s="52" t="s">
        <v>147</v>
      </c>
      <c r="C92" s="81">
        <f>[9]С3!F23</f>
        <v>3.0000000000000001E-3</v>
      </c>
    </row>
    <row r="93" spans="1:3" s="65" customFormat="1" ht="27.75" thickBot="1" x14ac:dyDescent="0.25">
      <c r="A93" s="82" t="s">
        <v>148</v>
      </c>
      <c r="B93" s="83" t="s">
        <v>241</v>
      </c>
      <c r="C93" s="84">
        <f>[9]С3!F24</f>
        <v>1266.3745527115127</v>
      </c>
    </row>
    <row r="94" spans="1:3" ht="13.5" thickBot="1" x14ac:dyDescent="0.25">
      <c r="A94" s="47"/>
      <c r="B94" s="48"/>
      <c r="C94" s="14"/>
    </row>
    <row r="95" spans="1:3" ht="30" customHeight="1" x14ac:dyDescent="0.2">
      <c r="A95" s="85" t="s">
        <v>149</v>
      </c>
      <c r="B95" s="145" t="s">
        <v>150</v>
      </c>
      <c r="C95" s="145"/>
    </row>
    <row r="96" spans="1:3" ht="30" x14ac:dyDescent="0.2">
      <c r="A96" s="59" t="s">
        <v>151</v>
      </c>
      <c r="B96" s="31" t="s">
        <v>242</v>
      </c>
      <c r="C96" s="32">
        <f>[9]С4!F16</f>
        <v>1652.5</v>
      </c>
    </row>
    <row r="97" spans="1:3" ht="30" x14ac:dyDescent="0.2">
      <c r="A97" s="59" t="s">
        <v>153</v>
      </c>
      <c r="B97" s="58" t="s">
        <v>243</v>
      </c>
      <c r="C97" s="32">
        <f>[9]С4!F17</f>
        <v>73547</v>
      </c>
    </row>
    <row r="98" spans="1:3" ht="17.25" x14ac:dyDescent="0.2">
      <c r="A98" s="59" t="s">
        <v>155</v>
      </c>
      <c r="B98" s="58" t="s">
        <v>156</v>
      </c>
      <c r="C98" s="40">
        <f>[9]С4!F18</f>
        <v>0.02</v>
      </c>
    </row>
    <row r="99" spans="1:3" ht="30" x14ac:dyDescent="0.2">
      <c r="A99" s="59" t="s">
        <v>157</v>
      </c>
      <c r="B99" s="58" t="s">
        <v>158</v>
      </c>
      <c r="C99" s="32">
        <f>[9]С4!F19</f>
        <v>12104</v>
      </c>
    </row>
    <row r="100" spans="1:3" ht="28.5" x14ac:dyDescent="0.2">
      <c r="A100" s="59" t="s">
        <v>159</v>
      </c>
      <c r="B100" s="58" t="s">
        <v>160</v>
      </c>
      <c r="C100" s="40">
        <f>[9]С4!F20</f>
        <v>1.4999999999999999E-2</v>
      </c>
    </row>
    <row r="101" spans="1:3" ht="30" x14ac:dyDescent="0.2">
      <c r="A101" s="59" t="s">
        <v>161</v>
      </c>
      <c r="B101" s="31" t="s">
        <v>244</v>
      </c>
      <c r="C101" s="32">
        <f>[9]С4!F21</f>
        <v>1933.1949342509995</v>
      </c>
    </row>
    <row r="102" spans="1:3" ht="24" customHeight="1" x14ac:dyDescent="0.2">
      <c r="A102" s="59" t="s">
        <v>163</v>
      </c>
      <c r="B102" s="52" t="s">
        <v>164</v>
      </c>
      <c r="C102" s="33">
        <f>IF([9]С4.2!F8="да",[9]С4.2!D21,[9]С4.2!D15)</f>
        <v>0</v>
      </c>
    </row>
    <row r="103" spans="1:3" ht="68.25" x14ac:dyDescent="0.2">
      <c r="A103" s="59" t="s">
        <v>165</v>
      </c>
      <c r="B103" s="52" t="s">
        <v>166</v>
      </c>
      <c r="C103" s="32">
        <f>[9]С4!F22</f>
        <v>3.6112641666666665</v>
      </c>
    </row>
    <row r="104" spans="1:3" ht="30" x14ac:dyDescent="0.2">
      <c r="A104" s="59" t="s">
        <v>167</v>
      </c>
      <c r="B104" s="58" t="s">
        <v>245</v>
      </c>
      <c r="C104" s="32">
        <f>[9]С4!F23</f>
        <v>180</v>
      </c>
    </row>
    <row r="105" spans="1:3" ht="14.25" x14ac:dyDescent="0.2">
      <c r="A105" s="59" t="s">
        <v>169</v>
      </c>
      <c r="B105" s="52" t="s">
        <v>170</v>
      </c>
      <c r="C105" s="32">
        <f>[9]С4!F24</f>
        <v>8497.1999999999989</v>
      </c>
    </row>
    <row r="106" spans="1:3" ht="14.25" x14ac:dyDescent="0.2">
      <c r="A106" s="59" t="s">
        <v>171</v>
      </c>
      <c r="B106" s="58" t="s">
        <v>172</v>
      </c>
      <c r="C106" s="40">
        <f>[9]С4!F25</f>
        <v>0.35</v>
      </c>
    </row>
    <row r="107" spans="1:3" ht="17.25" x14ac:dyDescent="0.2">
      <c r="A107" s="59" t="s">
        <v>173</v>
      </c>
      <c r="B107" s="31" t="s">
        <v>174</v>
      </c>
      <c r="C107" s="32">
        <f>[9]С4!F26</f>
        <v>64.789190000000005</v>
      </c>
    </row>
    <row r="108" spans="1:3" ht="25.5" x14ac:dyDescent="0.2">
      <c r="A108" s="59" t="s">
        <v>175</v>
      </c>
      <c r="B108" s="52" t="s">
        <v>101</v>
      </c>
      <c r="C108" s="33">
        <f>[9]С4.3!E16</f>
        <v>0</v>
      </c>
    </row>
    <row r="109" spans="1:3" ht="25.5" x14ac:dyDescent="0.2">
      <c r="A109" s="59" t="s">
        <v>176</v>
      </c>
      <c r="B109" s="52" t="s">
        <v>177</v>
      </c>
      <c r="C109" s="32">
        <f>[9]С4.3!E17</f>
        <v>17.37</v>
      </c>
    </row>
    <row r="110" spans="1:3" ht="38.25" x14ac:dyDescent="0.2">
      <c r="A110" s="59" t="s">
        <v>178</v>
      </c>
      <c r="B110" s="52" t="s">
        <v>113</v>
      </c>
      <c r="C110" s="33">
        <f>[9]С4.3!E18</f>
        <v>0</v>
      </c>
    </row>
    <row r="111" spans="1:3" x14ac:dyDescent="0.2">
      <c r="A111" s="59" t="s">
        <v>179</v>
      </c>
      <c r="B111" s="52" t="s">
        <v>180</v>
      </c>
      <c r="C111" s="32">
        <f>[9]С4.3!E19</f>
        <v>18.983333333333334</v>
      </c>
    </row>
    <row r="112" spans="1:3" x14ac:dyDescent="0.2">
      <c r="A112" s="59" t="s">
        <v>181</v>
      </c>
      <c r="B112" s="58" t="s">
        <v>182</v>
      </c>
      <c r="C112" s="32">
        <f>[9]С4.3!E11</f>
        <v>1871</v>
      </c>
    </row>
    <row r="113" spans="1:3" x14ac:dyDescent="0.2">
      <c r="A113" s="59" t="s">
        <v>183</v>
      </c>
      <c r="B113" s="58" t="s">
        <v>184</v>
      </c>
      <c r="C113" s="51">
        <f>[9]С4.3!E12</f>
        <v>1636</v>
      </c>
    </row>
    <row r="114" spans="1:3" x14ac:dyDescent="0.2">
      <c r="A114" s="59" t="s">
        <v>185</v>
      </c>
      <c r="B114" s="58" t="s">
        <v>186</v>
      </c>
      <c r="C114" s="51">
        <f>[9]С4.3!E13</f>
        <v>204</v>
      </c>
    </row>
    <row r="115" spans="1:3" ht="30" x14ac:dyDescent="0.2">
      <c r="A115" s="59" t="s">
        <v>187</v>
      </c>
      <c r="B115" s="31" t="s">
        <v>246</v>
      </c>
      <c r="C115" s="32">
        <f>[9]С4!F27</f>
        <v>1351.1912129385403</v>
      </c>
    </row>
    <row r="116" spans="1:3" ht="25.5" x14ac:dyDescent="0.2">
      <c r="A116" s="59" t="s">
        <v>189</v>
      </c>
      <c r="B116" s="52" t="s">
        <v>247</v>
      </c>
      <c r="C116" s="32">
        <f>[9]С4!F28</f>
        <v>1037.7812695380494</v>
      </c>
    </row>
    <row r="117" spans="1:3" ht="42.75" x14ac:dyDescent="0.2">
      <c r="A117" s="59" t="s">
        <v>191</v>
      </c>
      <c r="B117" s="52" t="s">
        <v>192</v>
      </c>
      <c r="C117" s="32">
        <f>[9]С4!F29</f>
        <v>313.40994340049093</v>
      </c>
    </row>
    <row r="118" spans="1:3" ht="30" x14ac:dyDescent="0.2">
      <c r="A118" s="59" t="s">
        <v>193</v>
      </c>
      <c r="B118" s="39" t="s">
        <v>194</v>
      </c>
      <c r="C118" s="32">
        <f>[9]С4!F30</f>
        <v>1732.2245409628008</v>
      </c>
    </row>
    <row r="119" spans="1:3" ht="42.75" x14ac:dyDescent="0.2">
      <c r="A119" s="59" t="s">
        <v>248</v>
      </c>
      <c r="B119" s="89" t="s">
        <v>249</v>
      </c>
      <c r="C119" s="32">
        <f>[9]С4!F33</f>
        <v>1010.5011744884268</v>
      </c>
    </row>
    <row r="120" spans="1:3" ht="30" x14ac:dyDescent="0.2">
      <c r="A120" s="59" t="s">
        <v>250</v>
      </c>
      <c r="B120" s="121" t="s">
        <v>251</v>
      </c>
      <c r="C120" s="32">
        <f>[9]С4!F35</f>
        <v>17.040680999999999</v>
      </c>
    </row>
    <row r="121" spans="1:3" ht="14.25" x14ac:dyDescent="0.2">
      <c r="A121" s="59" t="s">
        <v>252</v>
      </c>
      <c r="B121" s="55" t="s">
        <v>253</v>
      </c>
      <c r="C121" s="32">
        <f>[9]С4!F36</f>
        <v>14319.9</v>
      </c>
    </row>
    <row r="122" spans="1:3" ht="28.5" thickBot="1" x14ac:dyDescent="0.25">
      <c r="A122" s="74" t="s">
        <v>254</v>
      </c>
      <c r="B122" s="122" t="s">
        <v>255</v>
      </c>
      <c r="C122" s="84">
        <f>[9]С4!F37</f>
        <v>1.19</v>
      </c>
    </row>
    <row r="123" spans="1:3" s="87" customFormat="1" ht="13.5" thickBot="1" x14ac:dyDescent="0.25">
      <c r="A123" s="47"/>
      <c r="B123" s="48"/>
      <c r="C123" s="14"/>
    </row>
    <row r="124" spans="1:3" s="65" customFormat="1" ht="30" customHeight="1" x14ac:dyDescent="0.2">
      <c r="A124" s="77" t="s">
        <v>195</v>
      </c>
      <c r="B124" s="145" t="s">
        <v>196</v>
      </c>
      <c r="C124" s="145"/>
    </row>
    <row r="125" spans="1:3" ht="16.5" thickBot="1" x14ac:dyDescent="0.25">
      <c r="A125" s="26" t="s">
        <v>197</v>
      </c>
      <c r="B125" s="86" t="s">
        <v>198</v>
      </c>
      <c r="C125" s="84">
        <f>[9]С5!F17</f>
        <v>0.02</v>
      </c>
    </row>
    <row r="126" spans="1:3" s="87" customFormat="1" ht="13.5" thickBot="1" x14ac:dyDescent="0.25">
      <c r="A126" s="47"/>
      <c r="B126" s="48"/>
      <c r="C126" s="14"/>
    </row>
    <row r="127" spans="1:3" ht="42.75" customHeight="1" x14ac:dyDescent="0.2">
      <c r="A127" s="85" t="s">
        <v>199</v>
      </c>
      <c r="B127" s="147" t="s">
        <v>200</v>
      </c>
      <c r="C127" s="147"/>
    </row>
    <row r="128" spans="1:3" ht="68.25" x14ac:dyDescent="0.2">
      <c r="A128" s="59" t="s">
        <v>201</v>
      </c>
      <c r="B128" s="88" t="s">
        <v>202</v>
      </c>
      <c r="C128" s="32" t="s">
        <v>256</v>
      </c>
    </row>
    <row r="129" spans="1:3" ht="42.75" hidden="1" x14ac:dyDescent="0.2">
      <c r="A129" s="59" t="s">
        <v>203</v>
      </c>
      <c r="B129" s="89" t="s">
        <v>204</v>
      </c>
      <c r="C129" s="90"/>
    </row>
    <row r="130" spans="1:3" ht="69" thickBot="1" x14ac:dyDescent="0.25">
      <c r="A130" s="74" t="s">
        <v>205</v>
      </c>
      <c r="B130" s="123" t="s">
        <v>206</v>
      </c>
      <c r="C130" s="124" t="s">
        <v>256</v>
      </c>
    </row>
    <row r="131" spans="1:3" ht="62.25" hidden="1" customHeight="1" x14ac:dyDescent="0.2">
      <c r="A131" s="125" t="s">
        <v>207</v>
      </c>
      <c r="B131" s="126" t="s">
        <v>208</v>
      </c>
      <c r="C131" s="127"/>
    </row>
    <row r="132" spans="1:3" ht="68.25" hidden="1" x14ac:dyDescent="0.2">
      <c r="A132" s="59" t="s">
        <v>209</v>
      </c>
      <c r="B132" s="89" t="s">
        <v>257</v>
      </c>
      <c r="C132" s="34"/>
    </row>
    <row r="133" spans="1:3" ht="69" hidden="1" thickBot="1" x14ac:dyDescent="0.25">
      <c r="A133" s="74" t="s">
        <v>211</v>
      </c>
      <c r="B133" s="92" t="s">
        <v>212</v>
      </c>
      <c r="C133" s="76"/>
    </row>
    <row r="134" spans="1:3" s="87" customFormat="1" ht="13.5" thickBot="1" x14ac:dyDescent="0.25">
      <c r="A134" s="47"/>
      <c r="B134" s="48"/>
      <c r="C134" s="14"/>
    </row>
    <row r="135" spans="1:3" ht="26.25" customHeight="1" x14ac:dyDescent="0.2">
      <c r="A135" s="85" t="s">
        <v>213</v>
      </c>
      <c r="B135" s="93" t="s">
        <v>214</v>
      </c>
      <c r="C135" s="94">
        <f>[9]С2!F37</f>
        <v>20.818139999999996</v>
      </c>
    </row>
    <row r="136" spans="1:3" ht="14.25" x14ac:dyDescent="0.2">
      <c r="A136" s="59" t="s">
        <v>215</v>
      </c>
      <c r="B136" s="128" t="s">
        <v>216</v>
      </c>
      <c r="C136" s="32">
        <f>[9]С2!F38</f>
        <v>7</v>
      </c>
    </row>
    <row r="137" spans="1:3" ht="17.25" x14ac:dyDescent="0.2">
      <c r="A137" s="59" t="s">
        <v>217</v>
      </c>
      <c r="B137" s="128" t="s">
        <v>218</v>
      </c>
      <c r="C137" s="32">
        <f>[9]С2!F40</f>
        <v>0.97</v>
      </c>
    </row>
    <row r="138" spans="1:3" ht="15" thickBot="1" x14ac:dyDescent="0.25">
      <c r="A138" s="74" t="s">
        <v>219</v>
      </c>
      <c r="B138" s="129" t="s">
        <v>220</v>
      </c>
      <c r="C138" s="46">
        <f>[9]С2!F42</f>
        <v>0.35</v>
      </c>
    </row>
    <row r="139" spans="1:3" s="87" customFormat="1" ht="13.5" thickBot="1" x14ac:dyDescent="0.25">
      <c r="A139" s="47"/>
      <c r="B139" s="48"/>
      <c r="C139" s="14"/>
    </row>
    <row r="140" spans="1:3" ht="30" x14ac:dyDescent="0.2">
      <c r="A140" s="85" t="s">
        <v>221</v>
      </c>
      <c r="B140" s="95" t="s">
        <v>258</v>
      </c>
      <c r="C140" s="130">
        <f>[9]С2!F35</f>
        <v>1.4976266307379205</v>
      </c>
    </row>
    <row r="141" spans="1:3" ht="22.7" customHeight="1" thickBot="1" x14ac:dyDescent="0.25">
      <c r="A141" s="74" t="s">
        <v>223</v>
      </c>
      <c r="B141" s="141" t="s">
        <v>224</v>
      </c>
      <c r="C141" s="141"/>
    </row>
    <row r="142" spans="1:3" ht="13.5" thickBot="1" x14ac:dyDescent="0.25">
      <c r="A142" s="97"/>
      <c r="B142" s="131" t="s">
        <v>0</v>
      </c>
      <c r="C142" s="132"/>
    </row>
    <row r="143" spans="1:3" x14ac:dyDescent="0.2">
      <c r="A143" s="97"/>
      <c r="B143" s="133">
        <v>2020</v>
      </c>
      <c r="C143" s="134">
        <f>[9]С2.5!$E$11</f>
        <v>-2.9000000000000026E-2</v>
      </c>
    </row>
    <row r="144" spans="1:3" x14ac:dyDescent="0.2">
      <c r="A144" s="97"/>
      <c r="B144" s="104">
        <f>B143+1</f>
        <v>2021</v>
      </c>
      <c r="C144" s="135">
        <f>[9]С2.5!$F$11</f>
        <v>0.245</v>
      </c>
    </row>
    <row r="145" spans="1:3" x14ac:dyDescent="0.2">
      <c r="A145" s="97"/>
      <c r="B145" s="104">
        <f t="shared" ref="B145:B208" si="0">B144+1</f>
        <v>2022</v>
      </c>
      <c r="C145" s="135">
        <f>[9]С2.5!$G$11</f>
        <v>0.114</v>
      </c>
    </row>
    <row r="146" spans="1:3" ht="13.5" thickBot="1" x14ac:dyDescent="0.25">
      <c r="A146" s="97"/>
      <c r="B146" s="106">
        <f t="shared" si="0"/>
        <v>2023</v>
      </c>
      <c r="C146" s="136">
        <f>[9]С2.5!$H$11</f>
        <v>2.4E-2</v>
      </c>
    </row>
    <row r="147" spans="1:3" x14ac:dyDescent="0.2">
      <c r="A147" s="97"/>
      <c r="B147" s="137">
        <f t="shared" si="0"/>
        <v>2024</v>
      </c>
      <c r="C147" s="138">
        <f>[9]С2.5!$I$11</f>
        <v>8.5999999999999993E-2</v>
      </c>
    </row>
    <row r="148" spans="1:3" hidden="1" x14ac:dyDescent="0.2">
      <c r="A148" s="97"/>
      <c r="B148" s="104">
        <f t="shared" si="0"/>
        <v>2025</v>
      </c>
      <c r="C148" s="135">
        <f>[9]С2.5!$J$11</f>
        <v>0.21215960863291</v>
      </c>
    </row>
    <row r="149" spans="1:3" hidden="1" x14ac:dyDescent="0.2">
      <c r="A149" s="97"/>
      <c r="B149" s="104">
        <f t="shared" si="0"/>
        <v>2026</v>
      </c>
      <c r="C149" s="135">
        <f>[9]С2.5!$K$11</f>
        <v>3.5813361771260002E-2</v>
      </c>
    </row>
    <row r="150" spans="1:3" hidden="1" x14ac:dyDescent="0.2">
      <c r="A150" s="97"/>
      <c r="B150" s="104">
        <f t="shared" si="0"/>
        <v>2027</v>
      </c>
      <c r="C150" s="135">
        <f>[9]С2.5!$L$11</f>
        <v>3.2682303599220003E-2</v>
      </c>
    </row>
    <row r="151" spans="1:3" hidden="1" x14ac:dyDescent="0.2">
      <c r="A151" s="97"/>
      <c r="B151" s="104">
        <f t="shared" si="0"/>
        <v>2028</v>
      </c>
      <c r="C151" s="135">
        <f>[9]С2.5!$M$11</f>
        <v>0</v>
      </c>
    </row>
    <row r="152" spans="1:3" hidden="1" x14ac:dyDescent="0.2">
      <c r="A152" s="97"/>
      <c r="B152" s="104">
        <f t="shared" si="0"/>
        <v>2029</v>
      </c>
      <c r="C152" s="135">
        <f>[9]С2.5!$N$11</f>
        <v>0</v>
      </c>
    </row>
    <row r="153" spans="1:3" hidden="1" x14ac:dyDescent="0.2">
      <c r="A153" s="97"/>
      <c r="B153" s="104">
        <f t="shared" si="0"/>
        <v>2030</v>
      </c>
      <c r="C153" s="135">
        <f>[9]С2.5!$O$11</f>
        <v>0</v>
      </c>
    </row>
    <row r="154" spans="1:3" hidden="1" x14ac:dyDescent="0.2">
      <c r="A154" s="97"/>
      <c r="B154" s="104">
        <f t="shared" si="0"/>
        <v>2031</v>
      </c>
      <c r="C154" s="135">
        <f>[9]С2.5!$P$11</f>
        <v>0</v>
      </c>
    </row>
    <row r="155" spans="1:3" hidden="1" x14ac:dyDescent="0.2">
      <c r="A155" s="87"/>
      <c r="B155" s="104">
        <f t="shared" si="0"/>
        <v>2032</v>
      </c>
      <c r="C155" s="135">
        <f>[9]С2.5!$Q$11</f>
        <v>0</v>
      </c>
    </row>
    <row r="156" spans="1:3" hidden="1" x14ac:dyDescent="0.2">
      <c r="A156" s="87"/>
      <c r="B156" s="104">
        <f t="shared" si="0"/>
        <v>2033</v>
      </c>
      <c r="C156" s="135">
        <f>[9]С2.5!$R$11</f>
        <v>0</v>
      </c>
    </row>
    <row r="157" spans="1:3" hidden="1" x14ac:dyDescent="0.2">
      <c r="B157" s="104">
        <f t="shared" si="0"/>
        <v>2034</v>
      </c>
      <c r="C157" s="135">
        <f>[9]С2.5!$S$11</f>
        <v>0</v>
      </c>
    </row>
    <row r="158" spans="1:3" hidden="1" x14ac:dyDescent="0.2">
      <c r="B158" s="104">
        <f t="shared" si="0"/>
        <v>2035</v>
      </c>
      <c r="C158" s="135">
        <f>[9]С2.5!$T$11</f>
        <v>0</v>
      </c>
    </row>
    <row r="159" spans="1:3" hidden="1" x14ac:dyDescent="0.2">
      <c r="B159" s="104">
        <f t="shared" si="0"/>
        <v>2036</v>
      </c>
      <c r="C159" s="135">
        <f>[9]С2.5!$U$11</f>
        <v>0</v>
      </c>
    </row>
    <row r="160" spans="1:3" hidden="1" x14ac:dyDescent="0.2">
      <c r="B160" s="104">
        <f t="shared" si="0"/>
        <v>2037</v>
      </c>
      <c r="C160" s="135">
        <f>[9]С2.5!$V$11</f>
        <v>0</v>
      </c>
    </row>
    <row r="161" spans="2:3" hidden="1" x14ac:dyDescent="0.2">
      <c r="B161" s="104">
        <f t="shared" si="0"/>
        <v>2038</v>
      </c>
      <c r="C161" s="135">
        <f>[9]С2.5!$W$11</f>
        <v>0</v>
      </c>
    </row>
    <row r="162" spans="2:3" hidden="1" x14ac:dyDescent="0.2">
      <c r="B162" s="104">
        <f t="shared" si="0"/>
        <v>2039</v>
      </c>
      <c r="C162" s="135">
        <f>[9]С2.5!$X$11</f>
        <v>0</v>
      </c>
    </row>
    <row r="163" spans="2:3" hidden="1" x14ac:dyDescent="0.2">
      <c r="B163" s="104">
        <f t="shared" si="0"/>
        <v>2040</v>
      </c>
      <c r="C163" s="135">
        <f>[9]С2.5!$Y$11</f>
        <v>0</v>
      </c>
    </row>
    <row r="164" spans="2:3" hidden="1" x14ac:dyDescent="0.2">
      <c r="B164" s="104">
        <f t="shared" si="0"/>
        <v>2041</v>
      </c>
      <c r="C164" s="135">
        <f>[9]С2.5!$Z$11</f>
        <v>0</v>
      </c>
    </row>
    <row r="165" spans="2:3" hidden="1" x14ac:dyDescent="0.2">
      <c r="B165" s="104">
        <f t="shared" si="0"/>
        <v>2042</v>
      </c>
      <c r="C165" s="135">
        <f>[9]С2.5!$AA$11</f>
        <v>0</v>
      </c>
    </row>
    <row r="166" spans="2:3" hidden="1" x14ac:dyDescent="0.2">
      <c r="B166" s="104">
        <f t="shared" si="0"/>
        <v>2043</v>
      </c>
      <c r="C166" s="135">
        <f>[9]С2.5!$AB$11</f>
        <v>0</v>
      </c>
    </row>
    <row r="167" spans="2:3" hidden="1" x14ac:dyDescent="0.2">
      <c r="B167" s="104">
        <f t="shared" si="0"/>
        <v>2044</v>
      </c>
      <c r="C167" s="135">
        <f>[9]С2.5!$AC$11</f>
        <v>0</v>
      </c>
    </row>
    <row r="168" spans="2:3" hidden="1" x14ac:dyDescent="0.2">
      <c r="B168" s="104">
        <f t="shared" si="0"/>
        <v>2045</v>
      </c>
      <c r="C168" s="135">
        <f>[9]С2.5!$AD$11</f>
        <v>0</v>
      </c>
    </row>
    <row r="169" spans="2:3" hidden="1" x14ac:dyDescent="0.2">
      <c r="B169" s="104">
        <f t="shared" si="0"/>
        <v>2046</v>
      </c>
      <c r="C169" s="135">
        <f>[9]С2.5!$AE$11</f>
        <v>0</v>
      </c>
    </row>
    <row r="170" spans="2:3" hidden="1" x14ac:dyDescent="0.2">
      <c r="B170" s="104">
        <f t="shared" si="0"/>
        <v>2047</v>
      </c>
      <c r="C170" s="135">
        <f>[9]С2.5!$AF$11</f>
        <v>0</v>
      </c>
    </row>
    <row r="171" spans="2:3" hidden="1" x14ac:dyDescent="0.2">
      <c r="B171" s="104">
        <f t="shared" si="0"/>
        <v>2048</v>
      </c>
      <c r="C171" s="135">
        <f>[9]С2.5!$AG$11</f>
        <v>0</v>
      </c>
    </row>
    <row r="172" spans="2:3" hidden="1" x14ac:dyDescent="0.2">
      <c r="B172" s="104">
        <f t="shared" si="0"/>
        <v>2049</v>
      </c>
      <c r="C172" s="135">
        <f>[9]С2.5!$AH$11</f>
        <v>0</v>
      </c>
    </row>
    <row r="173" spans="2:3" hidden="1" x14ac:dyDescent="0.2">
      <c r="B173" s="104">
        <f t="shared" si="0"/>
        <v>2050</v>
      </c>
      <c r="C173" s="135">
        <f>[9]С2.5!$AI$11</f>
        <v>0</v>
      </c>
    </row>
    <row r="174" spans="2:3" hidden="1" x14ac:dyDescent="0.2">
      <c r="B174" s="104">
        <f t="shared" si="0"/>
        <v>2051</v>
      </c>
      <c r="C174" s="135">
        <f>[9]С2.5!$AJ$11</f>
        <v>0</v>
      </c>
    </row>
    <row r="175" spans="2:3" hidden="1" x14ac:dyDescent="0.2">
      <c r="B175" s="104">
        <f t="shared" si="0"/>
        <v>2052</v>
      </c>
      <c r="C175" s="135">
        <f>[9]С2.5!$AK$11</f>
        <v>0</v>
      </c>
    </row>
    <row r="176" spans="2:3" hidden="1" x14ac:dyDescent="0.2">
      <c r="B176" s="104">
        <f t="shared" si="0"/>
        <v>2053</v>
      </c>
      <c r="C176" s="135">
        <f>[9]С2.5!$AL$11</f>
        <v>0</v>
      </c>
    </row>
    <row r="177" spans="2:3" hidden="1" x14ac:dyDescent="0.2">
      <c r="B177" s="104">
        <f t="shared" si="0"/>
        <v>2054</v>
      </c>
      <c r="C177" s="135">
        <f>[9]С2.5!$AM$11</f>
        <v>0</v>
      </c>
    </row>
    <row r="178" spans="2:3" hidden="1" x14ac:dyDescent="0.2">
      <c r="B178" s="104">
        <f t="shared" si="0"/>
        <v>2055</v>
      </c>
      <c r="C178" s="135">
        <f>[9]С2.5!$AN$11</f>
        <v>0</v>
      </c>
    </row>
    <row r="179" spans="2:3" hidden="1" x14ac:dyDescent="0.2">
      <c r="B179" s="104">
        <f t="shared" si="0"/>
        <v>2056</v>
      </c>
      <c r="C179" s="135">
        <f>[9]С2.5!$AO$11</f>
        <v>0</v>
      </c>
    </row>
    <row r="180" spans="2:3" hidden="1" x14ac:dyDescent="0.2">
      <c r="B180" s="104">
        <f t="shared" si="0"/>
        <v>2057</v>
      </c>
      <c r="C180" s="135">
        <f>[9]С2.5!$AP$11</f>
        <v>0</v>
      </c>
    </row>
    <row r="181" spans="2:3" hidden="1" x14ac:dyDescent="0.2">
      <c r="B181" s="104">
        <f t="shared" si="0"/>
        <v>2058</v>
      </c>
      <c r="C181" s="135">
        <f>[9]С2.5!$AQ$11</f>
        <v>0</v>
      </c>
    </row>
    <row r="182" spans="2:3" hidden="1" x14ac:dyDescent="0.2">
      <c r="B182" s="104">
        <f t="shared" si="0"/>
        <v>2059</v>
      </c>
      <c r="C182" s="135">
        <f>[9]С2.5!$AR$11</f>
        <v>0</v>
      </c>
    </row>
    <row r="183" spans="2:3" hidden="1" x14ac:dyDescent="0.2">
      <c r="B183" s="104">
        <f t="shared" si="0"/>
        <v>2060</v>
      </c>
      <c r="C183" s="135">
        <f>[9]С2.5!$AS$11</f>
        <v>0</v>
      </c>
    </row>
    <row r="184" spans="2:3" hidden="1" x14ac:dyDescent="0.2">
      <c r="B184" s="104">
        <f t="shared" si="0"/>
        <v>2061</v>
      </c>
      <c r="C184" s="135">
        <f>[9]С2.5!$AT$11</f>
        <v>0</v>
      </c>
    </row>
    <row r="185" spans="2:3" hidden="1" x14ac:dyDescent="0.2">
      <c r="B185" s="104">
        <f t="shared" si="0"/>
        <v>2062</v>
      </c>
      <c r="C185" s="135">
        <f>[9]С2.5!$AU$11</f>
        <v>0</v>
      </c>
    </row>
    <row r="186" spans="2:3" hidden="1" x14ac:dyDescent="0.2">
      <c r="B186" s="104">
        <f t="shared" si="0"/>
        <v>2063</v>
      </c>
      <c r="C186" s="135">
        <f>[9]С2.5!$AV$11</f>
        <v>0</v>
      </c>
    </row>
    <row r="187" spans="2:3" hidden="1" x14ac:dyDescent="0.2">
      <c r="B187" s="104">
        <f t="shared" si="0"/>
        <v>2064</v>
      </c>
      <c r="C187" s="135">
        <f>[9]С2.5!$AW$11</f>
        <v>0</v>
      </c>
    </row>
    <row r="188" spans="2:3" hidden="1" x14ac:dyDescent="0.2">
      <c r="B188" s="104">
        <f t="shared" si="0"/>
        <v>2065</v>
      </c>
      <c r="C188" s="135">
        <f>[9]С2.5!$AX$11</f>
        <v>0</v>
      </c>
    </row>
    <row r="189" spans="2:3" hidden="1" x14ac:dyDescent="0.2">
      <c r="B189" s="104">
        <f t="shared" si="0"/>
        <v>2066</v>
      </c>
      <c r="C189" s="135">
        <f>[9]С2.5!$AY$11</f>
        <v>0</v>
      </c>
    </row>
    <row r="190" spans="2:3" hidden="1" x14ac:dyDescent="0.2">
      <c r="B190" s="104">
        <f t="shared" si="0"/>
        <v>2067</v>
      </c>
      <c r="C190" s="135">
        <f>[9]С2.5!$AZ$11</f>
        <v>0</v>
      </c>
    </row>
    <row r="191" spans="2:3" hidden="1" x14ac:dyDescent="0.2">
      <c r="B191" s="104">
        <f t="shared" si="0"/>
        <v>2068</v>
      </c>
      <c r="C191" s="135">
        <f>[9]С2.5!$BA$11</f>
        <v>0</v>
      </c>
    </row>
    <row r="192" spans="2:3" hidden="1" x14ac:dyDescent="0.2">
      <c r="B192" s="104">
        <f t="shared" si="0"/>
        <v>2069</v>
      </c>
      <c r="C192" s="135">
        <f>[9]С2.5!$BB$11</f>
        <v>0</v>
      </c>
    </row>
    <row r="193" spans="2:3" hidden="1" x14ac:dyDescent="0.2">
      <c r="B193" s="104">
        <f t="shared" si="0"/>
        <v>2070</v>
      </c>
      <c r="C193" s="135">
        <f>[9]С2.5!$BC$11</f>
        <v>0</v>
      </c>
    </row>
    <row r="194" spans="2:3" hidden="1" x14ac:dyDescent="0.2">
      <c r="B194" s="104">
        <f t="shared" si="0"/>
        <v>2071</v>
      </c>
      <c r="C194" s="135">
        <f>[9]С2.5!$BD$11</f>
        <v>0</v>
      </c>
    </row>
    <row r="195" spans="2:3" hidden="1" x14ac:dyDescent="0.2">
      <c r="B195" s="104">
        <f t="shared" si="0"/>
        <v>2072</v>
      </c>
      <c r="C195" s="135">
        <f>[9]С2.5!$BE$11</f>
        <v>0</v>
      </c>
    </row>
    <row r="196" spans="2:3" hidden="1" x14ac:dyDescent="0.2">
      <c r="B196" s="104">
        <f t="shared" si="0"/>
        <v>2073</v>
      </c>
      <c r="C196" s="135">
        <f>[9]С2.5!$BF$11</f>
        <v>0</v>
      </c>
    </row>
    <row r="197" spans="2:3" hidden="1" x14ac:dyDescent="0.2">
      <c r="B197" s="104">
        <f t="shared" si="0"/>
        <v>2074</v>
      </c>
      <c r="C197" s="135">
        <f>[9]С2.5!$BG$11</f>
        <v>0</v>
      </c>
    </row>
    <row r="198" spans="2:3" hidden="1" x14ac:dyDescent="0.2">
      <c r="B198" s="104">
        <f t="shared" si="0"/>
        <v>2075</v>
      </c>
      <c r="C198" s="135">
        <f>[9]С2.5!$BH$11</f>
        <v>0</v>
      </c>
    </row>
    <row r="199" spans="2:3" hidden="1" x14ac:dyDescent="0.2">
      <c r="B199" s="104">
        <f t="shared" si="0"/>
        <v>2076</v>
      </c>
      <c r="C199" s="135">
        <f>[9]С2.5!$BI$11</f>
        <v>0</v>
      </c>
    </row>
    <row r="200" spans="2:3" hidden="1" x14ac:dyDescent="0.2">
      <c r="B200" s="104">
        <f t="shared" si="0"/>
        <v>2077</v>
      </c>
      <c r="C200" s="135">
        <f>[9]С2.5!$BJ$11</f>
        <v>0</v>
      </c>
    </row>
    <row r="201" spans="2:3" hidden="1" x14ac:dyDescent="0.2">
      <c r="B201" s="104">
        <f t="shared" si="0"/>
        <v>2078</v>
      </c>
      <c r="C201" s="135">
        <f>[9]С2.5!$BK$11</f>
        <v>0</v>
      </c>
    </row>
    <row r="202" spans="2:3" hidden="1" x14ac:dyDescent="0.2">
      <c r="B202" s="104">
        <f t="shared" si="0"/>
        <v>2079</v>
      </c>
      <c r="C202" s="135">
        <f>[9]С2.5!$BL$11</f>
        <v>0</v>
      </c>
    </row>
    <row r="203" spans="2:3" hidden="1" x14ac:dyDescent="0.2">
      <c r="B203" s="104">
        <f t="shared" si="0"/>
        <v>2080</v>
      </c>
      <c r="C203" s="135">
        <f>[9]С2.5!$BM$11</f>
        <v>0</v>
      </c>
    </row>
    <row r="204" spans="2:3" hidden="1" x14ac:dyDescent="0.2">
      <c r="B204" s="104">
        <f t="shared" si="0"/>
        <v>2081</v>
      </c>
      <c r="C204" s="135">
        <f>[9]С2.5!$BN$11</f>
        <v>0</v>
      </c>
    </row>
    <row r="205" spans="2:3" hidden="1" x14ac:dyDescent="0.2">
      <c r="B205" s="104">
        <f t="shared" si="0"/>
        <v>2082</v>
      </c>
      <c r="C205" s="135">
        <f>[9]С2.5!$BO$11</f>
        <v>0</v>
      </c>
    </row>
    <row r="206" spans="2:3" hidden="1" x14ac:dyDescent="0.2">
      <c r="B206" s="104">
        <f t="shared" si="0"/>
        <v>2083</v>
      </c>
      <c r="C206" s="135">
        <f>[9]С2.5!$BP$11</f>
        <v>0</v>
      </c>
    </row>
    <row r="207" spans="2:3" hidden="1" x14ac:dyDescent="0.2">
      <c r="B207" s="104">
        <f t="shared" si="0"/>
        <v>2084</v>
      </c>
      <c r="C207" s="135">
        <f>[9]С2.5!$BQ$11</f>
        <v>0</v>
      </c>
    </row>
    <row r="208" spans="2:3" hidden="1" x14ac:dyDescent="0.2">
      <c r="B208" s="104">
        <f t="shared" si="0"/>
        <v>2085</v>
      </c>
      <c r="C208" s="135">
        <f>[9]С2.5!$BR$11</f>
        <v>0</v>
      </c>
    </row>
    <row r="209" spans="2:3" hidden="1" x14ac:dyDescent="0.2">
      <c r="B209" s="104">
        <f t="shared" ref="B209:B223" si="1">B208+1</f>
        <v>2086</v>
      </c>
      <c r="C209" s="135">
        <f>[9]С2.5!$BS$11</f>
        <v>0</v>
      </c>
    </row>
    <row r="210" spans="2:3" hidden="1" x14ac:dyDescent="0.2">
      <c r="B210" s="104">
        <f t="shared" si="1"/>
        <v>2087</v>
      </c>
      <c r="C210" s="135">
        <f>[9]С2.5!$BT$11</f>
        <v>0</v>
      </c>
    </row>
    <row r="211" spans="2:3" hidden="1" x14ac:dyDescent="0.2">
      <c r="B211" s="104">
        <f t="shared" si="1"/>
        <v>2088</v>
      </c>
      <c r="C211" s="135">
        <f>[9]С2.5!$BU$11</f>
        <v>0</v>
      </c>
    </row>
    <row r="212" spans="2:3" hidden="1" x14ac:dyDescent="0.2">
      <c r="B212" s="104">
        <f t="shared" si="1"/>
        <v>2089</v>
      </c>
      <c r="C212" s="135">
        <f>[9]С2.5!$BV$11</f>
        <v>0</v>
      </c>
    </row>
    <row r="213" spans="2:3" hidden="1" x14ac:dyDescent="0.2">
      <c r="B213" s="104">
        <f t="shared" si="1"/>
        <v>2090</v>
      </c>
      <c r="C213" s="135">
        <f>[9]С2.5!$BW$11</f>
        <v>0</v>
      </c>
    </row>
    <row r="214" spans="2:3" hidden="1" x14ac:dyDescent="0.2">
      <c r="B214" s="104">
        <f t="shared" si="1"/>
        <v>2091</v>
      </c>
      <c r="C214" s="135">
        <f>[9]С2.5!$BX$11</f>
        <v>0</v>
      </c>
    </row>
    <row r="215" spans="2:3" hidden="1" x14ac:dyDescent="0.2">
      <c r="B215" s="104">
        <f t="shared" si="1"/>
        <v>2092</v>
      </c>
      <c r="C215" s="135">
        <f>[9]С2.5!$BY$11</f>
        <v>0</v>
      </c>
    </row>
    <row r="216" spans="2:3" hidden="1" x14ac:dyDescent="0.2">
      <c r="B216" s="104">
        <f t="shared" si="1"/>
        <v>2093</v>
      </c>
      <c r="C216" s="135">
        <f>[9]С2.5!$BZ$11</f>
        <v>0</v>
      </c>
    </row>
    <row r="217" spans="2:3" hidden="1" x14ac:dyDescent="0.2">
      <c r="B217" s="104">
        <f t="shared" si="1"/>
        <v>2094</v>
      </c>
      <c r="C217" s="135">
        <f>[9]С2.5!$CA$11</f>
        <v>0</v>
      </c>
    </row>
    <row r="218" spans="2:3" hidden="1" x14ac:dyDescent="0.2">
      <c r="B218" s="104">
        <f t="shared" si="1"/>
        <v>2095</v>
      </c>
      <c r="C218" s="135">
        <f>[9]С2.5!$CB$11</f>
        <v>0</v>
      </c>
    </row>
    <row r="219" spans="2:3" hidden="1" x14ac:dyDescent="0.2">
      <c r="B219" s="104">
        <f t="shared" si="1"/>
        <v>2096</v>
      </c>
      <c r="C219" s="135">
        <f>[9]С2.5!$CC$11</f>
        <v>0</v>
      </c>
    </row>
    <row r="220" spans="2:3" hidden="1" x14ac:dyDescent="0.2">
      <c r="B220" s="104">
        <f t="shared" si="1"/>
        <v>2097</v>
      </c>
      <c r="C220" s="135">
        <f>[9]С2.5!$CD$11</f>
        <v>0</v>
      </c>
    </row>
    <row r="221" spans="2:3" hidden="1" x14ac:dyDescent="0.2">
      <c r="B221" s="104">
        <f t="shared" si="1"/>
        <v>2098</v>
      </c>
      <c r="C221" s="135">
        <f>[9]С2.5!$CE$11</f>
        <v>0</v>
      </c>
    </row>
    <row r="222" spans="2:3" hidden="1" x14ac:dyDescent="0.2">
      <c r="B222" s="104">
        <f t="shared" si="1"/>
        <v>2099</v>
      </c>
      <c r="C222" s="135">
        <f>[9]С2.5!$CF$11</f>
        <v>0</v>
      </c>
    </row>
    <row r="223" spans="2:3" ht="13.5" hidden="1" thickBot="1" x14ac:dyDescent="0.25">
      <c r="B223" s="106">
        <f t="shared" si="1"/>
        <v>2100</v>
      </c>
      <c r="C223" s="136">
        <f>[9]С2.5!$CG$11</f>
        <v>0</v>
      </c>
    </row>
    <row r="224" spans="2:3" hidden="1" x14ac:dyDescent="0.2">
      <c r="C224" s="139"/>
    </row>
    <row r="225" spans="3:3" hidden="1" x14ac:dyDescent="0.2">
      <c r="C225" s="139"/>
    </row>
    <row r="226" spans="3:3" x14ac:dyDescent="0.2">
      <c r="C226" s="139"/>
    </row>
  </sheetData>
  <mergeCells count="9">
    <mergeCell ref="B141:C141"/>
    <mergeCell ref="A14:C14"/>
    <mergeCell ref="B1:C1"/>
    <mergeCell ref="B27:C27"/>
    <mergeCell ref="B40:C40"/>
    <mergeCell ref="B84:C84"/>
    <mergeCell ref="B95:C95"/>
    <mergeCell ref="B124:C124"/>
    <mergeCell ref="B127:C127"/>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26"/>
  <sheetViews>
    <sheetView zoomScale="85" zoomScaleNormal="85" workbookViewId="0">
      <pane ySplit="1" topLeftCell="A2" activePane="bottomLeft" state="frozen"/>
      <selection pane="bottomLeft" activeCell="C2" sqref="C2"/>
    </sheetView>
  </sheetViews>
  <sheetFormatPr defaultRowHeight="12.75" x14ac:dyDescent="0.2"/>
  <cols>
    <col min="1" max="1" width="7.28515625" style="2" customWidth="1"/>
    <col min="2" max="2" width="100.7109375" style="2" customWidth="1"/>
    <col min="3" max="3" width="20.85546875" style="110" customWidth="1"/>
    <col min="4" max="155" width="9.140625" style="2"/>
    <col min="156" max="237" width="0" style="2" hidden="1" customWidth="1"/>
    <col min="238" max="246" width="9.140625" style="2"/>
    <col min="247" max="247" width="3.7109375" style="2" customWidth="1"/>
    <col min="248" max="248" width="96.85546875" style="2" customWidth="1"/>
    <col min="249" max="249" width="30.85546875" style="2" customWidth="1"/>
    <col min="250" max="250" width="12.5703125" style="2" customWidth="1"/>
    <col min="251" max="251" width="5.140625" style="2" customWidth="1"/>
    <col min="252" max="252" width="9.140625" style="2"/>
    <col min="253" max="253" width="4.85546875" style="2" customWidth="1"/>
    <col min="254" max="254" width="30.5703125" style="2" customWidth="1"/>
    <col min="255" max="255" width="33.85546875" style="2" customWidth="1"/>
    <col min="256" max="256" width="5.140625" style="2" customWidth="1"/>
    <col min="257" max="258" width="17.5703125" style="2" customWidth="1"/>
    <col min="259" max="502" width="9.140625" style="2"/>
    <col min="503" max="503" width="3.7109375" style="2" customWidth="1"/>
    <col min="504" max="504" width="96.85546875" style="2" customWidth="1"/>
    <col min="505" max="505" width="30.85546875" style="2" customWidth="1"/>
    <col min="506" max="506" width="12.5703125" style="2" customWidth="1"/>
    <col min="507" max="507" width="5.140625" style="2" customWidth="1"/>
    <col min="508" max="508" width="9.140625" style="2"/>
    <col min="509" max="509" width="4.85546875" style="2" customWidth="1"/>
    <col min="510" max="510" width="30.5703125" style="2" customWidth="1"/>
    <col min="511" max="511" width="33.85546875" style="2" customWidth="1"/>
    <col min="512" max="512" width="5.140625" style="2" customWidth="1"/>
    <col min="513" max="514" width="17.5703125" style="2" customWidth="1"/>
    <col min="515" max="758" width="9.140625" style="2"/>
    <col min="759" max="759" width="3.7109375" style="2" customWidth="1"/>
    <col min="760" max="760" width="96.85546875" style="2" customWidth="1"/>
    <col min="761" max="761" width="30.85546875" style="2" customWidth="1"/>
    <col min="762" max="762" width="12.5703125" style="2" customWidth="1"/>
    <col min="763" max="763" width="5.140625" style="2" customWidth="1"/>
    <col min="764" max="764" width="9.140625" style="2"/>
    <col min="765" max="765" width="4.85546875" style="2" customWidth="1"/>
    <col min="766" max="766" width="30.5703125" style="2" customWidth="1"/>
    <col min="767" max="767" width="33.85546875" style="2" customWidth="1"/>
    <col min="768" max="768" width="5.140625" style="2" customWidth="1"/>
    <col min="769" max="770" width="17.5703125" style="2" customWidth="1"/>
    <col min="771" max="1014" width="9.140625" style="2"/>
    <col min="1015" max="1015" width="3.7109375" style="2" customWidth="1"/>
    <col min="1016" max="1016" width="96.85546875" style="2" customWidth="1"/>
    <col min="1017" max="1017" width="30.85546875" style="2" customWidth="1"/>
    <col min="1018" max="1018" width="12.5703125" style="2" customWidth="1"/>
    <col min="1019" max="1019" width="5.140625" style="2" customWidth="1"/>
    <col min="1020" max="1020" width="9.140625" style="2"/>
    <col min="1021" max="1021" width="4.85546875" style="2" customWidth="1"/>
    <col min="1022" max="1022" width="30.5703125" style="2" customWidth="1"/>
    <col min="1023" max="1023" width="33.85546875" style="2" customWidth="1"/>
    <col min="1024" max="1024" width="5.140625" style="2" customWidth="1"/>
    <col min="1025" max="1026" width="17.5703125" style="2" customWidth="1"/>
    <col min="1027" max="1270" width="9.140625" style="2"/>
    <col min="1271" max="1271" width="3.7109375" style="2" customWidth="1"/>
    <col min="1272" max="1272" width="96.85546875" style="2" customWidth="1"/>
    <col min="1273" max="1273" width="30.85546875" style="2" customWidth="1"/>
    <col min="1274" max="1274" width="12.5703125" style="2" customWidth="1"/>
    <col min="1275" max="1275" width="5.140625" style="2" customWidth="1"/>
    <col min="1276" max="1276" width="9.140625" style="2"/>
    <col min="1277" max="1277" width="4.85546875" style="2" customWidth="1"/>
    <col min="1278" max="1278" width="30.5703125" style="2" customWidth="1"/>
    <col min="1279" max="1279" width="33.85546875" style="2" customWidth="1"/>
    <col min="1280" max="1280" width="5.140625" style="2" customWidth="1"/>
    <col min="1281" max="1282" width="17.5703125" style="2" customWidth="1"/>
    <col min="1283" max="1526" width="9.140625" style="2"/>
    <col min="1527" max="1527" width="3.7109375" style="2" customWidth="1"/>
    <col min="1528" max="1528" width="96.85546875" style="2" customWidth="1"/>
    <col min="1529" max="1529" width="30.85546875" style="2" customWidth="1"/>
    <col min="1530" max="1530" width="12.5703125" style="2" customWidth="1"/>
    <col min="1531" max="1531" width="5.140625" style="2" customWidth="1"/>
    <col min="1532" max="1532" width="9.140625" style="2"/>
    <col min="1533" max="1533" width="4.85546875" style="2" customWidth="1"/>
    <col min="1534" max="1534" width="30.5703125" style="2" customWidth="1"/>
    <col min="1535" max="1535" width="33.85546875" style="2" customWidth="1"/>
    <col min="1536" max="1536" width="5.140625" style="2" customWidth="1"/>
    <col min="1537" max="1538" width="17.5703125" style="2" customWidth="1"/>
    <col min="1539" max="1782" width="9.140625" style="2"/>
    <col min="1783" max="1783" width="3.7109375" style="2" customWidth="1"/>
    <col min="1784" max="1784" width="96.85546875" style="2" customWidth="1"/>
    <col min="1785" max="1785" width="30.85546875" style="2" customWidth="1"/>
    <col min="1786" max="1786" width="12.5703125" style="2" customWidth="1"/>
    <col min="1787" max="1787" width="5.140625" style="2" customWidth="1"/>
    <col min="1788" max="1788" width="9.140625" style="2"/>
    <col min="1789" max="1789" width="4.85546875" style="2" customWidth="1"/>
    <col min="1790" max="1790" width="30.5703125" style="2" customWidth="1"/>
    <col min="1791" max="1791" width="33.85546875" style="2" customWidth="1"/>
    <col min="1792" max="1792" width="5.140625" style="2" customWidth="1"/>
    <col min="1793" max="1794" width="17.5703125" style="2" customWidth="1"/>
    <col min="1795" max="2038" width="9.140625" style="2"/>
    <col min="2039" max="2039" width="3.7109375" style="2" customWidth="1"/>
    <col min="2040" max="2040" width="96.85546875" style="2" customWidth="1"/>
    <col min="2041" max="2041" width="30.85546875" style="2" customWidth="1"/>
    <col min="2042" max="2042" width="12.5703125" style="2" customWidth="1"/>
    <col min="2043" max="2043" width="5.140625" style="2" customWidth="1"/>
    <col min="2044" max="2044" width="9.140625" style="2"/>
    <col min="2045" max="2045" width="4.85546875" style="2" customWidth="1"/>
    <col min="2046" max="2046" width="30.5703125" style="2" customWidth="1"/>
    <col min="2047" max="2047" width="33.85546875" style="2" customWidth="1"/>
    <col min="2048" max="2048" width="5.140625" style="2" customWidth="1"/>
    <col min="2049" max="2050" width="17.5703125" style="2" customWidth="1"/>
    <col min="2051" max="2294" width="9.140625" style="2"/>
    <col min="2295" max="2295" width="3.7109375" style="2" customWidth="1"/>
    <col min="2296" max="2296" width="96.85546875" style="2" customWidth="1"/>
    <col min="2297" max="2297" width="30.85546875" style="2" customWidth="1"/>
    <col min="2298" max="2298" width="12.5703125" style="2" customWidth="1"/>
    <col min="2299" max="2299" width="5.140625" style="2" customWidth="1"/>
    <col min="2300" max="2300" width="9.140625" style="2"/>
    <col min="2301" max="2301" width="4.85546875" style="2" customWidth="1"/>
    <col min="2302" max="2302" width="30.5703125" style="2" customWidth="1"/>
    <col min="2303" max="2303" width="33.85546875" style="2" customWidth="1"/>
    <col min="2304" max="2304" width="5.140625" style="2" customWidth="1"/>
    <col min="2305" max="2306" width="17.5703125" style="2" customWidth="1"/>
    <col min="2307" max="2550" width="9.140625" style="2"/>
    <col min="2551" max="2551" width="3.7109375" style="2" customWidth="1"/>
    <col min="2552" max="2552" width="96.85546875" style="2" customWidth="1"/>
    <col min="2553" max="2553" width="30.85546875" style="2" customWidth="1"/>
    <col min="2554" max="2554" width="12.5703125" style="2" customWidth="1"/>
    <col min="2555" max="2555" width="5.140625" style="2" customWidth="1"/>
    <col min="2556" max="2556" width="9.140625" style="2"/>
    <col min="2557" max="2557" width="4.85546875" style="2" customWidth="1"/>
    <col min="2558" max="2558" width="30.5703125" style="2" customWidth="1"/>
    <col min="2559" max="2559" width="33.85546875" style="2" customWidth="1"/>
    <col min="2560" max="2560" width="5.140625" style="2" customWidth="1"/>
    <col min="2561" max="2562" width="17.5703125" style="2" customWidth="1"/>
    <col min="2563" max="2806" width="9.140625" style="2"/>
    <col min="2807" max="2807" width="3.7109375" style="2" customWidth="1"/>
    <col min="2808" max="2808" width="96.85546875" style="2" customWidth="1"/>
    <col min="2809" max="2809" width="30.85546875" style="2" customWidth="1"/>
    <col min="2810" max="2810" width="12.5703125" style="2" customWidth="1"/>
    <col min="2811" max="2811" width="5.140625" style="2" customWidth="1"/>
    <col min="2812" max="2812" width="9.140625" style="2"/>
    <col min="2813" max="2813" width="4.85546875" style="2" customWidth="1"/>
    <col min="2814" max="2814" width="30.5703125" style="2" customWidth="1"/>
    <col min="2815" max="2815" width="33.85546875" style="2" customWidth="1"/>
    <col min="2816" max="2816" width="5.140625" style="2" customWidth="1"/>
    <col min="2817" max="2818" width="17.5703125" style="2" customWidth="1"/>
    <col min="2819" max="3062" width="9.140625" style="2"/>
    <col min="3063" max="3063" width="3.7109375" style="2" customWidth="1"/>
    <col min="3064" max="3064" width="96.85546875" style="2" customWidth="1"/>
    <col min="3065" max="3065" width="30.85546875" style="2" customWidth="1"/>
    <col min="3066" max="3066" width="12.5703125" style="2" customWidth="1"/>
    <col min="3067" max="3067" width="5.140625" style="2" customWidth="1"/>
    <col min="3068" max="3068" width="9.140625" style="2"/>
    <col min="3069" max="3069" width="4.85546875" style="2" customWidth="1"/>
    <col min="3070" max="3070" width="30.5703125" style="2" customWidth="1"/>
    <col min="3071" max="3071" width="33.85546875" style="2" customWidth="1"/>
    <col min="3072" max="3072" width="5.140625" style="2" customWidth="1"/>
    <col min="3073" max="3074" width="17.5703125" style="2" customWidth="1"/>
    <col min="3075" max="3318" width="9.140625" style="2"/>
    <col min="3319" max="3319" width="3.7109375" style="2" customWidth="1"/>
    <col min="3320" max="3320" width="96.85546875" style="2" customWidth="1"/>
    <col min="3321" max="3321" width="30.85546875" style="2" customWidth="1"/>
    <col min="3322" max="3322" width="12.5703125" style="2" customWidth="1"/>
    <col min="3323" max="3323" width="5.140625" style="2" customWidth="1"/>
    <col min="3324" max="3324" width="9.140625" style="2"/>
    <col min="3325" max="3325" width="4.85546875" style="2" customWidth="1"/>
    <col min="3326" max="3326" width="30.5703125" style="2" customWidth="1"/>
    <col min="3327" max="3327" width="33.85546875" style="2" customWidth="1"/>
    <col min="3328" max="3328" width="5.140625" style="2" customWidth="1"/>
    <col min="3329" max="3330" width="17.5703125" style="2" customWidth="1"/>
    <col min="3331" max="3574" width="9.140625" style="2"/>
    <col min="3575" max="3575" width="3.7109375" style="2" customWidth="1"/>
    <col min="3576" max="3576" width="96.85546875" style="2" customWidth="1"/>
    <col min="3577" max="3577" width="30.85546875" style="2" customWidth="1"/>
    <col min="3578" max="3578" width="12.5703125" style="2" customWidth="1"/>
    <col min="3579" max="3579" width="5.140625" style="2" customWidth="1"/>
    <col min="3580" max="3580" width="9.140625" style="2"/>
    <col min="3581" max="3581" width="4.85546875" style="2" customWidth="1"/>
    <col min="3582" max="3582" width="30.5703125" style="2" customWidth="1"/>
    <col min="3583" max="3583" width="33.85546875" style="2" customWidth="1"/>
    <col min="3584" max="3584" width="5.140625" style="2" customWidth="1"/>
    <col min="3585" max="3586" width="17.5703125" style="2" customWidth="1"/>
    <col min="3587" max="3830" width="9.140625" style="2"/>
    <col min="3831" max="3831" width="3.7109375" style="2" customWidth="1"/>
    <col min="3832" max="3832" width="96.85546875" style="2" customWidth="1"/>
    <col min="3833" max="3833" width="30.85546875" style="2" customWidth="1"/>
    <col min="3834" max="3834" width="12.5703125" style="2" customWidth="1"/>
    <col min="3835" max="3835" width="5.140625" style="2" customWidth="1"/>
    <col min="3836" max="3836" width="9.140625" style="2"/>
    <col min="3837" max="3837" width="4.85546875" style="2" customWidth="1"/>
    <col min="3838" max="3838" width="30.5703125" style="2" customWidth="1"/>
    <col min="3839" max="3839" width="33.85546875" style="2" customWidth="1"/>
    <col min="3840" max="3840" width="5.140625" style="2" customWidth="1"/>
    <col min="3841" max="3842" width="17.5703125" style="2" customWidth="1"/>
    <col min="3843" max="4086" width="9.140625" style="2"/>
    <col min="4087" max="4087" width="3.7109375" style="2" customWidth="1"/>
    <col min="4088" max="4088" width="96.85546875" style="2" customWidth="1"/>
    <col min="4089" max="4089" width="30.85546875" style="2" customWidth="1"/>
    <col min="4090" max="4090" width="12.5703125" style="2" customWidth="1"/>
    <col min="4091" max="4091" width="5.140625" style="2" customWidth="1"/>
    <col min="4092" max="4092" width="9.140625" style="2"/>
    <col min="4093" max="4093" width="4.85546875" style="2" customWidth="1"/>
    <col min="4094" max="4094" width="30.5703125" style="2" customWidth="1"/>
    <col min="4095" max="4095" width="33.85546875" style="2" customWidth="1"/>
    <col min="4096" max="4096" width="5.140625" style="2" customWidth="1"/>
    <col min="4097" max="4098" width="17.5703125" style="2" customWidth="1"/>
    <col min="4099" max="4342" width="9.140625" style="2"/>
    <col min="4343" max="4343" width="3.7109375" style="2" customWidth="1"/>
    <col min="4344" max="4344" width="96.85546875" style="2" customWidth="1"/>
    <col min="4345" max="4345" width="30.85546875" style="2" customWidth="1"/>
    <col min="4346" max="4346" width="12.5703125" style="2" customWidth="1"/>
    <col min="4347" max="4347" width="5.140625" style="2" customWidth="1"/>
    <col min="4348" max="4348" width="9.140625" style="2"/>
    <col min="4349" max="4349" width="4.85546875" style="2" customWidth="1"/>
    <col min="4350" max="4350" width="30.5703125" style="2" customWidth="1"/>
    <col min="4351" max="4351" width="33.85546875" style="2" customWidth="1"/>
    <col min="4352" max="4352" width="5.140625" style="2" customWidth="1"/>
    <col min="4353" max="4354" width="17.5703125" style="2" customWidth="1"/>
    <col min="4355" max="4598" width="9.140625" style="2"/>
    <col min="4599" max="4599" width="3.7109375" style="2" customWidth="1"/>
    <col min="4600" max="4600" width="96.85546875" style="2" customWidth="1"/>
    <col min="4601" max="4601" width="30.85546875" style="2" customWidth="1"/>
    <col min="4602" max="4602" width="12.5703125" style="2" customWidth="1"/>
    <col min="4603" max="4603" width="5.140625" style="2" customWidth="1"/>
    <col min="4604" max="4604" width="9.140625" style="2"/>
    <col min="4605" max="4605" width="4.85546875" style="2" customWidth="1"/>
    <col min="4606" max="4606" width="30.5703125" style="2" customWidth="1"/>
    <col min="4607" max="4607" width="33.85546875" style="2" customWidth="1"/>
    <col min="4608" max="4608" width="5.140625" style="2" customWidth="1"/>
    <col min="4609" max="4610" width="17.5703125" style="2" customWidth="1"/>
    <col min="4611" max="4854" width="9.140625" style="2"/>
    <col min="4855" max="4855" width="3.7109375" style="2" customWidth="1"/>
    <col min="4856" max="4856" width="96.85546875" style="2" customWidth="1"/>
    <col min="4857" max="4857" width="30.85546875" style="2" customWidth="1"/>
    <col min="4858" max="4858" width="12.5703125" style="2" customWidth="1"/>
    <col min="4859" max="4859" width="5.140625" style="2" customWidth="1"/>
    <col min="4860" max="4860" width="9.140625" style="2"/>
    <col min="4861" max="4861" width="4.85546875" style="2" customWidth="1"/>
    <col min="4862" max="4862" width="30.5703125" style="2" customWidth="1"/>
    <col min="4863" max="4863" width="33.85546875" style="2" customWidth="1"/>
    <col min="4864" max="4864" width="5.140625" style="2" customWidth="1"/>
    <col min="4865" max="4866" width="17.5703125" style="2" customWidth="1"/>
    <col min="4867" max="5110" width="9.140625" style="2"/>
    <col min="5111" max="5111" width="3.7109375" style="2" customWidth="1"/>
    <col min="5112" max="5112" width="96.85546875" style="2" customWidth="1"/>
    <col min="5113" max="5113" width="30.85546875" style="2" customWidth="1"/>
    <col min="5114" max="5114" width="12.5703125" style="2" customWidth="1"/>
    <col min="5115" max="5115" width="5.140625" style="2" customWidth="1"/>
    <col min="5116" max="5116" width="9.140625" style="2"/>
    <col min="5117" max="5117" width="4.85546875" style="2" customWidth="1"/>
    <col min="5118" max="5118" width="30.5703125" style="2" customWidth="1"/>
    <col min="5119" max="5119" width="33.85546875" style="2" customWidth="1"/>
    <col min="5120" max="5120" width="5.140625" style="2" customWidth="1"/>
    <col min="5121" max="5122" width="17.5703125" style="2" customWidth="1"/>
    <col min="5123" max="5366" width="9.140625" style="2"/>
    <col min="5367" max="5367" width="3.7109375" style="2" customWidth="1"/>
    <col min="5368" max="5368" width="96.85546875" style="2" customWidth="1"/>
    <col min="5369" max="5369" width="30.85546875" style="2" customWidth="1"/>
    <col min="5370" max="5370" width="12.5703125" style="2" customWidth="1"/>
    <col min="5371" max="5371" width="5.140625" style="2" customWidth="1"/>
    <col min="5372" max="5372" width="9.140625" style="2"/>
    <col min="5373" max="5373" width="4.85546875" style="2" customWidth="1"/>
    <col min="5374" max="5374" width="30.5703125" style="2" customWidth="1"/>
    <col min="5375" max="5375" width="33.85546875" style="2" customWidth="1"/>
    <col min="5376" max="5376" width="5.140625" style="2" customWidth="1"/>
    <col min="5377" max="5378" width="17.5703125" style="2" customWidth="1"/>
    <col min="5379" max="5622" width="9.140625" style="2"/>
    <col min="5623" max="5623" width="3.7109375" style="2" customWidth="1"/>
    <col min="5624" max="5624" width="96.85546875" style="2" customWidth="1"/>
    <col min="5625" max="5625" width="30.85546875" style="2" customWidth="1"/>
    <col min="5626" max="5626" width="12.5703125" style="2" customWidth="1"/>
    <col min="5627" max="5627" width="5.140625" style="2" customWidth="1"/>
    <col min="5628" max="5628" width="9.140625" style="2"/>
    <col min="5629" max="5629" width="4.85546875" style="2" customWidth="1"/>
    <col min="5630" max="5630" width="30.5703125" style="2" customWidth="1"/>
    <col min="5631" max="5631" width="33.85546875" style="2" customWidth="1"/>
    <col min="5632" max="5632" width="5.140625" style="2" customWidth="1"/>
    <col min="5633" max="5634" width="17.5703125" style="2" customWidth="1"/>
    <col min="5635" max="5878" width="9.140625" style="2"/>
    <col min="5879" max="5879" width="3.7109375" style="2" customWidth="1"/>
    <col min="5880" max="5880" width="96.85546875" style="2" customWidth="1"/>
    <col min="5881" max="5881" width="30.85546875" style="2" customWidth="1"/>
    <col min="5882" max="5882" width="12.5703125" style="2" customWidth="1"/>
    <col min="5883" max="5883" width="5.140625" style="2" customWidth="1"/>
    <col min="5884" max="5884" width="9.140625" style="2"/>
    <col min="5885" max="5885" width="4.85546875" style="2" customWidth="1"/>
    <col min="5886" max="5886" width="30.5703125" style="2" customWidth="1"/>
    <col min="5887" max="5887" width="33.85546875" style="2" customWidth="1"/>
    <col min="5888" max="5888" width="5.140625" style="2" customWidth="1"/>
    <col min="5889" max="5890" width="17.5703125" style="2" customWidth="1"/>
    <col min="5891" max="6134" width="9.140625" style="2"/>
    <col min="6135" max="6135" width="3.7109375" style="2" customWidth="1"/>
    <col min="6136" max="6136" width="96.85546875" style="2" customWidth="1"/>
    <col min="6137" max="6137" width="30.85546875" style="2" customWidth="1"/>
    <col min="6138" max="6138" width="12.5703125" style="2" customWidth="1"/>
    <col min="6139" max="6139" width="5.140625" style="2" customWidth="1"/>
    <col min="6140" max="6140" width="9.140625" style="2"/>
    <col min="6141" max="6141" width="4.85546875" style="2" customWidth="1"/>
    <col min="6142" max="6142" width="30.5703125" style="2" customWidth="1"/>
    <col min="6143" max="6143" width="33.85546875" style="2" customWidth="1"/>
    <col min="6144" max="6144" width="5.140625" style="2" customWidth="1"/>
    <col min="6145" max="6146" width="17.5703125" style="2" customWidth="1"/>
    <col min="6147" max="6390" width="9.140625" style="2"/>
    <col min="6391" max="6391" width="3.7109375" style="2" customWidth="1"/>
    <col min="6392" max="6392" width="96.85546875" style="2" customWidth="1"/>
    <col min="6393" max="6393" width="30.85546875" style="2" customWidth="1"/>
    <col min="6394" max="6394" width="12.5703125" style="2" customWidth="1"/>
    <col min="6395" max="6395" width="5.140625" style="2" customWidth="1"/>
    <col min="6396" max="6396" width="9.140625" style="2"/>
    <col min="6397" max="6397" width="4.85546875" style="2" customWidth="1"/>
    <col min="6398" max="6398" width="30.5703125" style="2" customWidth="1"/>
    <col min="6399" max="6399" width="33.85546875" style="2" customWidth="1"/>
    <col min="6400" max="6400" width="5.140625" style="2" customWidth="1"/>
    <col min="6401" max="6402" width="17.5703125" style="2" customWidth="1"/>
    <col min="6403" max="6646" width="9.140625" style="2"/>
    <col min="6647" max="6647" width="3.7109375" style="2" customWidth="1"/>
    <col min="6648" max="6648" width="96.85546875" style="2" customWidth="1"/>
    <col min="6649" max="6649" width="30.85546875" style="2" customWidth="1"/>
    <col min="6650" max="6650" width="12.5703125" style="2" customWidth="1"/>
    <col min="6651" max="6651" width="5.140625" style="2" customWidth="1"/>
    <col min="6652" max="6652" width="9.140625" style="2"/>
    <col min="6653" max="6653" width="4.85546875" style="2" customWidth="1"/>
    <col min="6654" max="6654" width="30.5703125" style="2" customWidth="1"/>
    <col min="6655" max="6655" width="33.85546875" style="2" customWidth="1"/>
    <col min="6656" max="6656" width="5.140625" style="2" customWidth="1"/>
    <col min="6657" max="6658" width="17.5703125" style="2" customWidth="1"/>
    <col min="6659" max="6902" width="9.140625" style="2"/>
    <col min="6903" max="6903" width="3.7109375" style="2" customWidth="1"/>
    <col min="6904" max="6904" width="96.85546875" style="2" customWidth="1"/>
    <col min="6905" max="6905" width="30.85546875" style="2" customWidth="1"/>
    <col min="6906" max="6906" width="12.5703125" style="2" customWidth="1"/>
    <col min="6907" max="6907" width="5.140625" style="2" customWidth="1"/>
    <col min="6908" max="6908" width="9.140625" style="2"/>
    <col min="6909" max="6909" width="4.85546875" style="2" customWidth="1"/>
    <col min="6910" max="6910" width="30.5703125" style="2" customWidth="1"/>
    <col min="6911" max="6911" width="33.85546875" style="2" customWidth="1"/>
    <col min="6912" max="6912" width="5.140625" style="2" customWidth="1"/>
    <col min="6913" max="6914" width="17.5703125" style="2" customWidth="1"/>
    <col min="6915" max="7158" width="9.140625" style="2"/>
    <col min="7159" max="7159" width="3.7109375" style="2" customWidth="1"/>
    <col min="7160" max="7160" width="96.85546875" style="2" customWidth="1"/>
    <col min="7161" max="7161" width="30.85546875" style="2" customWidth="1"/>
    <col min="7162" max="7162" width="12.5703125" style="2" customWidth="1"/>
    <col min="7163" max="7163" width="5.140625" style="2" customWidth="1"/>
    <col min="7164" max="7164" width="9.140625" style="2"/>
    <col min="7165" max="7165" width="4.85546875" style="2" customWidth="1"/>
    <col min="7166" max="7166" width="30.5703125" style="2" customWidth="1"/>
    <col min="7167" max="7167" width="33.85546875" style="2" customWidth="1"/>
    <col min="7168" max="7168" width="5.140625" style="2" customWidth="1"/>
    <col min="7169" max="7170" width="17.5703125" style="2" customWidth="1"/>
    <col min="7171" max="7414" width="9.140625" style="2"/>
    <col min="7415" max="7415" width="3.7109375" style="2" customWidth="1"/>
    <col min="7416" max="7416" width="96.85546875" style="2" customWidth="1"/>
    <col min="7417" max="7417" width="30.85546875" style="2" customWidth="1"/>
    <col min="7418" max="7418" width="12.5703125" style="2" customWidth="1"/>
    <col min="7419" max="7419" width="5.140625" style="2" customWidth="1"/>
    <col min="7420" max="7420" width="9.140625" style="2"/>
    <col min="7421" max="7421" width="4.85546875" style="2" customWidth="1"/>
    <col min="7422" max="7422" width="30.5703125" style="2" customWidth="1"/>
    <col min="7423" max="7423" width="33.85546875" style="2" customWidth="1"/>
    <col min="7424" max="7424" width="5.140625" style="2" customWidth="1"/>
    <col min="7425" max="7426" width="17.5703125" style="2" customWidth="1"/>
    <col min="7427" max="7670" width="9.140625" style="2"/>
    <col min="7671" max="7671" width="3.7109375" style="2" customWidth="1"/>
    <col min="7672" max="7672" width="96.85546875" style="2" customWidth="1"/>
    <col min="7673" max="7673" width="30.85546875" style="2" customWidth="1"/>
    <col min="7674" max="7674" width="12.5703125" style="2" customWidth="1"/>
    <col min="7675" max="7675" width="5.140625" style="2" customWidth="1"/>
    <col min="7676" max="7676" width="9.140625" style="2"/>
    <col min="7677" max="7677" width="4.85546875" style="2" customWidth="1"/>
    <col min="7678" max="7678" width="30.5703125" style="2" customWidth="1"/>
    <col min="7679" max="7679" width="33.85546875" style="2" customWidth="1"/>
    <col min="7680" max="7680" width="5.140625" style="2" customWidth="1"/>
    <col min="7681" max="7682" width="17.5703125" style="2" customWidth="1"/>
    <col min="7683" max="7926" width="9.140625" style="2"/>
    <col min="7927" max="7927" width="3.7109375" style="2" customWidth="1"/>
    <col min="7928" max="7928" width="96.85546875" style="2" customWidth="1"/>
    <col min="7929" max="7929" width="30.85546875" style="2" customWidth="1"/>
    <col min="7930" max="7930" width="12.5703125" style="2" customWidth="1"/>
    <col min="7931" max="7931" width="5.140625" style="2" customWidth="1"/>
    <col min="7932" max="7932" width="9.140625" style="2"/>
    <col min="7933" max="7933" width="4.85546875" style="2" customWidth="1"/>
    <col min="7934" max="7934" width="30.5703125" style="2" customWidth="1"/>
    <col min="7935" max="7935" width="33.85546875" style="2" customWidth="1"/>
    <col min="7936" max="7936" width="5.140625" style="2" customWidth="1"/>
    <col min="7937" max="7938" width="17.5703125" style="2" customWidth="1"/>
    <col min="7939" max="8182" width="9.140625" style="2"/>
    <col min="8183" max="8183" width="3.7109375" style="2" customWidth="1"/>
    <col min="8184" max="8184" width="96.85546875" style="2" customWidth="1"/>
    <col min="8185" max="8185" width="30.85546875" style="2" customWidth="1"/>
    <col min="8186" max="8186" width="12.5703125" style="2" customWidth="1"/>
    <col min="8187" max="8187" width="5.140625" style="2" customWidth="1"/>
    <col min="8188" max="8188" width="9.140625" style="2"/>
    <col min="8189" max="8189" width="4.85546875" style="2" customWidth="1"/>
    <col min="8190" max="8190" width="30.5703125" style="2" customWidth="1"/>
    <col min="8191" max="8191" width="33.85546875" style="2" customWidth="1"/>
    <col min="8192" max="8192" width="5.140625" style="2" customWidth="1"/>
    <col min="8193" max="8194" width="17.5703125" style="2" customWidth="1"/>
    <col min="8195" max="8438" width="9.140625" style="2"/>
    <col min="8439" max="8439" width="3.7109375" style="2" customWidth="1"/>
    <col min="8440" max="8440" width="96.85546875" style="2" customWidth="1"/>
    <col min="8441" max="8441" width="30.85546875" style="2" customWidth="1"/>
    <col min="8442" max="8442" width="12.5703125" style="2" customWidth="1"/>
    <col min="8443" max="8443" width="5.140625" style="2" customWidth="1"/>
    <col min="8444" max="8444" width="9.140625" style="2"/>
    <col min="8445" max="8445" width="4.85546875" style="2" customWidth="1"/>
    <col min="8446" max="8446" width="30.5703125" style="2" customWidth="1"/>
    <col min="8447" max="8447" width="33.85546875" style="2" customWidth="1"/>
    <col min="8448" max="8448" width="5.140625" style="2" customWidth="1"/>
    <col min="8449" max="8450" width="17.5703125" style="2" customWidth="1"/>
    <col min="8451" max="8694" width="9.140625" style="2"/>
    <col min="8695" max="8695" width="3.7109375" style="2" customWidth="1"/>
    <col min="8696" max="8696" width="96.85546875" style="2" customWidth="1"/>
    <col min="8697" max="8697" width="30.85546875" style="2" customWidth="1"/>
    <col min="8698" max="8698" width="12.5703125" style="2" customWidth="1"/>
    <col min="8699" max="8699" width="5.140625" style="2" customWidth="1"/>
    <col min="8700" max="8700" width="9.140625" style="2"/>
    <col min="8701" max="8701" width="4.85546875" style="2" customWidth="1"/>
    <col min="8702" max="8702" width="30.5703125" style="2" customWidth="1"/>
    <col min="8703" max="8703" width="33.85546875" style="2" customWidth="1"/>
    <col min="8704" max="8704" width="5.140625" style="2" customWidth="1"/>
    <col min="8705" max="8706" width="17.5703125" style="2" customWidth="1"/>
    <col min="8707" max="8950" width="9.140625" style="2"/>
    <col min="8951" max="8951" width="3.7109375" style="2" customWidth="1"/>
    <col min="8952" max="8952" width="96.85546875" style="2" customWidth="1"/>
    <col min="8953" max="8953" width="30.85546875" style="2" customWidth="1"/>
    <col min="8954" max="8954" width="12.5703125" style="2" customWidth="1"/>
    <col min="8955" max="8955" width="5.140625" style="2" customWidth="1"/>
    <col min="8956" max="8956" width="9.140625" style="2"/>
    <col min="8957" max="8957" width="4.85546875" style="2" customWidth="1"/>
    <col min="8958" max="8958" width="30.5703125" style="2" customWidth="1"/>
    <col min="8959" max="8959" width="33.85546875" style="2" customWidth="1"/>
    <col min="8960" max="8960" width="5.140625" style="2" customWidth="1"/>
    <col min="8961" max="8962" width="17.5703125" style="2" customWidth="1"/>
    <col min="8963" max="9206" width="9.140625" style="2"/>
    <col min="9207" max="9207" width="3.7109375" style="2" customWidth="1"/>
    <col min="9208" max="9208" width="96.85546875" style="2" customWidth="1"/>
    <col min="9209" max="9209" width="30.85546875" style="2" customWidth="1"/>
    <col min="9210" max="9210" width="12.5703125" style="2" customWidth="1"/>
    <col min="9211" max="9211" width="5.140625" style="2" customWidth="1"/>
    <col min="9212" max="9212" width="9.140625" style="2"/>
    <col min="9213" max="9213" width="4.85546875" style="2" customWidth="1"/>
    <col min="9214" max="9214" width="30.5703125" style="2" customWidth="1"/>
    <col min="9215" max="9215" width="33.85546875" style="2" customWidth="1"/>
    <col min="9216" max="9216" width="5.140625" style="2" customWidth="1"/>
    <col min="9217" max="9218" width="17.5703125" style="2" customWidth="1"/>
    <col min="9219" max="9462" width="9.140625" style="2"/>
    <col min="9463" max="9463" width="3.7109375" style="2" customWidth="1"/>
    <col min="9464" max="9464" width="96.85546875" style="2" customWidth="1"/>
    <col min="9465" max="9465" width="30.85546875" style="2" customWidth="1"/>
    <col min="9466" max="9466" width="12.5703125" style="2" customWidth="1"/>
    <col min="9467" max="9467" width="5.140625" style="2" customWidth="1"/>
    <col min="9468" max="9468" width="9.140625" style="2"/>
    <col min="9469" max="9469" width="4.85546875" style="2" customWidth="1"/>
    <col min="9470" max="9470" width="30.5703125" style="2" customWidth="1"/>
    <col min="9471" max="9471" width="33.85546875" style="2" customWidth="1"/>
    <col min="9472" max="9472" width="5.140625" style="2" customWidth="1"/>
    <col min="9473" max="9474" width="17.5703125" style="2" customWidth="1"/>
    <col min="9475" max="9718" width="9.140625" style="2"/>
    <col min="9719" max="9719" width="3.7109375" style="2" customWidth="1"/>
    <col min="9720" max="9720" width="96.85546875" style="2" customWidth="1"/>
    <col min="9721" max="9721" width="30.85546875" style="2" customWidth="1"/>
    <col min="9722" max="9722" width="12.5703125" style="2" customWidth="1"/>
    <col min="9723" max="9723" width="5.140625" style="2" customWidth="1"/>
    <col min="9724" max="9724" width="9.140625" style="2"/>
    <col min="9725" max="9725" width="4.85546875" style="2" customWidth="1"/>
    <col min="9726" max="9726" width="30.5703125" style="2" customWidth="1"/>
    <col min="9727" max="9727" width="33.85546875" style="2" customWidth="1"/>
    <col min="9728" max="9728" width="5.140625" style="2" customWidth="1"/>
    <col min="9729" max="9730" width="17.5703125" style="2" customWidth="1"/>
    <col min="9731" max="9974" width="9.140625" style="2"/>
    <col min="9975" max="9975" width="3.7109375" style="2" customWidth="1"/>
    <col min="9976" max="9976" width="96.85546875" style="2" customWidth="1"/>
    <col min="9977" max="9977" width="30.85546875" style="2" customWidth="1"/>
    <col min="9978" max="9978" width="12.5703125" style="2" customWidth="1"/>
    <col min="9979" max="9979" width="5.140625" style="2" customWidth="1"/>
    <col min="9980" max="9980" width="9.140625" style="2"/>
    <col min="9981" max="9981" width="4.85546875" style="2" customWidth="1"/>
    <col min="9982" max="9982" width="30.5703125" style="2" customWidth="1"/>
    <col min="9983" max="9983" width="33.85546875" style="2" customWidth="1"/>
    <col min="9984" max="9984" width="5.140625" style="2" customWidth="1"/>
    <col min="9985" max="9986" width="17.5703125" style="2" customWidth="1"/>
    <col min="9987" max="10230" width="9.140625" style="2"/>
    <col min="10231" max="10231" width="3.7109375" style="2" customWidth="1"/>
    <col min="10232" max="10232" width="96.85546875" style="2" customWidth="1"/>
    <col min="10233" max="10233" width="30.85546875" style="2" customWidth="1"/>
    <col min="10234" max="10234" width="12.5703125" style="2" customWidth="1"/>
    <col min="10235" max="10235" width="5.140625" style="2" customWidth="1"/>
    <col min="10236" max="10236" width="9.140625" style="2"/>
    <col min="10237" max="10237" width="4.85546875" style="2" customWidth="1"/>
    <col min="10238" max="10238" width="30.5703125" style="2" customWidth="1"/>
    <col min="10239" max="10239" width="33.85546875" style="2" customWidth="1"/>
    <col min="10240" max="10240" width="5.140625" style="2" customWidth="1"/>
    <col min="10241" max="10242" width="17.5703125" style="2" customWidth="1"/>
    <col min="10243" max="10486" width="9.140625" style="2"/>
    <col min="10487" max="10487" width="3.7109375" style="2" customWidth="1"/>
    <col min="10488" max="10488" width="96.85546875" style="2" customWidth="1"/>
    <col min="10489" max="10489" width="30.85546875" style="2" customWidth="1"/>
    <col min="10490" max="10490" width="12.5703125" style="2" customWidth="1"/>
    <col min="10491" max="10491" width="5.140625" style="2" customWidth="1"/>
    <col min="10492" max="10492" width="9.140625" style="2"/>
    <col min="10493" max="10493" width="4.85546875" style="2" customWidth="1"/>
    <col min="10494" max="10494" width="30.5703125" style="2" customWidth="1"/>
    <col min="10495" max="10495" width="33.85546875" style="2" customWidth="1"/>
    <col min="10496" max="10496" width="5.140625" style="2" customWidth="1"/>
    <col min="10497" max="10498" width="17.5703125" style="2" customWidth="1"/>
    <col min="10499" max="10742" width="9.140625" style="2"/>
    <col min="10743" max="10743" width="3.7109375" style="2" customWidth="1"/>
    <col min="10744" max="10744" width="96.85546875" style="2" customWidth="1"/>
    <col min="10745" max="10745" width="30.85546875" style="2" customWidth="1"/>
    <col min="10746" max="10746" width="12.5703125" style="2" customWidth="1"/>
    <col min="10747" max="10747" width="5.140625" style="2" customWidth="1"/>
    <col min="10748" max="10748" width="9.140625" style="2"/>
    <col min="10749" max="10749" width="4.85546875" style="2" customWidth="1"/>
    <col min="10750" max="10750" width="30.5703125" style="2" customWidth="1"/>
    <col min="10751" max="10751" width="33.85546875" style="2" customWidth="1"/>
    <col min="10752" max="10752" width="5.140625" style="2" customWidth="1"/>
    <col min="10753" max="10754" width="17.5703125" style="2" customWidth="1"/>
    <col min="10755" max="10998" width="9.140625" style="2"/>
    <col min="10999" max="10999" width="3.7109375" style="2" customWidth="1"/>
    <col min="11000" max="11000" width="96.85546875" style="2" customWidth="1"/>
    <col min="11001" max="11001" width="30.85546875" style="2" customWidth="1"/>
    <col min="11002" max="11002" width="12.5703125" style="2" customWidth="1"/>
    <col min="11003" max="11003" width="5.140625" style="2" customWidth="1"/>
    <col min="11004" max="11004" width="9.140625" style="2"/>
    <col min="11005" max="11005" width="4.85546875" style="2" customWidth="1"/>
    <col min="11006" max="11006" width="30.5703125" style="2" customWidth="1"/>
    <col min="11007" max="11007" width="33.85546875" style="2" customWidth="1"/>
    <col min="11008" max="11008" width="5.140625" style="2" customWidth="1"/>
    <col min="11009" max="11010" width="17.5703125" style="2" customWidth="1"/>
    <col min="11011" max="11254" width="9.140625" style="2"/>
    <col min="11255" max="11255" width="3.7109375" style="2" customWidth="1"/>
    <col min="11256" max="11256" width="96.85546875" style="2" customWidth="1"/>
    <col min="11257" max="11257" width="30.85546875" style="2" customWidth="1"/>
    <col min="11258" max="11258" width="12.5703125" style="2" customWidth="1"/>
    <col min="11259" max="11259" width="5.140625" style="2" customWidth="1"/>
    <col min="11260" max="11260" width="9.140625" style="2"/>
    <col min="11261" max="11261" width="4.85546875" style="2" customWidth="1"/>
    <col min="11262" max="11262" width="30.5703125" style="2" customWidth="1"/>
    <col min="11263" max="11263" width="33.85546875" style="2" customWidth="1"/>
    <col min="11264" max="11264" width="5.140625" style="2" customWidth="1"/>
    <col min="11265" max="11266" width="17.5703125" style="2" customWidth="1"/>
    <col min="11267" max="11510" width="9.140625" style="2"/>
    <col min="11511" max="11511" width="3.7109375" style="2" customWidth="1"/>
    <col min="11512" max="11512" width="96.85546875" style="2" customWidth="1"/>
    <col min="11513" max="11513" width="30.85546875" style="2" customWidth="1"/>
    <col min="11514" max="11514" width="12.5703125" style="2" customWidth="1"/>
    <col min="11515" max="11515" width="5.140625" style="2" customWidth="1"/>
    <col min="11516" max="11516" width="9.140625" style="2"/>
    <col min="11517" max="11517" width="4.85546875" style="2" customWidth="1"/>
    <col min="11518" max="11518" width="30.5703125" style="2" customWidth="1"/>
    <col min="11519" max="11519" width="33.85546875" style="2" customWidth="1"/>
    <col min="11520" max="11520" width="5.140625" style="2" customWidth="1"/>
    <col min="11521" max="11522" width="17.5703125" style="2" customWidth="1"/>
    <col min="11523" max="11766" width="9.140625" style="2"/>
    <col min="11767" max="11767" width="3.7109375" style="2" customWidth="1"/>
    <col min="11768" max="11768" width="96.85546875" style="2" customWidth="1"/>
    <col min="11769" max="11769" width="30.85546875" style="2" customWidth="1"/>
    <col min="11770" max="11770" width="12.5703125" style="2" customWidth="1"/>
    <col min="11771" max="11771" width="5.140625" style="2" customWidth="1"/>
    <col min="11772" max="11772" width="9.140625" style="2"/>
    <col min="11773" max="11773" width="4.85546875" style="2" customWidth="1"/>
    <col min="11774" max="11774" width="30.5703125" style="2" customWidth="1"/>
    <col min="11775" max="11775" width="33.85546875" style="2" customWidth="1"/>
    <col min="11776" max="11776" width="5.140625" style="2" customWidth="1"/>
    <col min="11777" max="11778" width="17.5703125" style="2" customWidth="1"/>
    <col min="11779" max="12022" width="9.140625" style="2"/>
    <col min="12023" max="12023" width="3.7109375" style="2" customWidth="1"/>
    <col min="12024" max="12024" width="96.85546875" style="2" customWidth="1"/>
    <col min="12025" max="12025" width="30.85546875" style="2" customWidth="1"/>
    <col min="12026" max="12026" width="12.5703125" style="2" customWidth="1"/>
    <col min="12027" max="12027" width="5.140625" style="2" customWidth="1"/>
    <col min="12028" max="12028" width="9.140625" style="2"/>
    <col min="12029" max="12029" width="4.85546875" style="2" customWidth="1"/>
    <col min="12030" max="12030" width="30.5703125" style="2" customWidth="1"/>
    <col min="12031" max="12031" width="33.85546875" style="2" customWidth="1"/>
    <col min="12032" max="12032" width="5.140625" style="2" customWidth="1"/>
    <col min="12033" max="12034" width="17.5703125" style="2" customWidth="1"/>
    <col min="12035" max="12278" width="9.140625" style="2"/>
    <col min="12279" max="12279" width="3.7109375" style="2" customWidth="1"/>
    <col min="12280" max="12280" width="96.85546875" style="2" customWidth="1"/>
    <col min="12281" max="12281" width="30.85546875" style="2" customWidth="1"/>
    <col min="12282" max="12282" width="12.5703125" style="2" customWidth="1"/>
    <col min="12283" max="12283" width="5.140625" style="2" customWidth="1"/>
    <col min="12284" max="12284" width="9.140625" style="2"/>
    <col min="12285" max="12285" width="4.85546875" style="2" customWidth="1"/>
    <col min="12286" max="12286" width="30.5703125" style="2" customWidth="1"/>
    <col min="12287" max="12287" width="33.85546875" style="2" customWidth="1"/>
    <col min="12288" max="12288" width="5.140625" style="2" customWidth="1"/>
    <col min="12289" max="12290" width="17.5703125" style="2" customWidth="1"/>
    <col min="12291" max="12534" width="9.140625" style="2"/>
    <col min="12535" max="12535" width="3.7109375" style="2" customWidth="1"/>
    <col min="12536" max="12536" width="96.85546875" style="2" customWidth="1"/>
    <col min="12537" max="12537" width="30.85546875" style="2" customWidth="1"/>
    <col min="12538" max="12538" width="12.5703125" style="2" customWidth="1"/>
    <col min="12539" max="12539" width="5.140625" style="2" customWidth="1"/>
    <col min="12540" max="12540" width="9.140625" style="2"/>
    <col min="12541" max="12541" width="4.85546875" style="2" customWidth="1"/>
    <col min="12542" max="12542" width="30.5703125" style="2" customWidth="1"/>
    <col min="12543" max="12543" width="33.85546875" style="2" customWidth="1"/>
    <col min="12544" max="12544" width="5.140625" style="2" customWidth="1"/>
    <col min="12545" max="12546" width="17.5703125" style="2" customWidth="1"/>
    <col min="12547" max="12790" width="9.140625" style="2"/>
    <col min="12791" max="12791" width="3.7109375" style="2" customWidth="1"/>
    <col min="12792" max="12792" width="96.85546875" style="2" customWidth="1"/>
    <col min="12793" max="12793" width="30.85546875" style="2" customWidth="1"/>
    <col min="12794" max="12794" width="12.5703125" style="2" customWidth="1"/>
    <col min="12795" max="12795" width="5.140625" style="2" customWidth="1"/>
    <col min="12796" max="12796" width="9.140625" style="2"/>
    <col min="12797" max="12797" width="4.85546875" style="2" customWidth="1"/>
    <col min="12798" max="12798" width="30.5703125" style="2" customWidth="1"/>
    <col min="12799" max="12799" width="33.85546875" style="2" customWidth="1"/>
    <col min="12800" max="12800" width="5.140625" style="2" customWidth="1"/>
    <col min="12801" max="12802" width="17.5703125" style="2" customWidth="1"/>
    <col min="12803" max="13046" width="9.140625" style="2"/>
    <col min="13047" max="13047" width="3.7109375" style="2" customWidth="1"/>
    <col min="13048" max="13048" width="96.85546875" style="2" customWidth="1"/>
    <col min="13049" max="13049" width="30.85546875" style="2" customWidth="1"/>
    <col min="13050" max="13050" width="12.5703125" style="2" customWidth="1"/>
    <col min="13051" max="13051" width="5.140625" style="2" customWidth="1"/>
    <col min="13052" max="13052" width="9.140625" style="2"/>
    <col min="13053" max="13053" width="4.85546875" style="2" customWidth="1"/>
    <col min="13054" max="13054" width="30.5703125" style="2" customWidth="1"/>
    <col min="13055" max="13055" width="33.85546875" style="2" customWidth="1"/>
    <col min="13056" max="13056" width="5.140625" style="2" customWidth="1"/>
    <col min="13057" max="13058" width="17.5703125" style="2" customWidth="1"/>
    <col min="13059" max="13302" width="9.140625" style="2"/>
    <col min="13303" max="13303" width="3.7109375" style="2" customWidth="1"/>
    <col min="13304" max="13304" width="96.85546875" style="2" customWidth="1"/>
    <col min="13305" max="13305" width="30.85546875" style="2" customWidth="1"/>
    <col min="13306" max="13306" width="12.5703125" style="2" customWidth="1"/>
    <col min="13307" max="13307" width="5.140625" style="2" customWidth="1"/>
    <col min="13308" max="13308" width="9.140625" style="2"/>
    <col min="13309" max="13309" width="4.85546875" style="2" customWidth="1"/>
    <col min="13310" max="13310" width="30.5703125" style="2" customWidth="1"/>
    <col min="13311" max="13311" width="33.85546875" style="2" customWidth="1"/>
    <col min="13312" max="13312" width="5.140625" style="2" customWidth="1"/>
    <col min="13313" max="13314" width="17.5703125" style="2" customWidth="1"/>
    <col min="13315" max="13558" width="9.140625" style="2"/>
    <col min="13559" max="13559" width="3.7109375" style="2" customWidth="1"/>
    <col min="13560" max="13560" width="96.85546875" style="2" customWidth="1"/>
    <col min="13561" max="13561" width="30.85546875" style="2" customWidth="1"/>
    <col min="13562" max="13562" width="12.5703125" style="2" customWidth="1"/>
    <col min="13563" max="13563" width="5.140625" style="2" customWidth="1"/>
    <col min="13564" max="13564" width="9.140625" style="2"/>
    <col min="13565" max="13565" width="4.85546875" style="2" customWidth="1"/>
    <col min="13566" max="13566" width="30.5703125" style="2" customWidth="1"/>
    <col min="13567" max="13567" width="33.85546875" style="2" customWidth="1"/>
    <col min="13568" max="13568" width="5.140625" style="2" customWidth="1"/>
    <col min="13569" max="13570" width="17.5703125" style="2" customWidth="1"/>
    <col min="13571" max="13814" width="9.140625" style="2"/>
    <col min="13815" max="13815" width="3.7109375" style="2" customWidth="1"/>
    <col min="13816" max="13816" width="96.85546875" style="2" customWidth="1"/>
    <col min="13817" max="13817" width="30.85546875" style="2" customWidth="1"/>
    <col min="13818" max="13818" width="12.5703125" style="2" customWidth="1"/>
    <col min="13819" max="13819" width="5.140625" style="2" customWidth="1"/>
    <col min="13820" max="13820" width="9.140625" style="2"/>
    <col min="13821" max="13821" width="4.85546875" style="2" customWidth="1"/>
    <col min="13822" max="13822" width="30.5703125" style="2" customWidth="1"/>
    <col min="13823" max="13823" width="33.85546875" style="2" customWidth="1"/>
    <col min="13824" max="13824" width="5.140625" style="2" customWidth="1"/>
    <col min="13825" max="13826" width="17.5703125" style="2" customWidth="1"/>
    <col min="13827" max="14070" width="9.140625" style="2"/>
    <col min="14071" max="14071" width="3.7109375" style="2" customWidth="1"/>
    <col min="14072" max="14072" width="96.85546875" style="2" customWidth="1"/>
    <col min="14073" max="14073" width="30.85546875" style="2" customWidth="1"/>
    <col min="14074" max="14074" width="12.5703125" style="2" customWidth="1"/>
    <col min="14075" max="14075" width="5.140625" style="2" customWidth="1"/>
    <col min="14076" max="14076" width="9.140625" style="2"/>
    <col min="14077" max="14077" width="4.85546875" style="2" customWidth="1"/>
    <col min="14078" max="14078" width="30.5703125" style="2" customWidth="1"/>
    <col min="14079" max="14079" width="33.85546875" style="2" customWidth="1"/>
    <col min="14080" max="14080" width="5.140625" style="2" customWidth="1"/>
    <col min="14081" max="14082" width="17.5703125" style="2" customWidth="1"/>
    <col min="14083" max="14326" width="9.140625" style="2"/>
    <col min="14327" max="14327" width="3.7109375" style="2" customWidth="1"/>
    <col min="14328" max="14328" width="96.85546875" style="2" customWidth="1"/>
    <col min="14329" max="14329" width="30.85546875" style="2" customWidth="1"/>
    <col min="14330" max="14330" width="12.5703125" style="2" customWidth="1"/>
    <col min="14331" max="14331" width="5.140625" style="2" customWidth="1"/>
    <col min="14332" max="14332" width="9.140625" style="2"/>
    <col min="14333" max="14333" width="4.85546875" style="2" customWidth="1"/>
    <col min="14334" max="14334" width="30.5703125" style="2" customWidth="1"/>
    <col min="14335" max="14335" width="33.85546875" style="2" customWidth="1"/>
    <col min="14336" max="14336" width="5.140625" style="2" customWidth="1"/>
    <col min="14337" max="14338" width="17.5703125" style="2" customWidth="1"/>
    <col min="14339" max="14582" width="9.140625" style="2"/>
    <col min="14583" max="14583" width="3.7109375" style="2" customWidth="1"/>
    <col min="14584" max="14584" width="96.85546875" style="2" customWidth="1"/>
    <col min="14585" max="14585" width="30.85546875" style="2" customWidth="1"/>
    <col min="14586" max="14586" width="12.5703125" style="2" customWidth="1"/>
    <col min="14587" max="14587" width="5.140625" style="2" customWidth="1"/>
    <col min="14588" max="14588" width="9.140625" style="2"/>
    <col min="14589" max="14589" width="4.85546875" style="2" customWidth="1"/>
    <col min="14590" max="14590" width="30.5703125" style="2" customWidth="1"/>
    <col min="14591" max="14591" width="33.85546875" style="2" customWidth="1"/>
    <col min="14592" max="14592" width="5.140625" style="2" customWidth="1"/>
    <col min="14593" max="14594" width="17.5703125" style="2" customWidth="1"/>
    <col min="14595" max="14838" width="9.140625" style="2"/>
    <col min="14839" max="14839" width="3.7109375" style="2" customWidth="1"/>
    <col min="14840" max="14840" width="96.85546875" style="2" customWidth="1"/>
    <col min="14841" max="14841" width="30.85546875" style="2" customWidth="1"/>
    <col min="14842" max="14842" width="12.5703125" style="2" customWidth="1"/>
    <col min="14843" max="14843" width="5.140625" style="2" customWidth="1"/>
    <col min="14844" max="14844" width="9.140625" style="2"/>
    <col min="14845" max="14845" width="4.85546875" style="2" customWidth="1"/>
    <col min="14846" max="14846" width="30.5703125" style="2" customWidth="1"/>
    <col min="14847" max="14847" width="33.85546875" style="2" customWidth="1"/>
    <col min="14848" max="14848" width="5.140625" style="2" customWidth="1"/>
    <col min="14849" max="14850" width="17.5703125" style="2" customWidth="1"/>
    <col min="14851" max="15094" width="9.140625" style="2"/>
    <col min="15095" max="15095" width="3.7109375" style="2" customWidth="1"/>
    <col min="15096" max="15096" width="96.85546875" style="2" customWidth="1"/>
    <col min="15097" max="15097" width="30.85546875" style="2" customWidth="1"/>
    <col min="15098" max="15098" width="12.5703125" style="2" customWidth="1"/>
    <col min="15099" max="15099" width="5.140625" style="2" customWidth="1"/>
    <col min="15100" max="15100" width="9.140625" style="2"/>
    <col min="15101" max="15101" width="4.85546875" style="2" customWidth="1"/>
    <col min="15102" max="15102" width="30.5703125" style="2" customWidth="1"/>
    <col min="15103" max="15103" width="33.85546875" style="2" customWidth="1"/>
    <col min="15104" max="15104" width="5.140625" style="2" customWidth="1"/>
    <col min="15105" max="15106" width="17.5703125" style="2" customWidth="1"/>
    <col min="15107" max="15350" width="9.140625" style="2"/>
    <col min="15351" max="15351" width="3.7109375" style="2" customWidth="1"/>
    <col min="15352" max="15352" width="96.85546875" style="2" customWidth="1"/>
    <col min="15353" max="15353" width="30.85546875" style="2" customWidth="1"/>
    <col min="15354" max="15354" width="12.5703125" style="2" customWidth="1"/>
    <col min="15355" max="15355" width="5.140625" style="2" customWidth="1"/>
    <col min="15356" max="15356" width="9.140625" style="2"/>
    <col min="15357" max="15357" width="4.85546875" style="2" customWidth="1"/>
    <col min="15358" max="15358" width="30.5703125" style="2" customWidth="1"/>
    <col min="15359" max="15359" width="33.85546875" style="2" customWidth="1"/>
    <col min="15360" max="15360" width="5.140625" style="2" customWidth="1"/>
    <col min="15361" max="15362" width="17.5703125" style="2" customWidth="1"/>
    <col min="15363" max="15606" width="9.140625" style="2"/>
    <col min="15607" max="15607" width="3.7109375" style="2" customWidth="1"/>
    <col min="15608" max="15608" width="96.85546875" style="2" customWidth="1"/>
    <col min="15609" max="15609" width="30.85546875" style="2" customWidth="1"/>
    <col min="15610" max="15610" width="12.5703125" style="2" customWidth="1"/>
    <col min="15611" max="15611" width="5.140625" style="2" customWidth="1"/>
    <col min="15612" max="15612" width="9.140625" style="2"/>
    <col min="15613" max="15613" width="4.85546875" style="2" customWidth="1"/>
    <col min="15614" max="15614" width="30.5703125" style="2" customWidth="1"/>
    <col min="15615" max="15615" width="33.85546875" style="2" customWidth="1"/>
    <col min="15616" max="15616" width="5.140625" style="2" customWidth="1"/>
    <col min="15617" max="15618" width="17.5703125" style="2" customWidth="1"/>
    <col min="15619" max="15862" width="9.140625" style="2"/>
    <col min="15863" max="15863" width="3.7109375" style="2" customWidth="1"/>
    <col min="15864" max="15864" width="96.85546875" style="2" customWidth="1"/>
    <col min="15865" max="15865" width="30.85546875" style="2" customWidth="1"/>
    <col min="15866" max="15866" width="12.5703125" style="2" customWidth="1"/>
    <col min="15867" max="15867" width="5.140625" style="2" customWidth="1"/>
    <col min="15868" max="15868" width="9.140625" style="2"/>
    <col min="15869" max="15869" width="4.85546875" style="2" customWidth="1"/>
    <col min="15870" max="15870" width="30.5703125" style="2" customWidth="1"/>
    <col min="15871" max="15871" width="33.85546875" style="2" customWidth="1"/>
    <col min="15872" max="15872" width="5.140625" style="2" customWidth="1"/>
    <col min="15873" max="15874" width="17.5703125" style="2" customWidth="1"/>
    <col min="15875" max="16118" width="9.140625" style="2"/>
    <col min="16119" max="16119" width="3.7109375" style="2" customWidth="1"/>
    <col min="16120" max="16120" width="96.85546875" style="2" customWidth="1"/>
    <col min="16121" max="16121" width="30.85546875" style="2" customWidth="1"/>
    <col min="16122" max="16122" width="12.5703125" style="2" customWidth="1"/>
    <col min="16123" max="16123" width="5.140625" style="2" customWidth="1"/>
    <col min="16124" max="16124" width="9.140625" style="2"/>
    <col min="16125" max="16125" width="4.85546875" style="2" customWidth="1"/>
    <col min="16126" max="16126" width="30.5703125" style="2" customWidth="1"/>
    <col min="16127" max="16127" width="33.85546875" style="2" customWidth="1"/>
    <col min="16128" max="16128" width="5.140625" style="2" customWidth="1"/>
    <col min="16129" max="16130" width="17.5703125" style="2" customWidth="1"/>
    <col min="16131" max="16384" width="9.140625" style="2"/>
  </cols>
  <sheetData>
    <row r="1" spans="1:3" ht="48" customHeight="1" x14ac:dyDescent="0.2">
      <c r="A1" s="1"/>
      <c r="B1" s="143" t="s">
        <v>1</v>
      </c>
      <c r="C1" s="143"/>
    </row>
    <row r="2" spans="1:3" x14ac:dyDescent="0.2">
      <c r="A2" s="1"/>
      <c r="B2" s="3" t="s">
        <v>2</v>
      </c>
      <c r="C2" s="4">
        <v>45317</v>
      </c>
    </row>
    <row r="3" spans="1:3" x14ac:dyDescent="0.2">
      <c r="A3" s="1"/>
      <c r="B3" s="5" t="s">
        <v>3</v>
      </c>
      <c r="C3" s="6"/>
    </row>
    <row r="4" spans="1:3" ht="25.5" x14ac:dyDescent="0.2">
      <c r="A4" s="7"/>
      <c r="B4" s="8" t="str">
        <f>[10]И1!D13</f>
        <v>Субъект Российской Федерации</v>
      </c>
      <c r="C4" s="9" t="str">
        <f>[10]И1!E13</f>
        <v>Новосибирская область</v>
      </c>
    </row>
    <row r="5" spans="1:3" ht="15.95" customHeight="1" x14ac:dyDescent="0.2">
      <c r="A5" s="7"/>
      <c r="B5" s="8" t="str">
        <f>[10]И1!D14</f>
        <v>Тип муниципального образования (выберите из списка)</v>
      </c>
      <c r="C5" s="9" t="str">
        <f>[10]И1!E14</f>
        <v>село Красный Яр, Ордынский муниципальный район</v>
      </c>
    </row>
    <row r="6" spans="1:3" x14ac:dyDescent="0.2">
      <c r="A6" s="7"/>
      <c r="B6" s="8" t="str">
        <f>IF([10]И1!E15="","",[10]И1!D15)</f>
        <v/>
      </c>
      <c r="C6" s="6" t="str">
        <f>IF([10]И1!E15="","",[10]И1!E15)</f>
        <v/>
      </c>
    </row>
    <row r="7" spans="1:3" x14ac:dyDescent="0.2">
      <c r="A7" s="7"/>
      <c r="B7" s="8" t="str">
        <f>[10]И1!D16</f>
        <v>Код ОКТМО</v>
      </c>
      <c r="C7" s="10" t="str">
        <f>[10]И1!E16</f>
        <v>50642413101</v>
      </c>
    </row>
    <row r="8" spans="1:3" x14ac:dyDescent="0.2">
      <c r="A8" s="7"/>
      <c r="B8" s="11" t="str">
        <f>[10]И1!D17</f>
        <v>Система теплоснабжения</v>
      </c>
      <c r="C8" s="12">
        <f>[10]И1!E17</f>
        <v>0</v>
      </c>
    </row>
    <row r="9" spans="1:3" x14ac:dyDescent="0.2">
      <c r="A9" s="7"/>
      <c r="B9" s="8" t="str">
        <f>[10]И1!D8</f>
        <v>Период регулирования (i)-й</v>
      </c>
      <c r="C9" s="13">
        <f>[10]И1!E8</f>
        <v>2024</v>
      </c>
    </row>
    <row r="10" spans="1:3" x14ac:dyDescent="0.2">
      <c r="A10" s="7"/>
      <c r="B10" s="8" t="str">
        <f>[10]И1!D9</f>
        <v>Период регулирования (i-1)-й</v>
      </c>
      <c r="C10" s="13">
        <f>[10]И1!E9</f>
        <v>2023</v>
      </c>
    </row>
    <row r="11" spans="1:3" x14ac:dyDescent="0.2">
      <c r="A11" s="7"/>
      <c r="B11" s="8" t="str">
        <f>[10]И1!D10</f>
        <v>Период регулирования (i-2)-й</v>
      </c>
      <c r="C11" s="13">
        <f>[10]И1!E10</f>
        <v>2022</v>
      </c>
    </row>
    <row r="12" spans="1:3" x14ac:dyDescent="0.2">
      <c r="A12" s="7"/>
      <c r="B12" s="8" t="str">
        <f>[10]И1!D11</f>
        <v>Базовый год (б)</v>
      </c>
      <c r="C12" s="13">
        <f>[10]И1!E11</f>
        <v>2019</v>
      </c>
    </row>
    <row r="13" spans="1:3" x14ac:dyDescent="0.2">
      <c r="A13" s="7"/>
      <c r="B13" s="8" t="str">
        <f>[10]И1!D18</f>
        <v>Вид топлива, использование которого преобладает в системе теплоснабжения</v>
      </c>
      <c r="C13" s="14" t="str">
        <f>[10]И1!E18</f>
        <v>Газ</v>
      </c>
    </row>
    <row r="14" spans="1:3" ht="26.25" customHeight="1" thickBot="1" x14ac:dyDescent="0.25">
      <c r="A14" s="142" t="s">
        <v>4</v>
      </c>
      <c r="B14" s="142"/>
      <c r="C14" s="142"/>
    </row>
    <row r="15" spans="1:3" x14ac:dyDescent="0.2">
      <c r="A15" s="15" t="s">
        <v>5</v>
      </c>
      <c r="B15" s="16" t="s">
        <v>6</v>
      </c>
      <c r="C15" s="17" t="s">
        <v>7</v>
      </c>
    </row>
    <row r="16" spans="1:3" x14ac:dyDescent="0.2">
      <c r="A16" s="18">
        <v>1</v>
      </c>
      <c r="B16" s="19">
        <v>2</v>
      </c>
      <c r="C16" s="20">
        <v>3</v>
      </c>
    </row>
    <row r="17" spans="1:3" x14ac:dyDescent="0.2">
      <c r="A17" s="21">
        <v>1</v>
      </c>
      <c r="B17" s="22" t="s">
        <v>8</v>
      </c>
      <c r="C17" s="23">
        <f>SUM(C18:C23)</f>
        <v>2939.9930559661962</v>
      </c>
    </row>
    <row r="18" spans="1:3" ht="42.75" x14ac:dyDescent="0.2">
      <c r="A18" s="21" t="s">
        <v>9</v>
      </c>
      <c r="B18" s="24" t="s">
        <v>10</v>
      </c>
      <c r="C18" s="25">
        <f>[10]С1!F12</f>
        <v>994.35037159416254</v>
      </c>
    </row>
    <row r="19" spans="1:3" ht="42.75" x14ac:dyDescent="0.2">
      <c r="A19" s="21" t="s">
        <v>11</v>
      </c>
      <c r="B19" s="24" t="s">
        <v>12</v>
      </c>
      <c r="C19" s="25">
        <f>[10]С2!F12</f>
        <v>1337.2323504196445</v>
      </c>
    </row>
    <row r="20" spans="1:3" ht="30" x14ac:dyDescent="0.2">
      <c r="A20" s="21" t="s">
        <v>13</v>
      </c>
      <c r="B20" s="24" t="s">
        <v>14</v>
      </c>
      <c r="C20" s="25">
        <f>[10]С3!F12</f>
        <v>317.62075127153844</v>
      </c>
    </row>
    <row r="21" spans="1:3" ht="42.75" x14ac:dyDescent="0.2">
      <c r="A21" s="21" t="s">
        <v>15</v>
      </c>
      <c r="B21" s="24" t="s">
        <v>16</v>
      </c>
      <c r="C21" s="25">
        <f>[10]С4!F12</f>
        <v>233.14266001484705</v>
      </c>
    </row>
    <row r="22" spans="1:3" ht="33" customHeight="1" x14ac:dyDescent="0.2">
      <c r="A22" s="21" t="s">
        <v>17</v>
      </c>
      <c r="B22" s="24" t="s">
        <v>18</v>
      </c>
      <c r="C22" s="25">
        <f>[10]С5!F12</f>
        <v>57.646922666003846</v>
      </c>
    </row>
    <row r="23" spans="1:3" ht="45.75" customHeight="1" thickBot="1" x14ac:dyDescent="0.25">
      <c r="A23" s="26" t="s">
        <v>19</v>
      </c>
      <c r="B23" s="140" t="s">
        <v>20</v>
      </c>
      <c r="C23" s="27">
        <f>[10]С6!F12</f>
        <v>0</v>
      </c>
    </row>
    <row r="24" spans="1:3" ht="13.5" thickBot="1" x14ac:dyDescent="0.25">
      <c r="A24" s="1"/>
      <c r="C24" s="6"/>
    </row>
    <row r="25" spans="1:3" x14ac:dyDescent="0.2">
      <c r="A25" s="15" t="s">
        <v>5</v>
      </c>
      <c r="B25" s="28" t="s">
        <v>6</v>
      </c>
      <c r="C25" s="16" t="s">
        <v>7</v>
      </c>
    </row>
    <row r="26" spans="1:3" x14ac:dyDescent="0.2">
      <c r="A26" s="18">
        <v>1</v>
      </c>
      <c r="B26" s="29">
        <v>2</v>
      </c>
      <c r="C26" s="30">
        <v>3</v>
      </c>
    </row>
    <row r="27" spans="1:3" ht="30" customHeight="1" x14ac:dyDescent="0.2">
      <c r="A27" s="21">
        <v>1</v>
      </c>
      <c r="B27" s="144" t="s">
        <v>21</v>
      </c>
      <c r="C27" s="144"/>
    </row>
    <row r="28" spans="1:3" x14ac:dyDescent="0.2">
      <c r="A28" s="21" t="s">
        <v>9</v>
      </c>
      <c r="B28" s="31" t="s">
        <v>22</v>
      </c>
      <c r="C28" s="32">
        <f>[10]С1.1!E16</f>
        <v>7900</v>
      </c>
    </row>
    <row r="29" spans="1:3" ht="42.75" x14ac:dyDescent="0.2">
      <c r="A29" s="21" t="s">
        <v>11</v>
      </c>
      <c r="B29" s="31" t="s">
        <v>23</v>
      </c>
      <c r="C29" s="32">
        <f>[10]С1.1!E32</f>
        <v>5751.37</v>
      </c>
    </row>
    <row r="30" spans="1:3" ht="38.25" x14ac:dyDescent="0.2">
      <c r="A30" s="21" t="s">
        <v>24</v>
      </c>
      <c r="B30" s="31" t="s">
        <v>25</v>
      </c>
      <c r="C30" s="33" t="str">
        <f>[10]С1.1!E25</f>
        <v>ООО "Газпром газораспределение Томск"</v>
      </c>
    </row>
    <row r="31" spans="1:3" ht="38.25" x14ac:dyDescent="0.2">
      <c r="A31" s="21" t="s">
        <v>26</v>
      </c>
      <c r="B31" s="31" t="str">
        <f>[10]С1.1!D26</f>
        <v>Среднеарифметическое значение между установленными предельными максимальным и минимальным уровнями оптовых цен, действовавшими на день окончания (i-2)-го расчетного периода регулирования в системе теплоснабжения, без НДС, руб./тыс. куб. м</v>
      </c>
      <c r="C31" s="32">
        <f>[10]С1.1!E26</f>
        <v>4699.5</v>
      </c>
    </row>
    <row r="32" spans="1:3" ht="25.5" x14ac:dyDescent="0.2">
      <c r="A32" s="21" t="s">
        <v>27</v>
      </c>
      <c r="B32" s="31" t="str">
        <f>[10]С1.1!D27</f>
        <v>Тариф на услуги по транспортировке газа по газораспределительным сетям, действовавший на день окончания (i-2)-го расчетного периода регулирования в системе теплоснабжения, без НДС, руб./тыс. куб. м</v>
      </c>
      <c r="C32" s="32">
        <f>[10]С1.1!E27</f>
        <v>795.43</v>
      </c>
    </row>
    <row r="33" spans="1:3" ht="25.5" x14ac:dyDescent="0.2">
      <c r="A33" s="21" t="s">
        <v>28</v>
      </c>
      <c r="B33" s="31" t="str">
        <f>[10]С1.1!D28</f>
        <v>Размер платы за снабженческо-сбытовые услуги, действовавший на день окончания (i-2)-го расчетного периода регулирования в системе теплоснабжения, без НДС, руб./тыс. куб. м</v>
      </c>
      <c r="C33" s="32">
        <f>[10]С1.1!E28</f>
        <v>136.54</v>
      </c>
    </row>
    <row r="34" spans="1:3" ht="38.25" x14ac:dyDescent="0.2">
      <c r="A34" s="21" t="s">
        <v>29</v>
      </c>
      <c r="B34" s="31" t="str">
        <f>[10]С1.1!D29</f>
        <v>Специальная надбавка к тарифам на услуги по транспортировке газа по газораспределительным сетям, действовавшая на день окончания (i-2)-го расчетного периода регулирования в системе теплоснабжения, без НДС, руб./тыс. куб. м</v>
      </c>
      <c r="C34" s="32">
        <f>[10]С1.1!E29</f>
        <v>119.9</v>
      </c>
    </row>
    <row r="35" spans="1:3" ht="17.25" x14ac:dyDescent="0.2">
      <c r="A35" s="21" t="s">
        <v>13</v>
      </c>
      <c r="B35" s="31" t="s">
        <v>30</v>
      </c>
      <c r="C35" s="34">
        <f>[10]С1.1!E20</f>
        <v>8.5000000000000006E-2</v>
      </c>
    </row>
    <row r="36" spans="1:3" ht="17.25" x14ac:dyDescent="0.2">
      <c r="A36" s="21" t="s">
        <v>15</v>
      </c>
      <c r="B36" s="31" t="s">
        <v>31</v>
      </c>
      <c r="C36" s="34">
        <f>[10]С1.1!E21</f>
        <v>0.112</v>
      </c>
    </row>
    <row r="37" spans="1:3" ht="30" x14ac:dyDescent="0.2">
      <c r="A37" s="21" t="s">
        <v>17</v>
      </c>
      <c r="B37" s="35" t="s">
        <v>32</v>
      </c>
      <c r="C37" s="36">
        <f>[10]С1!F13</f>
        <v>156.1</v>
      </c>
    </row>
    <row r="38" spans="1:3" x14ac:dyDescent="0.2">
      <c r="A38" s="21" t="s">
        <v>19</v>
      </c>
      <c r="B38" s="35" t="s">
        <v>33</v>
      </c>
      <c r="C38" s="37">
        <f>[10]С1!F16</f>
        <v>7000</v>
      </c>
    </row>
    <row r="39" spans="1:3" ht="14.25" x14ac:dyDescent="0.2">
      <c r="A39" s="38" t="s">
        <v>34</v>
      </c>
      <c r="B39" s="39" t="s">
        <v>35</v>
      </c>
      <c r="C39" s="40">
        <f>[10]С1!F17</f>
        <v>1.1285714285714286</v>
      </c>
    </row>
    <row r="40" spans="1:3" ht="15.75" x14ac:dyDescent="0.2">
      <c r="A40" s="41" t="s">
        <v>36</v>
      </c>
      <c r="B40" s="42" t="s">
        <v>37</v>
      </c>
      <c r="C40" s="40">
        <f>[10]С1!F20</f>
        <v>22.307053372799995</v>
      </c>
    </row>
    <row r="41" spans="1:3" ht="15.75" x14ac:dyDescent="0.2">
      <c r="A41" s="41" t="s">
        <v>38</v>
      </c>
      <c r="B41" s="43" t="s">
        <v>39</v>
      </c>
      <c r="C41" s="40">
        <f>[10]С1!F21</f>
        <v>21.531904799999996</v>
      </c>
    </row>
    <row r="42" spans="1:3" ht="14.25" x14ac:dyDescent="0.2">
      <c r="A42" s="41" t="s">
        <v>40</v>
      </c>
      <c r="B42" s="44" t="s">
        <v>41</v>
      </c>
      <c r="C42" s="40">
        <f>[10]С1!F22</f>
        <v>1.036</v>
      </c>
    </row>
    <row r="43" spans="1:3" ht="53.25" thickBot="1" x14ac:dyDescent="0.25">
      <c r="A43" s="26" t="s">
        <v>42</v>
      </c>
      <c r="B43" s="45" t="s">
        <v>43</v>
      </c>
      <c r="C43" s="46" t="str">
        <f>[10]С1!F23</f>
        <v>-</v>
      </c>
    </row>
    <row r="44" spans="1:3" ht="13.5" thickBot="1" x14ac:dyDescent="0.25">
      <c r="A44" s="47"/>
      <c r="B44" s="48"/>
      <c r="C44" s="14"/>
    </row>
    <row r="45" spans="1:3" ht="30" customHeight="1" x14ac:dyDescent="0.2">
      <c r="A45" s="49" t="s">
        <v>44</v>
      </c>
      <c r="B45" s="145" t="s">
        <v>45</v>
      </c>
      <c r="C45" s="145"/>
    </row>
    <row r="46" spans="1:3" ht="25.5" x14ac:dyDescent="0.2">
      <c r="A46" s="21" t="s">
        <v>46</v>
      </c>
      <c r="B46" s="35" t="s">
        <v>47</v>
      </c>
      <c r="C46" s="50" t="str">
        <f>[10]С2.1!E12</f>
        <v>V</v>
      </c>
    </row>
    <row r="47" spans="1:3" ht="25.5" x14ac:dyDescent="0.2">
      <c r="A47" s="21" t="s">
        <v>48</v>
      </c>
      <c r="B47" s="31" t="s">
        <v>49</v>
      </c>
      <c r="C47" s="50" t="str">
        <f>[10]С2.1!E13</f>
        <v>6 и менее баллов</v>
      </c>
    </row>
    <row r="48" spans="1:3" ht="25.5" x14ac:dyDescent="0.2">
      <c r="A48" s="21" t="s">
        <v>50</v>
      </c>
      <c r="B48" s="31" t="s">
        <v>51</v>
      </c>
      <c r="C48" s="50" t="str">
        <f>[10]С2.1!E14</f>
        <v>от 200 до 500</v>
      </c>
    </row>
    <row r="49" spans="1:3" ht="25.5" x14ac:dyDescent="0.2">
      <c r="A49" s="21" t="s">
        <v>52</v>
      </c>
      <c r="B49" s="31" t="s">
        <v>53</v>
      </c>
      <c r="C49" s="51" t="str">
        <f>[10]С2.1!E15</f>
        <v>нет</v>
      </c>
    </row>
    <row r="50" spans="1:3" ht="30" x14ac:dyDescent="0.2">
      <c r="A50" s="21" t="s">
        <v>54</v>
      </c>
      <c r="B50" s="31" t="s">
        <v>55</v>
      </c>
      <c r="C50" s="32">
        <f>[10]С2!F18</f>
        <v>35106.652004551666</v>
      </c>
    </row>
    <row r="51" spans="1:3" ht="30" x14ac:dyDescent="0.2">
      <c r="A51" s="21" t="s">
        <v>56</v>
      </c>
      <c r="B51" s="52" t="s">
        <v>57</v>
      </c>
      <c r="C51" s="32">
        <f>IF([10]С2!F19&gt;0,[10]С2!F19,[10]С2!F20)</f>
        <v>23441.524932855718</v>
      </c>
    </row>
    <row r="52" spans="1:3" ht="25.5" x14ac:dyDescent="0.2">
      <c r="A52" s="21" t="s">
        <v>58</v>
      </c>
      <c r="B52" s="53" t="s">
        <v>59</v>
      </c>
      <c r="C52" s="32">
        <f>[10]С2.1!E20</f>
        <v>-37</v>
      </c>
    </row>
    <row r="53" spans="1:3" ht="25.5" x14ac:dyDescent="0.2">
      <c r="A53" s="21" t="s">
        <v>60</v>
      </c>
      <c r="B53" s="53" t="s">
        <v>61</v>
      </c>
      <c r="C53" s="32" t="str">
        <f>[10]С2.1!E23</f>
        <v>нет</v>
      </c>
    </row>
    <row r="54" spans="1:3" ht="38.25" x14ac:dyDescent="0.2">
      <c r="A54" s="21" t="s">
        <v>62</v>
      </c>
      <c r="B54" s="54" t="s">
        <v>63</v>
      </c>
      <c r="C54" s="32">
        <f>[10]С2.2!E10</f>
        <v>1287</v>
      </c>
    </row>
    <row r="55" spans="1:3" ht="25.5" x14ac:dyDescent="0.2">
      <c r="A55" s="21" t="s">
        <v>64</v>
      </c>
      <c r="B55" s="55" t="s">
        <v>65</v>
      </c>
      <c r="C55" s="32">
        <f>[10]С2.2!E12</f>
        <v>5.97</v>
      </c>
    </row>
    <row r="56" spans="1:3" ht="52.5" x14ac:dyDescent="0.2">
      <c r="A56" s="21" t="s">
        <v>66</v>
      </c>
      <c r="B56" s="56" t="s">
        <v>67</v>
      </c>
      <c r="C56" s="32">
        <f>[10]С2.2!E13</f>
        <v>1</v>
      </c>
    </row>
    <row r="57" spans="1:3" ht="27.75" x14ac:dyDescent="0.2">
      <c r="A57" s="21" t="s">
        <v>68</v>
      </c>
      <c r="B57" s="55" t="s">
        <v>69</v>
      </c>
      <c r="C57" s="32">
        <f>[10]С2.2!E14</f>
        <v>12104</v>
      </c>
    </row>
    <row r="58" spans="1:3" ht="25.5" x14ac:dyDescent="0.2">
      <c r="A58" s="21" t="s">
        <v>70</v>
      </c>
      <c r="B58" s="56" t="s">
        <v>71</v>
      </c>
      <c r="C58" s="34">
        <f>[10]С2.2!E15</f>
        <v>4.8000000000000001E-2</v>
      </c>
    </row>
    <row r="59" spans="1:3" x14ac:dyDescent="0.2">
      <c r="A59" s="21" t="s">
        <v>72</v>
      </c>
      <c r="B59" s="56" t="s">
        <v>73</v>
      </c>
      <c r="C59" s="57">
        <f>[10]С2.2!E16</f>
        <v>1</v>
      </c>
    </row>
    <row r="60" spans="1:3" ht="15.75" x14ac:dyDescent="0.2">
      <c r="A60" s="21" t="s">
        <v>74</v>
      </c>
      <c r="B60" s="58" t="s">
        <v>75</v>
      </c>
      <c r="C60" s="32">
        <f>[10]С2!F21</f>
        <v>1</v>
      </c>
    </row>
    <row r="61" spans="1:3" ht="30" x14ac:dyDescent="0.2">
      <c r="A61" s="59" t="s">
        <v>76</v>
      </c>
      <c r="B61" s="31" t="s">
        <v>77</v>
      </c>
      <c r="C61" s="32">
        <f>[10]С2!F13</f>
        <v>105136.23090983224</v>
      </c>
    </row>
    <row r="62" spans="1:3" ht="30" x14ac:dyDescent="0.2">
      <c r="A62" s="59" t="s">
        <v>78</v>
      </c>
      <c r="B62" s="60" t="s">
        <v>79</v>
      </c>
      <c r="C62" s="32">
        <f>[10]С2!F14</f>
        <v>64899</v>
      </c>
    </row>
    <row r="63" spans="1:3" ht="15.75" x14ac:dyDescent="0.2">
      <c r="A63" s="59" t="s">
        <v>80</v>
      </c>
      <c r="B63" s="60" t="s">
        <v>81</v>
      </c>
      <c r="C63" s="40">
        <f>[10]С2!F15</f>
        <v>1.071</v>
      </c>
    </row>
    <row r="64" spans="1:3" ht="15.75" x14ac:dyDescent="0.2">
      <c r="A64" s="59" t="s">
        <v>82</v>
      </c>
      <c r="B64" s="60" t="s">
        <v>83</v>
      </c>
      <c r="C64" s="61">
        <f>[10]С2!F16</f>
        <v>1</v>
      </c>
    </row>
    <row r="65" spans="1:3" ht="17.25" x14ac:dyDescent="0.2">
      <c r="A65" s="59" t="s">
        <v>84</v>
      </c>
      <c r="B65" s="60" t="s">
        <v>85</v>
      </c>
      <c r="C65" s="62">
        <f>[10]С2!F17</f>
        <v>1.01</v>
      </c>
    </row>
    <row r="66" spans="1:3" s="65" customFormat="1" ht="14.25" x14ac:dyDescent="0.2">
      <c r="A66" s="59" t="s">
        <v>86</v>
      </c>
      <c r="B66" s="63" t="s">
        <v>87</v>
      </c>
      <c r="C66" s="64">
        <f>[10]С2!F35</f>
        <v>10</v>
      </c>
    </row>
    <row r="67" spans="1:3" ht="30" x14ac:dyDescent="0.2">
      <c r="A67" s="59" t="s">
        <v>88</v>
      </c>
      <c r="B67" s="66" t="s">
        <v>89</v>
      </c>
      <c r="C67" s="32">
        <f>[10]С2!F28</f>
        <v>150.75887532279913</v>
      </c>
    </row>
    <row r="68" spans="1:3" ht="17.25" x14ac:dyDescent="0.2">
      <c r="A68" s="59" t="s">
        <v>90</v>
      </c>
      <c r="B68" s="52" t="s">
        <v>91</v>
      </c>
      <c r="C68" s="40">
        <f>[10]С2!F29</f>
        <v>0.201330388</v>
      </c>
    </row>
    <row r="69" spans="1:3" ht="17.25" x14ac:dyDescent="0.2">
      <c r="A69" s="59" t="s">
        <v>92</v>
      </c>
      <c r="B69" s="58" t="s">
        <v>93</v>
      </c>
      <c r="C69" s="64">
        <f>[10]С2!F30</f>
        <v>500</v>
      </c>
    </row>
    <row r="70" spans="1:3" ht="42.75" x14ac:dyDescent="0.2">
      <c r="A70" s="59" t="s">
        <v>94</v>
      </c>
      <c r="B70" s="31" t="s">
        <v>95</v>
      </c>
      <c r="C70" s="32">
        <f>[10]С2!F22</f>
        <v>39638.324046481182</v>
      </c>
    </row>
    <row r="71" spans="1:3" ht="30" x14ac:dyDescent="0.2">
      <c r="A71" s="59" t="s">
        <v>96</v>
      </c>
      <c r="B71" s="60" t="s">
        <v>97</v>
      </c>
      <c r="C71" s="32">
        <f>[10]С2!F23</f>
        <v>21</v>
      </c>
    </row>
    <row r="72" spans="1:3" ht="30" x14ac:dyDescent="0.2">
      <c r="A72" s="59" t="s">
        <v>98</v>
      </c>
      <c r="B72" s="52" t="s">
        <v>99</v>
      </c>
      <c r="C72" s="32">
        <f>[10]С2.1!E28</f>
        <v>14036.09995</v>
      </c>
    </row>
    <row r="73" spans="1:3" ht="38.25" x14ac:dyDescent="0.2">
      <c r="A73" s="59" t="s">
        <v>100</v>
      </c>
      <c r="B73" s="67" t="s">
        <v>101</v>
      </c>
      <c r="C73" s="51">
        <f>[10]С2.3!E21</f>
        <v>0</v>
      </c>
    </row>
    <row r="74" spans="1:3" ht="25.5" x14ac:dyDescent="0.2">
      <c r="A74" s="59" t="s">
        <v>102</v>
      </c>
      <c r="B74" s="68" t="s">
        <v>103</v>
      </c>
      <c r="C74" s="69">
        <f>[10]С2.3!E11</f>
        <v>5.45</v>
      </c>
    </row>
    <row r="75" spans="1:3" ht="25.5" x14ac:dyDescent="0.2">
      <c r="A75" s="59" t="s">
        <v>104</v>
      </c>
      <c r="B75" s="68" t="s">
        <v>105</v>
      </c>
      <c r="C75" s="64">
        <f>[10]С2.3!E13</f>
        <v>300</v>
      </c>
    </row>
    <row r="76" spans="1:3" ht="25.5" x14ac:dyDescent="0.2">
      <c r="A76" s="59" t="s">
        <v>106</v>
      </c>
      <c r="B76" s="67" t="s">
        <v>107</v>
      </c>
      <c r="C76" s="70">
        <f>IF([10]С2.3!E22&gt;0,[10]С2.3!E22,[10]С2.3!E14)</f>
        <v>61211</v>
      </c>
    </row>
    <row r="77" spans="1:3" ht="38.25" x14ac:dyDescent="0.2">
      <c r="A77" s="59" t="s">
        <v>108</v>
      </c>
      <c r="B77" s="67" t="s">
        <v>109</v>
      </c>
      <c r="C77" s="70">
        <f>IF([10]С2.3!E23&gt;0,[10]С2.3!E23,[10]С2.3!E15)</f>
        <v>45675</v>
      </c>
    </row>
    <row r="78" spans="1:3" ht="30" x14ac:dyDescent="0.2">
      <c r="A78" s="59" t="s">
        <v>110</v>
      </c>
      <c r="B78" s="52" t="s">
        <v>111</v>
      </c>
      <c r="C78" s="32">
        <f>[10]С2.1!E29</f>
        <v>9518.3274000000001</v>
      </c>
    </row>
    <row r="79" spans="1:3" ht="38.25" x14ac:dyDescent="0.2">
      <c r="A79" s="59" t="s">
        <v>112</v>
      </c>
      <c r="B79" s="67" t="s">
        <v>113</v>
      </c>
      <c r="C79" s="51">
        <f>[10]С2.3!E25</f>
        <v>0</v>
      </c>
    </row>
    <row r="80" spans="1:3" ht="25.5" x14ac:dyDescent="0.2">
      <c r="A80" s="59" t="s">
        <v>114</v>
      </c>
      <c r="B80" s="68" t="s">
        <v>115</v>
      </c>
      <c r="C80" s="69">
        <f>[10]С2.3!E12</f>
        <v>0.2</v>
      </c>
    </row>
    <row r="81" spans="1:3" ht="25.5" x14ac:dyDescent="0.2">
      <c r="A81" s="59" t="s">
        <v>116</v>
      </c>
      <c r="B81" s="68" t="s">
        <v>105</v>
      </c>
      <c r="C81" s="64">
        <f>[10]С2.3!E13</f>
        <v>300</v>
      </c>
    </row>
    <row r="82" spans="1:3" ht="25.5" x14ac:dyDescent="0.2">
      <c r="A82" s="59" t="s">
        <v>117</v>
      </c>
      <c r="B82" s="71" t="s">
        <v>118</v>
      </c>
      <c r="C82" s="70">
        <f>IF([10]С2.3!E26&gt;0,[10]С2.3!E26,[10]С2.3!E16)</f>
        <v>65637</v>
      </c>
    </row>
    <row r="83" spans="1:3" ht="38.25" x14ac:dyDescent="0.2">
      <c r="A83" s="59" t="s">
        <v>119</v>
      </c>
      <c r="B83" s="71" t="s">
        <v>120</v>
      </c>
      <c r="C83" s="70">
        <f>IF([10]С2.3!E27&gt;0,[10]С2.3!E27,[10]С2.3!E17)</f>
        <v>31684</v>
      </c>
    </row>
    <row r="84" spans="1:3" ht="30" x14ac:dyDescent="0.2">
      <c r="A84" s="59" t="s">
        <v>121</v>
      </c>
      <c r="B84" s="60" t="s">
        <v>122</v>
      </c>
      <c r="C84" s="70">
        <f>IF([10]С2.1!E19&gt;0,[10]С2.1!E19,[10]С2!F26)</f>
        <v>2892</v>
      </c>
    </row>
    <row r="85" spans="1:3" ht="17.25" x14ac:dyDescent="0.2">
      <c r="A85" s="59" t="s">
        <v>123</v>
      </c>
      <c r="B85" s="31" t="s">
        <v>124</v>
      </c>
      <c r="C85" s="34">
        <f>[10]С2!F31</f>
        <v>9.5962865259740182E-2</v>
      </c>
    </row>
    <row r="86" spans="1:3" ht="30" x14ac:dyDescent="0.2">
      <c r="A86" s="59" t="s">
        <v>125</v>
      </c>
      <c r="B86" s="52" t="s">
        <v>126</v>
      </c>
      <c r="C86" s="72">
        <f>[10]С2!F32</f>
        <v>8.4029304029304031E-2</v>
      </c>
    </row>
    <row r="87" spans="1:3" ht="17.25" x14ac:dyDescent="0.2">
      <c r="A87" s="59" t="s">
        <v>127</v>
      </c>
      <c r="B87" s="73" t="s">
        <v>128</v>
      </c>
      <c r="C87" s="34">
        <f>[10]С2!F33</f>
        <v>0.13880000000000001</v>
      </c>
    </row>
    <row r="88" spans="1:3" s="65" customFormat="1" ht="18" thickBot="1" x14ac:dyDescent="0.25">
      <c r="A88" s="74" t="s">
        <v>129</v>
      </c>
      <c r="B88" s="75" t="s">
        <v>130</v>
      </c>
      <c r="C88" s="76">
        <f>[10]С2!F34</f>
        <v>0.12640000000000001</v>
      </c>
    </row>
    <row r="89" spans="1:3" ht="13.5" thickBot="1" x14ac:dyDescent="0.25">
      <c r="A89" s="47"/>
      <c r="B89" s="48"/>
      <c r="C89" s="14"/>
    </row>
    <row r="90" spans="1:3" s="65" customFormat="1" ht="30" customHeight="1" x14ac:dyDescent="0.2">
      <c r="A90" s="77" t="s">
        <v>131</v>
      </c>
      <c r="B90" s="145" t="s">
        <v>132</v>
      </c>
      <c r="C90" s="145"/>
    </row>
    <row r="91" spans="1:3" s="65" customFormat="1" ht="30" x14ac:dyDescent="0.2">
      <c r="A91" s="78" t="s">
        <v>133</v>
      </c>
      <c r="B91" s="31" t="s">
        <v>134</v>
      </c>
      <c r="C91" s="32">
        <f>[10]С3!F14</f>
        <v>4200.2698001645867</v>
      </c>
    </row>
    <row r="92" spans="1:3" s="65" customFormat="1" ht="42.75" x14ac:dyDescent="0.2">
      <c r="A92" s="78" t="s">
        <v>135</v>
      </c>
      <c r="B92" s="52" t="s">
        <v>136</v>
      </c>
      <c r="C92" s="79">
        <f>[10]С3!F15</f>
        <v>0.2</v>
      </c>
    </row>
    <row r="93" spans="1:3" s="65" customFormat="1" ht="14.25" x14ac:dyDescent="0.2">
      <c r="A93" s="78" t="s">
        <v>137</v>
      </c>
      <c r="B93" s="80" t="s">
        <v>138</v>
      </c>
      <c r="C93" s="64">
        <f>[10]С3!F18</f>
        <v>15</v>
      </c>
    </row>
    <row r="94" spans="1:3" s="65" customFormat="1" ht="17.25" x14ac:dyDescent="0.2">
      <c r="A94" s="78" t="s">
        <v>139</v>
      </c>
      <c r="B94" s="31" t="s">
        <v>140</v>
      </c>
      <c r="C94" s="32">
        <f>[10]С3!F19</f>
        <v>2638.2577020926874</v>
      </c>
    </row>
    <row r="95" spans="1:3" s="65" customFormat="1" ht="55.5" x14ac:dyDescent="0.2">
      <c r="A95" s="78" t="s">
        <v>141</v>
      </c>
      <c r="B95" s="52" t="s">
        <v>142</v>
      </c>
      <c r="C95" s="81">
        <f>[10]С3!F20</f>
        <v>2.1999999999999999E-2</v>
      </c>
    </row>
    <row r="96" spans="1:3" s="65" customFormat="1" ht="14.25" x14ac:dyDescent="0.2">
      <c r="A96" s="78" t="s">
        <v>143</v>
      </c>
      <c r="B96" s="58" t="s">
        <v>87</v>
      </c>
      <c r="C96" s="64">
        <f>[10]С3!F21</f>
        <v>10</v>
      </c>
    </row>
    <row r="97" spans="1:3" s="65" customFormat="1" ht="17.25" x14ac:dyDescent="0.2">
      <c r="A97" s="78" t="s">
        <v>144</v>
      </c>
      <c r="B97" s="31" t="s">
        <v>145</v>
      </c>
      <c r="C97" s="32">
        <f>[10]С3!F22</f>
        <v>0.45227662596839741</v>
      </c>
    </row>
    <row r="98" spans="1:3" s="65" customFormat="1" ht="55.5" x14ac:dyDescent="0.2">
      <c r="A98" s="78" t="s">
        <v>146</v>
      </c>
      <c r="B98" s="52" t="s">
        <v>147</v>
      </c>
      <c r="C98" s="81">
        <f>[10]С3!F23</f>
        <v>3.0000000000000001E-3</v>
      </c>
    </row>
    <row r="99" spans="1:3" s="65" customFormat="1" ht="30.75" thickBot="1" x14ac:dyDescent="0.25">
      <c r="A99" s="82" t="s">
        <v>148</v>
      </c>
      <c r="B99" s="83" t="s">
        <v>89</v>
      </c>
      <c r="C99" s="84">
        <f>[10]С3!F24</f>
        <v>150.75887532279913</v>
      </c>
    </row>
    <row r="100" spans="1:3" ht="13.5" thickBot="1" x14ac:dyDescent="0.25">
      <c r="A100" s="47"/>
      <c r="B100" s="48"/>
      <c r="C100" s="14"/>
    </row>
    <row r="101" spans="1:3" ht="30" customHeight="1" x14ac:dyDescent="0.2">
      <c r="A101" s="85" t="s">
        <v>149</v>
      </c>
      <c r="B101" s="145" t="s">
        <v>150</v>
      </c>
      <c r="C101" s="145"/>
    </row>
    <row r="102" spans="1:3" ht="30" x14ac:dyDescent="0.2">
      <c r="A102" s="59" t="s">
        <v>151</v>
      </c>
      <c r="B102" s="31" t="s">
        <v>152</v>
      </c>
      <c r="C102" s="32">
        <f>[10]С4!F16</f>
        <v>832.33500000000004</v>
      </c>
    </row>
    <row r="103" spans="1:3" ht="30" x14ac:dyDescent="0.2">
      <c r="A103" s="59" t="s">
        <v>153</v>
      </c>
      <c r="B103" s="58" t="s">
        <v>154</v>
      </c>
      <c r="C103" s="32">
        <f>[10]С4!F17</f>
        <v>43385</v>
      </c>
    </row>
    <row r="104" spans="1:3" ht="17.25" x14ac:dyDescent="0.2">
      <c r="A104" s="59" t="s">
        <v>155</v>
      </c>
      <c r="B104" s="58" t="s">
        <v>156</v>
      </c>
      <c r="C104" s="40">
        <f>[10]С4!F18</f>
        <v>1.4999999999999999E-2</v>
      </c>
    </row>
    <row r="105" spans="1:3" ht="30" x14ac:dyDescent="0.2">
      <c r="A105" s="59" t="s">
        <v>157</v>
      </c>
      <c r="B105" s="58" t="s">
        <v>158</v>
      </c>
      <c r="C105" s="32">
        <f>[10]С4!F19</f>
        <v>12104</v>
      </c>
    </row>
    <row r="106" spans="1:3" ht="28.5" x14ac:dyDescent="0.2">
      <c r="A106" s="59" t="s">
        <v>159</v>
      </c>
      <c r="B106" s="58" t="s">
        <v>160</v>
      </c>
      <c r="C106" s="40">
        <f>[10]С4!F20</f>
        <v>1.4999999999999999E-2</v>
      </c>
    </row>
    <row r="107" spans="1:3" ht="30" x14ac:dyDescent="0.2">
      <c r="A107" s="59" t="s">
        <v>161</v>
      </c>
      <c r="B107" s="31" t="s">
        <v>162</v>
      </c>
      <c r="C107" s="32">
        <f>[10]С4!F21</f>
        <v>1221.9019409821399</v>
      </c>
    </row>
    <row r="108" spans="1:3" ht="45.6" customHeight="1" x14ac:dyDescent="0.2">
      <c r="A108" s="59" t="s">
        <v>163</v>
      </c>
      <c r="B108" s="52" t="s">
        <v>164</v>
      </c>
      <c r="C108" s="33" t="str">
        <f>IF([10]С4.2!F8="да",[10]С4.2!D21,[10]С4.2!D15)</f>
        <v>АО "Новосибирскэнергосбыт"</v>
      </c>
    </row>
    <row r="109" spans="1:3" ht="68.25" customHeight="1" x14ac:dyDescent="0.2">
      <c r="A109" s="59" t="s">
        <v>165</v>
      </c>
      <c r="B109" s="52" t="s">
        <v>166</v>
      </c>
      <c r="C109" s="32">
        <f>[10]С4!F22</f>
        <v>3.6112641666666665</v>
      </c>
    </row>
    <row r="110" spans="1:3" ht="30" x14ac:dyDescent="0.2">
      <c r="A110" s="59" t="s">
        <v>167</v>
      </c>
      <c r="B110" s="58" t="s">
        <v>168</v>
      </c>
      <c r="C110" s="64">
        <f>[10]С4!F23</f>
        <v>110</v>
      </c>
    </row>
    <row r="111" spans="1:3" ht="14.25" x14ac:dyDescent="0.2">
      <c r="A111" s="59" t="s">
        <v>169</v>
      </c>
      <c r="B111" s="52" t="s">
        <v>170</v>
      </c>
      <c r="C111" s="32">
        <f>[10]С4!F24</f>
        <v>8497.1999999999989</v>
      </c>
    </row>
    <row r="112" spans="1:3" ht="14.25" x14ac:dyDescent="0.2">
      <c r="A112" s="59" t="s">
        <v>171</v>
      </c>
      <c r="B112" s="58" t="s">
        <v>172</v>
      </c>
      <c r="C112" s="40">
        <f>[10]С4!F25</f>
        <v>0.36199999999999999</v>
      </c>
    </row>
    <row r="113" spans="1:3" ht="17.25" x14ac:dyDescent="0.2">
      <c r="A113" s="59" t="s">
        <v>173</v>
      </c>
      <c r="B113" s="31" t="s">
        <v>174</v>
      </c>
      <c r="C113" s="32">
        <f>[10]С4!F26</f>
        <v>32.259143333333334</v>
      </c>
    </row>
    <row r="114" spans="1:3" ht="25.5" x14ac:dyDescent="0.2">
      <c r="A114" s="59" t="s">
        <v>175</v>
      </c>
      <c r="B114" s="52" t="s">
        <v>101</v>
      </c>
      <c r="C114" s="33">
        <f>[10]С4.3!E16</f>
        <v>0</v>
      </c>
    </row>
    <row r="115" spans="1:3" ht="25.5" x14ac:dyDescent="0.2">
      <c r="A115" s="59" t="s">
        <v>176</v>
      </c>
      <c r="B115" s="52" t="s">
        <v>177</v>
      </c>
      <c r="C115" s="32">
        <f>[10]С4.3!E17</f>
        <v>15.98</v>
      </c>
    </row>
    <row r="116" spans="1:3" ht="38.25" x14ac:dyDescent="0.2">
      <c r="A116" s="59" t="s">
        <v>178</v>
      </c>
      <c r="B116" s="52" t="s">
        <v>113</v>
      </c>
      <c r="C116" s="33">
        <f>[10]С4.3!E18</f>
        <v>0</v>
      </c>
    </row>
    <row r="117" spans="1:3" x14ac:dyDescent="0.2">
      <c r="A117" s="59" t="s">
        <v>179</v>
      </c>
      <c r="B117" s="52" t="s">
        <v>180</v>
      </c>
      <c r="C117" s="32">
        <f>[10]С4.3!E19</f>
        <v>18.983333333333334</v>
      </c>
    </row>
    <row r="118" spans="1:3" x14ac:dyDescent="0.2">
      <c r="A118" s="59" t="s">
        <v>181</v>
      </c>
      <c r="B118" s="58" t="s">
        <v>182</v>
      </c>
      <c r="C118" s="64">
        <f>[10]С4.3!E11</f>
        <v>1871</v>
      </c>
    </row>
    <row r="119" spans="1:3" x14ac:dyDescent="0.2">
      <c r="A119" s="59" t="s">
        <v>183</v>
      </c>
      <c r="B119" s="58" t="s">
        <v>184</v>
      </c>
      <c r="C119" s="51">
        <f>[10]С4.3!E12</f>
        <v>61</v>
      </c>
    </row>
    <row r="120" spans="1:3" x14ac:dyDescent="0.2">
      <c r="A120" s="59" t="s">
        <v>185</v>
      </c>
      <c r="B120" s="58" t="s">
        <v>186</v>
      </c>
      <c r="C120" s="51">
        <f>[10]С4.3!E13</f>
        <v>73</v>
      </c>
    </row>
    <row r="121" spans="1:3" ht="30" x14ac:dyDescent="0.2">
      <c r="A121" s="59" t="s">
        <v>187</v>
      </c>
      <c r="B121" s="31" t="s">
        <v>188</v>
      </c>
      <c r="C121" s="32">
        <f>[10]С4!F27</f>
        <v>946.59139764731083</v>
      </c>
    </row>
    <row r="122" spans="1:3" ht="25.5" x14ac:dyDescent="0.2">
      <c r="A122" s="59" t="s">
        <v>189</v>
      </c>
      <c r="B122" s="52" t="s">
        <v>190</v>
      </c>
      <c r="C122" s="32">
        <f>[10]С4!F28</f>
        <v>727.02872323142151</v>
      </c>
    </row>
    <row r="123" spans="1:3" ht="42.75" x14ac:dyDescent="0.2">
      <c r="A123" s="59" t="s">
        <v>191</v>
      </c>
      <c r="B123" s="52" t="s">
        <v>192</v>
      </c>
      <c r="C123" s="32">
        <f>[10]С4!F29</f>
        <v>219.56267441588932</v>
      </c>
    </row>
    <row r="124" spans="1:3" ht="30.75" thickBot="1" x14ac:dyDescent="0.25">
      <c r="A124" s="74" t="s">
        <v>193</v>
      </c>
      <c r="B124" s="86" t="s">
        <v>194</v>
      </c>
      <c r="C124" s="84">
        <f>[10]С4!F30</f>
        <v>477.57297391316615</v>
      </c>
    </row>
    <row r="125" spans="1:3" s="87" customFormat="1" ht="13.5" thickBot="1" x14ac:dyDescent="0.25">
      <c r="A125" s="47"/>
      <c r="B125" s="48"/>
      <c r="C125" s="14"/>
    </row>
    <row r="126" spans="1:3" s="65" customFormat="1" ht="30" customHeight="1" x14ac:dyDescent="0.2">
      <c r="A126" s="77" t="s">
        <v>195</v>
      </c>
      <c r="B126" s="145" t="s">
        <v>196</v>
      </c>
      <c r="C126" s="145"/>
    </row>
    <row r="127" spans="1:3" ht="30.6" customHeight="1" thickBot="1" x14ac:dyDescent="0.25">
      <c r="A127" s="26" t="s">
        <v>197</v>
      </c>
      <c r="B127" s="86" t="s">
        <v>198</v>
      </c>
      <c r="C127" s="84">
        <f>[10]С5!F17</f>
        <v>0.02</v>
      </c>
    </row>
    <row r="128" spans="1:3" s="87" customFormat="1" ht="13.5" thickBot="1" x14ac:dyDescent="0.25">
      <c r="A128" s="47"/>
      <c r="B128" s="48"/>
      <c r="C128" s="14"/>
    </row>
    <row r="129" spans="1:3" ht="42.75" customHeight="1" x14ac:dyDescent="0.2">
      <c r="A129" s="85" t="s">
        <v>199</v>
      </c>
      <c r="B129" s="145" t="s">
        <v>200</v>
      </c>
      <c r="C129" s="145"/>
    </row>
    <row r="130" spans="1:3" ht="68.25" x14ac:dyDescent="0.2">
      <c r="A130" s="59" t="s">
        <v>201</v>
      </c>
      <c r="B130" s="88" t="s">
        <v>202</v>
      </c>
      <c r="C130" s="32" t="str">
        <f>IF([10]С6.1!E11="нет",[10]С6!F13,"")</f>
        <v/>
      </c>
    </row>
    <row r="131" spans="1:3" ht="42.75" x14ac:dyDescent="0.2">
      <c r="A131" s="59" t="s">
        <v>203</v>
      </c>
      <c r="B131" s="89" t="s">
        <v>204</v>
      </c>
      <c r="C131" s="90" t="str">
        <f>IF([10]С6.1!E12="нет",[10]С6.1!E17,"")</f>
        <v/>
      </c>
    </row>
    <row r="132" spans="1:3" ht="68.25" x14ac:dyDescent="0.2">
      <c r="A132" s="59" t="s">
        <v>205</v>
      </c>
      <c r="B132" s="88" t="s">
        <v>206</v>
      </c>
      <c r="C132" s="91" t="str">
        <f>IF([10]С6.1!E18="нет",[10]С6!F19,"")</f>
        <v/>
      </c>
    </row>
    <row r="133" spans="1:3" ht="55.5" x14ac:dyDescent="0.2">
      <c r="A133" s="59" t="s">
        <v>207</v>
      </c>
      <c r="B133" s="89" t="s">
        <v>208</v>
      </c>
      <c r="C133" s="34" t="str">
        <f>IF([10]С6.1!E18="нет",[10]С6.1!E19,"")</f>
        <v/>
      </c>
    </row>
    <row r="134" spans="1:3" ht="61.5" customHeight="1" x14ac:dyDescent="0.2">
      <c r="A134" s="59" t="s">
        <v>209</v>
      </c>
      <c r="B134" s="89" t="s">
        <v>210</v>
      </c>
      <c r="C134" s="34" t="str">
        <f>IF([10]С6.1!E18="нет",[10]С6.1!E22,"")</f>
        <v/>
      </c>
    </row>
    <row r="135" spans="1:3" ht="69" thickBot="1" x14ac:dyDescent="0.25">
      <c r="A135" s="74" t="s">
        <v>211</v>
      </c>
      <c r="B135" s="92" t="s">
        <v>212</v>
      </c>
      <c r="C135" s="76" t="str">
        <f>IF([10]С6.1!E18="нет",[10]С6.1!E23,"")</f>
        <v/>
      </c>
    </row>
    <row r="136" spans="1:3" s="87" customFormat="1" ht="13.5" thickBot="1" x14ac:dyDescent="0.25">
      <c r="A136" s="47"/>
      <c r="B136" s="48"/>
      <c r="C136" s="14"/>
    </row>
    <row r="137" spans="1:3" ht="15.75" x14ac:dyDescent="0.2">
      <c r="A137" s="85" t="s">
        <v>213</v>
      </c>
      <c r="B137" s="93" t="s">
        <v>214</v>
      </c>
      <c r="C137" s="94">
        <f>[10]С2!F39</f>
        <v>21.531904799999996</v>
      </c>
    </row>
    <row r="138" spans="1:3" ht="14.25" x14ac:dyDescent="0.2">
      <c r="A138" s="59" t="s">
        <v>215</v>
      </c>
      <c r="B138" s="58" t="s">
        <v>216</v>
      </c>
      <c r="C138" s="32">
        <f>[10]С2!F40</f>
        <v>7</v>
      </c>
    </row>
    <row r="139" spans="1:3" ht="17.25" x14ac:dyDescent="0.2">
      <c r="A139" s="59" t="s">
        <v>217</v>
      </c>
      <c r="B139" s="58" t="s">
        <v>218</v>
      </c>
      <c r="C139" s="32">
        <f>[10]С2!F42</f>
        <v>0.97</v>
      </c>
    </row>
    <row r="140" spans="1:3" ht="15" thickBot="1" x14ac:dyDescent="0.25">
      <c r="A140" s="74" t="s">
        <v>219</v>
      </c>
      <c r="B140" s="75" t="s">
        <v>220</v>
      </c>
      <c r="C140" s="46">
        <f>[10]С2!F44</f>
        <v>0.36199999999999999</v>
      </c>
    </row>
    <row r="141" spans="1:3" s="87" customFormat="1" ht="13.5" thickBot="1" x14ac:dyDescent="0.25">
      <c r="A141" s="47"/>
      <c r="B141" s="48"/>
      <c r="C141" s="14"/>
    </row>
    <row r="142" spans="1:3" ht="17.25" x14ac:dyDescent="0.2">
      <c r="A142" s="85" t="s">
        <v>221</v>
      </c>
      <c r="B142" s="95" t="s">
        <v>222</v>
      </c>
      <c r="C142" s="96">
        <f>[10]С2!F37</f>
        <v>1.4976266307379205</v>
      </c>
    </row>
    <row r="143" spans="1:3" ht="17.25" customHeight="1" thickBot="1" x14ac:dyDescent="0.25">
      <c r="A143" s="74" t="s">
        <v>223</v>
      </c>
      <c r="B143" s="141" t="s">
        <v>224</v>
      </c>
      <c r="C143" s="141"/>
    </row>
    <row r="144" spans="1:3" x14ac:dyDescent="0.2">
      <c r="A144" s="97"/>
      <c r="B144" s="98" t="s">
        <v>0</v>
      </c>
      <c r="C144" s="99"/>
    </row>
    <row r="145" spans="1:3" x14ac:dyDescent="0.2">
      <c r="A145" s="97"/>
      <c r="B145" s="100">
        <v>2020</v>
      </c>
      <c r="C145" s="101">
        <f>[10]С2.5!$E$11</f>
        <v>-2.9000000000000026E-2</v>
      </c>
    </row>
    <row r="146" spans="1:3" x14ac:dyDescent="0.2">
      <c r="B146" s="100">
        <f>B145+1</f>
        <v>2021</v>
      </c>
      <c r="C146" s="102">
        <f>[10]С2.5!$F$11</f>
        <v>0.245</v>
      </c>
    </row>
    <row r="147" spans="1:3" x14ac:dyDescent="0.2">
      <c r="B147" s="100">
        <f t="shared" ref="B147:B210" si="0">B146+1</f>
        <v>2022</v>
      </c>
      <c r="C147" s="103">
        <f>[10]С2.5!$G$11</f>
        <v>0.114</v>
      </c>
    </row>
    <row r="148" spans="1:3" x14ac:dyDescent="0.2">
      <c r="B148" s="104">
        <f t="shared" si="0"/>
        <v>2023</v>
      </c>
      <c r="C148" s="105">
        <f>[10]С2.5!$H$11</f>
        <v>2.4E-2</v>
      </c>
    </row>
    <row r="149" spans="1:3" ht="13.5" thickBot="1" x14ac:dyDescent="0.25">
      <c r="B149" s="104">
        <f t="shared" si="0"/>
        <v>2024</v>
      </c>
      <c r="C149" s="105">
        <f>[10]С2.5!$I$11</f>
        <v>8.5999999999999993E-2</v>
      </c>
    </row>
    <row r="150" spans="1:3" ht="13.5" hidden="1" thickBot="1" x14ac:dyDescent="0.25">
      <c r="B150" s="104">
        <f t="shared" si="0"/>
        <v>2025</v>
      </c>
      <c r="C150" s="105">
        <f>[10]С2.5!$J$11</f>
        <v>0</v>
      </c>
    </row>
    <row r="151" spans="1:3" ht="13.5" hidden="1" thickBot="1" x14ac:dyDescent="0.25">
      <c r="B151" s="104">
        <f t="shared" si="0"/>
        <v>2026</v>
      </c>
      <c r="C151" s="105">
        <f>[10]С2.5!$K$11</f>
        <v>0</v>
      </c>
    </row>
    <row r="152" spans="1:3" ht="13.5" hidden="1" thickBot="1" x14ac:dyDescent="0.25">
      <c r="B152" s="104">
        <f t="shared" si="0"/>
        <v>2027</v>
      </c>
      <c r="C152" s="105">
        <f>[10]С2.5!$L$11</f>
        <v>0</v>
      </c>
    </row>
    <row r="153" spans="1:3" ht="13.5" hidden="1" thickBot="1" x14ac:dyDescent="0.25">
      <c r="B153" s="104">
        <f t="shared" si="0"/>
        <v>2028</v>
      </c>
      <c r="C153" s="105">
        <f>[10]С2.5!$M$11</f>
        <v>0</v>
      </c>
    </row>
    <row r="154" spans="1:3" ht="13.5" hidden="1" thickBot="1" x14ac:dyDescent="0.25">
      <c r="B154" s="104">
        <f t="shared" si="0"/>
        <v>2029</v>
      </c>
      <c r="C154" s="105">
        <f>[10]С2.5!$N$11</f>
        <v>0</v>
      </c>
    </row>
    <row r="155" spans="1:3" ht="13.5" hidden="1" thickBot="1" x14ac:dyDescent="0.25">
      <c r="B155" s="104">
        <f t="shared" si="0"/>
        <v>2030</v>
      </c>
      <c r="C155" s="105">
        <f>[10]С2.5!$O$11</f>
        <v>0</v>
      </c>
    </row>
    <row r="156" spans="1:3" ht="13.5" hidden="1" thickBot="1" x14ac:dyDescent="0.25">
      <c r="B156" s="104">
        <f t="shared" si="0"/>
        <v>2031</v>
      </c>
      <c r="C156" s="105">
        <f>[10]С2.5!$P$11</f>
        <v>0</v>
      </c>
    </row>
    <row r="157" spans="1:3" ht="13.5" hidden="1" thickBot="1" x14ac:dyDescent="0.25">
      <c r="B157" s="104">
        <f t="shared" si="0"/>
        <v>2032</v>
      </c>
      <c r="C157" s="105">
        <f>[10]С2.5!$Q$11</f>
        <v>0</v>
      </c>
    </row>
    <row r="158" spans="1:3" ht="13.5" hidden="1" thickBot="1" x14ac:dyDescent="0.25">
      <c r="B158" s="104">
        <f t="shared" si="0"/>
        <v>2033</v>
      </c>
      <c r="C158" s="105">
        <f>[10]С2.5!$R$11</f>
        <v>0</v>
      </c>
    </row>
    <row r="159" spans="1:3" ht="13.5" hidden="1" thickBot="1" x14ac:dyDescent="0.25">
      <c r="B159" s="104">
        <f t="shared" si="0"/>
        <v>2034</v>
      </c>
      <c r="C159" s="105">
        <f>[10]С2.5!$S$11</f>
        <v>0</v>
      </c>
    </row>
    <row r="160" spans="1:3" ht="13.5" hidden="1" thickBot="1" x14ac:dyDescent="0.25">
      <c r="B160" s="104">
        <f t="shared" si="0"/>
        <v>2035</v>
      </c>
      <c r="C160" s="105">
        <f>[10]С2.5!$T$11</f>
        <v>0</v>
      </c>
    </row>
    <row r="161" spans="2:3" ht="13.5" hidden="1" thickBot="1" x14ac:dyDescent="0.25">
      <c r="B161" s="104">
        <f t="shared" si="0"/>
        <v>2036</v>
      </c>
      <c r="C161" s="105">
        <f>[10]С2.5!$U$11</f>
        <v>0</v>
      </c>
    </row>
    <row r="162" spans="2:3" ht="13.5" hidden="1" thickBot="1" x14ac:dyDescent="0.25">
      <c r="B162" s="104">
        <f t="shared" si="0"/>
        <v>2037</v>
      </c>
      <c r="C162" s="105">
        <f>[10]С2.5!$V$11</f>
        <v>0</v>
      </c>
    </row>
    <row r="163" spans="2:3" ht="13.5" hidden="1" thickBot="1" x14ac:dyDescent="0.25">
      <c r="B163" s="104">
        <f t="shared" si="0"/>
        <v>2038</v>
      </c>
      <c r="C163" s="105">
        <f>[10]С2.5!$W$11</f>
        <v>0</v>
      </c>
    </row>
    <row r="164" spans="2:3" ht="13.5" hidden="1" thickBot="1" x14ac:dyDescent="0.25">
      <c r="B164" s="104">
        <f t="shared" si="0"/>
        <v>2039</v>
      </c>
      <c r="C164" s="105">
        <f>[10]С2.5!$X$11</f>
        <v>0</v>
      </c>
    </row>
    <row r="165" spans="2:3" ht="13.5" hidden="1" thickBot="1" x14ac:dyDescent="0.25">
      <c r="B165" s="104">
        <f t="shared" si="0"/>
        <v>2040</v>
      </c>
      <c r="C165" s="105">
        <f>[10]С2.5!$Y$11</f>
        <v>0</v>
      </c>
    </row>
    <row r="166" spans="2:3" ht="13.5" hidden="1" thickBot="1" x14ac:dyDescent="0.25">
      <c r="B166" s="104">
        <f t="shared" si="0"/>
        <v>2041</v>
      </c>
      <c r="C166" s="105">
        <f>[10]С2.5!$Z$11</f>
        <v>0</v>
      </c>
    </row>
    <row r="167" spans="2:3" ht="13.5" hidden="1" thickBot="1" x14ac:dyDescent="0.25">
      <c r="B167" s="104">
        <f t="shared" si="0"/>
        <v>2042</v>
      </c>
      <c r="C167" s="105">
        <f>[10]С2.5!$AA$11</f>
        <v>0</v>
      </c>
    </row>
    <row r="168" spans="2:3" ht="13.5" hidden="1" thickBot="1" x14ac:dyDescent="0.25">
      <c r="B168" s="104">
        <f t="shared" si="0"/>
        <v>2043</v>
      </c>
      <c r="C168" s="105">
        <f>[10]С2.5!$AB$11</f>
        <v>0</v>
      </c>
    </row>
    <row r="169" spans="2:3" ht="13.5" hidden="1" thickBot="1" x14ac:dyDescent="0.25">
      <c r="B169" s="104">
        <f t="shared" si="0"/>
        <v>2044</v>
      </c>
      <c r="C169" s="105">
        <f>[10]С2.5!$AC$11</f>
        <v>0</v>
      </c>
    </row>
    <row r="170" spans="2:3" ht="13.5" hidden="1" thickBot="1" x14ac:dyDescent="0.25">
      <c r="B170" s="104">
        <f t="shared" si="0"/>
        <v>2045</v>
      </c>
      <c r="C170" s="105">
        <f>[10]С2.5!$AD$11</f>
        <v>0</v>
      </c>
    </row>
    <row r="171" spans="2:3" ht="13.5" hidden="1" thickBot="1" x14ac:dyDescent="0.25">
      <c r="B171" s="104">
        <f t="shared" si="0"/>
        <v>2046</v>
      </c>
      <c r="C171" s="105">
        <f>[10]С2.5!$AE$11</f>
        <v>0</v>
      </c>
    </row>
    <row r="172" spans="2:3" ht="13.5" hidden="1" thickBot="1" x14ac:dyDescent="0.25">
      <c r="B172" s="104">
        <f t="shared" si="0"/>
        <v>2047</v>
      </c>
      <c r="C172" s="105">
        <f>[10]С2.5!$AF$11</f>
        <v>0</v>
      </c>
    </row>
    <row r="173" spans="2:3" ht="13.5" hidden="1" thickBot="1" x14ac:dyDescent="0.25">
      <c r="B173" s="104">
        <f t="shared" si="0"/>
        <v>2048</v>
      </c>
      <c r="C173" s="105">
        <f>[10]С2.5!$AG$11</f>
        <v>0</v>
      </c>
    </row>
    <row r="174" spans="2:3" ht="13.5" hidden="1" thickBot="1" x14ac:dyDescent="0.25">
      <c r="B174" s="104">
        <f t="shared" si="0"/>
        <v>2049</v>
      </c>
      <c r="C174" s="105">
        <f>[10]С2.5!$AH$11</f>
        <v>0</v>
      </c>
    </row>
    <row r="175" spans="2:3" ht="13.5" hidden="1" thickBot="1" x14ac:dyDescent="0.25">
      <c r="B175" s="104">
        <f t="shared" si="0"/>
        <v>2050</v>
      </c>
      <c r="C175" s="105">
        <f>[10]С2.5!$AI$11</f>
        <v>0</v>
      </c>
    </row>
    <row r="176" spans="2:3" ht="13.5" hidden="1" thickBot="1" x14ac:dyDescent="0.25">
      <c r="B176" s="104">
        <f t="shared" si="0"/>
        <v>2051</v>
      </c>
      <c r="C176" s="105">
        <f>[10]С2.5!$AJ$11</f>
        <v>0</v>
      </c>
    </row>
    <row r="177" spans="2:3" ht="13.5" hidden="1" thickBot="1" x14ac:dyDescent="0.25">
      <c r="B177" s="104">
        <f t="shared" si="0"/>
        <v>2052</v>
      </c>
      <c r="C177" s="105">
        <f>[10]С2.5!$AK$11</f>
        <v>0</v>
      </c>
    </row>
    <row r="178" spans="2:3" ht="13.5" hidden="1" thickBot="1" x14ac:dyDescent="0.25">
      <c r="B178" s="104">
        <f t="shared" si="0"/>
        <v>2053</v>
      </c>
      <c r="C178" s="105">
        <f>[10]С2.5!$AL$11</f>
        <v>0</v>
      </c>
    </row>
    <row r="179" spans="2:3" ht="13.5" hidden="1" thickBot="1" x14ac:dyDescent="0.25">
      <c r="B179" s="104">
        <f t="shared" si="0"/>
        <v>2054</v>
      </c>
      <c r="C179" s="105">
        <f>[10]С2.5!$AM$11</f>
        <v>0</v>
      </c>
    </row>
    <row r="180" spans="2:3" ht="13.5" hidden="1" thickBot="1" x14ac:dyDescent="0.25">
      <c r="B180" s="104">
        <f t="shared" si="0"/>
        <v>2055</v>
      </c>
      <c r="C180" s="105">
        <f>[10]С2.5!$AN$11</f>
        <v>0</v>
      </c>
    </row>
    <row r="181" spans="2:3" ht="13.5" hidden="1" thickBot="1" x14ac:dyDescent="0.25">
      <c r="B181" s="104">
        <f t="shared" si="0"/>
        <v>2056</v>
      </c>
      <c r="C181" s="105">
        <f>[10]С2.5!$AO$11</f>
        <v>0</v>
      </c>
    </row>
    <row r="182" spans="2:3" ht="13.5" hidden="1" thickBot="1" x14ac:dyDescent="0.25">
      <c r="B182" s="104">
        <f t="shared" si="0"/>
        <v>2057</v>
      </c>
      <c r="C182" s="105">
        <f>[10]С2.5!$AP$11</f>
        <v>0</v>
      </c>
    </row>
    <row r="183" spans="2:3" ht="13.5" hidden="1" thickBot="1" x14ac:dyDescent="0.25">
      <c r="B183" s="104">
        <f t="shared" si="0"/>
        <v>2058</v>
      </c>
      <c r="C183" s="105">
        <f>[10]С2.5!$AQ$11</f>
        <v>0</v>
      </c>
    </row>
    <row r="184" spans="2:3" ht="13.5" hidden="1" thickBot="1" x14ac:dyDescent="0.25">
      <c r="B184" s="104">
        <f t="shared" si="0"/>
        <v>2059</v>
      </c>
      <c r="C184" s="105">
        <f>[10]С2.5!$AR$11</f>
        <v>0</v>
      </c>
    </row>
    <row r="185" spans="2:3" ht="13.5" hidden="1" thickBot="1" x14ac:dyDescent="0.25">
      <c r="B185" s="104">
        <f t="shared" si="0"/>
        <v>2060</v>
      </c>
      <c r="C185" s="105">
        <f>[10]С2.5!$AS$11</f>
        <v>0</v>
      </c>
    </row>
    <row r="186" spans="2:3" ht="13.5" hidden="1" thickBot="1" x14ac:dyDescent="0.25">
      <c r="B186" s="104">
        <f t="shared" si="0"/>
        <v>2061</v>
      </c>
      <c r="C186" s="105">
        <f>[10]С2.5!$AT$11</f>
        <v>0</v>
      </c>
    </row>
    <row r="187" spans="2:3" ht="13.5" hidden="1" thickBot="1" x14ac:dyDescent="0.25">
      <c r="B187" s="104">
        <f t="shared" si="0"/>
        <v>2062</v>
      </c>
      <c r="C187" s="105">
        <f>[10]С2.5!$AU$11</f>
        <v>0</v>
      </c>
    </row>
    <row r="188" spans="2:3" ht="13.5" hidden="1" thickBot="1" x14ac:dyDescent="0.25">
      <c r="B188" s="104">
        <f t="shared" si="0"/>
        <v>2063</v>
      </c>
      <c r="C188" s="105">
        <f>[10]С2.5!$AV$11</f>
        <v>0</v>
      </c>
    </row>
    <row r="189" spans="2:3" ht="13.5" hidden="1" thickBot="1" x14ac:dyDescent="0.25">
      <c r="B189" s="104">
        <f t="shared" si="0"/>
        <v>2064</v>
      </c>
      <c r="C189" s="105">
        <f>[10]С2.5!$AW$11</f>
        <v>0</v>
      </c>
    </row>
    <row r="190" spans="2:3" ht="13.5" hidden="1" thickBot="1" x14ac:dyDescent="0.25">
      <c r="B190" s="104">
        <f t="shared" si="0"/>
        <v>2065</v>
      </c>
      <c r="C190" s="105">
        <f>[10]С2.5!$AX$11</f>
        <v>0</v>
      </c>
    </row>
    <row r="191" spans="2:3" ht="13.5" hidden="1" thickBot="1" x14ac:dyDescent="0.25">
      <c r="B191" s="104">
        <f t="shared" si="0"/>
        <v>2066</v>
      </c>
      <c r="C191" s="105">
        <f>[10]С2.5!$AY$11</f>
        <v>0</v>
      </c>
    </row>
    <row r="192" spans="2:3" ht="13.5" hidden="1" thickBot="1" x14ac:dyDescent="0.25">
      <c r="B192" s="104">
        <f t="shared" si="0"/>
        <v>2067</v>
      </c>
      <c r="C192" s="105">
        <f>[10]С2.5!$AZ$11</f>
        <v>0</v>
      </c>
    </row>
    <row r="193" spans="2:3" ht="13.5" hidden="1" thickBot="1" x14ac:dyDescent="0.25">
      <c r="B193" s="104">
        <f t="shared" si="0"/>
        <v>2068</v>
      </c>
      <c r="C193" s="105">
        <f>[10]С2.5!$BA$11</f>
        <v>0</v>
      </c>
    </row>
    <row r="194" spans="2:3" ht="13.5" hidden="1" thickBot="1" x14ac:dyDescent="0.25">
      <c r="B194" s="104">
        <f t="shared" si="0"/>
        <v>2069</v>
      </c>
      <c r="C194" s="105">
        <f>[10]С2.5!$BB$11</f>
        <v>0</v>
      </c>
    </row>
    <row r="195" spans="2:3" ht="13.5" hidden="1" thickBot="1" x14ac:dyDescent="0.25">
      <c r="B195" s="104">
        <f t="shared" si="0"/>
        <v>2070</v>
      </c>
      <c r="C195" s="105">
        <f>[10]С2.5!$BC$11</f>
        <v>0</v>
      </c>
    </row>
    <row r="196" spans="2:3" ht="13.5" hidden="1" thickBot="1" x14ac:dyDescent="0.25">
      <c r="B196" s="104">
        <f t="shared" si="0"/>
        <v>2071</v>
      </c>
      <c r="C196" s="105">
        <f>[10]С2.5!$BD$11</f>
        <v>0</v>
      </c>
    </row>
    <row r="197" spans="2:3" ht="13.5" hidden="1" thickBot="1" x14ac:dyDescent="0.25">
      <c r="B197" s="104">
        <f t="shared" si="0"/>
        <v>2072</v>
      </c>
      <c r="C197" s="105">
        <f>[10]С2.5!$BE$11</f>
        <v>0</v>
      </c>
    </row>
    <row r="198" spans="2:3" ht="13.5" hidden="1" thickBot="1" x14ac:dyDescent="0.25">
      <c r="B198" s="104">
        <f t="shared" si="0"/>
        <v>2073</v>
      </c>
      <c r="C198" s="105">
        <f>[10]С2.5!$BF$11</f>
        <v>0</v>
      </c>
    </row>
    <row r="199" spans="2:3" ht="13.5" hidden="1" thickBot="1" x14ac:dyDescent="0.25">
      <c r="B199" s="104">
        <f t="shared" si="0"/>
        <v>2074</v>
      </c>
      <c r="C199" s="105">
        <f>[10]С2.5!$BG$11</f>
        <v>0</v>
      </c>
    </row>
    <row r="200" spans="2:3" ht="13.5" hidden="1" thickBot="1" x14ac:dyDescent="0.25">
      <c r="B200" s="104">
        <f t="shared" si="0"/>
        <v>2075</v>
      </c>
      <c r="C200" s="105">
        <f>[10]С2.5!$BH$11</f>
        <v>0</v>
      </c>
    </row>
    <row r="201" spans="2:3" ht="13.5" hidden="1" thickBot="1" x14ac:dyDescent="0.25">
      <c r="B201" s="104">
        <f t="shared" si="0"/>
        <v>2076</v>
      </c>
      <c r="C201" s="105">
        <f>[10]С2.5!$BI$11</f>
        <v>0</v>
      </c>
    </row>
    <row r="202" spans="2:3" ht="13.5" hidden="1" thickBot="1" x14ac:dyDescent="0.25">
      <c r="B202" s="104">
        <f t="shared" si="0"/>
        <v>2077</v>
      </c>
      <c r="C202" s="105">
        <f>[10]С2.5!$BJ$11</f>
        <v>0</v>
      </c>
    </row>
    <row r="203" spans="2:3" ht="13.5" hidden="1" thickBot="1" x14ac:dyDescent="0.25">
      <c r="B203" s="104">
        <f t="shared" si="0"/>
        <v>2078</v>
      </c>
      <c r="C203" s="105">
        <f>[10]С2.5!$BK$11</f>
        <v>0</v>
      </c>
    </row>
    <row r="204" spans="2:3" ht="13.5" hidden="1" thickBot="1" x14ac:dyDescent="0.25">
      <c r="B204" s="104">
        <f t="shared" si="0"/>
        <v>2079</v>
      </c>
      <c r="C204" s="105">
        <f>[10]С2.5!$BL$11</f>
        <v>0</v>
      </c>
    </row>
    <row r="205" spans="2:3" ht="13.5" hidden="1" thickBot="1" x14ac:dyDescent="0.25">
      <c r="B205" s="104">
        <f t="shared" si="0"/>
        <v>2080</v>
      </c>
      <c r="C205" s="105">
        <f>[10]С2.5!$BM$11</f>
        <v>0</v>
      </c>
    </row>
    <row r="206" spans="2:3" ht="13.5" hidden="1" thickBot="1" x14ac:dyDescent="0.25">
      <c r="B206" s="104">
        <f t="shared" si="0"/>
        <v>2081</v>
      </c>
      <c r="C206" s="105">
        <f>[10]С2.5!$BN$11</f>
        <v>0</v>
      </c>
    </row>
    <row r="207" spans="2:3" ht="13.5" hidden="1" thickBot="1" x14ac:dyDescent="0.25">
      <c r="B207" s="104">
        <f t="shared" si="0"/>
        <v>2082</v>
      </c>
      <c r="C207" s="105">
        <f>[10]С2.5!$BO$11</f>
        <v>0</v>
      </c>
    </row>
    <row r="208" spans="2:3" ht="13.5" hidden="1" thickBot="1" x14ac:dyDescent="0.25">
      <c r="B208" s="104">
        <f t="shared" si="0"/>
        <v>2083</v>
      </c>
      <c r="C208" s="105">
        <f>[10]С2.5!$BP$11</f>
        <v>0</v>
      </c>
    </row>
    <row r="209" spans="2:3" ht="13.5" hidden="1" thickBot="1" x14ac:dyDescent="0.25">
      <c r="B209" s="104">
        <f t="shared" si="0"/>
        <v>2084</v>
      </c>
      <c r="C209" s="105">
        <f>[10]С2.5!$BQ$11</f>
        <v>0</v>
      </c>
    </row>
    <row r="210" spans="2:3" ht="13.5" hidden="1" thickBot="1" x14ac:dyDescent="0.25">
      <c r="B210" s="104">
        <f t="shared" si="0"/>
        <v>2085</v>
      </c>
      <c r="C210" s="105">
        <f>[10]С2.5!$BR$11</f>
        <v>0</v>
      </c>
    </row>
    <row r="211" spans="2:3" ht="13.5" hidden="1" thickBot="1" x14ac:dyDescent="0.25">
      <c r="B211" s="104">
        <f t="shared" ref="B211:B224" si="1">B210+1</f>
        <v>2086</v>
      </c>
      <c r="C211" s="105">
        <f>[10]С2.5!$BS$11</f>
        <v>0</v>
      </c>
    </row>
    <row r="212" spans="2:3" ht="13.5" hidden="1" thickBot="1" x14ac:dyDescent="0.25">
      <c r="B212" s="104">
        <f t="shared" si="1"/>
        <v>2087</v>
      </c>
      <c r="C212" s="105">
        <f>[10]С2.5!$BT$11</f>
        <v>0</v>
      </c>
    </row>
    <row r="213" spans="2:3" ht="13.5" hidden="1" thickBot="1" x14ac:dyDescent="0.25">
      <c r="B213" s="104">
        <f t="shared" si="1"/>
        <v>2088</v>
      </c>
      <c r="C213" s="105">
        <f>[10]С2.5!$BU$11</f>
        <v>0</v>
      </c>
    </row>
    <row r="214" spans="2:3" ht="13.5" hidden="1" thickBot="1" x14ac:dyDescent="0.25">
      <c r="B214" s="104">
        <f t="shared" si="1"/>
        <v>2089</v>
      </c>
      <c r="C214" s="105">
        <f>[10]С2.5!$BV$11</f>
        <v>0</v>
      </c>
    </row>
    <row r="215" spans="2:3" ht="13.5" hidden="1" thickBot="1" x14ac:dyDescent="0.25">
      <c r="B215" s="104">
        <f t="shared" si="1"/>
        <v>2090</v>
      </c>
      <c r="C215" s="105">
        <f>[10]С2.5!$BW$11</f>
        <v>0</v>
      </c>
    </row>
    <row r="216" spans="2:3" ht="13.5" hidden="1" thickBot="1" x14ac:dyDescent="0.25">
      <c r="B216" s="104">
        <f t="shared" si="1"/>
        <v>2091</v>
      </c>
      <c r="C216" s="105">
        <f>[10]С2.5!$BX$11</f>
        <v>0</v>
      </c>
    </row>
    <row r="217" spans="2:3" ht="13.5" hidden="1" thickBot="1" x14ac:dyDescent="0.25">
      <c r="B217" s="104">
        <f t="shared" si="1"/>
        <v>2092</v>
      </c>
      <c r="C217" s="105">
        <f>[10]С2.5!$BY$11</f>
        <v>0</v>
      </c>
    </row>
    <row r="218" spans="2:3" ht="13.5" hidden="1" thickBot="1" x14ac:dyDescent="0.25">
      <c r="B218" s="104">
        <f t="shared" si="1"/>
        <v>2093</v>
      </c>
      <c r="C218" s="105">
        <f>[10]С2.5!$BZ$11</f>
        <v>0</v>
      </c>
    </row>
    <row r="219" spans="2:3" ht="13.5" hidden="1" thickBot="1" x14ac:dyDescent="0.25">
      <c r="B219" s="104">
        <f t="shared" si="1"/>
        <v>2094</v>
      </c>
      <c r="C219" s="105">
        <f>[10]С2.5!$CA$11</f>
        <v>0</v>
      </c>
    </row>
    <row r="220" spans="2:3" ht="13.5" hidden="1" thickBot="1" x14ac:dyDescent="0.25">
      <c r="B220" s="104">
        <f t="shared" si="1"/>
        <v>2095</v>
      </c>
      <c r="C220" s="105">
        <f>[10]С2.5!$CB$11</f>
        <v>0</v>
      </c>
    </row>
    <row r="221" spans="2:3" ht="13.5" hidden="1" thickBot="1" x14ac:dyDescent="0.25">
      <c r="B221" s="104">
        <f t="shared" si="1"/>
        <v>2096</v>
      </c>
      <c r="C221" s="105">
        <f>[10]С2.5!$CC$11</f>
        <v>0</v>
      </c>
    </row>
    <row r="222" spans="2:3" ht="13.5" hidden="1" thickBot="1" x14ac:dyDescent="0.25">
      <c r="B222" s="104">
        <f t="shared" si="1"/>
        <v>2097</v>
      </c>
      <c r="C222" s="105">
        <f>[10]С2.5!$CD$11</f>
        <v>0</v>
      </c>
    </row>
    <row r="223" spans="2:3" ht="13.5" hidden="1" thickBot="1" x14ac:dyDescent="0.25">
      <c r="B223" s="104">
        <f t="shared" si="1"/>
        <v>2098</v>
      </c>
      <c r="C223" s="105">
        <f>[10]С2.5!$CE$11</f>
        <v>0</v>
      </c>
    </row>
    <row r="224" spans="2:3" ht="13.5" hidden="1" thickBot="1" x14ac:dyDescent="0.25">
      <c r="B224" s="104">
        <f t="shared" si="1"/>
        <v>2099</v>
      </c>
      <c r="C224" s="105">
        <f>[10]С2.5!$CF$11</f>
        <v>0</v>
      </c>
    </row>
    <row r="225" spans="2:3" ht="13.5" hidden="1" thickBot="1" x14ac:dyDescent="0.25">
      <c r="B225" s="106">
        <f>B162+1</f>
        <v>2038</v>
      </c>
      <c r="C225" s="107" t="e">
        <f>[10]С2.5!#REF!</f>
        <v>#REF!</v>
      </c>
    </row>
    <row r="226" spans="2:3" x14ac:dyDescent="0.2">
      <c r="B226" s="108"/>
      <c r="C226" s="109"/>
    </row>
  </sheetData>
  <mergeCells count="9">
    <mergeCell ref="B143:C143"/>
    <mergeCell ref="A14:C14"/>
    <mergeCell ref="B1:C1"/>
    <mergeCell ref="B27:C27"/>
    <mergeCell ref="B45:C45"/>
    <mergeCell ref="B90:C90"/>
    <mergeCell ref="B101:C101"/>
    <mergeCell ref="B126:C126"/>
    <mergeCell ref="B129:C129"/>
  </mergeCells>
  <printOptions horizontalCentered="1"/>
  <pageMargins left="1.1811023622047245" right="0.39370078740157483" top="0.98425196850393704" bottom="0.78740157480314965" header="0.31496062992125984" footer="0.31496062992125984"/>
  <pageSetup paperSize="9" scale="78" fitToHeight="14" orientation="portrait" r:id="rId1"/>
  <headerFooter>
    <oddFooter>&amp;C&amp;"Times New Roman,обычный"&amp;12&amp;P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21</vt:i4>
      </vt:variant>
    </vt:vector>
  </HeadingPairs>
  <TitlesOfParts>
    <vt:vector size="21" baseType="lpstr">
      <vt:lpstr>Новошарапский</vt:lpstr>
      <vt:lpstr>Березовский</vt:lpstr>
      <vt:lpstr>Вагайцевский</vt:lpstr>
      <vt:lpstr>Верх-Алеусский</vt:lpstr>
      <vt:lpstr>Верх-Ирменский</vt:lpstr>
      <vt:lpstr>Верх-Чикский</vt:lpstr>
      <vt:lpstr>Кирзинский</vt:lpstr>
      <vt:lpstr>Козихинский</vt:lpstr>
      <vt:lpstr>Красноярский</vt:lpstr>
      <vt:lpstr>Нижнекаменский</vt:lpstr>
      <vt:lpstr>Новопичуговский</vt:lpstr>
      <vt:lpstr>Чингисский</vt:lpstr>
      <vt:lpstr>Шаидуровский</vt:lpstr>
      <vt:lpstr>Петровский</vt:lpstr>
      <vt:lpstr>Пролетарский</vt:lpstr>
      <vt:lpstr>Рогалевский</vt:lpstr>
      <vt:lpstr>Спиринский</vt:lpstr>
      <vt:lpstr>Усть-Луковский</vt:lpstr>
      <vt:lpstr>Устюжанинский</vt:lpstr>
      <vt:lpstr>Филипповский</vt:lpstr>
      <vt:lpstr>р.п. Ордынское</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2024-01-26T02:58:08Z</dcterms:modified>
</cp:coreProperties>
</file>