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xl/drawings/drawing13.xml" ContentType="application/vnd.openxmlformats-officedocument.drawing+xml"/>
  <Override PartName="/xl/ctrlProps/ctrlProp13.xml" ContentType="application/vnd.ms-excel.controlproperties+xml"/>
  <Override PartName="/xl/drawings/drawing14.xml" ContentType="application/vnd.openxmlformats-officedocument.drawing+xml"/>
  <Override PartName="/xl/ctrlProps/ctrlProp14.xml" ContentType="application/vnd.ms-excel.controlproperties+xml"/>
  <Override PartName="/xl/drawings/drawing15.xml" ContentType="application/vnd.openxmlformats-officedocument.drawing+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7795" windowHeight="13620" tabRatio="792" activeTab="14"/>
  </bookViews>
  <sheets>
    <sheet name="р.п. Сузун" sheetId="1" r:id="rId1"/>
    <sheet name="Битковский" sheetId="2" r:id="rId2"/>
    <sheet name="Бобровский" sheetId="3" r:id="rId3"/>
    <sheet name="Болтовский" sheetId="4" r:id="rId4"/>
    <sheet name="Верх-Сузунский" sheetId="5" r:id="rId5"/>
    <sheet name="Заковряженский" sheetId="6" r:id="rId6"/>
    <sheet name="Каргаполовский" sheetId="7" r:id="rId7"/>
    <sheet name="Ключиковский" sheetId="8" r:id="rId8"/>
    <sheet name="Маюровский" sheetId="9" r:id="rId9"/>
    <sheet name="Малышевский" sheetId="11" r:id="rId10"/>
    <sheet name="Меретский" sheetId="10" r:id="rId11"/>
    <sheet name="Мышланский" sheetId="12" r:id="rId12"/>
    <sheet name="Шайдуровский" sheetId="13" r:id="rId13"/>
    <sheet name="Шарчинский" sheetId="14" r:id="rId14"/>
    <sheet name="Шипуновский" sheetId="15" r:id="rId15"/>
  </sheets>
  <externalReferences>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calcPr calcId="145621"/>
</workbook>
</file>

<file path=xl/calcChain.xml><?xml version="1.0" encoding="utf-8"?>
<calcChain xmlns="http://schemas.openxmlformats.org/spreadsheetml/2006/main">
  <c r="C223" i="15" l="1"/>
  <c r="C222" i="15"/>
  <c r="C221" i="15"/>
  <c r="C220" i="15"/>
  <c r="C219" i="15"/>
  <c r="C218" i="15"/>
  <c r="C217" i="15"/>
  <c r="C216" i="15"/>
  <c r="C215" i="15"/>
  <c r="C214" i="15"/>
  <c r="C213" i="15"/>
  <c r="C212" i="15"/>
  <c r="C211" i="15"/>
  <c r="C210" i="15"/>
  <c r="C209" i="15"/>
  <c r="C208" i="15"/>
  <c r="C207" i="15"/>
  <c r="C206" i="15"/>
  <c r="C205" i="15"/>
  <c r="C204" i="15"/>
  <c r="C203" i="15"/>
  <c r="C202" i="15"/>
  <c r="C201" i="15"/>
  <c r="C200" i="15"/>
  <c r="C199" i="15"/>
  <c r="C198" i="15"/>
  <c r="C197" i="15"/>
  <c r="C196" i="15"/>
  <c r="C195" i="15"/>
  <c r="C194" i="15"/>
  <c r="C193" i="15"/>
  <c r="C192" i="15"/>
  <c r="C191" i="15"/>
  <c r="C190" i="15"/>
  <c r="C189" i="15"/>
  <c r="C188" i="15"/>
  <c r="C187" i="15"/>
  <c r="C186" i="15"/>
  <c r="C185" i="15"/>
  <c r="C184" i="15"/>
  <c r="C183" i="15"/>
  <c r="C182" i="15"/>
  <c r="C181" i="15"/>
  <c r="C180" i="15"/>
  <c r="C179" i="15"/>
  <c r="C178" i="15"/>
  <c r="C177" i="15"/>
  <c r="C176" i="15"/>
  <c r="C175" i="15"/>
  <c r="C174" i="15"/>
  <c r="C173" i="15"/>
  <c r="C172" i="15"/>
  <c r="C171" i="15"/>
  <c r="C170" i="15"/>
  <c r="C169" i="15"/>
  <c r="C168" i="15"/>
  <c r="C167" i="15"/>
  <c r="C166" i="15"/>
  <c r="C165" i="15"/>
  <c r="C164" i="15"/>
  <c r="C163" i="15"/>
  <c r="C162" i="15"/>
  <c r="C161" i="15"/>
  <c r="C160" i="15"/>
  <c r="C159" i="15"/>
  <c r="C158" i="15"/>
  <c r="C157" i="15"/>
  <c r="C156" i="15"/>
  <c r="C155" i="15"/>
  <c r="C154" i="15"/>
  <c r="C153" i="15"/>
  <c r="C152" i="15"/>
  <c r="C151" i="15"/>
  <c r="C150" i="15"/>
  <c r="C149" i="15"/>
  <c r="C148" i="15"/>
  <c r="C147" i="15"/>
  <c r="C146" i="15"/>
  <c r="C145" i="15"/>
  <c r="C144" i="15"/>
  <c r="B144" i="15"/>
  <c r="B145" i="15" s="1"/>
  <c r="B146" i="15" s="1"/>
  <c r="B147" i="15" s="1"/>
  <c r="B148" i="15" s="1"/>
  <c r="B149" i="15" s="1"/>
  <c r="B150" i="15" s="1"/>
  <c r="B151" i="15" s="1"/>
  <c r="B152" i="15" s="1"/>
  <c r="B153" i="15" s="1"/>
  <c r="B154" i="15" s="1"/>
  <c r="B155" i="15" s="1"/>
  <c r="B156" i="15" s="1"/>
  <c r="B157" i="15" s="1"/>
  <c r="B158" i="15" s="1"/>
  <c r="B159" i="15" s="1"/>
  <c r="B160" i="15" s="1"/>
  <c r="B161" i="15" s="1"/>
  <c r="B162" i="15" s="1"/>
  <c r="B163" i="15" s="1"/>
  <c r="B164" i="15" s="1"/>
  <c r="B165" i="15" s="1"/>
  <c r="B166" i="15" s="1"/>
  <c r="B167" i="15" s="1"/>
  <c r="B168" i="15" s="1"/>
  <c r="B169" i="15" s="1"/>
  <c r="B170" i="15" s="1"/>
  <c r="B171" i="15" s="1"/>
  <c r="B172" i="15" s="1"/>
  <c r="B173" i="15" s="1"/>
  <c r="B174" i="15" s="1"/>
  <c r="B175" i="15" s="1"/>
  <c r="B176" i="15" s="1"/>
  <c r="B177" i="15" s="1"/>
  <c r="B178" i="15" s="1"/>
  <c r="B179" i="15" s="1"/>
  <c r="B180" i="15" s="1"/>
  <c r="B181" i="15" s="1"/>
  <c r="B182" i="15" s="1"/>
  <c r="B183" i="15" s="1"/>
  <c r="B184" i="15" s="1"/>
  <c r="B185" i="15" s="1"/>
  <c r="B186" i="15" s="1"/>
  <c r="B187" i="15" s="1"/>
  <c r="B188" i="15" s="1"/>
  <c r="B189" i="15" s="1"/>
  <c r="B190" i="15" s="1"/>
  <c r="B191" i="15" s="1"/>
  <c r="B192" i="15" s="1"/>
  <c r="B193" i="15" s="1"/>
  <c r="B194" i="15" s="1"/>
  <c r="B195" i="15" s="1"/>
  <c r="B196" i="15" s="1"/>
  <c r="B197" i="15" s="1"/>
  <c r="B198" i="15" s="1"/>
  <c r="B199" i="15" s="1"/>
  <c r="B200" i="15" s="1"/>
  <c r="B201" i="15" s="1"/>
  <c r="B202" i="15" s="1"/>
  <c r="B203" i="15" s="1"/>
  <c r="B204" i="15" s="1"/>
  <c r="B205" i="15" s="1"/>
  <c r="B206" i="15" s="1"/>
  <c r="B207" i="15" s="1"/>
  <c r="B208" i="15" s="1"/>
  <c r="B209" i="15" s="1"/>
  <c r="B210" i="15" s="1"/>
  <c r="B211" i="15" s="1"/>
  <c r="B212" i="15" s="1"/>
  <c r="B213" i="15" s="1"/>
  <c r="B214" i="15" s="1"/>
  <c r="B215" i="15" s="1"/>
  <c r="B216" i="15" s="1"/>
  <c r="B217" i="15" s="1"/>
  <c r="B218" i="15" s="1"/>
  <c r="B219" i="15" s="1"/>
  <c r="B220" i="15" s="1"/>
  <c r="B221" i="15" s="1"/>
  <c r="B222" i="15" s="1"/>
  <c r="B223" i="15" s="1"/>
  <c r="C143" i="15"/>
  <c r="C140" i="15"/>
  <c r="C138" i="15"/>
  <c r="C137" i="15"/>
  <c r="C136" i="15"/>
  <c r="C135" i="15"/>
  <c r="C125" i="15"/>
  <c r="C122" i="15"/>
  <c r="C121" i="15"/>
  <c r="C120" i="15"/>
  <c r="C119" i="15"/>
  <c r="C118" i="15"/>
  <c r="C117" i="15"/>
  <c r="C116" i="15"/>
  <c r="C115" i="15"/>
  <c r="C114" i="15"/>
  <c r="C113" i="15"/>
  <c r="C112" i="15"/>
  <c r="C111" i="15"/>
  <c r="C110" i="15"/>
  <c r="C109" i="15"/>
  <c r="C108" i="15"/>
  <c r="C107" i="15"/>
  <c r="C106" i="15"/>
  <c r="C105" i="15"/>
  <c r="C104" i="15"/>
  <c r="C103" i="15"/>
  <c r="C102" i="15"/>
  <c r="C101" i="15"/>
  <c r="C100" i="15"/>
  <c r="C99" i="15"/>
  <c r="C98" i="15"/>
  <c r="C97" i="15"/>
  <c r="C96" i="15"/>
  <c r="C93" i="15"/>
  <c r="C92" i="15"/>
  <c r="C91" i="15"/>
  <c r="C90" i="15"/>
  <c r="C89" i="15"/>
  <c r="C88" i="15"/>
  <c r="C87" i="15"/>
  <c r="C86" i="15"/>
  <c r="C85" i="15"/>
  <c r="C82" i="15"/>
  <c r="C81" i="15"/>
  <c r="C80" i="15"/>
  <c r="C79" i="15"/>
  <c r="C78" i="15"/>
  <c r="C77" i="15"/>
  <c r="C76" i="15"/>
  <c r="C75" i="15"/>
  <c r="C74" i="15"/>
  <c r="C73" i="15"/>
  <c r="C72" i="15"/>
  <c r="C71" i="15"/>
  <c r="C70" i="15"/>
  <c r="C69" i="15"/>
  <c r="C68" i="15"/>
  <c r="C67" i="15"/>
  <c r="C66" i="15"/>
  <c r="C65" i="15"/>
  <c r="C64" i="15"/>
  <c r="C63" i="15"/>
  <c r="C62" i="15"/>
  <c r="C61" i="15"/>
  <c r="C60" i="15"/>
  <c r="C59" i="15"/>
  <c r="C58" i="15"/>
  <c r="C57" i="15"/>
  <c r="C56" i="15"/>
  <c r="C55" i="15"/>
  <c r="C54" i="15"/>
  <c r="C53" i="15"/>
  <c r="C52" i="15"/>
  <c r="C51" i="15"/>
  <c r="C50" i="15"/>
  <c r="C49" i="15"/>
  <c r="C48" i="15"/>
  <c r="C47" i="15"/>
  <c r="C46" i="15"/>
  <c r="C45" i="15"/>
  <c r="C44" i="15"/>
  <c r="C43" i="15"/>
  <c r="C42" i="15"/>
  <c r="C41" i="15"/>
  <c r="C38" i="15"/>
  <c r="C37" i="15"/>
  <c r="C36" i="15"/>
  <c r="C35" i="15"/>
  <c r="C34" i="15"/>
  <c r="C33" i="15"/>
  <c r="C32" i="15"/>
  <c r="C31" i="15"/>
  <c r="C30" i="15"/>
  <c r="C29" i="15"/>
  <c r="C28" i="15"/>
  <c r="C23" i="15"/>
  <c r="C22" i="15"/>
  <c r="C21" i="15"/>
  <c r="C20" i="15"/>
  <c r="C19" i="15"/>
  <c r="C18" i="15"/>
  <c r="C17" i="15" s="1"/>
  <c r="C13" i="15"/>
  <c r="B13" i="15"/>
  <c r="C12" i="15"/>
  <c r="B12" i="15"/>
  <c r="C11" i="15"/>
  <c r="B11" i="15"/>
  <c r="C10" i="15"/>
  <c r="B10" i="15"/>
  <c r="C9" i="15"/>
  <c r="B9" i="15"/>
  <c r="C8" i="15"/>
  <c r="B8" i="15"/>
  <c r="C7" i="15"/>
  <c r="B7" i="15"/>
  <c r="C6" i="15"/>
  <c r="B6" i="15"/>
  <c r="C5" i="15"/>
  <c r="B5" i="15"/>
  <c r="C4" i="15"/>
  <c r="B4" i="15"/>
  <c r="C2" i="15"/>
  <c r="C223" i="14" l="1"/>
  <c r="C222" i="14"/>
  <c r="C221" i="14"/>
  <c r="C220" i="14"/>
  <c r="C219" i="14"/>
  <c r="C218" i="14"/>
  <c r="C217" i="14"/>
  <c r="C216" i="14"/>
  <c r="C215" i="14"/>
  <c r="C214" i="14"/>
  <c r="C213" i="14"/>
  <c r="C212" i="14"/>
  <c r="C211" i="14"/>
  <c r="C210" i="14"/>
  <c r="C209" i="14"/>
  <c r="C208" i="14"/>
  <c r="C207" i="14"/>
  <c r="C206" i="14"/>
  <c r="C205" i="14"/>
  <c r="C204" i="14"/>
  <c r="C203" i="14"/>
  <c r="C202" i="14"/>
  <c r="C201" i="14"/>
  <c r="C200" i="14"/>
  <c r="C199" i="14"/>
  <c r="C198" i="14"/>
  <c r="C197" i="14"/>
  <c r="C196" i="14"/>
  <c r="C195" i="14"/>
  <c r="C194" i="14"/>
  <c r="C193" i="14"/>
  <c r="C192" i="14"/>
  <c r="C191" i="14"/>
  <c r="C190" i="14"/>
  <c r="C189" i="14"/>
  <c r="C188" i="14"/>
  <c r="C187" i="14"/>
  <c r="C186" i="14"/>
  <c r="C185" i="14"/>
  <c r="C184" i="14"/>
  <c r="C183" i="14"/>
  <c r="C182" i="14"/>
  <c r="C181" i="14"/>
  <c r="C180" i="14"/>
  <c r="C179" i="14"/>
  <c r="C178" i="14"/>
  <c r="C177" i="14"/>
  <c r="C176" i="14"/>
  <c r="C175" i="14"/>
  <c r="C174" i="14"/>
  <c r="C173" i="14"/>
  <c r="C172" i="14"/>
  <c r="C171" i="14"/>
  <c r="C170" i="14"/>
  <c r="C169" i="14"/>
  <c r="C168" i="14"/>
  <c r="C167" i="14"/>
  <c r="C166" i="14"/>
  <c r="C165" i="14"/>
  <c r="C164" i="14"/>
  <c r="C163" i="14"/>
  <c r="C162" i="14"/>
  <c r="C161" i="14"/>
  <c r="C160" i="14"/>
  <c r="C159" i="14"/>
  <c r="C158" i="14"/>
  <c r="C157" i="14"/>
  <c r="C156" i="14"/>
  <c r="C155" i="14"/>
  <c r="C154" i="14"/>
  <c r="C153" i="14"/>
  <c r="C152" i="14"/>
  <c r="C151" i="14"/>
  <c r="C150" i="14"/>
  <c r="C149" i="14"/>
  <c r="C148" i="14"/>
  <c r="C147" i="14"/>
  <c r="C146" i="14"/>
  <c r="C145" i="14"/>
  <c r="C144" i="14"/>
  <c r="B144" i="14"/>
  <c r="B145" i="14" s="1"/>
  <c r="B146" i="14" s="1"/>
  <c r="B147" i="14" s="1"/>
  <c r="B148" i="14" s="1"/>
  <c r="B149" i="14" s="1"/>
  <c r="B150" i="14" s="1"/>
  <c r="B151" i="14" s="1"/>
  <c r="B152" i="14" s="1"/>
  <c r="B153" i="14" s="1"/>
  <c r="B154" i="14" s="1"/>
  <c r="B155" i="14" s="1"/>
  <c r="B156" i="14" s="1"/>
  <c r="B157" i="14" s="1"/>
  <c r="B158" i="14" s="1"/>
  <c r="B159" i="14" s="1"/>
  <c r="B160" i="14" s="1"/>
  <c r="B161" i="14" s="1"/>
  <c r="B162" i="14" s="1"/>
  <c r="B163" i="14" s="1"/>
  <c r="B164" i="14" s="1"/>
  <c r="B165" i="14" s="1"/>
  <c r="B166" i="14" s="1"/>
  <c r="B167" i="14" s="1"/>
  <c r="B168" i="14" s="1"/>
  <c r="B169" i="14" s="1"/>
  <c r="B170" i="14" s="1"/>
  <c r="B171" i="14" s="1"/>
  <c r="B172" i="14" s="1"/>
  <c r="B173" i="14" s="1"/>
  <c r="B174" i="14" s="1"/>
  <c r="B175" i="14" s="1"/>
  <c r="B176" i="14" s="1"/>
  <c r="B177" i="14" s="1"/>
  <c r="B178" i="14" s="1"/>
  <c r="B179" i="14" s="1"/>
  <c r="B180" i="14" s="1"/>
  <c r="B181" i="14" s="1"/>
  <c r="B182" i="14" s="1"/>
  <c r="B183" i="14" s="1"/>
  <c r="B184" i="14" s="1"/>
  <c r="B185" i="14" s="1"/>
  <c r="B186" i="14" s="1"/>
  <c r="B187" i="14" s="1"/>
  <c r="B188" i="14" s="1"/>
  <c r="B189" i="14" s="1"/>
  <c r="B190" i="14" s="1"/>
  <c r="B191" i="14" s="1"/>
  <c r="B192" i="14" s="1"/>
  <c r="B193" i="14" s="1"/>
  <c r="B194" i="14" s="1"/>
  <c r="B195" i="14" s="1"/>
  <c r="B196" i="14" s="1"/>
  <c r="B197" i="14" s="1"/>
  <c r="B198" i="14" s="1"/>
  <c r="B199" i="14" s="1"/>
  <c r="B200" i="14" s="1"/>
  <c r="B201" i="14" s="1"/>
  <c r="B202" i="14" s="1"/>
  <c r="B203" i="14" s="1"/>
  <c r="B204" i="14" s="1"/>
  <c r="B205" i="14" s="1"/>
  <c r="B206" i="14" s="1"/>
  <c r="B207" i="14" s="1"/>
  <c r="B208" i="14" s="1"/>
  <c r="B209" i="14" s="1"/>
  <c r="B210" i="14" s="1"/>
  <c r="B211" i="14" s="1"/>
  <c r="B212" i="14" s="1"/>
  <c r="B213" i="14" s="1"/>
  <c r="B214" i="14" s="1"/>
  <c r="B215" i="14" s="1"/>
  <c r="B216" i="14" s="1"/>
  <c r="B217" i="14" s="1"/>
  <c r="B218" i="14" s="1"/>
  <c r="B219" i="14" s="1"/>
  <c r="B220" i="14" s="1"/>
  <c r="B221" i="14" s="1"/>
  <c r="B222" i="14" s="1"/>
  <c r="B223" i="14" s="1"/>
  <c r="C143" i="14"/>
  <c r="C140" i="14"/>
  <c r="C138" i="14"/>
  <c r="C137" i="14"/>
  <c r="C136" i="14"/>
  <c r="C135" i="14"/>
  <c r="C125" i="14"/>
  <c r="C122" i="14"/>
  <c r="C121" i="14"/>
  <c r="C120" i="14"/>
  <c r="C119" i="14"/>
  <c r="C118" i="14"/>
  <c r="C117" i="14"/>
  <c r="C116" i="14"/>
  <c r="C115" i="14"/>
  <c r="C114" i="14"/>
  <c r="C113" i="14"/>
  <c r="C112" i="14"/>
  <c r="C111" i="14"/>
  <c r="C110" i="14"/>
  <c r="C109" i="14"/>
  <c r="C108" i="14"/>
  <c r="C107" i="14"/>
  <c r="C106" i="14"/>
  <c r="C105" i="14"/>
  <c r="C104" i="14"/>
  <c r="C103" i="14"/>
  <c r="C102" i="14"/>
  <c r="C101" i="14"/>
  <c r="C100" i="14"/>
  <c r="C99" i="14"/>
  <c r="C98" i="14"/>
  <c r="C97" i="14"/>
  <c r="C96" i="14"/>
  <c r="C93" i="14"/>
  <c r="C92" i="14"/>
  <c r="C91" i="14"/>
  <c r="C90" i="14"/>
  <c r="C89" i="14"/>
  <c r="C88" i="14"/>
  <c r="C87" i="14"/>
  <c r="C86" i="14"/>
  <c r="C85" i="14"/>
  <c r="C82" i="14"/>
  <c r="C81" i="14"/>
  <c r="C80" i="14"/>
  <c r="C79" i="14"/>
  <c r="C78" i="14"/>
  <c r="C77" i="14"/>
  <c r="C76" i="14"/>
  <c r="C75" i="14"/>
  <c r="C74" i="14"/>
  <c r="C73" i="14"/>
  <c r="C72" i="14"/>
  <c r="C71" i="14"/>
  <c r="C70" i="14"/>
  <c r="C69" i="14"/>
  <c r="C68" i="14"/>
  <c r="C67" i="14"/>
  <c r="C66" i="14"/>
  <c r="C65" i="14"/>
  <c r="C64" i="14"/>
  <c r="C63" i="14"/>
  <c r="C62" i="14"/>
  <c r="C61" i="14"/>
  <c r="C60" i="14"/>
  <c r="C59" i="14"/>
  <c r="C58" i="14"/>
  <c r="C57" i="14"/>
  <c r="C56" i="14"/>
  <c r="C55" i="14"/>
  <c r="C54" i="14"/>
  <c r="C53" i="14"/>
  <c r="C52" i="14"/>
  <c r="C51" i="14"/>
  <c r="C50" i="14"/>
  <c r="C49" i="14"/>
  <c r="C48" i="14"/>
  <c r="C47" i="14"/>
  <c r="C46" i="14"/>
  <c r="C45" i="14"/>
  <c r="C44" i="14"/>
  <c r="C43" i="14"/>
  <c r="C42" i="14"/>
  <c r="C41" i="14"/>
  <c r="C38" i="14"/>
  <c r="C37" i="14"/>
  <c r="C36" i="14"/>
  <c r="C35" i="14"/>
  <c r="C34" i="14"/>
  <c r="C33" i="14"/>
  <c r="C32" i="14"/>
  <c r="C31" i="14"/>
  <c r="C30" i="14"/>
  <c r="C29" i="14"/>
  <c r="C28" i="14"/>
  <c r="C23" i="14"/>
  <c r="C22" i="14"/>
  <c r="C21" i="14"/>
  <c r="C20" i="14"/>
  <c r="C19" i="14"/>
  <c r="C18" i="14"/>
  <c r="C17" i="14" s="1"/>
  <c r="C13" i="14"/>
  <c r="B13" i="14"/>
  <c r="C12" i="14"/>
  <c r="B12" i="14"/>
  <c r="C11" i="14"/>
  <c r="B11" i="14"/>
  <c r="C10" i="14"/>
  <c r="B10" i="14"/>
  <c r="C9" i="14"/>
  <c r="B9" i="14"/>
  <c r="C8" i="14"/>
  <c r="B8" i="14"/>
  <c r="C7" i="14"/>
  <c r="B7" i="14"/>
  <c r="C6" i="14"/>
  <c r="B6" i="14"/>
  <c r="C5" i="14"/>
  <c r="B5" i="14"/>
  <c r="C4" i="14"/>
  <c r="B4" i="14"/>
  <c r="C2" i="14"/>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8" i="13"/>
  <c r="C17" i="13" s="1"/>
  <c r="C13" i="13"/>
  <c r="B13" i="13"/>
  <c r="C12" i="13"/>
  <c r="B12" i="13"/>
  <c r="C11" i="13"/>
  <c r="B11" i="13"/>
  <c r="C10" i="13"/>
  <c r="B10" i="13"/>
  <c r="C9" i="13"/>
  <c r="B9" i="13"/>
  <c r="C8" i="13"/>
  <c r="B8" i="13"/>
  <c r="C7" i="13"/>
  <c r="B7" i="13"/>
  <c r="C6" i="13"/>
  <c r="B6" i="13"/>
  <c r="C5" i="13"/>
  <c r="B5" i="13"/>
  <c r="C4" i="13"/>
  <c r="B4" i="13"/>
  <c r="C2"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7" i="12" s="1"/>
  <c r="C13" i="12"/>
  <c r="B13" i="12"/>
  <c r="C12" i="12"/>
  <c r="B12" i="12"/>
  <c r="C11" i="12"/>
  <c r="B11" i="12"/>
  <c r="C10" i="12"/>
  <c r="B10" i="12"/>
  <c r="C9" i="12"/>
  <c r="B9" i="12"/>
  <c r="C8" i="12"/>
  <c r="B8" i="12"/>
  <c r="C7" i="12"/>
  <c r="B7" i="12"/>
  <c r="C6" i="12"/>
  <c r="B6" i="12"/>
  <c r="C5" i="12"/>
  <c r="B5" i="12"/>
  <c r="C4" i="12"/>
  <c r="B4" i="12"/>
  <c r="C2" i="12"/>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8" i="10"/>
  <c r="C17" i="10" s="1"/>
  <c r="C13" i="10"/>
  <c r="B13" i="10"/>
  <c r="C12" i="10"/>
  <c r="B12" i="10"/>
  <c r="C11" i="10"/>
  <c r="B11" i="10"/>
  <c r="C10" i="10"/>
  <c r="B10" i="10"/>
  <c r="C9" i="10"/>
  <c r="B9" i="10"/>
  <c r="C8" i="10"/>
  <c r="B8" i="10"/>
  <c r="C7" i="10"/>
  <c r="B7" i="10"/>
  <c r="C6" i="10"/>
  <c r="B6" i="10"/>
  <c r="C5" i="10"/>
  <c r="B5" i="10"/>
  <c r="C4" i="10"/>
  <c r="B4" i="10"/>
  <c r="C2" i="10"/>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7" i="11" s="1"/>
  <c r="C13" i="11"/>
  <c r="B13" i="11"/>
  <c r="C12" i="11"/>
  <c r="B12" i="11"/>
  <c r="C11" i="11"/>
  <c r="B11" i="11"/>
  <c r="C10" i="11"/>
  <c r="B10" i="11"/>
  <c r="C9" i="11"/>
  <c r="B9" i="11"/>
  <c r="C8" i="11"/>
  <c r="B8" i="11"/>
  <c r="C7" i="11"/>
  <c r="B7" i="11"/>
  <c r="C6" i="11"/>
  <c r="B6" i="11"/>
  <c r="C5" i="11"/>
  <c r="B5" i="11"/>
  <c r="C4" i="11"/>
  <c r="B4" i="11"/>
  <c r="C2" i="1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7" i="9" s="1"/>
  <c r="C13" i="9"/>
  <c r="B13" i="9"/>
  <c r="C12" i="9"/>
  <c r="B12" i="9"/>
  <c r="C11" i="9"/>
  <c r="B11" i="9"/>
  <c r="C10" i="9"/>
  <c r="B10" i="9"/>
  <c r="C9" i="9"/>
  <c r="B9" i="9"/>
  <c r="C8" i="9"/>
  <c r="B8" i="9"/>
  <c r="C7" i="9"/>
  <c r="B7" i="9"/>
  <c r="C6" i="9"/>
  <c r="B6" i="9"/>
  <c r="C5" i="9"/>
  <c r="B5" i="9"/>
  <c r="C4" i="9"/>
  <c r="B4" i="9"/>
  <c r="C2" i="9"/>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7" i="8" s="1"/>
  <c r="C13" i="8"/>
  <c r="B13" i="8"/>
  <c r="C12" i="8"/>
  <c r="B12" i="8"/>
  <c r="C11" i="8"/>
  <c r="B11" i="8"/>
  <c r="C10" i="8"/>
  <c r="B10" i="8"/>
  <c r="C9" i="8"/>
  <c r="B9" i="8"/>
  <c r="C8" i="8"/>
  <c r="B8" i="8"/>
  <c r="C7" i="8"/>
  <c r="B7" i="8"/>
  <c r="C6" i="8"/>
  <c r="B6" i="8"/>
  <c r="C5" i="8"/>
  <c r="B5" i="8"/>
  <c r="C4" i="8"/>
  <c r="B4" i="8"/>
  <c r="C2" i="8"/>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7" i="7" s="1"/>
  <c r="C13" i="7"/>
  <c r="B13" i="7"/>
  <c r="C12" i="7"/>
  <c r="B12" i="7"/>
  <c r="C11" i="7"/>
  <c r="B11" i="7"/>
  <c r="C10" i="7"/>
  <c r="B10" i="7"/>
  <c r="C9" i="7"/>
  <c r="B9" i="7"/>
  <c r="C8" i="7"/>
  <c r="B8" i="7"/>
  <c r="C7" i="7"/>
  <c r="B7" i="7"/>
  <c r="C6" i="7"/>
  <c r="B6" i="7"/>
  <c r="C5" i="7"/>
  <c r="B5" i="7"/>
  <c r="C4" i="7"/>
  <c r="B4" i="7"/>
  <c r="C2" i="7"/>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s="1"/>
  <c r="C13" i="6"/>
  <c r="B13" i="6"/>
  <c r="C12" i="6"/>
  <c r="B12" i="6"/>
  <c r="C11" i="6"/>
  <c r="B11" i="6"/>
  <c r="C10" i="6"/>
  <c r="B10" i="6"/>
  <c r="C9" i="6"/>
  <c r="B9" i="6"/>
  <c r="C8" i="6"/>
  <c r="B8" i="6"/>
  <c r="C7" i="6"/>
  <c r="B7" i="6"/>
  <c r="C6" i="6"/>
  <c r="B6" i="6"/>
  <c r="C5" i="6"/>
  <c r="B5" i="6"/>
  <c r="C4" i="6"/>
  <c r="B4" i="6"/>
  <c r="C2"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7" i="5" s="1"/>
  <c r="C13" i="5"/>
  <c r="B13" i="5"/>
  <c r="C12" i="5"/>
  <c r="B12" i="5"/>
  <c r="C11" i="5"/>
  <c r="B11" i="5"/>
  <c r="C10" i="5"/>
  <c r="B10" i="5"/>
  <c r="C9" i="5"/>
  <c r="B9" i="5"/>
  <c r="C8" i="5"/>
  <c r="B8" i="5"/>
  <c r="C7" i="5"/>
  <c r="B7" i="5"/>
  <c r="C6" i="5"/>
  <c r="B6" i="5"/>
  <c r="C5" i="5"/>
  <c r="B5" i="5"/>
  <c r="C4" i="5"/>
  <c r="B4" i="5"/>
  <c r="C2" i="5"/>
  <c r="C223" i="4" l="1"/>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C145" i="4"/>
  <c r="C144" i="4"/>
  <c r="B144" i="4"/>
  <c r="B145" i="4" s="1"/>
  <c r="B146" i="4" s="1"/>
  <c r="B147" i="4" s="1"/>
  <c r="B148" i="4" s="1"/>
  <c r="B149" i="4" s="1"/>
  <c r="B150" i="4" s="1"/>
  <c r="B151" i="4" s="1"/>
  <c r="B152" i="4" s="1"/>
  <c r="B153" i="4" s="1"/>
  <c r="B154" i="4" s="1"/>
  <c r="B155" i="4" s="1"/>
  <c r="B156" i="4" s="1"/>
  <c r="B157" i="4" s="1"/>
  <c r="B158" i="4" s="1"/>
  <c r="B159" i="4" s="1"/>
  <c r="B160" i="4" s="1"/>
  <c r="B161" i="4" s="1"/>
  <c r="B162" i="4" s="1"/>
  <c r="B163" i="4" s="1"/>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C143" i="4"/>
  <c r="C140" i="4"/>
  <c r="C138" i="4"/>
  <c r="C137" i="4"/>
  <c r="C136" i="4"/>
  <c r="C135" i="4"/>
  <c r="C125" i="4"/>
  <c r="C122" i="4"/>
  <c r="C121" i="4"/>
  <c r="C120" i="4"/>
  <c r="C119" i="4"/>
  <c r="C118" i="4"/>
  <c r="C117" i="4"/>
  <c r="C116" i="4"/>
  <c r="C115" i="4"/>
  <c r="C114" i="4"/>
  <c r="C113" i="4"/>
  <c r="C112" i="4"/>
  <c r="C111" i="4"/>
  <c r="C110" i="4"/>
  <c r="C109" i="4"/>
  <c r="C108" i="4"/>
  <c r="C107" i="4"/>
  <c r="C106" i="4"/>
  <c r="C105" i="4"/>
  <c r="C104" i="4"/>
  <c r="C103" i="4"/>
  <c r="C102" i="4"/>
  <c r="C101" i="4"/>
  <c r="C100" i="4"/>
  <c r="C99" i="4"/>
  <c r="C98" i="4"/>
  <c r="C97" i="4"/>
  <c r="C96" i="4"/>
  <c r="C93" i="4"/>
  <c r="C92" i="4"/>
  <c r="C91" i="4"/>
  <c r="C90" i="4"/>
  <c r="C89" i="4"/>
  <c r="C88" i="4"/>
  <c r="C87" i="4"/>
  <c r="C86" i="4"/>
  <c r="C85"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5" i="4"/>
  <c r="C44" i="4"/>
  <c r="C43" i="4"/>
  <c r="C42" i="4"/>
  <c r="C41" i="4"/>
  <c r="C38" i="4"/>
  <c r="C37" i="4"/>
  <c r="C36" i="4"/>
  <c r="C35" i="4"/>
  <c r="C34" i="4"/>
  <c r="C33" i="4"/>
  <c r="C32" i="4"/>
  <c r="C31" i="4"/>
  <c r="C30" i="4"/>
  <c r="C29" i="4"/>
  <c r="C28" i="4"/>
  <c r="C23" i="4"/>
  <c r="C22" i="4"/>
  <c r="C21" i="4"/>
  <c r="C20" i="4"/>
  <c r="C19" i="4"/>
  <c r="C18" i="4"/>
  <c r="C17" i="4" s="1"/>
  <c r="C13" i="4"/>
  <c r="B13" i="4"/>
  <c r="C12" i="4"/>
  <c r="B12" i="4"/>
  <c r="C11" i="4"/>
  <c r="B11" i="4"/>
  <c r="C10" i="4"/>
  <c r="B10" i="4"/>
  <c r="C9" i="4"/>
  <c r="B9" i="4"/>
  <c r="C8" i="4"/>
  <c r="B8" i="4"/>
  <c r="C7" i="4"/>
  <c r="B7" i="4"/>
  <c r="C6" i="4"/>
  <c r="B6" i="4"/>
  <c r="C5" i="4"/>
  <c r="B5" i="4"/>
  <c r="C4" i="4"/>
  <c r="B4" i="4"/>
  <c r="C2" i="4"/>
  <c r="C223" i="3" l="1"/>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C145" i="3"/>
  <c r="C144" i="3"/>
  <c r="B144" i="3"/>
  <c r="B145" i="3" s="1"/>
  <c r="B146" i="3" s="1"/>
  <c r="B147" i="3" s="1"/>
  <c r="B148" i="3" s="1"/>
  <c r="B149" i="3" s="1"/>
  <c r="B150" i="3" s="1"/>
  <c r="B151" i="3" s="1"/>
  <c r="B152" i="3" s="1"/>
  <c r="B153" i="3" s="1"/>
  <c r="B154" i="3" s="1"/>
  <c r="B155" i="3" s="1"/>
  <c r="B156" i="3" s="1"/>
  <c r="B157" i="3" s="1"/>
  <c r="B158" i="3" s="1"/>
  <c r="B159" i="3" s="1"/>
  <c r="B160" i="3" s="1"/>
  <c r="B161" i="3" s="1"/>
  <c r="B162" i="3" s="1"/>
  <c r="B163" i="3" s="1"/>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C143" i="3"/>
  <c r="C140" i="3"/>
  <c r="C138" i="3"/>
  <c r="C137" i="3"/>
  <c r="C136" i="3"/>
  <c r="C135" i="3"/>
  <c r="C125" i="3"/>
  <c r="C122" i="3"/>
  <c r="C121" i="3"/>
  <c r="C120" i="3"/>
  <c r="C119" i="3"/>
  <c r="C118" i="3"/>
  <c r="C117" i="3"/>
  <c r="C116" i="3"/>
  <c r="C115" i="3"/>
  <c r="C114" i="3"/>
  <c r="C113" i="3"/>
  <c r="C112" i="3"/>
  <c r="C111" i="3"/>
  <c r="C110" i="3"/>
  <c r="C109" i="3"/>
  <c r="C108" i="3"/>
  <c r="C107" i="3"/>
  <c r="C106" i="3"/>
  <c r="C105" i="3"/>
  <c r="C104" i="3"/>
  <c r="C103" i="3"/>
  <c r="C102" i="3"/>
  <c r="C101" i="3"/>
  <c r="C100" i="3"/>
  <c r="C99" i="3"/>
  <c r="C98" i="3"/>
  <c r="C97" i="3"/>
  <c r="C96" i="3"/>
  <c r="C93" i="3"/>
  <c r="C92" i="3"/>
  <c r="C91" i="3"/>
  <c r="C90" i="3"/>
  <c r="C89" i="3"/>
  <c r="C88" i="3"/>
  <c r="C87" i="3"/>
  <c r="C86" i="3"/>
  <c r="C85"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5" i="3"/>
  <c r="C44" i="3"/>
  <c r="C43" i="3"/>
  <c r="C42" i="3"/>
  <c r="C41" i="3"/>
  <c r="C38" i="3"/>
  <c r="C37" i="3"/>
  <c r="C36" i="3"/>
  <c r="C35" i="3"/>
  <c r="C34" i="3"/>
  <c r="C33" i="3"/>
  <c r="C32" i="3"/>
  <c r="C31" i="3"/>
  <c r="C30" i="3"/>
  <c r="C29" i="3"/>
  <c r="C28" i="3"/>
  <c r="C23" i="3"/>
  <c r="C22" i="3"/>
  <c r="C21" i="3"/>
  <c r="C20" i="3"/>
  <c r="C19" i="3"/>
  <c r="C18" i="3"/>
  <c r="C17" i="3" s="1"/>
  <c r="C13" i="3"/>
  <c r="B13" i="3"/>
  <c r="C12" i="3"/>
  <c r="B12" i="3"/>
  <c r="C11" i="3"/>
  <c r="B11" i="3"/>
  <c r="C10" i="3"/>
  <c r="B10" i="3"/>
  <c r="C9" i="3"/>
  <c r="B9" i="3"/>
  <c r="C8" i="3"/>
  <c r="B8" i="3"/>
  <c r="C7" i="3"/>
  <c r="B7" i="3"/>
  <c r="C6" i="3"/>
  <c r="B6" i="3"/>
  <c r="C5" i="3"/>
  <c r="B5" i="3"/>
  <c r="C4" i="3"/>
  <c r="B4" i="3"/>
  <c r="C2" i="3"/>
  <c r="C223" i="2" l="1"/>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C144" i="2"/>
  <c r="B144" i="2"/>
  <c r="B145" i="2" s="1"/>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8" i="2"/>
  <c r="C17" i="2" s="1"/>
  <c r="C13" i="2"/>
  <c r="B13" i="2"/>
  <c r="C12" i="2"/>
  <c r="B12" i="2"/>
  <c r="C11" i="2"/>
  <c r="B11" i="2"/>
  <c r="C10" i="2"/>
  <c r="B10" i="2"/>
  <c r="C9" i="2"/>
  <c r="B9" i="2"/>
  <c r="C8" i="2"/>
  <c r="B8" i="2"/>
  <c r="C7" i="2"/>
  <c r="B7" i="2"/>
  <c r="C6" i="2"/>
  <c r="B6" i="2"/>
  <c r="C5" i="2"/>
  <c r="B5" i="2"/>
  <c r="C4" i="2"/>
  <c r="B4" i="2"/>
  <c r="C2" i="2"/>
  <c r="C223" i="1" l="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C145" i="1"/>
  <c r="C144" i="1"/>
  <c r="B144" i="1"/>
  <c r="B145" i="1" s="1"/>
  <c r="B146" i="1" s="1"/>
  <c r="B147" i="1" s="1"/>
  <c r="B148" i="1" s="1"/>
  <c r="B149" i="1" s="1"/>
  <c r="B150" i="1" s="1"/>
  <c r="B151" i="1" s="1"/>
  <c r="B152" i="1" s="1"/>
  <c r="B153" i="1" s="1"/>
  <c r="B154" i="1" s="1"/>
  <c r="B155" i="1" s="1"/>
  <c r="B156" i="1" s="1"/>
  <c r="B157" i="1" s="1"/>
  <c r="B158" i="1" s="1"/>
  <c r="B159" i="1" s="1"/>
  <c r="B160" i="1" s="1"/>
  <c r="B161" i="1" s="1"/>
  <c r="B162" i="1" s="1"/>
  <c r="B163" i="1" s="1"/>
  <c r="B164" i="1" s="1"/>
  <c r="B165" i="1" s="1"/>
  <c r="B166" i="1" s="1"/>
  <c r="B167" i="1" s="1"/>
  <c r="B168" i="1" s="1"/>
  <c r="B169" i="1" s="1"/>
  <c r="B170" i="1" s="1"/>
  <c r="B171" i="1" s="1"/>
  <c r="B172" i="1" s="1"/>
  <c r="B173" i="1" s="1"/>
  <c r="B174" i="1" s="1"/>
  <c r="B175" i="1" s="1"/>
  <c r="B176" i="1" s="1"/>
  <c r="B177" i="1" s="1"/>
  <c r="B178" i="1" s="1"/>
  <c r="B179" i="1" s="1"/>
  <c r="B180" i="1" s="1"/>
  <c r="B181" i="1" s="1"/>
  <c r="B182" i="1" s="1"/>
  <c r="B183" i="1" s="1"/>
  <c r="B184" i="1" s="1"/>
  <c r="B185" i="1" s="1"/>
  <c r="B186" i="1" s="1"/>
  <c r="B187" i="1" s="1"/>
  <c r="B188" i="1" s="1"/>
  <c r="B189" i="1" s="1"/>
  <c r="B190" i="1" s="1"/>
  <c r="B191" i="1" s="1"/>
  <c r="B192" i="1" s="1"/>
  <c r="B193" i="1" s="1"/>
  <c r="B194" i="1" s="1"/>
  <c r="B195" i="1" s="1"/>
  <c r="B196" i="1" s="1"/>
  <c r="B197" i="1" s="1"/>
  <c r="B198" i="1" s="1"/>
  <c r="B199" i="1" s="1"/>
  <c r="B200" i="1" s="1"/>
  <c r="B201" i="1" s="1"/>
  <c r="B202" i="1" s="1"/>
  <c r="B203" i="1" s="1"/>
  <c r="B204" i="1" s="1"/>
  <c r="B205" i="1" s="1"/>
  <c r="B206" i="1" s="1"/>
  <c r="B207" i="1" s="1"/>
  <c r="B208" i="1" s="1"/>
  <c r="B209" i="1" s="1"/>
  <c r="B210" i="1" s="1"/>
  <c r="B211" i="1" s="1"/>
  <c r="B212" i="1" s="1"/>
  <c r="B213" i="1" s="1"/>
  <c r="B214" i="1" s="1"/>
  <c r="B215" i="1" s="1"/>
  <c r="B216" i="1" s="1"/>
  <c r="B217" i="1" s="1"/>
  <c r="B218" i="1" s="1"/>
  <c r="B219" i="1" s="1"/>
  <c r="B220" i="1" s="1"/>
  <c r="B221" i="1" s="1"/>
  <c r="B222" i="1" s="1"/>
  <c r="B223" i="1" s="1"/>
  <c r="C143" i="1"/>
  <c r="C140" i="1"/>
  <c r="C138" i="1"/>
  <c r="C137" i="1"/>
  <c r="C136" i="1"/>
  <c r="C135" i="1"/>
  <c r="C125" i="1"/>
  <c r="C122"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3" i="1"/>
  <c r="C92" i="1"/>
  <c r="C91" i="1"/>
  <c r="C90" i="1"/>
  <c r="C89" i="1"/>
  <c r="C88" i="1"/>
  <c r="C87" i="1"/>
  <c r="C86" i="1"/>
  <c r="C85"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38" i="1"/>
  <c r="C37" i="1"/>
  <c r="C36" i="1"/>
  <c r="C35" i="1"/>
  <c r="C34" i="1"/>
  <c r="C33" i="1"/>
  <c r="C32" i="1"/>
  <c r="C31" i="1"/>
  <c r="C30" i="1"/>
  <c r="C29" i="1"/>
  <c r="C28" i="1"/>
  <c r="C23" i="1"/>
  <c r="C22" i="1"/>
  <c r="C21" i="1"/>
  <c r="C20" i="1"/>
  <c r="C19" i="1"/>
  <c r="C18" i="1"/>
  <c r="C17" i="1" s="1"/>
  <c r="C13" i="1"/>
  <c r="B13" i="1"/>
  <c r="C12" i="1"/>
  <c r="B12" i="1"/>
  <c r="C11" i="1"/>
  <c r="B11" i="1"/>
  <c r="C10" i="1"/>
  <c r="B10" i="1"/>
  <c r="C9" i="1"/>
  <c r="B9" i="1"/>
  <c r="C8" i="1"/>
  <c r="B8" i="1"/>
  <c r="C7" i="1"/>
  <c r="B7" i="1"/>
  <c r="C6" i="1"/>
  <c r="B6" i="1"/>
  <c r="C5" i="1"/>
  <c r="B5" i="1"/>
  <c r="C4" i="1"/>
  <c r="B4" i="1"/>
  <c r="C2" i="1"/>
</calcChain>
</file>

<file path=xl/sharedStrings.xml><?xml version="1.0" encoding="utf-8"?>
<sst xmlns="http://schemas.openxmlformats.org/spreadsheetml/2006/main" count="3615" uniqueCount="227">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</sst>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4"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2">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1" fillId="0" borderId="0" applyFont="0" applyFill="0" applyBorder="0" applyAlignment="0" applyProtection="0"/>
    <xf numFmtId="0" fontId="1" fillId="0" borderId="0"/>
    <xf numFmtId="0" fontId="29" fillId="0" borderId="0"/>
  </cellStyleXfs>
  <cellXfs count="124">
    <xf numFmtId="0" fontId="0" fillId="0" borderId="0" xfId="0"/>
    <xf numFmtId="10" fontId="3" fillId="2" borderId="0" xfId="2" applyNumberFormat="1" applyFont="1" applyFill="1" applyAlignment="1">
      <alignment wrapText="1"/>
    </xf>
    <xf numFmtId="0" fontId="4" fillId="2" borderId="0" xfId="2" applyFont="1" applyFill="1" applyBorder="1" applyAlignment="1">
      <alignment horizontal="center" vertical="center" wrapText="1"/>
    </xf>
    <xf numFmtId="0" fontId="3" fillId="2" borderId="0" xfId="2" applyFont="1" applyFill="1"/>
    <xf numFmtId="0" fontId="3" fillId="2" borderId="0" xfId="2" applyFont="1" applyFill="1" applyAlignment="1">
      <alignment wrapText="1"/>
    </xf>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0" fontId="5" fillId="2" borderId="1" xfId="2" applyFont="1" applyFill="1" applyBorder="1" applyAlignment="1">
      <alignment horizontal="left" wrapText="1"/>
    </xf>
    <xf numFmtId="4" fontId="5" fillId="2" borderId="2" xfId="2" applyNumberFormat="1" applyFont="1" applyFill="1" applyBorder="1" applyAlignment="1">
      <alignment horizontal="center" vertical="center" wrapText="1"/>
    </xf>
    <xf numFmtId="4" fontId="5" fillId="0" borderId="3" xfId="2" applyNumberFormat="1" applyFont="1" applyFill="1" applyBorder="1" applyAlignment="1">
      <alignment horizontal="center" vertical="center" wrapText="1"/>
    </xf>
    <xf numFmtId="4" fontId="5" fillId="0"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0" borderId="6" xfId="2" applyFont="1" applyBorder="1" applyAlignment="1">
      <alignment horizontal="center" vertical="center" wrapText="1"/>
    </xf>
    <xf numFmtId="0" fontId="5" fillId="0" borderId="7" xfId="2" applyFont="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0" fontId="3" fillId="2" borderId="9" xfId="2" applyFont="1" applyFill="1" applyBorder="1" applyAlignment="1">
      <alignment horizontal="lef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5" fillId="2" borderId="13" xfId="2" applyFont="1" applyFill="1" applyBorder="1" applyAlignment="1">
      <alignment horizontal="left"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0" fontId="3" fillId="2" borderId="6" xfId="2" applyFont="1" applyFill="1" applyBorder="1" applyAlignment="1">
      <alignment horizontal="left" vertical="center" wrapText="1" indent="2"/>
    </xf>
    <xf numFmtId="164" fontId="3" fillId="2" borderId="6" xfId="2" applyNumberFormat="1" applyFont="1" applyFill="1" applyBorder="1" applyAlignment="1">
      <alignment horizontal="center" vertical="center" wrapText="1"/>
    </xf>
    <xf numFmtId="49" fontId="8" fillId="2" borderId="5" xfId="0" applyNumberFormat="1" applyFont="1" applyFill="1" applyBorder="1" applyAlignment="1">
      <alignment horizontal="right" vertical="center"/>
    </xf>
    <xf numFmtId="0" fontId="15"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4" fillId="2" borderId="6" xfId="0" applyFont="1" applyFill="1" applyBorder="1" applyAlignment="1">
      <alignment horizontal="left" vertical="center" wrapText="1" indent="5"/>
    </xf>
    <xf numFmtId="0" fontId="11" fillId="2" borderId="14" xfId="2" applyFont="1" applyFill="1" applyBorder="1" applyAlignment="1">
      <alignment horizontal="left" vertical="center" wrapText="1" indent="2"/>
    </xf>
    <xf numFmtId="164"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0" borderId="0" xfId="2" applyFont="1" applyFill="1" applyBorder="1" applyAlignment="1">
      <alignment horizontal="left" vertical="center" wrapText="1" indent="2"/>
    </xf>
    <xf numFmtId="4" fontId="3" fillId="0" borderId="0"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wrapText="1"/>
    </xf>
    <xf numFmtId="0" fontId="5" fillId="2" borderId="16" xfId="2" applyFont="1" applyFill="1" applyBorder="1" applyAlignment="1">
      <alignment horizontal="lef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1" fillId="2" borderId="12" xfId="2" applyFont="1" applyFill="1" applyBorder="1" applyAlignment="1">
      <alignment horizontal="left" vertical="center" wrapText="1" indent="7"/>
    </xf>
    <xf numFmtId="0" fontId="14"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0" fontId="11"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4" fillId="2" borderId="6" xfId="0" applyFont="1" applyFill="1" applyBorder="1" applyAlignment="1">
      <alignment horizontal="left" vertical="center" wrapText="1" indent="4"/>
    </xf>
    <xf numFmtId="0" fontId="14"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5"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1" fillId="2" borderId="12" xfId="2" applyFont="1" applyFill="1" applyBorder="1" applyAlignment="1">
      <alignment horizontal="left" vertical="center" wrapText="1" indent="5"/>
    </xf>
    <xf numFmtId="165" fontId="3" fillId="2" borderId="6" xfId="2"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5" fillId="2" borderId="6" xfId="1" applyNumberFormat="1" applyFont="1" applyFill="1" applyBorder="1" applyAlignment="1">
      <alignment horizontal="center" vertical="center"/>
    </xf>
    <xf numFmtId="0" fontId="14"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1"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0" fontId="3" fillId="2" borderId="0" xfId="2" applyFont="1" applyFill="1" applyBorder="1" applyAlignment="1">
      <alignment horizontal="left" vertical="center" wrapText="1" indent="2"/>
    </xf>
    <xf numFmtId="49" fontId="15" fillId="2" borderId="2" xfId="2" applyNumberFormat="1" applyFont="1" applyFill="1" applyBorder="1" applyAlignment="1">
      <alignment horizontal="right" vertical="center"/>
    </xf>
    <xf numFmtId="49" fontId="15"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1" fillId="0" borderId="12" xfId="2" applyFont="1" applyFill="1" applyBorder="1" applyAlignment="1">
      <alignment horizontal="left" vertical="center" wrapText="1" indent="4"/>
    </xf>
    <xf numFmtId="166" fontId="3" fillId="2" borderId="6" xfId="1" applyNumberFormat="1" applyFont="1" applyFill="1" applyBorder="1" applyAlignment="1">
      <alignment horizontal="center" vertical="center" wrapText="1"/>
    </xf>
    <xf numFmtId="49" fontId="15"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6" xfId="2" applyNumberFormat="1" applyFont="1" applyFill="1" applyBorder="1" applyAlignment="1">
      <alignment horizontal="center" vertical="center" wrapText="1"/>
    </xf>
    <xf numFmtId="0" fontId="3" fillId="2" borderId="6" xfId="2" applyFont="1" applyFill="1" applyBorder="1" applyAlignment="1">
      <alignment horizontal="left" vertical="center" wrapText="1" indent="4"/>
    </xf>
    <xf numFmtId="0" fontId="8" fillId="2" borderId="6" xfId="0" applyFont="1" applyFill="1" applyBorder="1" applyAlignment="1">
      <alignment horizontal="left" vertical="center" wrapText="1" indent="6"/>
    </xf>
    <xf numFmtId="0" fontId="8" fillId="2" borderId="9" xfId="0" applyFont="1" applyFill="1" applyBorder="1" applyAlignment="1">
      <alignment horizontal="left" vertical="center" wrapText="1" indent="7"/>
    </xf>
    <xf numFmtId="0" fontId="3" fillId="2" borderId="0" xfId="2" applyFont="1" applyFill="1" applyBorder="1"/>
    <xf numFmtId="0" fontId="3" fillId="2" borderId="14" xfId="2" applyFont="1" applyFill="1" applyBorder="1" applyAlignment="1">
      <alignment horizontal="left" vertical="center" wrapText="1" indent="2"/>
    </xf>
    <xf numFmtId="0" fontId="5" fillId="2" borderId="3" xfId="2" applyFont="1" applyFill="1" applyBorder="1" applyAlignment="1">
      <alignment horizontal="left" vertical="center" wrapText="1"/>
    </xf>
    <xf numFmtId="0" fontId="15" fillId="2" borderId="6" xfId="2" applyFont="1" applyFill="1" applyBorder="1" applyAlignment="1">
      <alignment horizontal="left" vertical="center" wrapText="1" indent="2"/>
    </xf>
    <xf numFmtId="4" fontId="3" fillId="2" borderId="6" xfId="1" applyNumberFormat="1" applyFont="1" applyFill="1" applyBorder="1" applyAlignment="1">
      <alignment horizontal="center" vertical="center" wrapText="1"/>
    </xf>
    <xf numFmtId="0" fontId="15" fillId="2" borderId="9" xfId="2" applyFont="1" applyFill="1" applyBorder="1" applyAlignment="1">
      <alignment horizontal="left" vertical="center" wrapText="1" indent="2"/>
    </xf>
    <xf numFmtId="4" fontId="15" fillId="2" borderId="9" xfId="2" applyNumberFormat="1" applyFont="1" applyFill="1" applyBorder="1" applyAlignment="1">
      <alignment horizontal="center" vertical="center" wrapText="1"/>
    </xf>
    <xf numFmtId="49" fontId="3" fillId="2" borderId="17" xfId="2" applyNumberFormat="1" applyFont="1" applyFill="1" applyBorder="1" applyAlignment="1">
      <alignment horizontal="right" vertical="center"/>
    </xf>
    <xf numFmtId="0" fontId="3" fillId="2" borderId="18" xfId="2" applyFont="1" applyFill="1" applyBorder="1" applyAlignment="1">
      <alignment horizontal="left" vertical="center" wrapText="1" indent="4"/>
    </xf>
    <xf numFmtId="10" fontId="3" fillId="2" borderId="18" xfId="1"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11" fillId="2" borderId="6" xfId="2" applyFont="1" applyFill="1" applyBorder="1" applyAlignment="1">
      <alignment horizontal="left" vertical="center" wrapText="1" indent="4"/>
    </xf>
    <xf numFmtId="0" fontId="11" fillId="2" borderId="9" xfId="2" applyFont="1" applyFill="1" applyBorder="1" applyAlignment="1">
      <alignment horizontal="left" vertical="center" wrapText="1" indent="4"/>
    </xf>
    <xf numFmtId="0" fontId="30" fillId="2" borderId="3" xfId="3" applyFont="1" applyFill="1" applyBorder="1" applyAlignment="1">
      <alignment horizontal="left" vertical="center" wrapText="1"/>
    </xf>
    <xf numFmtId="10" fontId="3" fillId="2" borderId="3" xfId="1" applyNumberFormat="1" applyFont="1" applyFill="1" applyBorder="1" applyAlignment="1">
      <alignment horizontal="center" vertical="center" wrapText="1"/>
    </xf>
    <xf numFmtId="0" fontId="3" fillId="2" borderId="9" xfId="2" applyFont="1" applyFill="1" applyBorder="1" applyAlignment="1">
      <alignment horizontal="left" vertical="center" wrapText="1"/>
    </xf>
    <xf numFmtId="0" fontId="3" fillId="2" borderId="0" xfId="2" applyFont="1" applyFill="1" applyBorder="1" applyAlignment="1">
      <alignment horizontal="right" vertical="center"/>
    </xf>
    <xf numFmtId="0" fontId="3" fillId="2" borderId="20" xfId="2" applyFont="1" applyFill="1" applyBorder="1" applyAlignment="1">
      <alignment horizontal="right" wrapText="1" indent="1"/>
    </xf>
    <xf numFmtId="0" fontId="3" fillId="2" borderId="21" xfId="2" applyFont="1" applyFill="1" applyBorder="1" applyAlignment="1">
      <alignment horizontal="center" vertical="center" wrapText="1"/>
    </xf>
    <xf numFmtId="0" fontId="3" fillId="2" borderId="2" xfId="2" applyFont="1" applyFill="1" applyBorder="1"/>
    <xf numFmtId="10" fontId="15" fillId="2" borderId="4" xfId="2" applyNumberFormat="1" applyFont="1" applyFill="1" applyBorder="1" applyAlignment="1" applyProtection="1">
      <alignment vertical="center"/>
    </xf>
    <xf numFmtId="0" fontId="3" fillId="2" borderId="5" xfId="2" applyFont="1" applyFill="1" applyBorder="1"/>
    <xf numFmtId="10" fontId="15" fillId="2" borderId="7" xfId="2" applyNumberFormat="1" applyFont="1" applyFill="1" applyBorder="1" applyAlignment="1" applyProtection="1">
      <alignment vertical="center"/>
    </xf>
    <xf numFmtId="0" fontId="3" fillId="2" borderId="8" xfId="2" applyFont="1" applyFill="1" applyBorder="1"/>
    <xf numFmtId="10" fontId="15" fillId="2" borderId="10" xfId="2" applyNumberFormat="1" applyFont="1" applyFill="1" applyBorder="1" applyAlignment="1" applyProtection="1">
      <alignment vertical="center"/>
    </xf>
    <xf numFmtId="0" fontId="3" fillId="2" borderId="17" xfId="2" applyFont="1" applyFill="1" applyBorder="1"/>
    <xf numFmtId="10" fontId="15" fillId="2" borderId="19" xfId="2" applyNumberFormat="1" applyFont="1" applyFill="1" applyBorder="1" applyAlignment="1" applyProtection="1">
      <alignment vertical="center"/>
    </xf>
    <xf numFmtId="0" fontId="3" fillId="2" borderId="0" xfId="2" applyFont="1" applyFill="1" applyAlignment="1" applyProtection="1">
      <alignment horizontal="center" vertical="center"/>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26" Type="http://schemas.openxmlformats.org/officeDocument/2006/relationships/externalLink" Target="externalLinks/externalLink11.xml"/><Relationship Id="rId3" Type="http://schemas.openxmlformats.org/officeDocument/2006/relationships/worksheet" Target="worksheets/sheet3.xml"/><Relationship Id="rId21" Type="http://schemas.openxmlformats.org/officeDocument/2006/relationships/externalLink" Target="externalLinks/externalLink6.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5" Type="http://schemas.openxmlformats.org/officeDocument/2006/relationships/externalLink" Target="externalLinks/externalLink10.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externalLink" Target="externalLinks/externalLink5.xml"/><Relationship Id="rId29" Type="http://schemas.openxmlformats.org/officeDocument/2006/relationships/externalLink" Target="externalLinks/externalLink1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9.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8.xml"/><Relationship Id="rId28"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externalLink" Target="externalLinks/externalLink4.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7.xml"/><Relationship Id="rId27" Type="http://schemas.openxmlformats.org/officeDocument/2006/relationships/externalLink" Target="externalLinks/externalLink12.xml"/><Relationship Id="rId30" Type="http://schemas.openxmlformats.org/officeDocument/2006/relationships/externalLink" Target="externalLinks/externalLink15.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ctrlProps/ctrlProp13.xml><?xml version="1.0" encoding="utf-8"?>
<formControlPr xmlns="http://schemas.microsoft.com/office/spreadsheetml/2009/9/main" objectType="Button" lockText="1"/>
</file>

<file path=xl/ctrlProps/ctrlProp14.xml><?xml version="1.0" encoding="utf-8"?>
<formControlPr xmlns="http://schemas.microsoft.com/office/spreadsheetml/2009/9/main" objectType="Button" lockText="1"/>
</file>

<file path=xl/ctrlProps/ctrlProp15.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5" name="Button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49" name="Button 1" hidden="1">
              <a:extLst>
                <a:ext uri="{63B3BB69-23CF-44E3-9099-C40C66FF867C}">
                  <a14:compatExt spid="_x0000_s204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3" name="Button 1" hidden="1">
              <a:extLst>
                <a:ext uri="{63B3BB69-23CF-44E3-9099-C40C66FF867C}">
                  <a14:compatExt spid="_x0000_s307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7" name="Button 1" hidden="1">
              <a:extLst>
                <a:ext uri="{63B3BB69-23CF-44E3-9099-C40C66FF867C}">
                  <a14:compatExt spid="_x0000_s409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1" name="Button 1" hidden="1">
              <a:extLst>
                <a:ext uri="{63B3BB69-23CF-44E3-9099-C40C66FF867C}">
                  <a14:compatExt spid="_x0000_s512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5" name="Button 1" hidden="1">
              <a:extLst>
                <a:ext uri="{63B3BB69-23CF-44E3-9099-C40C66FF867C}">
                  <a14:compatExt spid="_x0000_s614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69" name="Button 1" hidden="1">
              <a:extLst>
                <a:ext uri="{63B3BB69-23CF-44E3-9099-C40C66FF867C}">
                  <a14:compatExt spid="_x0000_s716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3" name="Button 1" hidden="1">
              <a:extLst>
                <a:ext uri="{63B3BB69-23CF-44E3-9099-C40C66FF867C}">
                  <a14:compatExt spid="_x0000_s819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7" name="Button 1" hidden="1">
              <a:extLst>
                <a:ext uri="{63B3BB69-23CF-44E3-9099-C40C66FF867C}">
                  <a14:compatExt spid="_x0000_s921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1" name="Button 1" hidden="1">
              <a:extLst>
                <a:ext uri="{63B3BB69-23CF-44E3-9099-C40C66FF867C}">
                  <a14:compatExt spid="_x0000_s1024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5" name="Button 1" hidden="1">
              <a:extLst>
                <a:ext uri="{63B3BB69-23CF-44E3-9099-C40C66FF867C}">
                  <a14:compatExt spid="_x0000_s11265"/>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89" name="Button 1" hidden="1">
              <a:extLst>
                <a:ext uri="{63B3BB69-23CF-44E3-9099-C40C66FF867C}">
                  <a14:compatExt spid="_x0000_s12289"/>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3313" name="Button 1" hidden="1">
              <a:extLst>
                <a:ext uri="{63B3BB69-23CF-44E3-9099-C40C66FF867C}">
                  <a14:compatExt spid="_x0000_s13313"/>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4337" name="Button 1" hidden="1">
              <a:extLst>
                <a:ext uri="{63B3BB69-23CF-44E3-9099-C40C66FF867C}">
                  <a14:compatExt spid="_x0000_s14337"/>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drawings/drawing1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5361" name="Button 1" hidden="1">
              <a:extLst>
                <a:ext uri="{63B3BB69-23CF-44E3-9099-C40C66FF867C}">
                  <a14:compatExt spid="_x0000_s15361"/>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cs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88;&#1087;%20&#1057;&#1091;&#1079;&#1091;&#1085;.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57;&#1091;&#1079;&#1091;&#1085;&#1089;&#1082;&#1080;&#1081;%20&#1041;&#1080;&#1090;&#1082;&#1086;&#1074;&#1089;&#1082;&#1080;&#108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57;&#1091;&#1079;&#1091;&#1085;&#1089;&#1082;&#1080;&#1081;%20&#1041;&#1086;&#1073;&#1088;&#1086;&#1074;&#1089;&#1082;&#1080;&#1081;.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57;&#1091;&#1079;&#1091;&#1085;&#1089;&#1082;&#1080;&#1081;%20&#1041;&#1086;&#1083;&#1090;&#1086;&#1074;&#1089;&#1082;&#1080;&#1081;.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57;&#1091;&#1079;&#1091;&#1085;&#1089;&#1082;&#1080;&#1081;%20&#1042;&#1077;&#1088;&#1093;-&#1057;&#1091;&#1079;&#1091;&#1085;&#1089;&#1082;&#1080;&#1081;.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57;&#1091;&#1079;&#1091;&#1085;&#1089;&#1082;&#1080;&#1081;%20&#1047;&#1072;&#1082;&#1086;&#1074;&#1088;&#1103;&#1078;&#1077;&#1085;&#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57;&#1091;&#1079;&#1091;&#1085;&#1089;&#1082;&#1080;&#1081;%20&#1050;&#1072;&#1088;&#1075;&#1072;&#1087;&#1086;&#1083;&#1086;&#1074;&#1089;&#1082;&#1080;&#1081;.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57;&#1091;&#1079;&#1091;&#1085;&#1089;&#1082;&#1080;&#1081;%20&#1050;&#1083;&#1102;&#1095;&#1080;&#1082;&#1086;&#1074;&#1089;&#1082;&#1080;&#1081;.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1057;&#1091;&#1079;&#1091;&#1085;&#1089;&#1082;&#1080;&#1081;%20&#1052;&#1072;&#1081;&#1102;&#1088;&#1086;&#1074;&#1089;&#1082;&#1080;&#1081;.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57;&#1091;&#1079;&#1091;&#1085;&#1089;&#1082;&#1080;&#1081;%20&#1052;&#1072;&#1083;&#1099;&#1096;&#1077;&#1074;&#1089;&#1082;&#1080;&#1081;.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57;&#1091;&#1079;&#1091;&#1085;&#1089;&#1082;&#1080;&#1081;%20&#1052;&#1077;&#1088;&#1077;&#1090;&#1077;&#1094;&#1082;&#1080;&#1081;.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057;&#1091;&#1079;&#1091;&#1085;&#1089;&#1082;&#1080;&#1081;%20&#1052;&#1099;&#1096;&#1083;&#1072;&#1085;&#1089;&#1082;&#1080;&#1081;.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1057;&#1091;&#1079;&#1091;&#1085;&#1089;&#1082;&#1080;&#1081;%20&#1064;&#1072;&#1081;&#1076;&#1091;&#1088;&#1086;&#1074;&#1089;&#1082;&#1080;&#1081;.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1057;&#1091;&#1079;&#1091;&#1085;&#1089;&#1082;&#1080;&#1081;%20&#1064;&#1072;&#1088;&#1095;&#1080;&#1085;&#1089;&#1082;&#1080;&#1081;.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1057;&#1091;&#1079;&#1091;&#1085;&#1089;&#1082;&#1080;&#1081;%20&#1064;&#1080;&#1087;&#1091;&#1085;&#1086;&#1074;&#1089;&#1082;&#1080;&#1081;.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Сузун, Сузунский муниципальный район</v>
          </cell>
        </row>
        <row r="15">
          <cell r="D15" t="str">
            <v/>
          </cell>
        </row>
        <row r="16">
          <cell r="D16" t="str">
            <v>Код ОКТМО</v>
          </cell>
          <cell r="E16" t="str">
            <v>(50648151051)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828.61602058880612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2228.0100000000002</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407.73931182104906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102.09363</v>
          </cell>
        </row>
        <row r="27">
          <cell r="F27">
            <v>1047.1575926659227</v>
          </cell>
        </row>
        <row r="28">
          <cell r="F28">
            <v>804.26850435170718</v>
          </cell>
        </row>
        <row r="29">
          <cell r="F29">
            <v>242.8890883142156</v>
          </cell>
        </row>
        <row r="30">
          <cell r="F30">
            <v>1943.3776994653858</v>
          </cell>
        </row>
        <row r="33">
          <cell r="F33">
            <v>1224.5577836002453</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25.05</v>
          </cell>
        </row>
        <row r="19">
          <cell r="E19">
            <v>69.819999999999993</v>
          </cell>
        </row>
      </sheetData>
      <sheetData sheetId="29" refreshError="1"/>
      <sheetData sheetId="30">
        <row r="12">
          <cell r="F12">
            <v>76.992134278505148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Битки, Сузунский муниципальный район </v>
          </cell>
        </row>
        <row r="15">
          <cell r="D15" t="str">
            <v/>
          </cell>
        </row>
        <row r="16">
          <cell r="D16" t="str">
            <v>Код ОКТМО</v>
          </cell>
          <cell r="E16" t="str">
            <v>(50648402101)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904.61553756014928</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2432.36</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411.4211331299141</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78.596730000000008</v>
          </cell>
        </row>
        <row r="27">
          <cell r="F27">
            <v>1047.1575926659227</v>
          </cell>
        </row>
        <row r="28">
          <cell r="F28">
            <v>804.26850435170718</v>
          </cell>
        </row>
        <row r="29">
          <cell r="F29">
            <v>242.8890883142156</v>
          </cell>
        </row>
        <row r="30">
          <cell r="F30">
            <v>2052.5055418178358</v>
          </cell>
        </row>
        <row r="33">
          <cell r="F33">
            <v>1335.309584497171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18.350000000000001</v>
          </cell>
        </row>
        <row r="19">
          <cell r="E19">
            <v>69.819999999999993</v>
          </cell>
        </row>
      </sheetData>
      <sheetData sheetId="29" refreshError="1"/>
      <sheetData sheetId="30">
        <row r="12">
          <cell r="F12">
            <v>78.585761044109319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Бобровка, Сузунский муниципальный район </v>
          </cell>
        </row>
        <row r="15">
          <cell r="D15" t="str">
            <v/>
          </cell>
        </row>
        <row r="16">
          <cell r="D16" t="str">
            <v>Код ОКТМО</v>
          </cell>
          <cell r="E16" t="str">
            <v>(50648404101)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869.9759730350163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2339.2199999999998</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409.36555745904809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83.892300000000006</v>
          </cell>
        </row>
        <row r="27">
          <cell r="F27">
            <v>1047.1575926659227</v>
          </cell>
        </row>
        <row r="28">
          <cell r="F28">
            <v>804.26850435170718</v>
          </cell>
        </row>
        <row r="29">
          <cell r="F29">
            <v>242.8890883142156</v>
          </cell>
        </row>
        <row r="30">
          <cell r="F30">
            <v>2002.392347177396</v>
          </cell>
        </row>
        <row r="33">
          <cell r="F33">
            <v>1284.8303932295435</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19.86</v>
          </cell>
        </row>
        <row r="19">
          <cell r="E19">
            <v>69.819999999999993</v>
          </cell>
        </row>
      </sheetData>
      <sheetData sheetId="29" refreshError="1"/>
      <sheetData sheetId="30">
        <row r="12">
          <cell r="F12">
            <v>77.85185824018933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Болтово, Сузунский муниципальный район</v>
          </cell>
        </row>
        <row r="15">
          <cell r="D15" t="str">
            <v/>
          </cell>
        </row>
        <row r="16">
          <cell r="D16" t="str">
            <v>Код ОКТМО</v>
          </cell>
          <cell r="E16" t="str">
            <v xml:space="preserve"> (50648407101)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881.42331892382447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2370</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404.31811112653935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0</v>
          </cell>
        </row>
        <row r="27">
          <cell r="F27">
            <v>1047.1575926659227</v>
          </cell>
        </row>
        <row r="28">
          <cell r="F28">
            <v>804.26850435170718</v>
          </cell>
        </row>
        <row r="29">
          <cell r="F29">
            <v>242.8890883142156</v>
          </cell>
        </row>
        <row r="30">
          <cell r="F30">
            <v>2013.2761083529024</v>
          </cell>
        </row>
        <row r="33">
          <cell r="F33">
            <v>1301.5122646834577</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sheetData>
      <sheetData sheetId="29" refreshError="1"/>
      <sheetData sheetId="30">
        <row r="12">
          <cell r="F12">
            <v>77.979856231315324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Верх-Сузун, Сузунский муниципальный район </v>
          </cell>
        </row>
        <row r="15">
          <cell r="D15" t="str">
            <v/>
          </cell>
        </row>
        <row r="16">
          <cell r="D16" t="str">
            <v>Код ОКТМО</v>
          </cell>
          <cell r="E16" t="str">
            <v>(50648410101)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856.84388130877142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2303.91</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408.78616497582124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88.767030000000005</v>
          </cell>
        </row>
        <row r="27">
          <cell r="F27">
            <v>1047.1575926659227</v>
          </cell>
        </row>
        <row r="28">
          <cell r="F28">
            <v>804.26850435170718</v>
          </cell>
        </row>
        <row r="29">
          <cell r="F29">
            <v>242.8890883142156</v>
          </cell>
        </row>
        <row r="30">
          <cell r="F30">
            <v>1983.5922572964203</v>
          </cell>
        </row>
        <row r="33">
          <cell r="F33">
            <v>1265.6933925460569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21.25</v>
          </cell>
        </row>
        <row r="19">
          <cell r="E19">
            <v>69.819999999999993</v>
          </cell>
        </row>
      </sheetData>
      <sheetData sheetId="29" refreshError="1"/>
      <sheetData sheetId="30">
        <row r="12">
          <cell r="F12">
            <v>77.577628555999894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Заковряжино, Сузунский муниципальный район </v>
          </cell>
        </row>
        <row r="15">
          <cell r="D15" t="str">
            <v/>
          </cell>
        </row>
        <row r="16">
          <cell r="D16" t="str">
            <v>Код ОКТМО</v>
          </cell>
          <cell r="E16" t="str">
            <v>(50648416101)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853.50414231976902</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2294.9299999999998</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408.16851944655633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83.261039999999994</v>
          </cell>
        </row>
        <row r="27">
          <cell r="F27">
            <v>1047.1575926659227</v>
          </cell>
        </row>
        <row r="28">
          <cell r="F28">
            <v>804.26850435170718</v>
          </cell>
        </row>
        <row r="29">
          <cell r="F29">
            <v>242.8890883142156</v>
          </cell>
        </row>
        <row r="30">
          <cell r="F30">
            <v>1978.3448169883382</v>
          </cell>
        </row>
        <row r="33">
          <cell r="F33">
            <v>1260.8264917775011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19.68</v>
          </cell>
        </row>
        <row r="19">
          <cell r="E19">
            <v>69.819999999999993</v>
          </cell>
        </row>
      </sheetData>
      <sheetData sheetId="29" refreshError="1"/>
      <sheetData sheetId="30">
        <row r="12">
          <cell r="F12">
            <v>77.498480865634548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Каргаполово, Сузунский муниципальный район </v>
          </cell>
        </row>
        <row r="15">
          <cell r="D15" t="str">
            <v/>
          </cell>
        </row>
        <row r="16">
          <cell r="D16" t="str">
            <v>Код ОКТМО</v>
          </cell>
          <cell r="E16" t="str">
            <v>(50648419101)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935.30967902419013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2514.8914167528437</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414.07828144263408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85.891289999999998</v>
          </cell>
        </row>
        <row r="27">
          <cell r="F27">
            <v>1047.1575926659227</v>
          </cell>
        </row>
        <row r="28">
          <cell r="F28">
            <v>804.26850435170718</v>
          </cell>
        </row>
        <row r="29">
          <cell r="F29">
            <v>242.8890883142156</v>
          </cell>
        </row>
        <row r="30">
          <cell r="F30">
            <v>2097.739341504715</v>
          </cell>
        </row>
        <row r="33">
          <cell r="F33">
            <v>1380.0392298896456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20.43</v>
          </cell>
        </row>
        <row r="19">
          <cell r="E19">
            <v>69.819999999999993</v>
          </cell>
        </row>
      </sheetData>
      <sheetData sheetId="29" refreshError="1"/>
      <sheetData sheetId="30">
        <row r="12">
          <cell r="F12">
            <v>79.252786839644529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Ключики, Сузунский муниципальный район </v>
          </cell>
        </row>
        <row r="15">
          <cell r="D15" t="str">
            <v/>
          </cell>
        </row>
        <row r="16">
          <cell r="D16" t="str">
            <v>Код ОКТМО</v>
          </cell>
          <cell r="E16" t="str">
            <v>(50648422101)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840.12287184935565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2258.9499999999998</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402.42008555523057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14.243279999999999</v>
          </cell>
        </row>
        <row r="27">
          <cell r="F27">
            <v>1047.1575926659227</v>
          </cell>
        </row>
        <row r="28">
          <cell r="F28">
            <v>804.26850435170718</v>
          </cell>
        </row>
        <row r="29">
          <cell r="F29">
            <v>242.8890883142156</v>
          </cell>
        </row>
        <row r="30">
          <cell r="F30">
            <v>1954.0746203991157</v>
          </cell>
        </row>
        <row r="33">
          <cell r="F33">
            <v>1241.326370435336</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9">
          <cell r="E19">
            <v>69.819999999999993</v>
          </cell>
        </row>
      </sheetData>
      <sheetData sheetId="29" refreshError="1"/>
      <sheetData sheetId="30">
        <row r="12">
          <cell r="F12">
            <v>77.115886778399769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Маюрово, Сузунский муниципальный район </v>
          </cell>
        </row>
        <row r="15">
          <cell r="D15" t="str">
            <v/>
          </cell>
        </row>
        <row r="16">
          <cell r="D16" t="str">
            <v>Код ОКТМО</v>
          </cell>
          <cell r="E16" t="str">
            <v>(50648428101)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804.92390358480577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2164.3058568329716</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405.33758595426866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91.43235</v>
          </cell>
        </row>
        <row r="27">
          <cell r="F27">
            <v>1047.1575926659227</v>
          </cell>
        </row>
        <row r="28">
          <cell r="F28">
            <v>804.26850435170718</v>
          </cell>
        </row>
        <row r="29">
          <cell r="F29">
            <v>242.8890883142156</v>
          </cell>
        </row>
        <row r="30">
          <cell r="F30">
            <v>1908.1150519655675</v>
          </cell>
        </row>
        <row r="33">
          <cell r="F33">
            <v>1190.0319769922489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22.01</v>
          </cell>
        </row>
        <row r="19">
          <cell r="E19">
            <v>69.819999999999993</v>
          </cell>
        </row>
      </sheetData>
      <sheetData sheetId="29" refreshError="1"/>
      <sheetData sheetId="30">
        <row r="12">
          <cell r="F12">
            <v>76.470257421089542</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Малышево, Сузунский муниципальный район </v>
          </cell>
        </row>
        <row r="15">
          <cell r="D15" t="str">
            <v/>
          </cell>
        </row>
        <row r="16">
          <cell r="D16" t="str">
            <v>Код ОКТМО</v>
          </cell>
          <cell r="E16" t="str">
            <v>(50648425101)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804.92390358480577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2164.3058568329716</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405.01240197079983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86.768039999999999</v>
          </cell>
        </row>
        <row r="27">
          <cell r="F27">
            <v>1047.1575926659227</v>
          </cell>
        </row>
        <row r="28">
          <cell r="F28">
            <v>804.26850435170718</v>
          </cell>
        </row>
        <row r="29">
          <cell r="F29">
            <v>242.8890883142156</v>
          </cell>
        </row>
        <row r="30">
          <cell r="F30">
            <v>1907.7926840753958</v>
          </cell>
        </row>
        <row r="33">
          <cell r="F33">
            <v>1190.0319769922489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20.68</v>
          </cell>
        </row>
        <row r="19">
          <cell r="E19">
            <v>69.819999999999993</v>
          </cell>
        </row>
      </sheetData>
      <sheetData sheetId="29" refreshError="1"/>
      <sheetData sheetId="30">
        <row r="12">
          <cell r="F12">
            <v>76.463753741420149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Мереть, Сузунский муниципальный район</v>
          </cell>
        </row>
        <row r="15">
          <cell r="D15" t="str">
            <v/>
          </cell>
        </row>
        <row r="16">
          <cell r="D16" t="str">
            <v>Код ОКТМО</v>
          </cell>
          <cell r="E16" t="str">
            <v xml:space="preserve"> (50648430101)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804.92390358480577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2164.3058568329716</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405.15176653514362</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88.767030000000005</v>
          </cell>
        </row>
        <row r="27">
          <cell r="F27">
            <v>1047.1575926659227</v>
          </cell>
        </row>
        <row r="28">
          <cell r="F28">
            <v>804.26850435170718</v>
          </cell>
        </row>
        <row r="29">
          <cell r="F29">
            <v>242.8890883142156</v>
          </cell>
        </row>
        <row r="30">
          <cell r="F30">
            <v>1907.9308417426123</v>
          </cell>
        </row>
        <row r="33">
          <cell r="F33">
            <v>1190.0319769922489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21.25</v>
          </cell>
        </row>
        <row r="19">
          <cell r="E19">
            <v>69.819999999999993</v>
          </cell>
        </row>
      </sheetData>
      <sheetData sheetId="29" refreshError="1"/>
      <sheetData sheetId="30">
        <row r="12">
          <cell r="F12">
            <v>76.466541032707028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Мышланка, Сузунский муниципальный район</v>
          </cell>
        </row>
        <row r="15">
          <cell r="D15" t="str">
            <v/>
          </cell>
        </row>
        <row r="16">
          <cell r="D16" t="str">
            <v>Код ОКТМО</v>
          </cell>
          <cell r="E16" t="str">
            <v xml:space="preserve"> (50648432101)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856.36411924910419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2302.62</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408.04597884049787</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78.631799999999984</v>
          </cell>
        </row>
        <row r="27">
          <cell r="F27">
            <v>1047.1575926659227</v>
          </cell>
        </row>
        <row r="28">
          <cell r="F28">
            <v>804.26850435170718</v>
          </cell>
        </row>
        <row r="29">
          <cell r="F29">
            <v>242.8890883142156</v>
          </cell>
        </row>
        <row r="30">
          <cell r="F30">
            <v>1982.192630924706</v>
          </cell>
        </row>
        <row r="33">
          <cell r="F33">
            <v>1264.9942497853181</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18.36</v>
          </cell>
        </row>
        <row r="19">
          <cell r="E19">
            <v>69.819999999999993</v>
          </cell>
        </row>
      </sheetData>
      <sheetData sheetId="29" refreshError="1"/>
      <sheetData sheetId="30">
        <row r="12">
          <cell r="F12">
            <v>77.553229592100081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 xml:space="preserve">село Шайдурово, Сузунский муниципальный район </v>
          </cell>
        </row>
        <row r="15">
          <cell r="D15" t="str">
            <v/>
          </cell>
        </row>
        <row r="16">
          <cell r="D16" t="str">
            <v>Код ОКТМО</v>
          </cell>
          <cell r="E16" t="str">
            <v>(50648434101)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864.00312134644389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2323.16</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408.57337401024085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78.526589999999999</v>
          </cell>
        </row>
        <row r="27">
          <cell r="F27">
            <v>1047.1575926659227</v>
          </cell>
        </row>
        <row r="28">
          <cell r="F28">
            <v>804.26850435170718</v>
          </cell>
        </row>
        <row r="29">
          <cell r="F29">
            <v>242.8890883142156</v>
          </cell>
        </row>
        <row r="30">
          <cell r="F30">
            <v>1993.3174465271265</v>
          </cell>
        </row>
        <row r="33">
          <cell r="F33">
            <v>1276.1263368439079</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18.329999999999998</v>
          </cell>
        </row>
        <row r="19">
          <cell r="E19">
            <v>69.819999999999993</v>
          </cell>
        </row>
      </sheetData>
      <sheetData sheetId="29" refreshError="1"/>
      <sheetData sheetId="30">
        <row r="12">
          <cell r="F12">
            <v>77.716557537441744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refreshError="1"/>
      <sheetData sheetId="1" refreshError="1"/>
      <sheetData sheetId="2" refreshError="1"/>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Шарчино, Сузунский муниципальный район</v>
          </cell>
        </row>
        <row r="15">
          <cell r="D15" t="str">
            <v/>
          </cell>
        </row>
        <row r="16">
          <cell r="D16" t="str">
            <v>Код ОКТМО</v>
          </cell>
          <cell r="E16" t="str">
            <v xml:space="preserve"> (50648437101)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866.26804455836213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9">
          <cell r="I9" t="str">
            <v>цены (тарифы), подлежащие государственному регулированию, действовавшие на день окончания (i-2)-го расчетного периода в системе теплоснабжения</v>
          </cell>
        </row>
        <row r="13">
          <cell r="E13" t="str">
            <v>уголь (вид угля не указан в топливном балансе)</v>
          </cell>
        </row>
        <row r="16">
          <cell r="E16">
            <v>5100</v>
          </cell>
        </row>
        <row r="19">
          <cell r="E19">
            <v>0.59499999999999997</v>
          </cell>
        </row>
        <row r="20">
          <cell r="E20">
            <v>-0.113</v>
          </cell>
        </row>
        <row r="27">
          <cell r="E27">
            <v>2329.25</v>
          </cell>
        </row>
      </sheetData>
      <sheetData sheetId="9" refreshError="1"/>
      <sheetData sheetId="10" refreshError="1"/>
      <sheetData sheetId="11"/>
      <sheetData sheetId="12" refreshError="1"/>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row r="12">
          <cell r="F12" t="str">
            <v>Постановление Правительства Новосибирской области от 29.11.2011 №535-п (ред. 14.04.2014) "Об утверждении результатов государственной кадастровой оценки земель населенных пунктов в новосибирской области и среднего уровня кадастровой стоимости земель населенных пунктов по муниципальным районам и городским округам Новыосибирской области"</v>
          </cell>
        </row>
      </sheetData>
      <sheetData sheetId="19" refreshError="1"/>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row r="11">
          <cell r="G11" t="str">
            <v>Информация с официального сайта Банка России</v>
          </cell>
        </row>
      </sheetData>
      <sheetData sheetId="22" refreshError="1"/>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409.46052635743399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88.97744999999999</v>
          </cell>
        </row>
        <row r="27">
          <cell r="F27">
            <v>1047.1575926659227</v>
          </cell>
        </row>
        <row r="28">
          <cell r="F28">
            <v>804.26850435170718</v>
          </cell>
        </row>
        <row r="29">
          <cell r="F29">
            <v>242.8890883142156</v>
          </cell>
        </row>
        <row r="30">
          <cell r="F30">
            <v>1997.3403487026571</v>
          </cell>
        </row>
        <row r="33">
          <cell r="F33">
            <v>1279.4269410399552</v>
          </cell>
        </row>
        <row r="35">
          <cell r="F35">
            <v>17.040680999999999</v>
          </cell>
        </row>
        <row r="36">
          <cell r="F36">
            <v>14319.9</v>
          </cell>
        </row>
        <row r="37">
          <cell r="F37">
            <v>1.19</v>
          </cell>
        </row>
      </sheetData>
      <sheetData sheetId="26">
        <row r="12">
          <cell r="F12" t="str">
            <v>пп № 274 от 01.03.2022</v>
          </cell>
        </row>
      </sheetData>
      <sheetData sheetId="27">
        <row r="8">
          <cell r="F8" t="str">
            <v>нет</v>
          </cell>
        </row>
      </sheetData>
      <sheetData sheetId="28">
        <row r="11">
          <cell r="E11">
            <v>1871</v>
          </cell>
        </row>
        <row r="12">
          <cell r="E12">
            <v>1636</v>
          </cell>
        </row>
        <row r="13">
          <cell r="E13">
            <v>204</v>
          </cell>
        </row>
        <row r="17">
          <cell r="E17">
            <v>21.31</v>
          </cell>
        </row>
        <row r="19">
          <cell r="E19">
            <v>69.819999999999993</v>
          </cell>
        </row>
      </sheetData>
      <sheetData sheetId="29" refreshError="1"/>
      <sheetData sheetId="30">
        <row r="12">
          <cell r="F12">
            <v>77.779599048623965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2023</v>
          </cell>
        </row>
        <row r="9">
          <cell r="D9" t="str">
            <v>Период регулирования (i-1)-й</v>
          </cell>
          <cell r="E9">
            <v>2022</v>
          </cell>
        </row>
        <row r="10">
          <cell r="D10" t="str">
            <v>Период регулирования (i-2)-й</v>
          </cell>
          <cell r="E10">
            <v>2021</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Шипуново, Сузунский муниципальный район</v>
          </cell>
        </row>
        <row r="15">
          <cell r="D15" t="str">
            <v/>
          </cell>
        </row>
        <row r="16">
          <cell r="D16" t="str">
            <v>Код ОКТМО</v>
          </cell>
          <cell r="E16" t="str">
            <v xml:space="preserve"> (50648440101)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925.6767200709744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0.59499999999999997</v>
          </cell>
        </row>
        <row r="20">
          <cell r="E20">
            <v>-0.113</v>
          </cell>
        </row>
        <row r="27">
          <cell r="E27">
            <v>2488.9899999999998</v>
          </cell>
        </row>
      </sheetData>
      <sheetData sheetId="9"/>
      <sheetData sheetId="10"/>
      <sheetData sheetId="11"/>
      <sheetData sheetId="12"/>
      <sheetData sheetId="13">
        <row r="12">
          <cell r="F12">
            <v>2108.7102251987935</v>
          </cell>
        </row>
        <row r="13">
          <cell r="F13">
            <v>169640.22915965237</v>
          </cell>
        </row>
        <row r="14">
          <cell r="F14">
            <v>113455</v>
          </cell>
        </row>
        <row r="15">
          <cell r="F15">
            <v>1.071</v>
          </cell>
        </row>
        <row r="16">
          <cell r="F16">
            <v>1</v>
          </cell>
        </row>
        <row r="17">
          <cell r="F17">
            <v>1.01</v>
          </cell>
        </row>
        <row r="18">
          <cell r="F18">
            <v>32402.627334033532</v>
          </cell>
        </row>
        <row r="19">
          <cell r="F19">
            <v>0</v>
          </cell>
        </row>
        <row r="20">
          <cell r="F20">
            <v>23441.524932855718</v>
          </cell>
        </row>
        <row r="21">
          <cell r="F21">
            <v>1</v>
          </cell>
        </row>
        <row r="22">
          <cell r="F22">
            <v>35717.748653137714</v>
          </cell>
        </row>
        <row r="23">
          <cell r="F23">
            <v>1990</v>
          </cell>
        </row>
        <row r="26">
          <cell r="F26">
            <v>1424.4887832283189</v>
          </cell>
        </row>
        <row r="27">
          <cell r="F27">
            <v>0.24536656199999998</v>
          </cell>
        </row>
        <row r="28">
          <cell r="F28">
            <v>4200</v>
          </cell>
        </row>
        <row r="29">
          <cell r="F29">
            <v>0.128978033685065</v>
          </cell>
        </row>
        <row r="30">
          <cell r="F30">
            <v>0.11668498168498169</v>
          </cell>
        </row>
        <row r="31">
          <cell r="F31">
            <v>0.13880000000000001</v>
          </cell>
        </row>
        <row r="32">
          <cell r="F32">
            <v>0.12640000000000001</v>
          </cell>
        </row>
        <row r="33">
          <cell r="F33">
            <v>10</v>
          </cell>
        </row>
        <row r="35">
          <cell r="F35">
            <v>1.3822747209000001</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-37</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0.121</v>
          </cell>
          <cell r="H11">
            <v>0.02</v>
          </cell>
          <cell r="I11">
            <v>-2.93E-2</v>
          </cell>
          <cell r="J11">
            <v>0.21215960863291</v>
          </cell>
          <cell r="K11">
            <v>3.5813361771260002E-2</v>
          </cell>
          <cell r="L11">
            <v>3.2682303599220003E-2</v>
          </cell>
        </row>
      </sheetData>
      <sheetData sheetId="21"/>
      <sheetData sheetId="22"/>
      <sheetData sheetId="23">
        <row r="12">
          <cell r="F12">
            <v>504.54115631660852</v>
          </cell>
        </row>
        <row r="14">
          <cell r="F14">
            <v>7012.1794194579406</v>
          </cell>
        </row>
        <row r="15">
          <cell r="F15">
            <v>0.2</v>
          </cell>
        </row>
        <row r="18">
          <cell r="F18">
            <v>15</v>
          </cell>
        </row>
        <row r="19">
          <cell r="F19">
            <v>3487.1555421534131</v>
          </cell>
        </row>
        <row r="20">
          <cell r="F20">
            <v>2.1999999999999999E-2</v>
          </cell>
        </row>
        <row r="21">
          <cell r="F21">
            <v>10</v>
          </cell>
        </row>
        <row r="22">
          <cell r="F22">
            <v>4.2734663496849565</v>
          </cell>
        </row>
        <row r="23">
          <cell r="F23">
            <v>3.0000000000000001E-3</v>
          </cell>
        </row>
        <row r="24">
          <cell r="F24">
            <v>1424.4887832283189</v>
          </cell>
        </row>
      </sheetData>
      <sheetData sheetId="24"/>
      <sheetData sheetId="25">
        <row r="12">
          <cell r="F12">
            <v>412.86118601267515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78.10575</v>
          </cell>
        </row>
        <row r="27">
          <cell r="F27">
            <v>1047.1575926659227</v>
          </cell>
        </row>
        <row r="28">
          <cell r="F28">
            <v>804.26850435170718</v>
          </cell>
        </row>
        <row r="29">
          <cell r="F29">
            <v>242.8890883142156</v>
          </cell>
        </row>
        <row r="30">
          <cell r="F30">
            <v>2083.1634335810263</v>
          </cell>
        </row>
        <row r="33">
          <cell r="F33">
            <v>1366.0014097224848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18.21</v>
          </cell>
        </row>
        <row r="19">
          <cell r="E19">
            <v>69.819999999999993</v>
          </cell>
        </row>
      </sheetData>
      <sheetData sheetId="29"/>
      <sheetData sheetId="30">
        <row r="12">
          <cell r="F12">
            <v>79.035785751981038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trlProp" Target="../ctrlProps/ctrlProp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11.xml"/><Relationship Id="rId2" Type="http://schemas.openxmlformats.org/officeDocument/2006/relationships/vmlDrawing" Target="../drawings/vmlDrawing11.vml"/><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12.vml"/><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3" Type="http://schemas.openxmlformats.org/officeDocument/2006/relationships/ctrlProp" Target="../ctrlProps/ctrlProp13.xml"/><Relationship Id="rId2" Type="http://schemas.openxmlformats.org/officeDocument/2006/relationships/vmlDrawing" Target="../drawings/vmlDrawing13.vml"/><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3" Type="http://schemas.openxmlformats.org/officeDocument/2006/relationships/ctrlProp" Target="../ctrlProps/ctrlProp14.xml"/><Relationship Id="rId2" Type="http://schemas.openxmlformats.org/officeDocument/2006/relationships/vmlDrawing" Target="../drawings/vmlDrawing14.vml"/><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3" Type="http://schemas.openxmlformats.org/officeDocument/2006/relationships/ctrlProp" Target="../ctrlProps/ctrlProp15.xml"/><Relationship Id="rId2" Type="http://schemas.openxmlformats.org/officeDocument/2006/relationships/vmlDrawing" Target="../drawings/vmlDrawing15.vml"/><Relationship Id="rId1" Type="http://schemas.openxmlformats.org/officeDocument/2006/relationships/drawing" Target="../drawings/drawing1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[1]И1!D13</f>
        <v>Субъект Российской Федерации</v>
      </c>
      <c r="C4" s="11" t="str">
        <f>[1]И1!E13</f>
        <v>Новосибирская область</v>
      </c>
    </row>
    <row r="5" spans="1:3" ht="38.25" x14ac:dyDescent="0.2">
      <c r="A5" s="9"/>
      <c r="B5" s="10" t="str">
        <f>[1]И1!D14</f>
        <v>Тип муниципального образования (выберите из списка)</v>
      </c>
      <c r="C5" s="11" t="str">
        <f>[1]И1!E14</f>
        <v>рабочий поселок Сузун, Сузунский муниципальный район</v>
      </c>
    </row>
    <row r="6" spans="1:3" x14ac:dyDescent="0.2">
      <c r="A6" s="9"/>
      <c r="B6" s="10" t="str">
        <f>IF([1]И1!E15="","",[1]И1!D15)</f>
        <v/>
      </c>
      <c r="C6" s="11" t="str">
        <f>IF([1]И1!E15="","",[1]И1!E15)</f>
        <v/>
      </c>
    </row>
    <row r="7" spans="1:3" x14ac:dyDescent="0.2">
      <c r="A7" s="9"/>
      <c r="B7" s="10" t="str">
        <f>[1]И1!D16</f>
        <v>Код ОКТМО</v>
      </c>
      <c r="C7" s="12" t="str">
        <f>[1]И1!E16</f>
        <v>(50648151051)</v>
      </c>
    </row>
    <row r="8" spans="1:3" x14ac:dyDescent="0.2">
      <c r="A8" s="9"/>
      <c r="B8" s="13" t="str">
        <f>[1]И1!D17</f>
        <v>Система теплоснабжения</v>
      </c>
      <c r="C8" s="14">
        <f>[1]И1!E17</f>
        <v>0</v>
      </c>
    </row>
    <row r="9" spans="1:3" x14ac:dyDescent="0.2">
      <c r="A9" s="9"/>
      <c r="B9" s="10" t="str">
        <f>[1]И1!D8</f>
        <v>Период регулирования (i)-й</v>
      </c>
      <c r="C9" s="15">
        <f>[1]И1!E8</f>
        <v>2023</v>
      </c>
    </row>
    <row r="10" spans="1:3" x14ac:dyDescent="0.2">
      <c r="A10" s="9"/>
      <c r="B10" s="10" t="str">
        <f>[1]И1!D9</f>
        <v>Период регулирования (i-1)-й</v>
      </c>
      <c r="C10" s="15">
        <f>[1]И1!E9</f>
        <v>2022</v>
      </c>
    </row>
    <row r="11" spans="1:3" x14ac:dyDescent="0.2">
      <c r="A11" s="9"/>
      <c r="B11" s="10" t="str">
        <f>[1]И1!D10</f>
        <v>Период регулирования (i-2)-й</v>
      </c>
      <c r="C11" s="15">
        <f>[1]И1!E10</f>
        <v>2021</v>
      </c>
    </row>
    <row r="12" spans="1:3" x14ac:dyDescent="0.2">
      <c r="A12" s="9"/>
      <c r="B12" s="10" t="str">
        <f>[1]И1!D11</f>
        <v>Базовый год (б)</v>
      </c>
      <c r="C12" s="15">
        <f>[1]И1!E11</f>
        <v>2019</v>
      </c>
    </row>
    <row r="13" spans="1:3" ht="38.25" x14ac:dyDescent="0.2">
      <c r="A13" s="9"/>
      <c r="B13" s="10" t="str">
        <f>[1]И1!D18</f>
        <v>Вид топлива, использование которого преобладает в системе теплоснабжения</v>
      </c>
      <c r="C13" s="16" t="str">
        <f>[1]С1.1!E13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3926.5988482037624</v>
      </c>
    </row>
    <row r="18" spans="1:3" ht="42.75" x14ac:dyDescent="0.2">
      <c r="A18" s="24" t="s">
        <v>8</v>
      </c>
      <c r="B18" s="27" t="s">
        <v>9</v>
      </c>
      <c r="C18" s="28">
        <f>[1]С1!F12</f>
        <v>828.61602058880612</v>
      </c>
    </row>
    <row r="19" spans="1:3" ht="42.75" x14ac:dyDescent="0.2">
      <c r="A19" s="24" t="s">
        <v>10</v>
      </c>
      <c r="B19" s="27" t="s">
        <v>11</v>
      </c>
      <c r="C19" s="28">
        <f>[1]С2!F12</f>
        <v>2108.7102251987935</v>
      </c>
    </row>
    <row r="20" spans="1:3" ht="30" x14ac:dyDescent="0.2">
      <c r="A20" s="24" t="s">
        <v>12</v>
      </c>
      <c r="B20" s="27" t="s">
        <v>13</v>
      </c>
      <c r="C20" s="28">
        <f>[1]С3!F12</f>
        <v>504.54115631660852</v>
      </c>
    </row>
    <row r="21" spans="1:3" ht="42.75" x14ac:dyDescent="0.2">
      <c r="A21" s="24" t="s">
        <v>14</v>
      </c>
      <c r="B21" s="27" t="s">
        <v>15</v>
      </c>
      <c r="C21" s="28">
        <f>[1]С4!F12</f>
        <v>407.73931182104906</v>
      </c>
    </row>
    <row r="22" spans="1:3" ht="30" x14ac:dyDescent="0.2">
      <c r="A22" s="24" t="s">
        <v>16</v>
      </c>
      <c r="B22" s="27" t="s">
        <v>17</v>
      </c>
      <c r="C22" s="28">
        <f>[1]С5!F12</f>
        <v>76.992134278505148</v>
      </c>
    </row>
    <row r="23" spans="1:3" ht="43.5" thickBot="1" x14ac:dyDescent="0.25">
      <c r="A23" s="29" t="s">
        <v>18</v>
      </c>
      <c r="B23" s="30" t="s">
        <v>19</v>
      </c>
      <c r="C23" s="31" t="str">
        <f>[1]С6!F12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[1]С1.1!E16</f>
        <v>5100</v>
      </c>
    </row>
    <row r="29" spans="1:3" ht="42.75" x14ac:dyDescent="0.2">
      <c r="A29" s="24" t="s">
        <v>10</v>
      </c>
      <c r="B29" s="37" t="s">
        <v>22</v>
      </c>
      <c r="C29" s="38">
        <f>[1]С1.1!E27</f>
        <v>2228.0100000000002</v>
      </c>
    </row>
    <row r="30" spans="1:3" ht="17.25" x14ac:dyDescent="0.2">
      <c r="A30" s="24" t="s">
        <v>12</v>
      </c>
      <c r="B30" s="37" t="s">
        <v>23</v>
      </c>
      <c r="C30" s="39">
        <f>[1]С1.1!E19</f>
        <v>0.59499999999999997</v>
      </c>
    </row>
    <row r="31" spans="1:3" ht="17.25" x14ac:dyDescent="0.2">
      <c r="A31" s="24" t="s">
        <v>14</v>
      </c>
      <c r="B31" s="37" t="s">
        <v>24</v>
      </c>
      <c r="C31" s="39">
        <f>[1]С1.1!E20</f>
        <v>-0.113</v>
      </c>
    </row>
    <row r="32" spans="1:3" ht="30" x14ac:dyDescent="0.2">
      <c r="A32" s="24" t="s">
        <v>16</v>
      </c>
      <c r="B32" s="40" t="s">
        <v>25</v>
      </c>
      <c r="C32" s="41">
        <f>[1]С1!F13</f>
        <v>176.4</v>
      </c>
    </row>
    <row r="33" spans="1:3" x14ac:dyDescent="0.2">
      <c r="A33" s="24" t="s">
        <v>18</v>
      </c>
      <c r="B33" s="40" t="s">
        <v>26</v>
      </c>
      <c r="C33" s="42">
        <f>[1]С1!F16</f>
        <v>7000</v>
      </c>
    </row>
    <row r="34" spans="1:3" ht="14.25" x14ac:dyDescent="0.2">
      <c r="A34" s="24" t="s">
        <v>27</v>
      </c>
      <c r="B34" s="43" t="s">
        <v>28</v>
      </c>
      <c r="C34" s="44">
        <f>[1]С1!F17</f>
        <v>0.72857142857142854</v>
      </c>
    </row>
    <row r="35" spans="1:3" ht="15.75" x14ac:dyDescent="0.2">
      <c r="A35" s="45" t="s">
        <v>29</v>
      </c>
      <c r="B35" s="46" t="s">
        <v>30</v>
      </c>
      <c r="C35" s="44">
        <f>[1]С1!F20</f>
        <v>21.588411179999994</v>
      </c>
    </row>
    <row r="36" spans="1:3" ht="15.75" x14ac:dyDescent="0.2">
      <c r="A36" s="45" t="s">
        <v>31</v>
      </c>
      <c r="B36" s="47" t="s">
        <v>32</v>
      </c>
      <c r="C36" s="44">
        <f>[1]С1!F21</f>
        <v>20.818139999999996</v>
      </c>
    </row>
    <row r="37" spans="1:3" ht="14.25" x14ac:dyDescent="0.2">
      <c r="A37" s="45" t="s">
        <v>33</v>
      </c>
      <c r="B37" s="48" t="s">
        <v>34</v>
      </c>
      <c r="C37" s="44">
        <f>[1]С1!F22</f>
        <v>1.0369999999999999</v>
      </c>
    </row>
    <row r="38" spans="1:3" ht="53.25" thickBot="1" x14ac:dyDescent="0.25">
      <c r="A38" s="29" t="s">
        <v>35</v>
      </c>
      <c r="B38" s="49" t="s">
        <v>36</v>
      </c>
      <c r="C38" s="50">
        <f>[1]С1!F23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[1]С2.1!E12</f>
        <v>V</v>
      </c>
    </row>
    <row r="42" spans="1:3" ht="25.5" x14ac:dyDescent="0.2">
      <c r="A42" s="24" t="s">
        <v>41</v>
      </c>
      <c r="B42" s="37" t="s">
        <v>42</v>
      </c>
      <c r="C42" s="56" t="str">
        <f>[1]С2.1!E13</f>
        <v>6 и менее баллов</v>
      </c>
    </row>
    <row r="43" spans="1:3" ht="25.5" x14ac:dyDescent="0.2">
      <c r="A43" s="24" t="s">
        <v>43</v>
      </c>
      <c r="B43" s="37" t="s">
        <v>44</v>
      </c>
      <c r="C43" s="56" t="str">
        <f>[1]С2.1!E14</f>
        <v>от 200 до 500</v>
      </c>
    </row>
    <row r="44" spans="1:3" ht="25.5" x14ac:dyDescent="0.2">
      <c r="A44" s="24" t="s">
        <v>45</v>
      </c>
      <c r="B44" s="37" t="s">
        <v>46</v>
      </c>
      <c r="C44" s="57" t="str">
        <f>[1]С2.1!E15</f>
        <v>нет</v>
      </c>
    </row>
    <row r="45" spans="1:3" ht="30" x14ac:dyDescent="0.2">
      <c r="A45" s="24" t="s">
        <v>47</v>
      </c>
      <c r="B45" s="37" t="s">
        <v>48</v>
      </c>
      <c r="C45" s="38">
        <f>[1]С2!F18</f>
        <v>32402.627334033532</v>
      </c>
    </row>
    <row r="46" spans="1:3" ht="30" x14ac:dyDescent="0.2">
      <c r="A46" s="24" t="s">
        <v>49</v>
      </c>
      <c r="B46" s="58" t="s">
        <v>50</v>
      </c>
      <c r="C46" s="38">
        <f>IF([1]С2!F19&gt;0,[1]С2!F19,[1]С2!F20)</f>
        <v>23441.524932855718</v>
      </c>
    </row>
    <row r="47" spans="1:3" ht="25.5" x14ac:dyDescent="0.2">
      <c r="A47" s="24" t="s">
        <v>51</v>
      </c>
      <c r="B47" s="59" t="s">
        <v>52</v>
      </c>
      <c r="C47" s="38">
        <f>[1]С2.1!E19</f>
        <v>-37</v>
      </c>
    </row>
    <row r="48" spans="1:3" ht="25.5" x14ac:dyDescent="0.2">
      <c r="A48" s="24" t="s">
        <v>53</v>
      </c>
      <c r="B48" s="59" t="s">
        <v>54</v>
      </c>
      <c r="C48" s="38" t="str">
        <f>[1]С2.1!E22</f>
        <v>нет</v>
      </c>
    </row>
    <row r="49" spans="1:3" ht="38.25" x14ac:dyDescent="0.2">
      <c r="A49" s="24" t="s">
        <v>55</v>
      </c>
      <c r="B49" s="60" t="s">
        <v>56</v>
      </c>
      <c r="C49" s="38">
        <f>[1]С2.2!E10</f>
        <v>1287</v>
      </c>
    </row>
    <row r="50" spans="1:3" ht="25.5" x14ac:dyDescent="0.2">
      <c r="A50" s="24" t="s">
        <v>57</v>
      </c>
      <c r="B50" s="61" t="s">
        <v>58</v>
      </c>
      <c r="C50" s="38">
        <f>[1]С2.2!E12</f>
        <v>5.97</v>
      </c>
    </row>
    <row r="51" spans="1:3" ht="52.5" x14ac:dyDescent="0.2">
      <c r="A51" s="24" t="s">
        <v>59</v>
      </c>
      <c r="B51" s="62" t="s">
        <v>60</v>
      </c>
      <c r="C51" s="38">
        <f>[1]С2.2!E13</f>
        <v>1</v>
      </c>
    </row>
    <row r="52" spans="1:3" ht="27.75" x14ac:dyDescent="0.2">
      <c r="A52" s="24" t="s">
        <v>61</v>
      </c>
      <c r="B52" s="61" t="s">
        <v>62</v>
      </c>
      <c r="C52" s="38">
        <f>[1]С2.2!E14</f>
        <v>12104</v>
      </c>
    </row>
    <row r="53" spans="1:3" ht="25.5" x14ac:dyDescent="0.2">
      <c r="A53" s="24" t="s">
        <v>63</v>
      </c>
      <c r="B53" s="62" t="s">
        <v>64</v>
      </c>
      <c r="C53" s="39">
        <f>[1]С2.2!E15</f>
        <v>4.8000000000000001E-2</v>
      </c>
    </row>
    <row r="54" spans="1:3" x14ac:dyDescent="0.2">
      <c r="A54" s="24" t="s">
        <v>65</v>
      </c>
      <c r="B54" s="62" t="s">
        <v>66</v>
      </c>
      <c r="C54" s="38">
        <f>[1]С2.2!E16</f>
        <v>1</v>
      </c>
    </row>
    <row r="55" spans="1:3" ht="15.75" x14ac:dyDescent="0.2">
      <c r="A55" s="24" t="s">
        <v>67</v>
      </c>
      <c r="B55" s="63" t="s">
        <v>68</v>
      </c>
      <c r="C55" s="38">
        <f>[1]С2!F21</f>
        <v>1</v>
      </c>
    </row>
    <row r="56" spans="1:3" ht="30" x14ac:dyDescent="0.2">
      <c r="A56" s="64" t="s">
        <v>69</v>
      </c>
      <c r="B56" s="37" t="s">
        <v>70</v>
      </c>
      <c r="C56" s="38">
        <f>[1]С2!F13</f>
        <v>169640.22915965237</v>
      </c>
    </row>
    <row r="57" spans="1:3" ht="30" x14ac:dyDescent="0.2">
      <c r="A57" s="64" t="s">
        <v>71</v>
      </c>
      <c r="B57" s="63" t="s">
        <v>72</v>
      </c>
      <c r="C57" s="38">
        <f>[1]С2!F14</f>
        <v>113455</v>
      </c>
    </row>
    <row r="58" spans="1:3" ht="15.75" x14ac:dyDescent="0.2">
      <c r="A58" s="64" t="s">
        <v>73</v>
      </c>
      <c r="B58" s="65" t="s">
        <v>74</v>
      </c>
      <c r="C58" s="44">
        <f>[1]С2!F15</f>
        <v>1.071</v>
      </c>
    </row>
    <row r="59" spans="1:3" ht="15.75" x14ac:dyDescent="0.2">
      <c r="A59" s="64" t="s">
        <v>75</v>
      </c>
      <c r="B59" s="65" t="s">
        <v>76</v>
      </c>
      <c r="C59" s="44">
        <f>[1]С2!F16</f>
        <v>1</v>
      </c>
    </row>
    <row r="60" spans="1:3" ht="17.25" x14ac:dyDescent="0.2">
      <c r="A60" s="64" t="s">
        <v>77</v>
      </c>
      <c r="B60" s="63" t="s">
        <v>78</v>
      </c>
      <c r="C60" s="38">
        <f>[1]С2!F17</f>
        <v>1.01</v>
      </c>
    </row>
    <row r="61" spans="1:3" s="68" customFormat="1" ht="14.25" x14ac:dyDescent="0.2">
      <c r="A61" s="64" t="s">
        <v>79</v>
      </c>
      <c r="B61" s="66" t="s">
        <v>80</v>
      </c>
      <c r="C61" s="67">
        <f>[1]С2!F33</f>
        <v>10</v>
      </c>
    </row>
    <row r="62" spans="1:3" ht="30" x14ac:dyDescent="0.2">
      <c r="A62" s="64" t="s">
        <v>81</v>
      </c>
      <c r="B62" s="69" t="s">
        <v>82</v>
      </c>
      <c r="C62" s="38">
        <f>[1]С2!F26</f>
        <v>1424.4887832283189</v>
      </c>
    </row>
    <row r="63" spans="1:3" ht="17.25" x14ac:dyDescent="0.2">
      <c r="A63" s="64" t="s">
        <v>83</v>
      </c>
      <c r="B63" s="58" t="s">
        <v>84</v>
      </c>
      <c r="C63" s="38">
        <f>[1]С2!F27</f>
        <v>0.24536656199999998</v>
      </c>
    </row>
    <row r="64" spans="1:3" ht="17.25" x14ac:dyDescent="0.2">
      <c r="A64" s="64" t="s">
        <v>85</v>
      </c>
      <c r="B64" s="63" t="s">
        <v>86</v>
      </c>
      <c r="C64" s="67">
        <f>[1]С2!F28</f>
        <v>4200</v>
      </c>
    </row>
    <row r="65" spans="1:3" ht="42.75" x14ac:dyDescent="0.2">
      <c r="A65" s="64" t="s">
        <v>87</v>
      </c>
      <c r="B65" s="37" t="s">
        <v>88</v>
      </c>
      <c r="C65" s="38">
        <f>[1]С2!F22</f>
        <v>35717.748653137714</v>
      </c>
    </row>
    <row r="66" spans="1:3" ht="30" x14ac:dyDescent="0.2">
      <c r="A66" s="64" t="s">
        <v>89</v>
      </c>
      <c r="B66" s="65" t="s">
        <v>90</v>
      </c>
      <c r="C66" s="38">
        <f>[1]С2!F23</f>
        <v>1990</v>
      </c>
    </row>
    <row r="67" spans="1:3" ht="30" x14ac:dyDescent="0.2">
      <c r="A67" s="64" t="s">
        <v>91</v>
      </c>
      <c r="B67" s="58" t="s">
        <v>92</v>
      </c>
      <c r="C67" s="38">
        <f>[1]С2.1!E27</f>
        <v>14307.876789999998</v>
      </c>
    </row>
    <row r="68" spans="1:3" ht="38.25" x14ac:dyDescent="0.2">
      <c r="A68" s="64" t="s">
        <v>93</v>
      </c>
      <c r="B68" s="70" t="s">
        <v>94</v>
      </c>
      <c r="C68" s="57">
        <f>[1]С2.3!E21</f>
        <v>0</v>
      </c>
    </row>
    <row r="69" spans="1:3" ht="25.5" x14ac:dyDescent="0.2">
      <c r="A69" s="64" t="s">
        <v>95</v>
      </c>
      <c r="B69" s="71" t="s">
        <v>96</v>
      </c>
      <c r="C69" s="72">
        <f>[1]С2.3!E11</f>
        <v>9.89</v>
      </c>
    </row>
    <row r="70" spans="1:3" ht="25.5" x14ac:dyDescent="0.2">
      <c r="A70" s="64" t="s">
        <v>97</v>
      </c>
      <c r="B70" s="71" t="s">
        <v>98</v>
      </c>
      <c r="C70" s="67">
        <f>[1]С2.3!E13</f>
        <v>300</v>
      </c>
    </row>
    <row r="71" spans="1:3" ht="25.5" x14ac:dyDescent="0.2">
      <c r="A71" s="64" t="s">
        <v>99</v>
      </c>
      <c r="B71" s="70" t="s">
        <v>100</v>
      </c>
      <c r="C71" s="73">
        <f>IF([1]С2.3!E22&gt;0,[1]С2.3!E22,[1]С2.3!E14)</f>
        <v>61211</v>
      </c>
    </row>
    <row r="72" spans="1:3" ht="38.25" x14ac:dyDescent="0.2">
      <c r="A72" s="64" t="s">
        <v>101</v>
      </c>
      <c r="B72" s="70" t="s">
        <v>102</v>
      </c>
      <c r="C72" s="73">
        <f>IF([1]С2.3!E23&gt;0,[1]С2.3!E23,[1]С2.3!E15)</f>
        <v>45675</v>
      </c>
    </row>
    <row r="73" spans="1:3" ht="30" x14ac:dyDescent="0.2">
      <c r="A73" s="64" t="s">
        <v>103</v>
      </c>
      <c r="B73" s="58" t="s">
        <v>104</v>
      </c>
      <c r="C73" s="38">
        <f>[1]С2.1!E28</f>
        <v>9541.9567200000001</v>
      </c>
    </row>
    <row r="74" spans="1:3" ht="38.25" x14ac:dyDescent="0.2">
      <c r="A74" s="64" t="s">
        <v>105</v>
      </c>
      <c r="B74" s="70" t="s">
        <v>106</v>
      </c>
      <c r="C74" s="57">
        <f>[1]С2.3!E25</f>
        <v>0</v>
      </c>
    </row>
    <row r="75" spans="1:3" ht="25.5" x14ac:dyDescent="0.2">
      <c r="A75" s="64" t="s">
        <v>107</v>
      </c>
      <c r="B75" s="71" t="s">
        <v>108</v>
      </c>
      <c r="C75" s="72">
        <f>[1]С2.3!E12</f>
        <v>0.56000000000000005</v>
      </c>
    </row>
    <row r="76" spans="1:3" ht="25.5" x14ac:dyDescent="0.2">
      <c r="A76" s="64" t="s">
        <v>109</v>
      </c>
      <c r="B76" s="71" t="s">
        <v>98</v>
      </c>
      <c r="C76" s="67">
        <f>[1]С2.3!E13</f>
        <v>300</v>
      </c>
    </row>
    <row r="77" spans="1:3" ht="25.5" x14ac:dyDescent="0.2">
      <c r="A77" s="64" t="s">
        <v>110</v>
      </c>
      <c r="B77" s="74" t="s">
        <v>111</v>
      </c>
      <c r="C77" s="73">
        <f>IF([1]С2.3!E26&gt;0,[1]С2.3!E26,[1]С2.3!E16)</f>
        <v>65637</v>
      </c>
    </row>
    <row r="78" spans="1:3" ht="38.25" x14ac:dyDescent="0.2">
      <c r="A78" s="64" t="s">
        <v>112</v>
      </c>
      <c r="B78" s="74" t="s">
        <v>113</v>
      </c>
      <c r="C78" s="73">
        <f>IF([1]С2.3!E27&gt;0,[1]С2.3!E27,[1]С2.3!E17)</f>
        <v>31684</v>
      </c>
    </row>
    <row r="79" spans="1:3" ht="17.25" x14ac:dyDescent="0.2">
      <c r="A79" s="64" t="s">
        <v>114</v>
      </c>
      <c r="B79" s="37" t="s">
        <v>115</v>
      </c>
      <c r="C79" s="39">
        <f>[1]С2!F29</f>
        <v>0.128978033685065</v>
      </c>
    </row>
    <row r="80" spans="1:3" ht="30" x14ac:dyDescent="0.2">
      <c r="A80" s="64" t="s">
        <v>116</v>
      </c>
      <c r="B80" s="58" t="s">
        <v>117</v>
      </c>
      <c r="C80" s="75">
        <f>[1]С2!F30</f>
        <v>0.11668498168498169</v>
      </c>
    </row>
    <row r="81" spans="1:3" ht="17.25" x14ac:dyDescent="0.2">
      <c r="A81" s="64" t="s">
        <v>118</v>
      </c>
      <c r="B81" s="76" t="s">
        <v>119</v>
      </c>
      <c r="C81" s="39">
        <f>[1]С2!F31</f>
        <v>0.13880000000000001</v>
      </c>
    </row>
    <row r="82" spans="1:3" s="68" customFormat="1" ht="18" thickBot="1" x14ac:dyDescent="0.25">
      <c r="A82" s="77" t="s">
        <v>120</v>
      </c>
      <c r="B82" s="78" t="s">
        <v>121</v>
      </c>
      <c r="C82" s="79">
        <f>[1]С2!F32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[1]С3!F14</f>
        <v>7012.1794194579406</v>
      </c>
    </row>
    <row r="86" spans="1:3" s="68" customFormat="1" ht="42.75" x14ac:dyDescent="0.2">
      <c r="A86" s="82" t="s">
        <v>126</v>
      </c>
      <c r="B86" s="58" t="s">
        <v>127</v>
      </c>
      <c r="C86" s="83">
        <f>[1]С3!F15</f>
        <v>0.2</v>
      </c>
    </row>
    <row r="87" spans="1:3" s="68" customFormat="1" ht="14.25" x14ac:dyDescent="0.2">
      <c r="A87" s="82" t="s">
        <v>128</v>
      </c>
      <c r="B87" s="84" t="s">
        <v>129</v>
      </c>
      <c r="C87" s="67">
        <f>[1]С3!F18</f>
        <v>15</v>
      </c>
    </row>
    <row r="88" spans="1:3" s="68" customFormat="1" ht="17.25" x14ac:dyDescent="0.2">
      <c r="A88" s="82" t="s">
        <v>130</v>
      </c>
      <c r="B88" s="37" t="s">
        <v>131</v>
      </c>
      <c r="C88" s="38">
        <f>[1]С3!F19</f>
        <v>3487.1555421534131</v>
      </c>
    </row>
    <row r="89" spans="1:3" s="68" customFormat="1" ht="55.5" x14ac:dyDescent="0.2">
      <c r="A89" s="82" t="s">
        <v>132</v>
      </c>
      <c r="B89" s="58" t="s">
        <v>133</v>
      </c>
      <c r="C89" s="85">
        <f>[1]С3!F20</f>
        <v>2.1999999999999999E-2</v>
      </c>
    </row>
    <row r="90" spans="1:3" s="68" customFormat="1" ht="14.25" x14ac:dyDescent="0.2">
      <c r="A90" s="82" t="s">
        <v>134</v>
      </c>
      <c r="B90" s="63" t="s">
        <v>80</v>
      </c>
      <c r="C90" s="67">
        <f>[1]С3!F21</f>
        <v>10</v>
      </c>
    </row>
    <row r="91" spans="1:3" s="68" customFormat="1" ht="17.25" x14ac:dyDescent="0.2">
      <c r="A91" s="82" t="s">
        <v>135</v>
      </c>
      <c r="B91" s="37" t="s">
        <v>136</v>
      </c>
      <c r="C91" s="38">
        <f>[1]С3!F22</f>
        <v>4.2734663496849565</v>
      </c>
    </row>
    <row r="92" spans="1:3" s="68" customFormat="1" ht="55.5" x14ac:dyDescent="0.2">
      <c r="A92" s="82" t="s">
        <v>137</v>
      </c>
      <c r="B92" s="58" t="s">
        <v>138</v>
      </c>
      <c r="C92" s="85">
        <f>[1]С3!F23</f>
        <v>3.0000000000000001E-3</v>
      </c>
    </row>
    <row r="93" spans="1:3" s="68" customFormat="1" ht="27.75" thickBot="1" x14ac:dyDescent="0.25">
      <c r="A93" s="86" t="s">
        <v>139</v>
      </c>
      <c r="B93" s="87" t="s">
        <v>140</v>
      </c>
      <c r="C93" s="88">
        <f>[1]С3!F24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[1]С4!F16</f>
        <v>1652.5</v>
      </c>
    </row>
    <row r="97" spans="1:3" ht="30" x14ac:dyDescent="0.2">
      <c r="A97" s="64" t="s">
        <v>145</v>
      </c>
      <c r="B97" s="63" t="s">
        <v>146</v>
      </c>
      <c r="C97" s="38">
        <f>[1]С4!F17</f>
        <v>73547</v>
      </c>
    </row>
    <row r="98" spans="1:3" ht="17.25" x14ac:dyDescent="0.2">
      <c r="A98" s="64" t="s">
        <v>147</v>
      </c>
      <c r="B98" s="63" t="s">
        <v>148</v>
      </c>
      <c r="C98" s="44">
        <f>[1]С4!F18</f>
        <v>0.02</v>
      </c>
    </row>
    <row r="99" spans="1:3" ht="30" x14ac:dyDescent="0.2">
      <c r="A99" s="64" t="s">
        <v>149</v>
      </c>
      <c r="B99" s="63" t="s">
        <v>150</v>
      </c>
      <c r="C99" s="38">
        <f>[1]С4!F19</f>
        <v>12104</v>
      </c>
    </row>
    <row r="100" spans="1:3" ht="31.5" x14ac:dyDescent="0.2">
      <c r="A100" s="64" t="s">
        <v>151</v>
      </c>
      <c r="B100" s="63" t="s">
        <v>152</v>
      </c>
      <c r="C100" s="44">
        <f>[1]С4!F20</f>
        <v>1.4999999999999999E-2</v>
      </c>
    </row>
    <row r="101" spans="1:3" ht="30" x14ac:dyDescent="0.2">
      <c r="A101" s="64" t="s">
        <v>153</v>
      </c>
      <c r="B101" s="37" t="s">
        <v>154</v>
      </c>
      <c r="C101" s="38">
        <f>[1]С4!F21</f>
        <v>1933.1949342509995</v>
      </c>
    </row>
    <row r="102" spans="1:3" ht="24" customHeight="1" x14ac:dyDescent="0.2">
      <c r="A102" s="64" t="s">
        <v>155</v>
      </c>
      <c r="B102" s="58" t="s">
        <v>156</v>
      </c>
      <c r="C102" s="90">
        <f>IF([1]С4.2!F8="да",[1]С4.2!D21,[1]С4.2!D15)</f>
        <v>0</v>
      </c>
    </row>
    <row r="103" spans="1:3" ht="68.25" x14ac:dyDescent="0.2">
      <c r="A103" s="64" t="s">
        <v>157</v>
      </c>
      <c r="B103" s="58" t="s">
        <v>158</v>
      </c>
      <c r="C103" s="38">
        <f>[1]С4!F22</f>
        <v>3.6112641666666665</v>
      </c>
    </row>
    <row r="104" spans="1:3" ht="30" x14ac:dyDescent="0.2">
      <c r="A104" s="64" t="s">
        <v>159</v>
      </c>
      <c r="B104" s="63" t="s">
        <v>160</v>
      </c>
      <c r="C104" s="38">
        <f>[1]С4!F23</f>
        <v>180</v>
      </c>
    </row>
    <row r="105" spans="1:3" ht="14.25" x14ac:dyDescent="0.2">
      <c r="A105" s="64" t="s">
        <v>161</v>
      </c>
      <c r="B105" s="58" t="s">
        <v>162</v>
      </c>
      <c r="C105" s="38">
        <f>[1]С4!F24</f>
        <v>8497.1999999999989</v>
      </c>
    </row>
    <row r="106" spans="1:3" ht="14.25" x14ac:dyDescent="0.2">
      <c r="A106" s="64" t="s">
        <v>163</v>
      </c>
      <c r="B106" s="63" t="s">
        <v>164</v>
      </c>
      <c r="C106" s="44">
        <f>[1]С4!F25</f>
        <v>0.35</v>
      </c>
    </row>
    <row r="107" spans="1:3" ht="17.25" x14ac:dyDescent="0.2">
      <c r="A107" s="64" t="s">
        <v>165</v>
      </c>
      <c r="B107" s="37" t="s">
        <v>166</v>
      </c>
      <c r="C107" s="38">
        <f>[1]С4!F26</f>
        <v>102.09363</v>
      </c>
    </row>
    <row r="108" spans="1:3" ht="25.5" x14ac:dyDescent="0.2">
      <c r="A108" s="64" t="s">
        <v>167</v>
      </c>
      <c r="B108" s="58" t="s">
        <v>94</v>
      </c>
      <c r="C108" s="90">
        <f>[1]С4.3!E16</f>
        <v>0</v>
      </c>
    </row>
    <row r="109" spans="1:3" ht="25.5" x14ac:dyDescent="0.2">
      <c r="A109" s="64" t="s">
        <v>168</v>
      </c>
      <c r="B109" s="58" t="s">
        <v>169</v>
      </c>
      <c r="C109" s="38">
        <f>[1]С4.3!E17</f>
        <v>25.05</v>
      </c>
    </row>
    <row r="110" spans="1:3" ht="38.25" x14ac:dyDescent="0.2">
      <c r="A110" s="64" t="s">
        <v>170</v>
      </c>
      <c r="B110" s="58" t="s">
        <v>106</v>
      </c>
      <c r="C110" s="90">
        <f>[1]С4.3!E18</f>
        <v>0</v>
      </c>
    </row>
    <row r="111" spans="1:3" x14ac:dyDescent="0.2">
      <c r="A111" s="64" t="s">
        <v>171</v>
      </c>
      <c r="B111" s="58" t="s">
        <v>172</v>
      </c>
      <c r="C111" s="38">
        <f>[1]С4.3!E19</f>
        <v>69.819999999999993</v>
      </c>
    </row>
    <row r="112" spans="1:3" x14ac:dyDescent="0.2">
      <c r="A112" s="64" t="s">
        <v>173</v>
      </c>
      <c r="B112" s="63" t="s">
        <v>174</v>
      </c>
      <c r="C112" s="38">
        <f>[1]С4.3!E11</f>
        <v>1871</v>
      </c>
    </row>
    <row r="113" spans="1:3" x14ac:dyDescent="0.2">
      <c r="A113" s="64" t="s">
        <v>175</v>
      </c>
      <c r="B113" s="63" t="s">
        <v>176</v>
      </c>
      <c r="C113" s="57">
        <f>[1]С4.3!E12</f>
        <v>1636</v>
      </c>
    </row>
    <row r="114" spans="1:3" x14ac:dyDescent="0.2">
      <c r="A114" s="64" t="s">
        <v>177</v>
      </c>
      <c r="B114" s="63" t="s">
        <v>178</v>
      </c>
      <c r="C114" s="57">
        <f>[1]С4.3!E13</f>
        <v>204</v>
      </c>
    </row>
    <row r="115" spans="1:3" ht="30" x14ac:dyDescent="0.2">
      <c r="A115" s="64" t="s">
        <v>179</v>
      </c>
      <c r="B115" s="37" t="s">
        <v>180</v>
      </c>
      <c r="C115" s="38">
        <f>[1]С4!F27</f>
        <v>1047.1575926659227</v>
      </c>
    </row>
    <row r="116" spans="1:3" ht="25.5" x14ac:dyDescent="0.2">
      <c r="A116" s="64" t="s">
        <v>181</v>
      </c>
      <c r="B116" s="58" t="s">
        <v>182</v>
      </c>
      <c r="C116" s="38">
        <f>[1]С4!F28</f>
        <v>804.26850435170718</v>
      </c>
    </row>
    <row r="117" spans="1:3" ht="42.75" x14ac:dyDescent="0.2">
      <c r="A117" s="64" t="s">
        <v>183</v>
      </c>
      <c r="B117" s="58" t="s">
        <v>184</v>
      </c>
      <c r="C117" s="38">
        <f>[1]С4!F29</f>
        <v>242.8890883142156</v>
      </c>
    </row>
    <row r="118" spans="1:3" ht="30" x14ac:dyDescent="0.2">
      <c r="A118" s="64" t="s">
        <v>185</v>
      </c>
      <c r="B118" s="43" t="s">
        <v>186</v>
      </c>
      <c r="C118" s="38">
        <f>[1]С4!F30</f>
        <v>1943.3776994653858</v>
      </c>
    </row>
    <row r="119" spans="1:3" ht="42.75" x14ac:dyDescent="0.2">
      <c r="A119" s="64" t="s">
        <v>187</v>
      </c>
      <c r="B119" s="91" t="s">
        <v>188</v>
      </c>
      <c r="C119" s="38">
        <f>[1]С4!F33</f>
        <v>1224.5577836002453</v>
      </c>
    </row>
    <row r="120" spans="1:3" ht="30" x14ac:dyDescent="0.2">
      <c r="A120" s="64" t="s">
        <v>189</v>
      </c>
      <c r="B120" s="92" t="s">
        <v>190</v>
      </c>
      <c r="C120" s="38">
        <f>[1]С4!F35</f>
        <v>17.040680999999999</v>
      </c>
    </row>
    <row r="121" spans="1:3" ht="14.25" x14ac:dyDescent="0.2">
      <c r="A121" s="64" t="s">
        <v>191</v>
      </c>
      <c r="B121" s="61" t="s">
        <v>192</v>
      </c>
      <c r="C121" s="38">
        <f>[1]С4!F36</f>
        <v>14319.9</v>
      </c>
    </row>
    <row r="122" spans="1:3" ht="28.5" thickBot="1" x14ac:dyDescent="0.25">
      <c r="A122" s="77" t="s">
        <v>193</v>
      </c>
      <c r="B122" s="93" t="s">
        <v>194</v>
      </c>
      <c r="C122" s="88">
        <f>[1]С4!F37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[1]С2!F37</f>
        <v>20.818139999999996</v>
      </c>
    </row>
    <row r="136" spans="1:4" ht="14.25" x14ac:dyDescent="0.2">
      <c r="A136" s="64" t="s">
        <v>216</v>
      </c>
      <c r="B136" s="107" t="s">
        <v>217</v>
      </c>
      <c r="C136" s="38">
        <f>[1]С2!F38</f>
        <v>7</v>
      </c>
    </row>
    <row r="137" spans="1:4" ht="17.25" x14ac:dyDescent="0.2">
      <c r="A137" s="64" t="s">
        <v>218</v>
      </c>
      <c r="B137" s="107" t="s">
        <v>219</v>
      </c>
      <c r="C137" s="38">
        <f>[1]С2!F40</f>
        <v>0.97</v>
      </c>
    </row>
    <row r="138" spans="1:4" ht="15" thickBot="1" x14ac:dyDescent="0.25">
      <c r="A138" s="77" t="s">
        <v>220</v>
      </c>
      <c r="B138" s="108" t="s">
        <v>221</v>
      </c>
      <c r="C138" s="50">
        <f>[1]С2!F42</f>
        <v>0.35</v>
      </c>
    </row>
    <row r="139" spans="1:4" s="94" customFormat="1" ht="13.5" thickBot="1" x14ac:dyDescent="0.25">
      <c r="A139" s="51"/>
      <c r="B139" s="80"/>
      <c r="C139" s="16"/>
    </row>
    <row r="140" spans="1:4" ht="30" x14ac:dyDescent="0.2">
      <c r="A140" s="89" t="s">
        <v>222</v>
      </c>
      <c r="B140" s="109" t="s">
        <v>223</v>
      </c>
      <c r="C140" s="110">
        <f>[1]С2!F35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[1]С2.5!$E$11</f>
        <v>-2.9000000000000026E-2</v>
      </c>
      <c r="D143" s="94"/>
    </row>
    <row r="144" spans="1:4" x14ac:dyDescent="0.2">
      <c r="A144" s="112"/>
      <c r="B144" s="117">
        <f>B143+1</f>
        <v>2021</v>
      </c>
      <c r="C144" s="118">
        <f>[1]С2.5!$F$11</f>
        <v>0.245</v>
      </c>
      <c r="D144" s="94"/>
    </row>
    <row r="145" spans="1:4" x14ac:dyDescent="0.2">
      <c r="A145" s="112"/>
      <c r="B145" s="117">
        <f t="shared" ref="B145:B208" si="0">B144+1</f>
        <v>2022</v>
      </c>
      <c r="C145" s="118">
        <f>[1]С2.5!$G$11</f>
        <v>0.121</v>
      </c>
      <c r="D145" s="94"/>
    </row>
    <row r="146" spans="1:4" ht="13.5" thickBot="1" x14ac:dyDescent="0.25">
      <c r="A146" s="112"/>
      <c r="B146" s="119">
        <f t="shared" si="0"/>
        <v>2023</v>
      </c>
      <c r="C146" s="120">
        <f>[1]С2.5!$H$11</f>
        <v>0.02</v>
      </c>
      <c r="D146" s="94"/>
    </row>
    <row r="147" spans="1:4" hidden="1" x14ac:dyDescent="0.2">
      <c r="A147" s="112"/>
      <c r="B147" s="121">
        <f t="shared" si="0"/>
        <v>2024</v>
      </c>
      <c r="C147" s="122">
        <f>[1]С2.5!$I$11</f>
        <v>-2.93E-2</v>
      </c>
      <c r="D147" s="94"/>
    </row>
    <row r="148" spans="1:4" hidden="1" x14ac:dyDescent="0.2">
      <c r="A148" s="112"/>
      <c r="B148" s="117">
        <f t="shared" si="0"/>
        <v>2025</v>
      </c>
      <c r="C148" s="118">
        <f>[1]С2.5!$J$11</f>
        <v>0.21215960863291</v>
      </c>
      <c r="D148" s="94"/>
    </row>
    <row r="149" spans="1:4" hidden="1" x14ac:dyDescent="0.2">
      <c r="A149" s="112"/>
      <c r="B149" s="117">
        <f t="shared" si="0"/>
        <v>2026</v>
      </c>
      <c r="C149" s="118">
        <f>[1]С2.5!$K$11</f>
        <v>3.5813361771260002E-2</v>
      </c>
      <c r="D149" s="94"/>
    </row>
    <row r="150" spans="1:4" hidden="1" x14ac:dyDescent="0.2">
      <c r="A150" s="112"/>
      <c r="B150" s="117">
        <f t="shared" si="0"/>
        <v>2027</v>
      </c>
      <c r="C150" s="118">
        <f>[1]С2.5!$L$11</f>
        <v>3.2682303599220003E-2</v>
      </c>
      <c r="D150" s="94"/>
    </row>
    <row r="151" spans="1:4" hidden="1" x14ac:dyDescent="0.2">
      <c r="A151" s="112"/>
      <c r="B151" s="117">
        <f t="shared" si="0"/>
        <v>2028</v>
      </c>
      <c r="C151" s="118">
        <f>[1]С2.5!$M$11</f>
        <v>0</v>
      </c>
      <c r="D151" s="94"/>
    </row>
    <row r="152" spans="1:4" hidden="1" x14ac:dyDescent="0.2">
      <c r="A152" s="112"/>
      <c r="B152" s="117">
        <f t="shared" si="0"/>
        <v>2029</v>
      </c>
      <c r="C152" s="118">
        <f>[1]С2.5!$N$11</f>
        <v>0</v>
      </c>
      <c r="D152" s="94"/>
    </row>
    <row r="153" spans="1:4" hidden="1" x14ac:dyDescent="0.2">
      <c r="A153" s="112"/>
      <c r="B153" s="117">
        <f t="shared" si="0"/>
        <v>2030</v>
      </c>
      <c r="C153" s="118">
        <f>[1]С2.5!$O$11</f>
        <v>0</v>
      </c>
      <c r="D153" s="94"/>
    </row>
    <row r="154" spans="1:4" hidden="1" x14ac:dyDescent="0.2">
      <c r="A154" s="112"/>
      <c r="B154" s="117">
        <f t="shared" si="0"/>
        <v>2031</v>
      </c>
      <c r="C154" s="118">
        <f>[1]С2.5!$P$11</f>
        <v>0</v>
      </c>
      <c r="D154" s="94"/>
    </row>
    <row r="155" spans="1:4" hidden="1" x14ac:dyDescent="0.2">
      <c r="A155" s="94"/>
      <c r="B155" s="117">
        <f t="shared" si="0"/>
        <v>2032</v>
      </c>
      <c r="C155" s="118">
        <f>[1]С2.5!$Q$11</f>
        <v>0</v>
      </c>
      <c r="D155" s="94"/>
    </row>
    <row r="156" spans="1:4" hidden="1" x14ac:dyDescent="0.2">
      <c r="A156" s="94"/>
      <c r="B156" s="117">
        <f t="shared" si="0"/>
        <v>2033</v>
      </c>
      <c r="C156" s="118">
        <f>[1]С2.5!$R$11</f>
        <v>0</v>
      </c>
      <c r="D156" s="94"/>
    </row>
    <row r="157" spans="1:4" hidden="1" x14ac:dyDescent="0.2">
      <c r="B157" s="117">
        <f t="shared" si="0"/>
        <v>2034</v>
      </c>
      <c r="C157" s="118">
        <f>[1]С2.5!$S$11</f>
        <v>0</v>
      </c>
    </row>
    <row r="158" spans="1:4" hidden="1" x14ac:dyDescent="0.2">
      <c r="B158" s="117">
        <f t="shared" si="0"/>
        <v>2035</v>
      </c>
      <c r="C158" s="118">
        <f>[1]С2.5!$T$11</f>
        <v>0</v>
      </c>
    </row>
    <row r="159" spans="1:4" hidden="1" x14ac:dyDescent="0.2">
      <c r="B159" s="117">
        <f t="shared" si="0"/>
        <v>2036</v>
      </c>
      <c r="C159" s="118">
        <f>[1]С2.5!$U$11</f>
        <v>0</v>
      </c>
    </row>
    <row r="160" spans="1:4" hidden="1" x14ac:dyDescent="0.2">
      <c r="B160" s="117">
        <f t="shared" si="0"/>
        <v>2037</v>
      </c>
      <c r="C160" s="118">
        <f>[1]С2.5!$V$11</f>
        <v>0</v>
      </c>
    </row>
    <row r="161" spans="2:3" hidden="1" x14ac:dyDescent="0.2">
      <c r="B161" s="117">
        <f t="shared" si="0"/>
        <v>2038</v>
      </c>
      <c r="C161" s="118">
        <f>[1]С2.5!$W$11</f>
        <v>0</v>
      </c>
    </row>
    <row r="162" spans="2:3" hidden="1" x14ac:dyDescent="0.2">
      <c r="B162" s="117">
        <f t="shared" si="0"/>
        <v>2039</v>
      </c>
      <c r="C162" s="118">
        <f>[1]С2.5!$X$11</f>
        <v>0</v>
      </c>
    </row>
    <row r="163" spans="2:3" hidden="1" x14ac:dyDescent="0.2">
      <c r="B163" s="117">
        <f t="shared" si="0"/>
        <v>2040</v>
      </c>
      <c r="C163" s="118">
        <f>[1]С2.5!$Y$11</f>
        <v>0</v>
      </c>
    </row>
    <row r="164" spans="2:3" hidden="1" x14ac:dyDescent="0.2">
      <c r="B164" s="117">
        <f t="shared" si="0"/>
        <v>2041</v>
      </c>
      <c r="C164" s="118">
        <f>[1]С2.5!$Z$11</f>
        <v>0</v>
      </c>
    </row>
    <row r="165" spans="2:3" hidden="1" x14ac:dyDescent="0.2">
      <c r="B165" s="117">
        <f t="shared" si="0"/>
        <v>2042</v>
      </c>
      <c r="C165" s="118">
        <f>[1]С2.5!$AA$11</f>
        <v>0</v>
      </c>
    </row>
    <row r="166" spans="2:3" hidden="1" x14ac:dyDescent="0.2">
      <c r="B166" s="117">
        <f t="shared" si="0"/>
        <v>2043</v>
      </c>
      <c r="C166" s="118">
        <f>[1]С2.5!$AB$11</f>
        <v>0</v>
      </c>
    </row>
    <row r="167" spans="2:3" hidden="1" x14ac:dyDescent="0.2">
      <c r="B167" s="117">
        <f t="shared" si="0"/>
        <v>2044</v>
      </c>
      <c r="C167" s="118">
        <f>[1]С2.5!$AC$11</f>
        <v>0</v>
      </c>
    </row>
    <row r="168" spans="2:3" hidden="1" x14ac:dyDescent="0.2">
      <c r="B168" s="117">
        <f t="shared" si="0"/>
        <v>2045</v>
      </c>
      <c r="C168" s="118">
        <f>[1]С2.5!$AD$11</f>
        <v>0</v>
      </c>
    </row>
    <row r="169" spans="2:3" hidden="1" x14ac:dyDescent="0.2">
      <c r="B169" s="117">
        <f t="shared" si="0"/>
        <v>2046</v>
      </c>
      <c r="C169" s="118">
        <f>[1]С2.5!$AE$11</f>
        <v>0</v>
      </c>
    </row>
    <row r="170" spans="2:3" hidden="1" x14ac:dyDescent="0.2">
      <c r="B170" s="117">
        <f t="shared" si="0"/>
        <v>2047</v>
      </c>
      <c r="C170" s="118">
        <f>[1]С2.5!$AF$11</f>
        <v>0</v>
      </c>
    </row>
    <row r="171" spans="2:3" hidden="1" x14ac:dyDescent="0.2">
      <c r="B171" s="117">
        <f t="shared" si="0"/>
        <v>2048</v>
      </c>
      <c r="C171" s="118">
        <f>[1]С2.5!$AG$11</f>
        <v>0</v>
      </c>
    </row>
    <row r="172" spans="2:3" hidden="1" x14ac:dyDescent="0.2">
      <c r="B172" s="117">
        <f t="shared" si="0"/>
        <v>2049</v>
      </c>
      <c r="C172" s="118">
        <f>[1]С2.5!$AH$11</f>
        <v>0</v>
      </c>
    </row>
    <row r="173" spans="2:3" hidden="1" x14ac:dyDescent="0.2">
      <c r="B173" s="117">
        <f t="shared" si="0"/>
        <v>2050</v>
      </c>
      <c r="C173" s="118">
        <f>[1]С2.5!$AI$11</f>
        <v>0</v>
      </c>
    </row>
    <row r="174" spans="2:3" hidden="1" x14ac:dyDescent="0.2">
      <c r="B174" s="117">
        <f t="shared" si="0"/>
        <v>2051</v>
      </c>
      <c r="C174" s="118">
        <f>[1]С2.5!$AJ$11</f>
        <v>0</v>
      </c>
    </row>
    <row r="175" spans="2:3" hidden="1" x14ac:dyDescent="0.2">
      <c r="B175" s="117">
        <f t="shared" si="0"/>
        <v>2052</v>
      </c>
      <c r="C175" s="118">
        <f>[1]С2.5!$AK$11</f>
        <v>0</v>
      </c>
    </row>
    <row r="176" spans="2:3" hidden="1" x14ac:dyDescent="0.2">
      <c r="B176" s="117">
        <f t="shared" si="0"/>
        <v>2053</v>
      </c>
      <c r="C176" s="118">
        <f>[1]С2.5!$AL$11</f>
        <v>0</v>
      </c>
    </row>
    <row r="177" spans="2:3" hidden="1" x14ac:dyDescent="0.2">
      <c r="B177" s="117">
        <f t="shared" si="0"/>
        <v>2054</v>
      </c>
      <c r="C177" s="118">
        <f>[1]С2.5!$AM$11</f>
        <v>0</v>
      </c>
    </row>
    <row r="178" spans="2:3" hidden="1" x14ac:dyDescent="0.2">
      <c r="B178" s="117">
        <f t="shared" si="0"/>
        <v>2055</v>
      </c>
      <c r="C178" s="118">
        <f>[1]С2.5!$AN$11</f>
        <v>0</v>
      </c>
    </row>
    <row r="179" spans="2:3" hidden="1" x14ac:dyDescent="0.2">
      <c r="B179" s="117">
        <f t="shared" si="0"/>
        <v>2056</v>
      </c>
      <c r="C179" s="118">
        <f>[1]С2.5!$AO$11</f>
        <v>0</v>
      </c>
    </row>
    <row r="180" spans="2:3" hidden="1" x14ac:dyDescent="0.2">
      <c r="B180" s="117">
        <f t="shared" si="0"/>
        <v>2057</v>
      </c>
      <c r="C180" s="118">
        <f>[1]С2.5!$AP$11</f>
        <v>0</v>
      </c>
    </row>
    <row r="181" spans="2:3" hidden="1" x14ac:dyDescent="0.2">
      <c r="B181" s="117">
        <f t="shared" si="0"/>
        <v>2058</v>
      </c>
      <c r="C181" s="118">
        <f>[1]С2.5!$AQ$11</f>
        <v>0</v>
      </c>
    </row>
    <row r="182" spans="2:3" hidden="1" x14ac:dyDescent="0.2">
      <c r="B182" s="117">
        <f t="shared" si="0"/>
        <v>2059</v>
      </c>
      <c r="C182" s="118">
        <f>[1]С2.5!$AR$11</f>
        <v>0</v>
      </c>
    </row>
    <row r="183" spans="2:3" hidden="1" x14ac:dyDescent="0.2">
      <c r="B183" s="117">
        <f t="shared" si="0"/>
        <v>2060</v>
      </c>
      <c r="C183" s="118">
        <f>[1]С2.5!$AS$11</f>
        <v>0</v>
      </c>
    </row>
    <row r="184" spans="2:3" hidden="1" x14ac:dyDescent="0.2">
      <c r="B184" s="117">
        <f t="shared" si="0"/>
        <v>2061</v>
      </c>
      <c r="C184" s="118">
        <f>[1]С2.5!$AT$11</f>
        <v>0</v>
      </c>
    </row>
    <row r="185" spans="2:3" hidden="1" x14ac:dyDescent="0.2">
      <c r="B185" s="117">
        <f t="shared" si="0"/>
        <v>2062</v>
      </c>
      <c r="C185" s="118">
        <f>[1]С2.5!$AU$11</f>
        <v>0</v>
      </c>
    </row>
    <row r="186" spans="2:3" hidden="1" x14ac:dyDescent="0.2">
      <c r="B186" s="117">
        <f t="shared" si="0"/>
        <v>2063</v>
      </c>
      <c r="C186" s="118">
        <f>[1]С2.5!$AV$11</f>
        <v>0</v>
      </c>
    </row>
    <row r="187" spans="2:3" hidden="1" x14ac:dyDescent="0.2">
      <c r="B187" s="117">
        <f t="shared" si="0"/>
        <v>2064</v>
      </c>
      <c r="C187" s="118">
        <f>[1]С2.5!$AW$11</f>
        <v>0</v>
      </c>
    </row>
    <row r="188" spans="2:3" hidden="1" x14ac:dyDescent="0.2">
      <c r="B188" s="117">
        <f t="shared" si="0"/>
        <v>2065</v>
      </c>
      <c r="C188" s="118">
        <f>[1]С2.5!$AX$11</f>
        <v>0</v>
      </c>
    </row>
    <row r="189" spans="2:3" hidden="1" x14ac:dyDescent="0.2">
      <c r="B189" s="117">
        <f t="shared" si="0"/>
        <v>2066</v>
      </c>
      <c r="C189" s="118">
        <f>[1]С2.5!$AY$11</f>
        <v>0</v>
      </c>
    </row>
    <row r="190" spans="2:3" hidden="1" x14ac:dyDescent="0.2">
      <c r="B190" s="117">
        <f t="shared" si="0"/>
        <v>2067</v>
      </c>
      <c r="C190" s="118">
        <f>[1]С2.5!$AZ$11</f>
        <v>0</v>
      </c>
    </row>
    <row r="191" spans="2:3" hidden="1" x14ac:dyDescent="0.2">
      <c r="B191" s="117">
        <f t="shared" si="0"/>
        <v>2068</v>
      </c>
      <c r="C191" s="118">
        <f>[1]С2.5!$BA$11</f>
        <v>0</v>
      </c>
    </row>
    <row r="192" spans="2:3" hidden="1" x14ac:dyDescent="0.2">
      <c r="B192" s="117">
        <f t="shared" si="0"/>
        <v>2069</v>
      </c>
      <c r="C192" s="118">
        <f>[1]С2.5!$BB$11</f>
        <v>0</v>
      </c>
    </row>
    <row r="193" spans="2:3" hidden="1" x14ac:dyDescent="0.2">
      <c r="B193" s="117">
        <f t="shared" si="0"/>
        <v>2070</v>
      </c>
      <c r="C193" s="118">
        <f>[1]С2.5!$BC$11</f>
        <v>0</v>
      </c>
    </row>
    <row r="194" spans="2:3" hidden="1" x14ac:dyDescent="0.2">
      <c r="B194" s="117">
        <f t="shared" si="0"/>
        <v>2071</v>
      </c>
      <c r="C194" s="118">
        <f>[1]С2.5!$BD$11</f>
        <v>0</v>
      </c>
    </row>
    <row r="195" spans="2:3" hidden="1" x14ac:dyDescent="0.2">
      <c r="B195" s="117">
        <f t="shared" si="0"/>
        <v>2072</v>
      </c>
      <c r="C195" s="118">
        <f>[1]С2.5!$BE$11</f>
        <v>0</v>
      </c>
    </row>
    <row r="196" spans="2:3" hidden="1" x14ac:dyDescent="0.2">
      <c r="B196" s="117">
        <f t="shared" si="0"/>
        <v>2073</v>
      </c>
      <c r="C196" s="118">
        <f>[1]С2.5!$BF$11</f>
        <v>0</v>
      </c>
    </row>
    <row r="197" spans="2:3" hidden="1" x14ac:dyDescent="0.2">
      <c r="B197" s="117">
        <f t="shared" si="0"/>
        <v>2074</v>
      </c>
      <c r="C197" s="118">
        <f>[1]С2.5!$BG$11</f>
        <v>0</v>
      </c>
    </row>
    <row r="198" spans="2:3" hidden="1" x14ac:dyDescent="0.2">
      <c r="B198" s="117">
        <f t="shared" si="0"/>
        <v>2075</v>
      </c>
      <c r="C198" s="118">
        <f>[1]С2.5!$BH$11</f>
        <v>0</v>
      </c>
    </row>
    <row r="199" spans="2:3" hidden="1" x14ac:dyDescent="0.2">
      <c r="B199" s="117">
        <f t="shared" si="0"/>
        <v>2076</v>
      </c>
      <c r="C199" s="118">
        <f>[1]С2.5!$BI$11</f>
        <v>0</v>
      </c>
    </row>
    <row r="200" spans="2:3" hidden="1" x14ac:dyDescent="0.2">
      <c r="B200" s="117">
        <f t="shared" si="0"/>
        <v>2077</v>
      </c>
      <c r="C200" s="118">
        <f>[1]С2.5!$BJ$11</f>
        <v>0</v>
      </c>
    </row>
    <row r="201" spans="2:3" hidden="1" x14ac:dyDescent="0.2">
      <c r="B201" s="117">
        <f t="shared" si="0"/>
        <v>2078</v>
      </c>
      <c r="C201" s="118">
        <f>[1]С2.5!$BK$11</f>
        <v>0</v>
      </c>
    </row>
    <row r="202" spans="2:3" hidden="1" x14ac:dyDescent="0.2">
      <c r="B202" s="117">
        <f t="shared" si="0"/>
        <v>2079</v>
      </c>
      <c r="C202" s="118">
        <f>[1]С2.5!$BL$11</f>
        <v>0</v>
      </c>
    </row>
    <row r="203" spans="2:3" hidden="1" x14ac:dyDescent="0.2">
      <c r="B203" s="117">
        <f t="shared" si="0"/>
        <v>2080</v>
      </c>
      <c r="C203" s="118">
        <f>[1]С2.5!$BM$11</f>
        <v>0</v>
      </c>
    </row>
    <row r="204" spans="2:3" hidden="1" x14ac:dyDescent="0.2">
      <c r="B204" s="117">
        <f t="shared" si="0"/>
        <v>2081</v>
      </c>
      <c r="C204" s="118">
        <f>[1]С2.5!$BN$11</f>
        <v>0</v>
      </c>
    </row>
    <row r="205" spans="2:3" hidden="1" x14ac:dyDescent="0.2">
      <c r="B205" s="117">
        <f t="shared" si="0"/>
        <v>2082</v>
      </c>
      <c r="C205" s="118">
        <f>[1]С2.5!$BO$11</f>
        <v>0</v>
      </c>
    </row>
    <row r="206" spans="2:3" hidden="1" x14ac:dyDescent="0.2">
      <c r="B206" s="117">
        <f t="shared" si="0"/>
        <v>2083</v>
      </c>
      <c r="C206" s="118">
        <f>[1]С2.5!$BP$11</f>
        <v>0</v>
      </c>
    </row>
    <row r="207" spans="2:3" hidden="1" x14ac:dyDescent="0.2">
      <c r="B207" s="117">
        <f t="shared" si="0"/>
        <v>2084</v>
      </c>
      <c r="C207" s="118">
        <f>[1]С2.5!$BQ$11</f>
        <v>0</v>
      </c>
    </row>
    <row r="208" spans="2:3" hidden="1" x14ac:dyDescent="0.2">
      <c r="B208" s="117">
        <f t="shared" si="0"/>
        <v>2085</v>
      </c>
      <c r="C208" s="118">
        <f>[1]С2.5!$BR$11</f>
        <v>0</v>
      </c>
    </row>
    <row r="209" spans="2:3" hidden="1" x14ac:dyDescent="0.2">
      <c r="B209" s="117">
        <f t="shared" ref="B209:B223" si="1">B208+1</f>
        <v>2086</v>
      </c>
      <c r="C209" s="118">
        <f>[1]С2.5!$BS$11</f>
        <v>0</v>
      </c>
    </row>
    <row r="210" spans="2:3" hidden="1" x14ac:dyDescent="0.2">
      <c r="B210" s="117">
        <f t="shared" si="1"/>
        <v>2087</v>
      </c>
      <c r="C210" s="118">
        <f>[1]С2.5!$BT$11</f>
        <v>0</v>
      </c>
    </row>
    <row r="211" spans="2:3" hidden="1" x14ac:dyDescent="0.2">
      <c r="B211" s="117">
        <f t="shared" si="1"/>
        <v>2088</v>
      </c>
      <c r="C211" s="118">
        <f>[1]С2.5!$BU$11</f>
        <v>0</v>
      </c>
    </row>
    <row r="212" spans="2:3" hidden="1" x14ac:dyDescent="0.2">
      <c r="B212" s="117">
        <f t="shared" si="1"/>
        <v>2089</v>
      </c>
      <c r="C212" s="118">
        <f>[1]С2.5!$BV$11</f>
        <v>0</v>
      </c>
    </row>
    <row r="213" spans="2:3" hidden="1" x14ac:dyDescent="0.2">
      <c r="B213" s="117">
        <f t="shared" si="1"/>
        <v>2090</v>
      </c>
      <c r="C213" s="118">
        <f>[1]С2.5!$BW$11</f>
        <v>0</v>
      </c>
    </row>
    <row r="214" spans="2:3" hidden="1" x14ac:dyDescent="0.2">
      <c r="B214" s="117">
        <f t="shared" si="1"/>
        <v>2091</v>
      </c>
      <c r="C214" s="118">
        <f>[1]С2.5!$BX$11</f>
        <v>0</v>
      </c>
    </row>
    <row r="215" spans="2:3" hidden="1" x14ac:dyDescent="0.2">
      <c r="B215" s="117">
        <f t="shared" si="1"/>
        <v>2092</v>
      </c>
      <c r="C215" s="118">
        <f>[1]С2.5!$BY$11</f>
        <v>0</v>
      </c>
    </row>
    <row r="216" spans="2:3" hidden="1" x14ac:dyDescent="0.2">
      <c r="B216" s="117">
        <f t="shared" si="1"/>
        <v>2093</v>
      </c>
      <c r="C216" s="118">
        <f>[1]С2.5!$BZ$11</f>
        <v>0</v>
      </c>
    </row>
    <row r="217" spans="2:3" hidden="1" x14ac:dyDescent="0.2">
      <c r="B217" s="117">
        <f t="shared" si="1"/>
        <v>2094</v>
      </c>
      <c r="C217" s="118">
        <f>[1]С2.5!$CA$11</f>
        <v>0</v>
      </c>
    </row>
    <row r="218" spans="2:3" hidden="1" x14ac:dyDescent="0.2">
      <c r="B218" s="117">
        <f t="shared" si="1"/>
        <v>2095</v>
      </c>
      <c r="C218" s="118">
        <f>[1]С2.5!$CB$11</f>
        <v>0</v>
      </c>
    </row>
    <row r="219" spans="2:3" hidden="1" x14ac:dyDescent="0.2">
      <c r="B219" s="117">
        <f t="shared" si="1"/>
        <v>2096</v>
      </c>
      <c r="C219" s="118">
        <f>[1]С2.5!$CC$11</f>
        <v>0</v>
      </c>
    </row>
    <row r="220" spans="2:3" hidden="1" x14ac:dyDescent="0.2">
      <c r="B220" s="117">
        <f t="shared" si="1"/>
        <v>2097</v>
      </c>
      <c r="C220" s="118">
        <f>[1]С2.5!$CD$11</f>
        <v>0</v>
      </c>
    </row>
    <row r="221" spans="2:3" hidden="1" x14ac:dyDescent="0.2">
      <c r="B221" s="117">
        <f t="shared" si="1"/>
        <v>2098</v>
      </c>
      <c r="C221" s="118">
        <f>[1]С2.5!$CE$11</f>
        <v>0</v>
      </c>
    </row>
    <row r="222" spans="2:3" hidden="1" x14ac:dyDescent="0.2">
      <c r="B222" s="117">
        <f t="shared" si="1"/>
        <v>2099</v>
      </c>
      <c r="C222" s="118">
        <f>[1]С2.5!$CF$11</f>
        <v>0</v>
      </c>
    </row>
    <row r="223" spans="2:3" ht="13.5" hidden="1" thickBot="1" x14ac:dyDescent="0.25">
      <c r="B223" s="119">
        <f t="shared" si="1"/>
        <v>2100</v>
      </c>
      <c r="C223" s="120">
        <f>[1]С2.5!$CG$11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5" r:id="rId3" name="Button 1">
              <controlPr defaultSize="0" print="0" autoFill="0" autoPict="0" macro="[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[2]И1!D13</f>
        <v>Субъект Российской Федерации</v>
      </c>
      <c r="C4" s="11" t="str">
        <f>[2]И1!E13</f>
        <v>Новосибирская область</v>
      </c>
    </row>
    <row r="5" spans="1:3" ht="25.5" x14ac:dyDescent="0.2">
      <c r="A5" s="9"/>
      <c r="B5" s="10" t="str">
        <f>[2]И1!D14</f>
        <v>Тип муниципального образования (выберите из списка)</v>
      </c>
      <c r="C5" s="11" t="str">
        <f>[2]И1!E14</f>
        <v xml:space="preserve">село Битки, Сузунский муниципальный район </v>
      </c>
    </row>
    <row r="6" spans="1:3" x14ac:dyDescent="0.2">
      <c r="A6" s="9"/>
      <c r="B6" s="10" t="str">
        <f>IF([2]И1!E15="","",[2]И1!D15)</f>
        <v/>
      </c>
      <c r="C6" s="11" t="str">
        <f>IF([2]И1!E15="","",[2]И1!E15)</f>
        <v/>
      </c>
    </row>
    <row r="7" spans="1:3" x14ac:dyDescent="0.2">
      <c r="A7" s="9"/>
      <c r="B7" s="10" t="str">
        <f>[2]И1!D16</f>
        <v>Код ОКТМО</v>
      </c>
      <c r="C7" s="12" t="str">
        <f>[2]И1!E16</f>
        <v>(50648402101)</v>
      </c>
    </row>
    <row r="8" spans="1:3" x14ac:dyDescent="0.2">
      <c r="A8" s="9"/>
      <c r="B8" s="13" t="str">
        <f>[2]И1!D17</f>
        <v>Система теплоснабжения</v>
      </c>
      <c r="C8" s="14">
        <f>[2]И1!E17</f>
        <v>0</v>
      </c>
    </row>
    <row r="9" spans="1:3" x14ac:dyDescent="0.2">
      <c r="A9" s="9"/>
      <c r="B9" s="10" t="str">
        <f>[2]И1!D8</f>
        <v>Период регулирования (i)-й</v>
      </c>
      <c r="C9" s="15">
        <f>[2]И1!E8</f>
        <v>2023</v>
      </c>
    </row>
    <row r="10" spans="1:3" x14ac:dyDescent="0.2">
      <c r="A10" s="9"/>
      <c r="B10" s="10" t="str">
        <f>[2]И1!D9</f>
        <v>Период регулирования (i-1)-й</v>
      </c>
      <c r="C10" s="15">
        <f>[2]И1!E9</f>
        <v>2022</v>
      </c>
    </row>
    <row r="11" spans="1:3" x14ac:dyDescent="0.2">
      <c r="A11" s="9"/>
      <c r="B11" s="10" t="str">
        <f>[2]И1!D10</f>
        <v>Период регулирования (i-2)-й</v>
      </c>
      <c r="C11" s="15">
        <f>[2]И1!E10</f>
        <v>2021</v>
      </c>
    </row>
    <row r="12" spans="1:3" x14ac:dyDescent="0.2">
      <c r="A12" s="9"/>
      <c r="B12" s="10" t="str">
        <f>[2]И1!D11</f>
        <v>Базовый год (б)</v>
      </c>
      <c r="C12" s="15">
        <f>[2]И1!E11</f>
        <v>2019</v>
      </c>
    </row>
    <row r="13" spans="1:3" ht="38.25" x14ac:dyDescent="0.2">
      <c r="A13" s="9"/>
      <c r="B13" s="10" t="str">
        <f>[2]И1!D18</f>
        <v>Вид топлива, использование которого преобладает в системе теплоснабжения</v>
      </c>
      <c r="C13" s="16" t="str">
        <f>[2]С1.1!E13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4007.8738132495751</v>
      </c>
    </row>
    <row r="18" spans="1:3" ht="42.75" x14ac:dyDescent="0.2">
      <c r="A18" s="24" t="s">
        <v>8</v>
      </c>
      <c r="B18" s="27" t="s">
        <v>9</v>
      </c>
      <c r="C18" s="28">
        <f>[2]С1!F12</f>
        <v>904.61553756014928</v>
      </c>
    </row>
    <row r="19" spans="1:3" ht="42.75" x14ac:dyDescent="0.2">
      <c r="A19" s="24" t="s">
        <v>10</v>
      </c>
      <c r="B19" s="27" t="s">
        <v>11</v>
      </c>
      <c r="C19" s="28">
        <f>[2]С2!F12</f>
        <v>2108.7102251987935</v>
      </c>
    </row>
    <row r="20" spans="1:3" ht="30" x14ac:dyDescent="0.2">
      <c r="A20" s="24" t="s">
        <v>12</v>
      </c>
      <c r="B20" s="27" t="s">
        <v>13</v>
      </c>
      <c r="C20" s="28">
        <f>[2]С3!F12</f>
        <v>504.54115631660852</v>
      </c>
    </row>
    <row r="21" spans="1:3" ht="42.75" x14ac:dyDescent="0.2">
      <c r="A21" s="24" t="s">
        <v>14</v>
      </c>
      <c r="B21" s="27" t="s">
        <v>15</v>
      </c>
      <c r="C21" s="28">
        <f>[2]С4!F12</f>
        <v>411.4211331299141</v>
      </c>
    </row>
    <row r="22" spans="1:3" ht="30" x14ac:dyDescent="0.2">
      <c r="A22" s="24" t="s">
        <v>16</v>
      </c>
      <c r="B22" s="27" t="s">
        <v>17</v>
      </c>
      <c r="C22" s="28">
        <f>[2]С5!F12</f>
        <v>78.585761044109319</v>
      </c>
    </row>
    <row r="23" spans="1:3" ht="43.5" thickBot="1" x14ac:dyDescent="0.25">
      <c r="A23" s="29" t="s">
        <v>18</v>
      </c>
      <c r="B23" s="30" t="s">
        <v>19</v>
      </c>
      <c r="C23" s="31" t="str">
        <f>[2]С6!F12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[2]С1.1!E16</f>
        <v>5100</v>
      </c>
    </row>
    <row r="29" spans="1:3" ht="42.75" x14ac:dyDescent="0.2">
      <c r="A29" s="24" t="s">
        <v>10</v>
      </c>
      <c r="B29" s="37" t="s">
        <v>22</v>
      </c>
      <c r="C29" s="38">
        <f>[2]С1.1!E27</f>
        <v>2432.36</v>
      </c>
    </row>
    <row r="30" spans="1:3" ht="17.25" x14ac:dyDescent="0.2">
      <c r="A30" s="24" t="s">
        <v>12</v>
      </c>
      <c r="B30" s="37" t="s">
        <v>23</v>
      </c>
      <c r="C30" s="39">
        <f>[2]С1.1!E19</f>
        <v>0.59499999999999997</v>
      </c>
    </row>
    <row r="31" spans="1:3" ht="17.25" x14ac:dyDescent="0.2">
      <c r="A31" s="24" t="s">
        <v>14</v>
      </c>
      <c r="B31" s="37" t="s">
        <v>24</v>
      </c>
      <c r="C31" s="39">
        <f>[2]С1.1!E20</f>
        <v>-0.113</v>
      </c>
    </row>
    <row r="32" spans="1:3" ht="30" x14ac:dyDescent="0.2">
      <c r="A32" s="24" t="s">
        <v>16</v>
      </c>
      <c r="B32" s="40" t="s">
        <v>25</v>
      </c>
      <c r="C32" s="41">
        <f>[2]С1!F13</f>
        <v>176.4</v>
      </c>
    </row>
    <row r="33" spans="1:3" x14ac:dyDescent="0.2">
      <c r="A33" s="24" t="s">
        <v>18</v>
      </c>
      <c r="B33" s="40" t="s">
        <v>26</v>
      </c>
      <c r="C33" s="42">
        <f>[2]С1!F16</f>
        <v>7000</v>
      </c>
    </row>
    <row r="34" spans="1:3" ht="14.25" x14ac:dyDescent="0.2">
      <c r="A34" s="24" t="s">
        <v>27</v>
      </c>
      <c r="B34" s="43" t="s">
        <v>28</v>
      </c>
      <c r="C34" s="44">
        <f>[2]С1!F17</f>
        <v>0.72857142857142854</v>
      </c>
    </row>
    <row r="35" spans="1:3" ht="15.75" x14ac:dyDescent="0.2">
      <c r="A35" s="45" t="s">
        <v>29</v>
      </c>
      <c r="B35" s="46" t="s">
        <v>30</v>
      </c>
      <c r="C35" s="44">
        <f>[2]С1!F20</f>
        <v>21.588411179999994</v>
      </c>
    </row>
    <row r="36" spans="1:3" ht="15.75" x14ac:dyDescent="0.2">
      <c r="A36" s="45" t="s">
        <v>31</v>
      </c>
      <c r="B36" s="47" t="s">
        <v>32</v>
      </c>
      <c r="C36" s="44">
        <f>[2]С1!F21</f>
        <v>20.818139999999996</v>
      </c>
    </row>
    <row r="37" spans="1:3" ht="14.25" x14ac:dyDescent="0.2">
      <c r="A37" s="45" t="s">
        <v>33</v>
      </c>
      <c r="B37" s="48" t="s">
        <v>34</v>
      </c>
      <c r="C37" s="44">
        <f>[2]С1!F22</f>
        <v>1.0369999999999999</v>
      </c>
    </row>
    <row r="38" spans="1:3" ht="53.25" thickBot="1" x14ac:dyDescent="0.25">
      <c r="A38" s="29" t="s">
        <v>35</v>
      </c>
      <c r="B38" s="49" t="s">
        <v>36</v>
      </c>
      <c r="C38" s="50">
        <f>[2]С1!F23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[2]С2.1!E12</f>
        <v>V</v>
      </c>
    </row>
    <row r="42" spans="1:3" ht="25.5" x14ac:dyDescent="0.2">
      <c r="A42" s="24" t="s">
        <v>41</v>
      </c>
      <c r="B42" s="37" t="s">
        <v>42</v>
      </c>
      <c r="C42" s="56" t="str">
        <f>[2]С2.1!E13</f>
        <v>6 и менее баллов</v>
      </c>
    </row>
    <row r="43" spans="1:3" ht="25.5" x14ac:dyDescent="0.2">
      <c r="A43" s="24" t="s">
        <v>43</v>
      </c>
      <c r="B43" s="37" t="s">
        <v>44</v>
      </c>
      <c r="C43" s="56" t="str">
        <f>[2]С2.1!E14</f>
        <v>от 200 до 500</v>
      </c>
    </row>
    <row r="44" spans="1:3" ht="25.5" x14ac:dyDescent="0.2">
      <c r="A44" s="24" t="s">
        <v>45</v>
      </c>
      <c r="B44" s="37" t="s">
        <v>46</v>
      </c>
      <c r="C44" s="57" t="str">
        <f>[2]С2.1!E15</f>
        <v>нет</v>
      </c>
    </row>
    <row r="45" spans="1:3" ht="30" x14ac:dyDescent="0.2">
      <c r="A45" s="24" t="s">
        <v>47</v>
      </c>
      <c r="B45" s="37" t="s">
        <v>48</v>
      </c>
      <c r="C45" s="38">
        <f>[2]С2!F18</f>
        <v>32402.627334033532</v>
      </c>
    </row>
    <row r="46" spans="1:3" ht="30" x14ac:dyDescent="0.2">
      <c r="A46" s="24" t="s">
        <v>49</v>
      </c>
      <c r="B46" s="58" t="s">
        <v>50</v>
      </c>
      <c r="C46" s="38">
        <f>IF([2]С2!F19&gt;0,[2]С2!F19,[2]С2!F20)</f>
        <v>23441.524932855718</v>
      </c>
    </row>
    <row r="47" spans="1:3" ht="25.5" x14ac:dyDescent="0.2">
      <c r="A47" s="24" t="s">
        <v>51</v>
      </c>
      <c r="B47" s="59" t="s">
        <v>52</v>
      </c>
      <c r="C47" s="38">
        <f>[2]С2.1!E19</f>
        <v>-37</v>
      </c>
    </row>
    <row r="48" spans="1:3" ht="25.5" x14ac:dyDescent="0.2">
      <c r="A48" s="24" t="s">
        <v>53</v>
      </c>
      <c r="B48" s="59" t="s">
        <v>54</v>
      </c>
      <c r="C48" s="38" t="str">
        <f>[2]С2.1!E22</f>
        <v>нет</v>
      </c>
    </row>
    <row r="49" spans="1:3" ht="38.25" x14ac:dyDescent="0.2">
      <c r="A49" s="24" t="s">
        <v>55</v>
      </c>
      <c r="B49" s="60" t="s">
        <v>56</v>
      </c>
      <c r="C49" s="38">
        <f>[2]С2.2!E10</f>
        <v>1287</v>
      </c>
    </row>
    <row r="50" spans="1:3" ht="25.5" x14ac:dyDescent="0.2">
      <c r="A50" s="24" t="s">
        <v>57</v>
      </c>
      <c r="B50" s="61" t="s">
        <v>58</v>
      </c>
      <c r="C50" s="38">
        <f>[2]С2.2!E12</f>
        <v>5.97</v>
      </c>
    </row>
    <row r="51" spans="1:3" ht="52.5" x14ac:dyDescent="0.2">
      <c r="A51" s="24" t="s">
        <v>59</v>
      </c>
      <c r="B51" s="62" t="s">
        <v>60</v>
      </c>
      <c r="C51" s="38">
        <f>[2]С2.2!E13</f>
        <v>1</v>
      </c>
    </row>
    <row r="52" spans="1:3" ht="27.75" x14ac:dyDescent="0.2">
      <c r="A52" s="24" t="s">
        <v>61</v>
      </c>
      <c r="B52" s="61" t="s">
        <v>62</v>
      </c>
      <c r="C52" s="38">
        <f>[2]С2.2!E14</f>
        <v>12104</v>
      </c>
    </row>
    <row r="53" spans="1:3" ht="25.5" x14ac:dyDescent="0.2">
      <c r="A53" s="24" t="s">
        <v>63</v>
      </c>
      <c r="B53" s="62" t="s">
        <v>64</v>
      </c>
      <c r="C53" s="39">
        <f>[2]С2.2!E15</f>
        <v>4.8000000000000001E-2</v>
      </c>
    </row>
    <row r="54" spans="1:3" x14ac:dyDescent="0.2">
      <c r="A54" s="24" t="s">
        <v>65</v>
      </c>
      <c r="B54" s="62" t="s">
        <v>66</v>
      </c>
      <c r="C54" s="38">
        <f>[2]С2.2!E16</f>
        <v>1</v>
      </c>
    </row>
    <row r="55" spans="1:3" ht="15.75" x14ac:dyDescent="0.2">
      <c r="A55" s="24" t="s">
        <v>67</v>
      </c>
      <c r="B55" s="63" t="s">
        <v>68</v>
      </c>
      <c r="C55" s="38">
        <f>[2]С2!F21</f>
        <v>1</v>
      </c>
    </row>
    <row r="56" spans="1:3" ht="30" x14ac:dyDescent="0.2">
      <c r="A56" s="64" t="s">
        <v>69</v>
      </c>
      <c r="B56" s="37" t="s">
        <v>70</v>
      </c>
      <c r="C56" s="38">
        <f>[2]С2!F13</f>
        <v>169640.22915965237</v>
      </c>
    </row>
    <row r="57" spans="1:3" ht="30" x14ac:dyDescent="0.2">
      <c r="A57" s="64" t="s">
        <v>71</v>
      </c>
      <c r="B57" s="63" t="s">
        <v>72</v>
      </c>
      <c r="C57" s="38">
        <f>[2]С2!F14</f>
        <v>113455</v>
      </c>
    </row>
    <row r="58" spans="1:3" ht="15.75" x14ac:dyDescent="0.2">
      <c r="A58" s="64" t="s">
        <v>73</v>
      </c>
      <c r="B58" s="65" t="s">
        <v>74</v>
      </c>
      <c r="C58" s="44">
        <f>[2]С2!F15</f>
        <v>1.071</v>
      </c>
    </row>
    <row r="59" spans="1:3" ht="15.75" x14ac:dyDescent="0.2">
      <c r="A59" s="64" t="s">
        <v>75</v>
      </c>
      <c r="B59" s="65" t="s">
        <v>76</v>
      </c>
      <c r="C59" s="44">
        <f>[2]С2!F16</f>
        <v>1</v>
      </c>
    </row>
    <row r="60" spans="1:3" ht="17.25" x14ac:dyDescent="0.2">
      <c r="A60" s="64" t="s">
        <v>77</v>
      </c>
      <c r="B60" s="63" t="s">
        <v>78</v>
      </c>
      <c r="C60" s="38">
        <f>[2]С2!F17</f>
        <v>1.01</v>
      </c>
    </row>
    <row r="61" spans="1:3" s="68" customFormat="1" ht="14.25" x14ac:dyDescent="0.2">
      <c r="A61" s="64" t="s">
        <v>79</v>
      </c>
      <c r="B61" s="66" t="s">
        <v>80</v>
      </c>
      <c r="C61" s="67">
        <f>[2]С2!F33</f>
        <v>10</v>
      </c>
    </row>
    <row r="62" spans="1:3" ht="30" x14ac:dyDescent="0.2">
      <c r="A62" s="64" t="s">
        <v>81</v>
      </c>
      <c r="B62" s="69" t="s">
        <v>82</v>
      </c>
      <c r="C62" s="38">
        <f>[2]С2!F26</f>
        <v>1424.4887832283189</v>
      </c>
    </row>
    <row r="63" spans="1:3" ht="17.25" x14ac:dyDescent="0.2">
      <c r="A63" s="64" t="s">
        <v>83</v>
      </c>
      <c r="B63" s="58" t="s">
        <v>84</v>
      </c>
      <c r="C63" s="38">
        <f>[2]С2!F27</f>
        <v>0.24536656199999998</v>
      </c>
    </row>
    <row r="64" spans="1:3" ht="17.25" x14ac:dyDescent="0.2">
      <c r="A64" s="64" t="s">
        <v>85</v>
      </c>
      <c r="B64" s="63" t="s">
        <v>86</v>
      </c>
      <c r="C64" s="67">
        <f>[2]С2!F28</f>
        <v>4200</v>
      </c>
    </row>
    <row r="65" spans="1:3" ht="42.75" x14ac:dyDescent="0.2">
      <c r="A65" s="64" t="s">
        <v>87</v>
      </c>
      <c r="B65" s="37" t="s">
        <v>88</v>
      </c>
      <c r="C65" s="38">
        <f>[2]С2!F22</f>
        <v>35717.748653137714</v>
      </c>
    </row>
    <row r="66" spans="1:3" ht="30" x14ac:dyDescent="0.2">
      <c r="A66" s="64" t="s">
        <v>89</v>
      </c>
      <c r="B66" s="65" t="s">
        <v>90</v>
      </c>
      <c r="C66" s="38">
        <f>[2]С2!F23</f>
        <v>1990</v>
      </c>
    </row>
    <row r="67" spans="1:3" ht="30" x14ac:dyDescent="0.2">
      <c r="A67" s="64" t="s">
        <v>91</v>
      </c>
      <c r="B67" s="58" t="s">
        <v>92</v>
      </c>
      <c r="C67" s="38">
        <f>[2]С2.1!E27</f>
        <v>14307.876789999998</v>
      </c>
    </row>
    <row r="68" spans="1:3" ht="38.25" x14ac:dyDescent="0.2">
      <c r="A68" s="64" t="s">
        <v>93</v>
      </c>
      <c r="B68" s="70" t="s">
        <v>94</v>
      </c>
      <c r="C68" s="57">
        <f>[2]С2.3!E21</f>
        <v>0</v>
      </c>
    </row>
    <row r="69" spans="1:3" ht="25.5" x14ac:dyDescent="0.2">
      <c r="A69" s="64" t="s">
        <v>95</v>
      </c>
      <c r="B69" s="71" t="s">
        <v>96</v>
      </c>
      <c r="C69" s="72">
        <f>[2]С2.3!E11</f>
        <v>9.89</v>
      </c>
    </row>
    <row r="70" spans="1:3" ht="25.5" x14ac:dyDescent="0.2">
      <c r="A70" s="64" t="s">
        <v>97</v>
      </c>
      <c r="B70" s="71" t="s">
        <v>98</v>
      </c>
      <c r="C70" s="67">
        <f>[2]С2.3!E13</f>
        <v>300</v>
      </c>
    </row>
    <row r="71" spans="1:3" ht="25.5" x14ac:dyDescent="0.2">
      <c r="A71" s="64" t="s">
        <v>99</v>
      </c>
      <c r="B71" s="70" t="s">
        <v>100</v>
      </c>
      <c r="C71" s="73">
        <f>IF([2]С2.3!E22&gt;0,[2]С2.3!E22,[2]С2.3!E14)</f>
        <v>61211</v>
      </c>
    </row>
    <row r="72" spans="1:3" ht="38.25" x14ac:dyDescent="0.2">
      <c r="A72" s="64" t="s">
        <v>101</v>
      </c>
      <c r="B72" s="70" t="s">
        <v>102</v>
      </c>
      <c r="C72" s="73">
        <f>IF([2]С2.3!E23&gt;0,[2]С2.3!E23,[2]С2.3!E15)</f>
        <v>45675</v>
      </c>
    </row>
    <row r="73" spans="1:3" ht="30" x14ac:dyDescent="0.2">
      <c r="A73" s="64" t="s">
        <v>103</v>
      </c>
      <c r="B73" s="58" t="s">
        <v>104</v>
      </c>
      <c r="C73" s="38">
        <f>[2]С2.1!E28</f>
        <v>9541.9567200000001</v>
      </c>
    </row>
    <row r="74" spans="1:3" ht="38.25" x14ac:dyDescent="0.2">
      <c r="A74" s="64" t="s">
        <v>105</v>
      </c>
      <c r="B74" s="70" t="s">
        <v>106</v>
      </c>
      <c r="C74" s="57">
        <f>[2]С2.3!E25</f>
        <v>0</v>
      </c>
    </row>
    <row r="75" spans="1:3" ht="25.5" x14ac:dyDescent="0.2">
      <c r="A75" s="64" t="s">
        <v>107</v>
      </c>
      <c r="B75" s="71" t="s">
        <v>108</v>
      </c>
      <c r="C75" s="72">
        <f>[2]С2.3!E12</f>
        <v>0.56000000000000005</v>
      </c>
    </row>
    <row r="76" spans="1:3" ht="25.5" x14ac:dyDescent="0.2">
      <c r="A76" s="64" t="s">
        <v>109</v>
      </c>
      <c r="B76" s="71" t="s">
        <v>98</v>
      </c>
      <c r="C76" s="67">
        <f>[2]С2.3!E13</f>
        <v>300</v>
      </c>
    </row>
    <row r="77" spans="1:3" ht="25.5" x14ac:dyDescent="0.2">
      <c r="A77" s="64" t="s">
        <v>110</v>
      </c>
      <c r="B77" s="74" t="s">
        <v>111</v>
      </c>
      <c r="C77" s="73">
        <f>IF([2]С2.3!E26&gt;0,[2]С2.3!E26,[2]С2.3!E16)</f>
        <v>65637</v>
      </c>
    </row>
    <row r="78" spans="1:3" ht="38.25" x14ac:dyDescent="0.2">
      <c r="A78" s="64" t="s">
        <v>112</v>
      </c>
      <c r="B78" s="74" t="s">
        <v>113</v>
      </c>
      <c r="C78" s="73">
        <f>IF([2]С2.3!E27&gt;0,[2]С2.3!E27,[2]С2.3!E17)</f>
        <v>31684</v>
      </c>
    </row>
    <row r="79" spans="1:3" ht="17.25" x14ac:dyDescent="0.2">
      <c r="A79" s="64" t="s">
        <v>114</v>
      </c>
      <c r="B79" s="37" t="s">
        <v>115</v>
      </c>
      <c r="C79" s="39">
        <f>[2]С2!F29</f>
        <v>0.128978033685065</v>
      </c>
    </row>
    <row r="80" spans="1:3" ht="30" x14ac:dyDescent="0.2">
      <c r="A80" s="64" t="s">
        <v>116</v>
      </c>
      <c r="B80" s="58" t="s">
        <v>117</v>
      </c>
      <c r="C80" s="75">
        <f>[2]С2!F30</f>
        <v>0.11668498168498169</v>
      </c>
    </row>
    <row r="81" spans="1:3" ht="17.25" x14ac:dyDescent="0.2">
      <c r="A81" s="64" t="s">
        <v>118</v>
      </c>
      <c r="B81" s="76" t="s">
        <v>119</v>
      </c>
      <c r="C81" s="39">
        <f>[2]С2!F31</f>
        <v>0.13880000000000001</v>
      </c>
    </row>
    <row r="82" spans="1:3" s="68" customFormat="1" ht="18" thickBot="1" x14ac:dyDescent="0.25">
      <c r="A82" s="77" t="s">
        <v>120</v>
      </c>
      <c r="B82" s="78" t="s">
        <v>121</v>
      </c>
      <c r="C82" s="79">
        <f>[2]С2!F32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[2]С3!F14</f>
        <v>7012.1794194579406</v>
      </c>
    </row>
    <row r="86" spans="1:3" s="68" customFormat="1" ht="42.75" x14ac:dyDescent="0.2">
      <c r="A86" s="82" t="s">
        <v>126</v>
      </c>
      <c r="B86" s="58" t="s">
        <v>127</v>
      </c>
      <c r="C86" s="83">
        <f>[2]С3!F15</f>
        <v>0.2</v>
      </c>
    </row>
    <row r="87" spans="1:3" s="68" customFormat="1" ht="14.25" x14ac:dyDescent="0.2">
      <c r="A87" s="82" t="s">
        <v>128</v>
      </c>
      <c r="B87" s="84" t="s">
        <v>129</v>
      </c>
      <c r="C87" s="67">
        <f>[2]С3!F18</f>
        <v>15</v>
      </c>
    </row>
    <row r="88" spans="1:3" s="68" customFormat="1" ht="17.25" x14ac:dyDescent="0.2">
      <c r="A88" s="82" t="s">
        <v>130</v>
      </c>
      <c r="B88" s="37" t="s">
        <v>131</v>
      </c>
      <c r="C88" s="38">
        <f>[2]С3!F19</f>
        <v>3487.1555421534131</v>
      </c>
    </row>
    <row r="89" spans="1:3" s="68" customFormat="1" ht="55.5" x14ac:dyDescent="0.2">
      <c r="A89" s="82" t="s">
        <v>132</v>
      </c>
      <c r="B89" s="58" t="s">
        <v>133</v>
      </c>
      <c r="C89" s="85">
        <f>[2]С3!F20</f>
        <v>2.1999999999999999E-2</v>
      </c>
    </row>
    <row r="90" spans="1:3" s="68" customFormat="1" ht="14.25" x14ac:dyDescent="0.2">
      <c r="A90" s="82" t="s">
        <v>134</v>
      </c>
      <c r="B90" s="63" t="s">
        <v>80</v>
      </c>
      <c r="C90" s="67">
        <f>[2]С3!F21</f>
        <v>10</v>
      </c>
    </row>
    <row r="91" spans="1:3" s="68" customFormat="1" ht="17.25" x14ac:dyDescent="0.2">
      <c r="A91" s="82" t="s">
        <v>135</v>
      </c>
      <c r="B91" s="37" t="s">
        <v>136</v>
      </c>
      <c r="C91" s="38">
        <f>[2]С3!F22</f>
        <v>4.2734663496849565</v>
      </c>
    </row>
    <row r="92" spans="1:3" s="68" customFormat="1" ht="55.5" x14ac:dyDescent="0.2">
      <c r="A92" s="82" t="s">
        <v>137</v>
      </c>
      <c r="B92" s="58" t="s">
        <v>138</v>
      </c>
      <c r="C92" s="85">
        <f>[2]С3!F23</f>
        <v>3.0000000000000001E-3</v>
      </c>
    </row>
    <row r="93" spans="1:3" s="68" customFormat="1" ht="27.75" thickBot="1" x14ac:dyDescent="0.25">
      <c r="A93" s="86" t="s">
        <v>139</v>
      </c>
      <c r="B93" s="87" t="s">
        <v>140</v>
      </c>
      <c r="C93" s="88">
        <f>[2]С3!F24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[2]С4!F16</f>
        <v>1652.5</v>
      </c>
    </row>
    <row r="97" spans="1:3" ht="30" x14ac:dyDescent="0.2">
      <c r="A97" s="64" t="s">
        <v>145</v>
      </c>
      <c r="B97" s="63" t="s">
        <v>146</v>
      </c>
      <c r="C97" s="38">
        <f>[2]С4!F17</f>
        <v>73547</v>
      </c>
    </row>
    <row r="98" spans="1:3" ht="17.25" x14ac:dyDescent="0.2">
      <c r="A98" s="64" t="s">
        <v>147</v>
      </c>
      <c r="B98" s="63" t="s">
        <v>148</v>
      </c>
      <c r="C98" s="44">
        <f>[2]С4!F18</f>
        <v>0.02</v>
      </c>
    </row>
    <row r="99" spans="1:3" ht="30" x14ac:dyDescent="0.2">
      <c r="A99" s="64" t="s">
        <v>149</v>
      </c>
      <c r="B99" s="63" t="s">
        <v>150</v>
      </c>
      <c r="C99" s="38">
        <f>[2]С4!F19</f>
        <v>12104</v>
      </c>
    </row>
    <row r="100" spans="1:3" ht="31.5" x14ac:dyDescent="0.2">
      <c r="A100" s="64" t="s">
        <v>151</v>
      </c>
      <c r="B100" s="63" t="s">
        <v>152</v>
      </c>
      <c r="C100" s="44">
        <f>[2]С4!F20</f>
        <v>1.4999999999999999E-2</v>
      </c>
    </row>
    <row r="101" spans="1:3" ht="30" x14ac:dyDescent="0.2">
      <c r="A101" s="64" t="s">
        <v>153</v>
      </c>
      <c r="B101" s="37" t="s">
        <v>154</v>
      </c>
      <c r="C101" s="38">
        <f>[2]С4!F21</f>
        <v>1933.1949342509995</v>
      </c>
    </row>
    <row r="102" spans="1:3" ht="24" customHeight="1" x14ac:dyDescent="0.2">
      <c r="A102" s="64" t="s">
        <v>155</v>
      </c>
      <c r="B102" s="58" t="s">
        <v>156</v>
      </c>
      <c r="C102" s="90">
        <f>IF([2]С4.2!F8="да",[2]С4.2!D21,[2]С4.2!D15)</f>
        <v>0</v>
      </c>
    </row>
    <row r="103" spans="1:3" ht="68.25" x14ac:dyDescent="0.2">
      <c r="A103" s="64" t="s">
        <v>157</v>
      </c>
      <c r="B103" s="58" t="s">
        <v>158</v>
      </c>
      <c r="C103" s="38">
        <f>[2]С4!F22</f>
        <v>3.6112641666666665</v>
      </c>
    </row>
    <row r="104" spans="1:3" ht="30" x14ac:dyDescent="0.2">
      <c r="A104" s="64" t="s">
        <v>159</v>
      </c>
      <c r="B104" s="63" t="s">
        <v>160</v>
      </c>
      <c r="C104" s="38">
        <f>[2]С4!F23</f>
        <v>180</v>
      </c>
    </row>
    <row r="105" spans="1:3" ht="14.25" x14ac:dyDescent="0.2">
      <c r="A105" s="64" t="s">
        <v>161</v>
      </c>
      <c r="B105" s="58" t="s">
        <v>162</v>
      </c>
      <c r="C105" s="38">
        <f>[2]С4!F24</f>
        <v>8497.1999999999989</v>
      </c>
    </row>
    <row r="106" spans="1:3" ht="14.25" x14ac:dyDescent="0.2">
      <c r="A106" s="64" t="s">
        <v>163</v>
      </c>
      <c r="B106" s="63" t="s">
        <v>164</v>
      </c>
      <c r="C106" s="44">
        <f>[2]С4!F25</f>
        <v>0.35</v>
      </c>
    </row>
    <row r="107" spans="1:3" ht="17.25" x14ac:dyDescent="0.2">
      <c r="A107" s="64" t="s">
        <v>165</v>
      </c>
      <c r="B107" s="37" t="s">
        <v>166</v>
      </c>
      <c r="C107" s="38">
        <f>[2]С4!F26</f>
        <v>78.596730000000008</v>
      </c>
    </row>
    <row r="108" spans="1:3" ht="25.5" x14ac:dyDescent="0.2">
      <c r="A108" s="64" t="s">
        <v>167</v>
      </c>
      <c r="B108" s="58" t="s">
        <v>94</v>
      </c>
      <c r="C108" s="90">
        <f>[2]С4.3!E16</f>
        <v>0</v>
      </c>
    </row>
    <row r="109" spans="1:3" ht="25.5" x14ac:dyDescent="0.2">
      <c r="A109" s="64" t="s">
        <v>168</v>
      </c>
      <c r="B109" s="58" t="s">
        <v>169</v>
      </c>
      <c r="C109" s="38">
        <f>[2]С4.3!E17</f>
        <v>18.350000000000001</v>
      </c>
    </row>
    <row r="110" spans="1:3" ht="38.25" x14ac:dyDescent="0.2">
      <c r="A110" s="64" t="s">
        <v>170</v>
      </c>
      <c r="B110" s="58" t="s">
        <v>106</v>
      </c>
      <c r="C110" s="90">
        <f>[2]С4.3!E18</f>
        <v>0</v>
      </c>
    </row>
    <row r="111" spans="1:3" x14ac:dyDescent="0.2">
      <c r="A111" s="64" t="s">
        <v>171</v>
      </c>
      <c r="B111" s="58" t="s">
        <v>172</v>
      </c>
      <c r="C111" s="38">
        <f>[2]С4.3!E19</f>
        <v>69.819999999999993</v>
      </c>
    </row>
    <row r="112" spans="1:3" x14ac:dyDescent="0.2">
      <c r="A112" s="64" t="s">
        <v>173</v>
      </c>
      <c r="B112" s="63" t="s">
        <v>174</v>
      </c>
      <c r="C112" s="38">
        <f>[2]С4.3!E11</f>
        <v>1871</v>
      </c>
    </row>
    <row r="113" spans="1:3" x14ac:dyDescent="0.2">
      <c r="A113" s="64" t="s">
        <v>175</v>
      </c>
      <c r="B113" s="63" t="s">
        <v>176</v>
      </c>
      <c r="C113" s="57">
        <f>[2]С4.3!E12</f>
        <v>1636</v>
      </c>
    </row>
    <row r="114" spans="1:3" x14ac:dyDescent="0.2">
      <c r="A114" s="64" t="s">
        <v>177</v>
      </c>
      <c r="B114" s="63" t="s">
        <v>178</v>
      </c>
      <c r="C114" s="57">
        <f>[2]С4.3!E13</f>
        <v>204</v>
      </c>
    </row>
    <row r="115" spans="1:3" ht="30" x14ac:dyDescent="0.2">
      <c r="A115" s="64" t="s">
        <v>179</v>
      </c>
      <c r="B115" s="37" t="s">
        <v>180</v>
      </c>
      <c r="C115" s="38">
        <f>[2]С4!F27</f>
        <v>1047.1575926659227</v>
      </c>
    </row>
    <row r="116" spans="1:3" ht="25.5" x14ac:dyDescent="0.2">
      <c r="A116" s="64" t="s">
        <v>181</v>
      </c>
      <c r="B116" s="58" t="s">
        <v>182</v>
      </c>
      <c r="C116" s="38">
        <f>[2]С4!F28</f>
        <v>804.26850435170718</v>
      </c>
    </row>
    <row r="117" spans="1:3" ht="42.75" x14ac:dyDescent="0.2">
      <c r="A117" s="64" t="s">
        <v>183</v>
      </c>
      <c r="B117" s="58" t="s">
        <v>184</v>
      </c>
      <c r="C117" s="38">
        <f>[2]С4!F29</f>
        <v>242.8890883142156</v>
      </c>
    </row>
    <row r="118" spans="1:3" ht="30" x14ac:dyDescent="0.2">
      <c r="A118" s="64" t="s">
        <v>185</v>
      </c>
      <c r="B118" s="43" t="s">
        <v>186</v>
      </c>
      <c r="C118" s="38">
        <f>[2]С4!F30</f>
        <v>2052.5055418178358</v>
      </c>
    </row>
    <row r="119" spans="1:3" ht="42.75" x14ac:dyDescent="0.2">
      <c r="A119" s="64" t="s">
        <v>187</v>
      </c>
      <c r="B119" s="91" t="s">
        <v>188</v>
      </c>
      <c r="C119" s="38">
        <f>[2]С4!F33</f>
        <v>1335.309584497171</v>
      </c>
    </row>
    <row r="120" spans="1:3" ht="30" x14ac:dyDescent="0.2">
      <c r="A120" s="64" t="s">
        <v>189</v>
      </c>
      <c r="B120" s="92" t="s">
        <v>190</v>
      </c>
      <c r="C120" s="38">
        <f>[2]С4!F35</f>
        <v>17.040680999999999</v>
      </c>
    </row>
    <row r="121" spans="1:3" ht="14.25" x14ac:dyDescent="0.2">
      <c r="A121" s="64" t="s">
        <v>191</v>
      </c>
      <c r="B121" s="61" t="s">
        <v>192</v>
      </c>
      <c r="C121" s="38">
        <f>[2]С4!F36</f>
        <v>14319.9</v>
      </c>
    </row>
    <row r="122" spans="1:3" ht="28.5" thickBot="1" x14ac:dyDescent="0.25">
      <c r="A122" s="77" t="s">
        <v>193</v>
      </c>
      <c r="B122" s="93" t="s">
        <v>194</v>
      </c>
      <c r="C122" s="88">
        <f>[2]С4!F37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[2]С5!F17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[2]С2!F37</f>
        <v>20.818139999999996</v>
      </c>
    </row>
    <row r="136" spans="1:4" ht="14.25" x14ac:dyDescent="0.2">
      <c r="A136" s="64" t="s">
        <v>216</v>
      </c>
      <c r="B136" s="107" t="s">
        <v>217</v>
      </c>
      <c r="C136" s="38">
        <f>[2]С2!F38</f>
        <v>7</v>
      </c>
    </row>
    <row r="137" spans="1:4" ht="17.25" x14ac:dyDescent="0.2">
      <c r="A137" s="64" t="s">
        <v>218</v>
      </c>
      <c r="B137" s="107" t="s">
        <v>219</v>
      </c>
      <c r="C137" s="38">
        <f>[2]С2!F40</f>
        <v>0.97</v>
      </c>
    </row>
    <row r="138" spans="1:4" ht="15" thickBot="1" x14ac:dyDescent="0.25">
      <c r="A138" s="77" t="s">
        <v>220</v>
      </c>
      <c r="B138" s="108" t="s">
        <v>221</v>
      </c>
      <c r="C138" s="50">
        <f>[2]С2!F42</f>
        <v>0.35</v>
      </c>
    </row>
    <row r="139" spans="1:4" s="94" customFormat="1" ht="13.5" thickBot="1" x14ac:dyDescent="0.25">
      <c r="A139" s="51"/>
      <c r="B139" s="80"/>
      <c r="C139" s="16"/>
    </row>
    <row r="140" spans="1:4" ht="30" x14ac:dyDescent="0.2">
      <c r="A140" s="89" t="s">
        <v>222</v>
      </c>
      <c r="B140" s="109" t="s">
        <v>223</v>
      </c>
      <c r="C140" s="110">
        <f>[2]С2!F35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[2]С2.5!$E$11</f>
        <v>-2.9000000000000026E-2</v>
      </c>
      <c r="D143" s="94"/>
    </row>
    <row r="144" spans="1:4" x14ac:dyDescent="0.2">
      <c r="A144" s="112"/>
      <c r="B144" s="117">
        <f>B143+1</f>
        <v>2021</v>
      </c>
      <c r="C144" s="118">
        <f>[2]С2.5!$F$11</f>
        <v>0.245</v>
      </c>
      <c r="D144" s="94"/>
    </row>
    <row r="145" spans="1:4" x14ac:dyDescent="0.2">
      <c r="A145" s="112"/>
      <c r="B145" s="117">
        <f t="shared" ref="B145:B208" si="0">B144+1</f>
        <v>2022</v>
      </c>
      <c r="C145" s="118">
        <f>[2]С2.5!$G$11</f>
        <v>0.121</v>
      </c>
      <c r="D145" s="94"/>
    </row>
    <row r="146" spans="1:4" ht="13.5" thickBot="1" x14ac:dyDescent="0.25">
      <c r="A146" s="112"/>
      <c r="B146" s="119">
        <f t="shared" si="0"/>
        <v>2023</v>
      </c>
      <c r="C146" s="120">
        <f>[2]С2.5!$H$11</f>
        <v>0.02</v>
      </c>
      <c r="D146" s="94"/>
    </row>
    <row r="147" spans="1:4" hidden="1" x14ac:dyDescent="0.2">
      <c r="A147" s="112"/>
      <c r="B147" s="121">
        <f t="shared" si="0"/>
        <v>2024</v>
      </c>
      <c r="C147" s="122">
        <f>[2]С2.5!$I$11</f>
        <v>-2.93E-2</v>
      </c>
      <c r="D147" s="94"/>
    </row>
    <row r="148" spans="1:4" hidden="1" x14ac:dyDescent="0.2">
      <c r="A148" s="112"/>
      <c r="B148" s="117">
        <f t="shared" si="0"/>
        <v>2025</v>
      </c>
      <c r="C148" s="118">
        <f>[2]С2.5!$J$11</f>
        <v>0.21215960863291</v>
      </c>
      <c r="D148" s="94"/>
    </row>
    <row r="149" spans="1:4" hidden="1" x14ac:dyDescent="0.2">
      <c r="A149" s="112"/>
      <c r="B149" s="117">
        <f t="shared" si="0"/>
        <v>2026</v>
      </c>
      <c r="C149" s="118">
        <f>[2]С2.5!$K$11</f>
        <v>3.5813361771260002E-2</v>
      </c>
      <c r="D149" s="94"/>
    </row>
    <row r="150" spans="1:4" hidden="1" x14ac:dyDescent="0.2">
      <c r="A150" s="112"/>
      <c r="B150" s="117">
        <f t="shared" si="0"/>
        <v>2027</v>
      </c>
      <c r="C150" s="118">
        <f>[2]С2.5!$L$11</f>
        <v>3.2682303599220003E-2</v>
      </c>
      <c r="D150" s="94"/>
    </row>
    <row r="151" spans="1:4" hidden="1" x14ac:dyDescent="0.2">
      <c r="A151" s="112"/>
      <c r="B151" s="117">
        <f t="shared" si="0"/>
        <v>2028</v>
      </c>
      <c r="C151" s="118">
        <f>[2]С2.5!$M$11</f>
        <v>0</v>
      </c>
      <c r="D151" s="94"/>
    </row>
    <row r="152" spans="1:4" hidden="1" x14ac:dyDescent="0.2">
      <c r="A152" s="112"/>
      <c r="B152" s="117">
        <f t="shared" si="0"/>
        <v>2029</v>
      </c>
      <c r="C152" s="118">
        <f>[2]С2.5!$N$11</f>
        <v>0</v>
      </c>
      <c r="D152" s="94"/>
    </row>
    <row r="153" spans="1:4" hidden="1" x14ac:dyDescent="0.2">
      <c r="A153" s="112"/>
      <c r="B153" s="117">
        <f t="shared" si="0"/>
        <v>2030</v>
      </c>
      <c r="C153" s="118">
        <f>[2]С2.5!$O$11</f>
        <v>0</v>
      </c>
      <c r="D153" s="94"/>
    </row>
    <row r="154" spans="1:4" hidden="1" x14ac:dyDescent="0.2">
      <c r="A154" s="112"/>
      <c r="B154" s="117">
        <f t="shared" si="0"/>
        <v>2031</v>
      </c>
      <c r="C154" s="118">
        <f>[2]С2.5!$P$11</f>
        <v>0</v>
      </c>
      <c r="D154" s="94"/>
    </row>
    <row r="155" spans="1:4" hidden="1" x14ac:dyDescent="0.2">
      <c r="A155" s="94"/>
      <c r="B155" s="117">
        <f t="shared" si="0"/>
        <v>2032</v>
      </c>
      <c r="C155" s="118">
        <f>[2]С2.5!$Q$11</f>
        <v>0</v>
      </c>
      <c r="D155" s="94"/>
    </row>
    <row r="156" spans="1:4" hidden="1" x14ac:dyDescent="0.2">
      <c r="A156" s="94"/>
      <c r="B156" s="117">
        <f t="shared" si="0"/>
        <v>2033</v>
      </c>
      <c r="C156" s="118">
        <f>[2]С2.5!$R$11</f>
        <v>0</v>
      </c>
      <c r="D156" s="94"/>
    </row>
    <row r="157" spans="1:4" hidden="1" x14ac:dyDescent="0.2">
      <c r="B157" s="117">
        <f t="shared" si="0"/>
        <v>2034</v>
      </c>
      <c r="C157" s="118">
        <f>[2]С2.5!$S$11</f>
        <v>0</v>
      </c>
    </row>
    <row r="158" spans="1:4" hidden="1" x14ac:dyDescent="0.2">
      <c r="B158" s="117">
        <f t="shared" si="0"/>
        <v>2035</v>
      </c>
      <c r="C158" s="118">
        <f>[2]С2.5!$T$11</f>
        <v>0</v>
      </c>
    </row>
    <row r="159" spans="1:4" hidden="1" x14ac:dyDescent="0.2">
      <c r="B159" s="117">
        <f t="shared" si="0"/>
        <v>2036</v>
      </c>
      <c r="C159" s="118">
        <f>[2]С2.5!$U$11</f>
        <v>0</v>
      </c>
    </row>
    <row r="160" spans="1:4" hidden="1" x14ac:dyDescent="0.2">
      <c r="B160" s="117">
        <f t="shared" si="0"/>
        <v>2037</v>
      </c>
      <c r="C160" s="118">
        <f>[2]С2.5!$V$11</f>
        <v>0</v>
      </c>
    </row>
    <row r="161" spans="2:3" hidden="1" x14ac:dyDescent="0.2">
      <c r="B161" s="117">
        <f t="shared" si="0"/>
        <v>2038</v>
      </c>
      <c r="C161" s="118">
        <f>[2]С2.5!$W$11</f>
        <v>0</v>
      </c>
    </row>
    <row r="162" spans="2:3" hidden="1" x14ac:dyDescent="0.2">
      <c r="B162" s="117">
        <f t="shared" si="0"/>
        <v>2039</v>
      </c>
      <c r="C162" s="118">
        <f>[2]С2.5!$X$11</f>
        <v>0</v>
      </c>
    </row>
    <row r="163" spans="2:3" hidden="1" x14ac:dyDescent="0.2">
      <c r="B163" s="117">
        <f t="shared" si="0"/>
        <v>2040</v>
      </c>
      <c r="C163" s="118">
        <f>[2]С2.5!$Y$11</f>
        <v>0</v>
      </c>
    </row>
    <row r="164" spans="2:3" hidden="1" x14ac:dyDescent="0.2">
      <c r="B164" s="117">
        <f t="shared" si="0"/>
        <v>2041</v>
      </c>
      <c r="C164" s="118">
        <f>[2]С2.5!$Z$11</f>
        <v>0</v>
      </c>
    </row>
    <row r="165" spans="2:3" hidden="1" x14ac:dyDescent="0.2">
      <c r="B165" s="117">
        <f t="shared" si="0"/>
        <v>2042</v>
      </c>
      <c r="C165" s="118">
        <f>[2]С2.5!$AA$11</f>
        <v>0</v>
      </c>
    </row>
    <row r="166" spans="2:3" hidden="1" x14ac:dyDescent="0.2">
      <c r="B166" s="117">
        <f t="shared" si="0"/>
        <v>2043</v>
      </c>
      <c r="C166" s="118">
        <f>[2]С2.5!$AB$11</f>
        <v>0</v>
      </c>
    </row>
    <row r="167" spans="2:3" hidden="1" x14ac:dyDescent="0.2">
      <c r="B167" s="117">
        <f t="shared" si="0"/>
        <v>2044</v>
      </c>
      <c r="C167" s="118">
        <f>[2]С2.5!$AC$11</f>
        <v>0</v>
      </c>
    </row>
    <row r="168" spans="2:3" hidden="1" x14ac:dyDescent="0.2">
      <c r="B168" s="117">
        <f t="shared" si="0"/>
        <v>2045</v>
      </c>
      <c r="C168" s="118">
        <f>[2]С2.5!$AD$11</f>
        <v>0</v>
      </c>
    </row>
    <row r="169" spans="2:3" hidden="1" x14ac:dyDescent="0.2">
      <c r="B169" s="117">
        <f t="shared" si="0"/>
        <v>2046</v>
      </c>
      <c r="C169" s="118">
        <f>[2]С2.5!$AE$11</f>
        <v>0</v>
      </c>
    </row>
    <row r="170" spans="2:3" hidden="1" x14ac:dyDescent="0.2">
      <c r="B170" s="117">
        <f t="shared" si="0"/>
        <v>2047</v>
      </c>
      <c r="C170" s="118">
        <f>[2]С2.5!$AF$11</f>
        <v>0</v>
      </c>
    </row>
    <row r="171" spans="2:3" hidden="1" x14ac:dyDescent="0.2">
      <c r="B171" s="117">
        <f t="shared" si="0"/>
        <v>2048</v>
      </c>
      <c r="C171" s="118">
        <f>[2]С2.5!$AG$11</f>
        <v>0</v>
      </c>
    </row>
    <row r="172" spans="2:3" hidden="1" x14ac:dyDescent="0.2">
      <c r="B172" s="117">
        <f t="shared" si="0"/>
        <v>2049</v>
      </c>
      <c r="C172" s="118">
        <f>[2]С2.5!$AH$11</f>
        <v>0</v>
      </c>
    </row>
    <row r="173" spans="2:3" hidden="1" x14ac:dyDescent="0.2">
      <c r="B173" s="117">
        <f t="shared" si="0"/>
        <v>2050</v>
      </c>
      <c r="C173" s="118">
        <f>[2]С2.5!$AI$11</f>
        <v>0</v>
      </c>
    </row>
    <row r="174" spans="2:3" hidden="1" x14ac:dyDescent="0.2">
      <c r="B174" s="117">
        <f t="shared" si="0"/>
        <v>2051</v>
      </c>
      <c r="C174" s="118">
        <f>[2]С2.5!$AJ$11</f>
        <v>0</v>
      </c>
    </row>
    <row r="175" spans="2:3" hidden="1" x14ac:dyDescent="0.2">
      <c r="B175" s="117">
        <f t="shared" si="0"/>
        <v>2052</v>
      </c>
      <c r="C175" s="118">
        <f>[2]С2.5!$AK$11</f>
        <v>0</v>
      </c>
    </row>
    <row r="176" spans="2:3" hidden="1" x14ac:dyDescent="0.2">
      <c r="B176" s="117">
        <f t="shared" si="0"/>
        <v>2053</v>
      </c>
      <c r="C176" s="118">
        <f>[2]С2.5!$AL$11</f>
        <v>0</v>
      </c>
    </row>
    <row r="177" spans="2:3" hidden="1" x14ac:dyDescent="0.2">
      <c r="B177" s="117">
        <f t="shared" si="0"/>
        <v>2054</v>
      </c>
      <c r="C177" s="118">
        <f>[2]С2.5!$AM$11</f>
        <v>0</v>
      </c>
    </row>
    <row r="178" spans="2:3" hidden="1" x14ac:dyDescent="0.2">
      <c r="B178" s="117">
        <f t="shared" si="0"/>
        <v>2055</v>
      </c>
      <c r="C178" s="118">
        <f>[2]С2.5!$AN$11</f>
        <v>0</v>
      </c>
    </row>
    <row r="179" spans="2:3" hidden="1" x14ac:dyDescent="0.2">
      <c r="B179" s="117">
        <f t="shared" si="0"/>
        <v>2056</v>
      </c>
      <c r="C179" s="118">
        <f>[2]С2.5!$AO$11</f>
        <v>0</v>
      </c>
    </row>
    <row r="180" spans="2:3" hidden="1" x14ac:dyDescent="0.2">
      <c r="B180" s="117">
        <f t="shared" si="0"/>
        <v>2057</v>
      </c>
      <c r="C180" s="118">
        <f>[2]С2.5!$AP$11</f>
        <v>0</v>
      </c>
    </row>
    <row r="181" spans="2:3" hidden="1" x14ac:dyDescent="0.2">
      <c r="B181" s="117">
        <f t="shared" si="0"/>
        <v>2058</v>
      </c>
      <c r="C181" s="118">
        <f>[2]С2.5!$AQ$11</f>
        <v>0</v>
      </c>
    </row>
    <row r="182" spans="2:3" hidden="1" x14ac:dyDescent="0.2">
      <c r="B182" s="117">
        <f t="shared" si="0"/>
        <v>2059</v>
      </c>
      <c r="C182" s="118">
        <f>[2]С2.5!$AR$11</f>
        <v>0</v>
      </c>
    </row>
    <row r="183" spans="2:3" hidden="1" x14ac:dyDescent="0.2">
      <c r="B183" s="117">
        <f t="shared" si="0"/>
        <v>2060</v>
      </c>
      <c r="C183" s="118">
        <f>[2]С2.5!$AS$11</f>
        <v>0</v>
      </c>
    </row>
    <row r="184" spans="2:3" hidden="1" x14ac:dyDescent="0.2">
      <c r="B184" s="117">
        <f t="shared" si="0"/>
        <v>2061</v>
      </c>
      <c r="C184" s="118">
        <f>[2]С2.5!$AT$11</f>
        <v>0</v>
      </c>
    </row>
    <row r="185" spans="2:3" hidden="1" x14ac:dyDescent="0.2">
      <c r="B185" s="117">
        <f t="shared" si="0"/>
        <v>2062</v>
      </c>
      <c r="C185" s="118">
        <f>[2]С2.5!$AU$11</f>
        <v>0</v>
      </c>
    </row>
    <row r="186" spans="2:3" hidden="1" x14ac:dyDescent="0.2">
      <c r="B186" s="117">
        <f t="shared" si="0"/>
        <v>2063</v>
      </c>
      <c r="C186" s="118">
        <f>[2]С2.5!$AV$11</f>
        <v>0</v>
      </c>
    </row>
    <row r="187" spans="2:3" hidden="1" x14ac:dyDescent="0.2">
      <c r="B187" s="117">
        <f t="shared" si="0"/>
        <v>2064</v>
      </c>
      <c r="C187" s="118">
        <f>[2]С2.5!$AW$11</f>
        <v>0</v>
      </c>
    </row>
    <row r="188" spans="2:3" hidden="1" x14ac:dyDescent="0.2">
      <c r="B188" s="117">
        <f t="shared" si="0"/>
        <v>2065</v>
      </c>
      <c r="C188" s="118">
        <f>[2]С2.5!$AX$11</f>
        <v>0</v>
      </c>
    </row>
    <row r="189" spans="2:3" hidden="1" x14ac:dyDescent="0.2">
      <c r="B189" s="117">
        <f t="shared" si="0"/>
        <v>2066</v>
      </c>
      <c r="C189" s="118">
        <f>[2]С2.5!$AY$11</f>
        <v>0</v>
      </c>
    </row>
    <row r="190" spans="2:3" hidden="1" x14ac:dyDescent="0.2">
      <c r="B190" s="117">
        <f t="shared" si="0"/>
        <v>2067</v>
      </c>
      <c r="C190" s="118">
        <f>[2]С2.5!$AZ$11</f>
        <v>0</v>
      </c>
    </row>
    <row r="191" spans="2:3" hidden="1" x14ac:dyDescent="0.2">
      <c r="B191" s="117">
        <f t="shared" si="0"/>
        <v>2068</v>
      </c>
      <c r="C191" s="118">
        <f>[2]С2.5!$BA$11</f>
        <v>0</v>
      </c>
    </row>
    <row r="192" spans="2:3" hidden="1" x14ac:dyDescent="0.2">
      <c r="B192" s="117">
        <f t="shared" si="0"/>
        <v>2069</v>
      </c>
      <c r="C192" s="118">
        <f>[2]С2.5!$BB$11</f>
        <v>0</v>
      </c>
    </row>
    <row r="193" spans="2:3" hidden="1" x14ac:dyDescent="0.2">
      <c r="B193" s="117">
        <f t="shared" si="0"/>
        <v>2070</v>
      </c>
      <c r="C193" s="118">
        <f>[2]С2.5!$BC$11</f>
        <v>0</v>
      </c>
    </row>
    <row r="194" spans="2:3" hidden="1" x14ac:dyDescent="0.2">
      <c r="B194" s="117">
        <f t="shared" si="0"/>
        <v>2071</v>
      </c>
      <c r="C194" s="118">
        <f>[2]С2.5!$BD$11</f>
        <v>0</v>
      </c>
    </row>
    <row r="195" spans="2:3" hidden="1" x14ac:dyDescent="0.2">
      <c r="B195" s="117">
        <f t="shared" si="0"/>
        <v>2072</v>
      </c>
      <c r="C195" s="118">
        <f>[2]С2.5!$BE$11</f>
        <v>0</v>
      </c>
    </row>
    <row r="196" spans="2:3" hidden="1" x14ac:dyDescent="0.2">
      <c r="B196" s="117">
        <f t="shared" si="0"/>
        <v>2073</v>
      </c>
      <c r="C196" s="118">
        <f>[2]С2.5!$BF$11</f>
        <v>0</v>
      </c>
    </row>
    <row r="197" spans="2:3" hidden="1" x14ac:dyDescent="0.2">
      <c r="B197" s="117">
        <f t="shared" si="0"/>
        <v>2074</v>
      </c>
      <c r="C197" s="118">
        <f>[2]С2.5!$BG$11</f>
        <v>0</v>
      </c>
    </row>
    <row r="198" spans="2:3" hidden="1" x14ac:dyDescent="0.2">
      <c r="B198" s="117">
        <f t="shared" si="0"/>
        <v>2075</v>
      </c>
      <c r="C198" s="118">
        <f>[2]С2.5!$BH$11</f>
        <v>0</v>
      </c>
    </row>
    <row r="199" spans="2:3" hidden="1" x14ac:dyDescent="0.2">
      <c r="B199" s="117">
        <f t="shared" si="0"/>
        <v>2076</v>
      </c>
      <c r="C199" s="118">
        <f>[2]С2.5!$BI$11</f>
        <v>0</v>
      </c>
    </row>
    <row r="200" spans="2:3" hidden="1" x14ac:dyDescent="0.2">
      <c r="B200" s="117">
        <f t="shared" si="0"/>
        <v>2077</v>
      </c>
      <c r="C200" s="118">
        <f>[2]С2.5!$BJ$11</f>
        <v>0</v>
      </c>
    </row>
    <row r="201" spans="2:3" hidden="1" x14ac:dyDescent="0.2">
      <c r="B201" s="117">
        <f t="shared" si="0"/>
        <v>2078</v>
      </c>
      <c r="C201" s="118">
        <f>[2]С2.5!$BK$11</f>
        <v>0</v>
      </c>
    </row>
    <row r="202" spans="2:3" hidden="1" x14ac:dyDescent="0.2">
      <c r="B202" s="117">
        <f t="shared" si="0"/>
        <v>2079</v>
      </c>
      <c r="C202" s="118">
        <f>[2]С2.5!$BL$11</f>
        <v>0</v>
      </c>
    </row>
    <row r="203" spans="2:3" hidden="1" x14ac:dyDescent="0.2">
      <c r="B203" s="117">
        <f t="shared" si="0"/>
        <v>2080</v>
      </c>
      <c r="C203" s="118">
        <f>[2]С2.5!$BM$11</f>
        <v>0</v>
      </c>
    </row>
    <row r="204" spans="2:3" hidden="1" x14ac:dyDescent="0.2">
      <c r="B204" s="117">
        <f t="shared" si="0"/>
        <v>2081</v>
      </c>
      <c r="C204" s="118">
        <f>[2]С2.5!$BN$11</f>
        <v>0</v>
      </c>
    </row>
    <row r="205" spans="2:3" hidden="1" x14ac:dyDescent="0.2">
      <c r="B205" s="117">
        <f t="shared" si="0"/>
        <v>2082</v>
      </c>
      <c r="C205" s="118">
        <f>[2]С2.5!$BO$11</f>
        <v>0</v>
      </c>
    </row>
    <row r="206" spans="2:3" hidden="1" x14ac:dyDescent="0.2">
      <c r="B206" s="117">
        <f t="shared" si="0"/>
        <v>2083</v>
      </c>
      <c r="C206" s="118">
        <f>[2]С2.5!$BP$11</f>
        <v>0</v>
      </c>
    </row>
    <row r="207" spans="2:3" hidden="1" x14ac:dyDescent="0.2">
      <c r="B207" s="117">
        <f t="shared" si="0"/>
        <v>2084</v>
      </c>
      <c r="C207" s="118">
        <f>[2]С2.5!$BQ$11</f>
        <v>0</v>
      </c>
    </row>
    <row r="208" spans="2:3" hidden="1" x14ac:dyDescent="0.2">
      <c r="B208" s="117">
        <f t="shared" si="0"/>
        <v>2085</v>
      </c>
      <c r="C208" s="118">
        <f>[2]С2.5!$BR$11</f>
        <v>0</v>
      </c>
    </row>
    <row r="209" spans="2:3" hidden="1" x14ac:dyDescent="0.2">
      <c r="B209" s="117">
        <f t="shared" ref="B209:B223" si="1">B208+1</f>
        <v>2086</v>
      </c>
      <c r="C209" s="118">
        <f>[2]С2.5!$BS$11</f>
        <v>0</v>
      </c>
    </row>
    <row r="210" spans="2:3" hidden="1" x14ac:dyDescent="0.2">
      <c r="B210" s="117">
        <f t="shared" si="1"/>
        <v>2087</v>
      </c>
      <c r="C210" s="118">
        <f>[2]С2.5!$BT$11</f>
        <v>0</v>
      </c>
    </row>
    <row r="211" spans="2:3" hidden="1" x14ac:dyDescent="0.2">
      <c r="B211" s="117">
        <f t="shared" si="1"/>
        <v>2088</v>
      </c>
      <c r="C211" s="118">
        <f>[2]С2.5!$BU$11</f>
        <v>0</v>
      </c>
    </row>
    <row r="212" spans="2:3" hidden="1" x14ac:dyDescent="0.2">
      <c r="B212" s="117">
        <f t="shared" si="1"/>
        <v>2089</v>
      </c>
      <c r="C212" s="118">
        <f>[2]С2.5!$BV$11</f>
        <v>0</v>
      </c>
    </row>
    <row r="213" spans="2:3" hidden="1" x14ac:dyDescent="0.2">
      <c r="B213" s="117">
        <f t="shared" si="1"/>
        <v>2090</v>
      </c>
      <c r="C213" s="118">
        <f>[2]С2.5!$BW$11</f>
        <v>0</v>
      </c>
    </row>
    <row r="214" spans="2:3" hidden="1" x14ac:dyDescent="0.2">
      <c r="B214" s="117">
        <f t="shared" si="1"/>
        <v>2091</v>
      </c>
      <c r="C214" s="118">
        <f>[2]С2.5!$BX$11</f>
        <v>0</v>
      </c>
    </row>
    <row r="215" spans="2:3" hidden="1" x14ac:dyDescent="0.2">
      <c r="B215" s="117">
        <f t="shared" si="1"/>
        <v>2092</v>
      </c>
      <c r="C215" s="118">
        <f>[2]С2.5!$BY$11</f>
        <v>0</v>
      </c>
    </row>
    <row r="216" spans="2:3" hidden="1" x14ac:dyDescent="0.2">
      <c r="B216" s="117">
        <f t="shared" si="1"/>
        <v>2093</v>
      </c>
      <c r="C216" s="118">
        <f>[2]С2.5!$BZ$11</f>
        <v>0</v>
      </c>
    </row>
    <row r="217" spans="2:3" hidden="1" x14ac:dyDescent="0.2">
      <c r="B217" s="117">
        <f t="shared" si="1"/>
        <v>2094</v>
      </c>
      <c r="C217" s="118">
        <f>[2]С2.5!$CA$11</f>
        <v>0</v>
      </c>
    </row>
    <row r="218" spans="2:3" hidden="1" x14ac:dyDescent="0.2">
      <c r="B218" s="117">
        <f t="shared" si="1"/>
        <v>2095</v>
      </c>
      <c r="C218" s="118">
        <f>[2]С2.5!$CB$11</f>
        <v>0</v>
      </c>
    </row>
    <row r="219" spans="2:3" hidden="1" x14ac:dyDescent="0.2">
      <c r="B219" s="117">
        <f t="shared" si="1"/>
        <v>2096</v>
      </c>
      <c r="C219" s="118">
        <f>[2]С2.5!$CC$11</f>
        <v>0</v>
      </c>
    </row>
    <row r="220" spans="2:3" hidden="1" x14ac:dyDescent="0.2">
      <c r="B220" s="117">
        <f t="shared" si="1"/>
        <v>2097</v>
      </c>
      <c r="C220" s="118">
        <f>[2]С2.5!$CD$11</f>
        <v>0</v>
      </c>
    </row>
    <row r="221" spans="2:3" hidden="1" x14ac:dyDescent="0.2">
      <c r="B221" s="117">
        <f t="shared" si="1"/>
        <v>2098</v>
      </c>
      <c r="C221" s="118">
        <f>[2]С2.5!$CE$11</f>
        <v>0</v>
      </c>
    </row>
    <row r="222" spans="2:3" hidden="1" x14ac:dyDescent="0.2">
      <c r="B222" s="117">
        <f t="shared" si="1"/>
        <v>2099</v>
      </c>
      <c r="C222" s="118">
        <f>[2]С2.5!$CF$11</f>
        <v>0</v>
      </c>
    </row>
    <row r="223" spans="2:3" ht="13.5" hidden="1" thickBot="1" x14ac:dyDescent="0.25">
      <c r="B223" s="119">
        <f t="shared" si="1"/>
        <v>2100</v>
      </c>
      <c r="C223" s="120">
        <f>[2]С2.5!$CG$11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49" r:id="rId3" name="Button 1">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[3]И1!D13</f>
        <v>Субъект Российской Федерации</v>
      </c>
      <c r="C4" s="11" t="str">
        <f>[3]И1!E13</f>
        <v>Новосибирская область</v>
      </c>
    </row>
    <row r="5" spans="1:3" ht="38.25" x14ac:dyDescent="0.2">
      <c r="A5" s="9"/>
      <c r="B5" s="10" t="str">
        <f>[3]И1!D14</f>
        <v>Тип муниципального образования (выберите из списка)</v>
      </c>
      <c r="C5" s="11" t="str">
        <f>[3]И1!E14</f>
        <v xml:space="preserve">село Бобровка, Сузунский муниципальный район </v>
      </c>
    </row>
    <row r="6" spans="1:3" x14ac:dyDescent="0.2">
      <c r="A6" s="9"/>
      <c r="B6" s="10" t="str">
        <f>IF([3]И1!E15="","",[3]И1!D15)</f>
        <v/>
      </c>
      <c r="C6" s="11" t="str">
        <f>IF([3]И1!E15="","",[3]И1!E15)</f>
        <v/>
      </c>
    </row>
    <row r="7" spans="1:3" x14ac:dyDescent="0.2">
      <c r="A7" s="9"/>
      <c r="B7" s="10" t="str">
        <f>[3]И1!D16</f>
        <v>Код ОКТМО</v>
      </c>
      <c r="C7" s="12" t="str">
        <f>[3]И1!E16</f>
        <v>(50648404101)</v>
      </c>
    </row>
    <row r="8" spans="1:3" x14ac:dyDescent="0.2">
      <c r="A8" s="9"/>
      <c r="B8" s="13" t="str">
        <f>[3]И1!D17</f>
        <v>Система теплоснабжения</v>
      </c>
      <c r="C8" s="14">
        <f>[3]И1!E17</f>
        <v>0</v>
      </c>
    </row>
    <row r="9" spans="1:3" x14ac:dyDescent="0.2">
      <c r="A9" s="9"/>
      <c r="B9" s="10" t="str">
        <f>[3]И1!D8</f>
        <v>Период регулирования (i)-й</v>
      </c>
      <c r="C9" s="15">
        <f>[3]И1!E8</f>
        <v>2023</v>
      </c>
    </row>
    <row r="10" spans="1:3" x14ac:dyDescent="0.2">
      <c r="A10" s="9"/>
      <c r="B10" s="10" t="str">
        <f>[3]И1!D9</f>
        <v>Период регулирования (i-1)-й</v>
      </c>
      <c r="C10" s="15">
        <f>[3]И1!E9</f>
        <v>2022</v>
      </c>
    </row>
    <row r="11" spans="1:3" x14ac:dyDescent="0.2">
      <c r="A11" s="9"/>
      <c r="B11" s="10" t="str">
        <f>[3]И1!D10</f>
        <v>Период регулирования (i-2)-й</v>
      </c>
      <c r="C11" s="15">
        <f>[3]И1!E10</f>
        <v>2021</v>
      </c>
    </row>
    <row r="12" spans="1:3" x14ac:dyDescent="0.2">
      <c r="A12" s="9"/>
      <c r="B12" s="10" t="str">
        <f>[3]И1!D11</f>
        <v>Базовый год (б)</v>
      </c>
      <c r="C12" s="15">
        <f>[3]И1!E11</f>
        <v>2019</v>
      </c>
    </row>
    <row r="13" spans="1:3" ht="38.25" x14ac:dyDescent="0.2">
      <c r="A13" s="9"/>
      <c r="B13" s="10" t="str">
        <f>[3]И1!D18</f>
        <v>Вид топлива, использование которого преобладает в системе теплоснабжения</v>
      </c>
      <c r="C13" s="16" t="str">
        <f>[3]С1.1!E13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3970.4447702496554</v>
      </c>
    </row>
    <row r="18" spans="1:3" ht="42.75" x14ac:dyDescent="0.2">
      <c r="A18" s="24" t="s">
        <v>8</v>
      </c>
      <c r="B18" s="27" t="s">
        <v>9</v>
      </c>
      <c r="C18" s="28">
        <f>[3]С1!F12</f>
        <v>869.9759730350163</v>
      </c>
    </row>
    <row r="19" spans="1:3" ht="42.75" x14ac:dyDescent="0.2">
      <c r="A19" s="24" t="s">
        <v>10</v>
      </c>
      <c r="B19" s="27" t="s">
        <v>11</v>
      </c>
      <c r="C19" s="28">
        <f>[3]С2!F12</f>
        <v>2108.7102251987935</v>
      </c>
    </row>
    <row r="20" spans="1:3" ht="30" x14ac:dyDescent="0.2">
      <c r="A20" s="24" t="s">
        <v>12</v>
      </c>
      <c r="B20" s="27" t="s">
        <v>13</v>
      </c>
      <c r="C20" s="28">
        <f>[3]С3!F12</f>
        <v>504.54115631660852</v>
      </c>
    </row>
    <row r="21" spans="1:3" ht="42.75" x14ac:dyDescent="0.2">
      <c r="A21" s="24" t="s">
        <v>14</v>
      </c>
      <c r="B21" s="27" t="s">
        <v>15</v>
      </c>
      <c r="C21" s="28">
        <f>[3]С4!F12</f>
        <v>409.36555745904809</v>
      </c>
    </row>
    <row r="22" spans="1:3" ht="30" x14ac:dyDescent="0.2">
      <c r="A22" s="24" t="s">
        <v>16</v>
      </c>
      <c r="B22" s="27" t="s">
        <v>17</v>
      </c>
      <c r="C22" s="28">
        <f>[3]С5!F12</f>
        <v>77.85185824018933</v>
      </c>
    </row>
    <row r="23" spans="1:3" ht="43.5" thickBot="1" x14ac:dyDescent="0.25">
      <c r="A23" s="29" t="s">
        <v>18</v>
      </c>
      <c r="B23" s="30" t="s">
        <v>19</v>
      </c>
      <c r="C23" s="31" t="str">
        <f>[3]С6!F12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[3]С1.1!E16</f>
        <v>5100</v>
      </c>
    </row>
    <row r="29" spans="1:3" ht="42.75" x14ac:dyDescent="0.2">
      <c r="A29" s="24" t="s">
        <v>10</v>
      </c>
      <c r="B29" s="37" t="s">
        <v>22</v>
      </c>
      <c r="C29" s="38">
        <f>[3]С1.1!E27</f>
        <v>2339.2199999999998</v>
      </c>
    </row>
    <row r="30" spans="1:3" ht="17.25" x14ac:dyDescent="0.2">
      <c r="A30" s="24" t="s">
        <v>12</v>
      </c>
      <c r="B30" s="37" t="s">
        <v>23</v>
      </c>
      <c r="C30" s="39">
        <f>[3]С1.1!E19</f>
        <v>0.59499999999999997</v>
      </c>
    </row>
    <row r="31" spans="1:3" ht="17.25" x14ac:dyDescent="0.2">
      <c r="A31" s="24" t="s">
        <v>14</v>
      </c>
      <c r="B31" s="37" t="s">
        <v>24</v>
      </c>
      <c r="C31" s="39">
        <f>[3]С1.1!E20</f>
        <v>-0.113</v>
      </c>
    </row>
    <row r="32" spans="1:3" ht="30" x14ac:dyDescent="0.2">
      <c r="A32" s="24" t="s">
        <v>16</v>
      </c>
      <c r="B32" s="40" t="s">
        <v>25</v>
      </c>
      <c r="C32" s="41">
        <f>[3]С1!F13</f>
        <v>176.4</v>
      </c>
    </row>
    <row r="33" spans="1:3" x14ac:dyDescent="0.2">
      <c r="A33" s="24" t="s">
        <v>18</v>
      </c>
      <c r="B33" s="40" t="s">
        <v>26</v>
      </c>
      <c r="C33" s="42">
        <f>[3]С1!F16</f>
        <v>7000</v>
      </c>
    </row>
    <row r="34" spans="1:3" ht="14.25" x14ac:dyDescent="0.2">
      <c r="A34" s="24" t="s">
        <v>27</v>
      </c>
      <c r="B34" s="43" t="s">
        <v>28</v>
      </c>
      <c r="C34" s="44">
        <f>[3]С1!F17</f>
        <v>0.72857142857142854</v>
      </c>
    </row>
    <row r="35" spans="1:3" ht="15.75" x14ac:dyDescent="0.2">
      <c r="A35" s="45" t="s">
        <v>29</v>
      </c>
      <c r="B35" s="46" t="s">
        <v>30</v>
      </c>
      <c r="C35" s="44">
        <f>[3]С1!F20</f>
        <v>21.588411179999994</v>
      </c>
    </row>
    <row r="36" spans="1:3" ht="15.75" x14ac:dyDescent="0.2">
      <c r="A36" s="45" t="s">
        <v>31</v>
      </c>
      <c r="B36" s="47" t="s">
        <v>32</v>
      </c>
      <c r="C36" s="44">
        <f>[3]С1!F21</f>
        <v>20.818139999999996</v>
      </c>
    </row>
    <row r="37" spans="1:3" ht="14.25" x14ac:dyDescent="0.2">
      <c r="A37" s="45" t="s">
        <v>33</v>
      </c>
      <c r="B37" s="48" t="s">
        <v>34</v>
      </c>
      <c r="C37" s="44">
        <f>[3]С1!F22</f>
        <v>1.0369999999999999</v>
      </c>
    </row>
    <row r="38" spans="1:3" ht="53.25" thickBot="1" x14ac:dyDescent="0.25">
      <c r="A38" s="29" t="s">
        <v>35</v>
      </c>
      <c r="B38" s="49" t="s">
        <v>36</v>
      </c>
      <c r="C38" s="50">
        <f>[3]С1!F23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[3]С2.1!E12</f>
        <v>V</v>
      </c>
    </row>
    <row r="42" spans="1:3" ht="25.5" x14ac:dyDescent="0.2">
      <c r="A42" s="24" t="s">
        <v>41</v>
      </c>
      <c r="B42" s="37" t="s">
        <v>42</v>
      </c>
      <c r="C42" s="56" t="str">
        <f>[3]С2.1!E13</f>
        <v>6 и менее баллов</v>
      </c>
    </row>
    <row r="43" spans="1:3" ht="25.5" x14ac:dyDescent="0.2">
      <c r="A43" s="24" t="s">
        <v>43</v>
      </c>
      <c r="B43" s="37" t="s">
        <v>44</v>
      </c>
      <c r="C43" s="56" t="str">
        <f>[3]С2.1!E14</f>
        <v>от 200 до 500</v>
      </c>
    </row>
    <row r="44" spans="1:3" ht="25.5" x14ac:dyDescent="0.2">
      <c r="A44" s="24" t="s">
        <v>45</v>
      </c>
      <c r="B44" s="37" t="s">
        <v>46</v>
      </c>
      <c r="C44" s="57" t="str">
        <f>[3]С2.1!E15</f>
        <v>нет</v>
      </c>
    </row>
    <row r="45" spans="1:3" ht="30" x14ac:dyDescent="0.2">
      <c r="A45" s="24" t="s">
        <v>47</v>
      </c>
      <c r="B45" s="37" t="s">
        <v>48</v>
      </c>
      <c r="C45" s="38">
        <f>[3]С2!F18</f>
        <v>32402.627334033532</v>
      </c>
    </row>
    <row r="46" spans="1:3" ht="30" x14ac:dyDescent="0.2">
      <c r="A46" s="24" t="s">
        <v>49</v>
      </c>
      <c r="B46" s="58" t="s">
        <v>50</v>
      </c>
      <c r="C46" s="38">
        <f>IF([3]С2!F19&gt;0,[3]С2!F19,[3]С2!F20)</f>
        <v>23441.524932855718</v>
      </c>
    </row>
    <row r="47" spans="1:3" ht="25.5" x14ac:dyDescent="0.2">
      <c r="A47" s="24" t="s">
        <v>51</v>
      </c>
      <c r="B47" s="59" t="s">
        <v>52</v>
      </c>
      <c r="C47" s="38">
        <f>[3]С2.1!E19</f>
        <v>-37</v>
      </c>
    </row>
    <row r="48" spans="1:3" ht="25.5" x14ac:dyDescent="0.2">
      <c r="A48" s="24" t="s">
        <v>53</v>
      </c>
      <c r="B48" s="59" t="s">
        <v>54</v>
      </c>
      <c r="C48" s="38" t="str">
        <f>[3]С2.1!E22</f>
        <v>нет</v>
      </c>
    </row>
    <row r="49" spans="1:3" ht="38.25" x14ac:dyDescent="0.2">
      <c r="A49" s="24" t="s">
        <v>55</v>
      </c>
      <c r="B49" s="60" t="s">
        <v>56</v>
      </c>
      <c r="C49" s="38">
        <f>[3]С2.2!E10</f>
        <v>1287</v>
      </c>
    </row>
    <row r="50" spans="1:3" ht="25.5" x14ac:dyDescent="0.2">
      <c r="A50" s="24" t="s">
        <v>57</v>
      </c>
      <c r="B50" s="61" t="s">
        <v>58</v>
      </c>
      <c r="C50" s="38">
        <f>[3]С2.2!E12</f>
        <v>5.97</v>
      </c>
    </row>
    <row r="51" spans="1:3" ht="52.5" x14ac:dyDescent="0.2">
      <c r="A51" s="24" t="s">
        <v>59</v>
      </c>
      <c r="B51" s="62" t="s">
        <v>60</v>
      </c>
      <c r="C51" s="38">
        <f>[3]С2.2!E13</f>
        <v>1</v>
      </c>
    </row>
    <row r="52" spans="1:3" ht="27.75" x14ac:dyDescent="0.2">
      <c r="A52" s="24" t="s">
        <v>61</v>
      </c>
      <c r="B52" s="61" t="s">
        <v>62</v>
      </c>
      <c r="C52" s="38">
        <f>[3]С2.2!E14</f>
        <v>12104</v>
      </c>
    </row>
    <row r="53" spans="1:3" ht="25.5" x14ac:dyDescent="0.2">
      <c r="A53" s="24" t="s">
        <v>63</v>
      </c>
      <c r="B53" s="62" t="s">
        <v>64</v>
      </c>
      <c r="C53" s="39">
        <f>[3]С2.2!E15</f>
        <v>4.8000000000000001E-2</v>
      </c>
    </row>
    <row r="54" spans="1:3" x14ac:dyDescent="0.2">
      <c r="A54" s="24" t="s">
        <v>65</v>
      </c>
      <c r="B54" s="62" t="s">
        <v>66</v>
      </c>
      <c r="C54" s="38">
        <f>[3]С2.2!E16</f>
        <v>1</v>
      </c>
    </row>
    <row r="55" spans="1:3" ht="15.75" x14ac:dyDescent="0.2">
      <c r="A55" s="24" t="s">
        <v>67</v>
      </c>
      <c r="B55" s="63" t="s">
        <v>68</v>
      </c>
      <c r="C55" s="38">
        <f>[3]С2!F21</f>
        <v>1</v>
      </c>
    </row>
    <row r="56" spans="1:3" ht="30" x14ac:dyDescent="0.2">
      <c r="A56" s="64" t="s">
        <v>69</v>
      </c>
      <c r="B56" s="37" t="s">
        <v>70</v>
      </c>
      <c r="C56" s="38">
        <f>[3]С2!F13</f>
        <v>169640.22915965237</v>
      </c>
    </row>
    <row r="57" spans="1:3" ht="30" x14ac:dyDescent="0.2">
      <c r="A57" s="64" t="s">
        <v>71</v>
      </c>
      <c r="B57" s="63" t="s">
        <v>72</v>
      </c>
      <c r="C57" s="38">
        <f>[3]С2!F14</f>
        <v>113455</v>
      </c>
    </row>
    <row r="58" spans="1:3" ht="15.75" x14ac:dyDescent="0.2">
      <c r="A58" s="64" t="s">
        <v>73</v>
      </c>
      <c r="B58" s="65" t="s">
        <v>74</v>
      </c>
      <c r="C58" s="44">
        <f>[3]С2!F15</f>
        <v>1.071</v>
      </c>
    </row>
    <row r="59" spans="1:3" ht="15.75" x14ac:dyDescent="0.2">
      <c r="A59" s="64" t="s">
        <v>75</v>
      </c>
      <c r="B59" s="65" t="s">
        <v>76</v>
      </c>
      <c r="C59" s="44">
        <f>[3]С2!F16</f>
        <v>1</v>
      </c>
    </row>
    <row r="60" spans="1:3" ht="17.25" x14ac:dyDescent="0.2">
      <c r="A60" s="64" t="s">
        <v>77</v>
      </c>
      <c r="B60" s="63" t="s">
        <v>78</v>
      </c>
      <c r="C60" s="38">
        <f>[3]С2!F17</f>
        <v>1.01</v>
      </c>
    </row>
    <row r="61" spans="1:3" s="68" customFormat="1" ht="14.25" x14ac:dyDescent="0.2">
      <c r="A61" s="64" t="s">
        <v>79</v>
      </c>
      <c r="B61" s="66" t="s">
        <v>80</v>
      </c>
      <c r="C61" s="67">
        <f>[3]С2!F33</f>
        <v>10</v>
      </c>
    </row>
    <row r="62" spans="1:3" ht="30" x14ac:dyDescent="0.2">
      <c r="A62" s="64" t="s">
        <v>81</v>
      </c>
      <c r="B62" s="69" t="s">
        <v>82</v>
      </c>
      <c r="C62" s="38">
        <f>[3]С2!F26</f>
        <v>1424.4887832283189</v>
      </c>
    </row>
    <row r="63" spans="1:3" ht="17.25" x14ac:dyDescent="0.2">
      <c r="A63" s="64" t="s">
        <v>83</v>
      </c>
      <c r="B63" s="58" t="s">
        <v>84</v>
      </c>
      <c r="C63" s="38">
        <f>[3]С2!F27</f>
        <v>0.24536656199999998</v>
      </c>
    </row>
    <row r="64" spans="1:3" ht="17.25" x14ac:dyDescent="0.2">
      <c r="A64" s="64" t="s">
        <v>85</v>
      </c>
      <c r="B64" s="63" t="s">
        <v>86</v>
      </c>
      <c r="C64" s="67">
        <f>[3]С2!F28</f>
        <v>4200</v>
      </c>
    </row>
    <row r="65" spans="1:3" ht="42.75" x14ac:dyDescent="0.2">
      <c r="A65" s="64" t="s">
        <v>87</v>
      </c>
      <c r="B65" s="37" t="s">
        <v>88</v>
      </c>
      <c r="C65" s="38">
        <f>[3]С2!F22</f>
        <v>35717.748653137714</v>
      </c>
    </row>
    <row r="66" spans="1:3" ht="30" x14ac:dyDescent="0.2">
      <c r="A66" s="64" t="s">
        <v>89</v>
      </c>
      <c r="B66" s="65" t="s">
        <v>90</v>
      </c>
      <c r="C66" s="38">
        <f>[3]С2!F23</f>
        <v>1990</v>
      </c>
    </row>
    <row r="67" spans="1:3" ht="30" x14ac:dyDescent="0.2">
      <c r="A67" s="64" t="s">
        <v>91</v>
      </c>
      <c r="B67" s="58" t="s">
        <v>92</v>
      </c>
      <c r="C67" s="38">
        <f>[3]С2.1!E27</f>
        <v>14307.876789999998</v>
      </c>
    </row>
    <row r="68" spans="1:3" ht="38.25" x14ac:dyDescent="0.2">
      <c r="A68" s="64" t="s">
        <v>93</v>
      </c>
      <c r="B68" s="70" t="s">
        <v>94</v>
      </c>
      <c r="C68" s="57">
        <f>[3]С2.3!E21</f>
        <v>0</v>
      </c>
    </row>
    <row r="69" spans="1:3" ht="25.5" x14ac:dyDescent="0.2">
      <c r="A69" s="64" t="s">
        <v>95</v>
      </c>
      <c r="B69" s="71" t="s">
        <v>96</v>
      </c>
      <c r="C69" s="72">
        <f>[3]С2.3!E11</f>
        <v>9.89</v>
      </c>
    </row>
    <row r="70" spans="1:3" ht="25.5" x14ac:dyDescent="0.2">
      <c r="A70" s="64" t="s">
        <v>97</v>
      </c>
      <c r="B70" s="71" t="s">
        <v>98</v>
      </c>
      <c r="C70" s="67">
        <f>[3]С2.3!E13</f>
        <v>300</v>
      </c>
    </row>
    <row r="71" spans="1:3" ht="25.5" x14ac:dyDescent="0.2">
      <c r="A71" s="64" t="s">
        <v>99</v>
      </c>
      <c r="B71" s="70" t="s">
        <v>100</v>
      </c>
      <c r="C71" s="73">
        <f>IF([3]С2.3!E22&gt;0,[3]С2.3!E22,[3]С2.3!E14)</f>
        <v>61211</v>
      </c>
    </row>
    <row r="72" spans="1:3" ht="38.25" x14ac:dyDescent="0.2">
      <c r="A72" s="64" t="s">
        <v>101</v>
      </c>
      <c r="B72" s="70" t="s">
        <v>102</v>
      </c>
      <c r="C72" s="73">
        <f>IF([3]С2.3!E23&gt;0,[3]С2.3!E23,[3]С2.3!E15)</f>
        <v>45675</v>
      </c>
    </row>
    <row r="73" spans="1:3" ht="30" x14ac:dyDescent="0.2">
      <c r="A73" s="64" t="s">
        <v>103</v>
      </c>
      <c r="B73" s="58" t="s">
        <v>104</v>
      </c>
      <c r="C73" s="38">
        <f>[3]С2.1!E28</f>
        <v>9541.9567200000001</v>
      </c>
    </row>
    <row r="74" spans="1:3" ht="38.25" x14ac:dyDescent="0.2">
      <c r="A74" s="64" t="s">
        <v>105</v>
      </c>
      <c r="B74" s="70" t="s">
        <v>106</v>
      </c>
      <c r="C74" s="57">
        <f>[3]С2.3!E25</f>
        <v>0</v>
      </c>
    </row>
    <row r="75" spans="1:3" ht="25.5" x14ac:dyDescent="0.2">
      <c r="A75" s="64" t="s">
        <v>107</v>
      </c>
      <c r="B75" s="71" t="s">
        <v>108</v>
      </c>
      <c r="C75" s="72">
        <f>[3]С2.3!E12</f>
        <v>0.56000000000000005</v>
      </c>
    </row>
    <row r="76" spans="1:3" ht="25.5" x14ac:dyDescent="0.2">
      <c r="A76" s="64" t="s">
        <v>109</v>
      </c>
      <c r="B76" s="71" t="s">
        <v>98</v>
      </c>
      <c r="C76" s="67">
        <f>[3]С2.3!E13</f>
        <v>300</v>
      </c>
    </row>
    <row r="77" spans="1:3" ht="25.5" x14ac:dyDescent="0.2">
      <c r="A77" s="64" t="s">
        <v>110</v>
      </c>
      <c r="B77" s="74" t="s">
        <v>111</v>
      </c>
      <c r="C77" s="73">
        <f>IF([3]С2.3!E26&gt;0,[3]С2.3!E26,[3]С2.3!E16)</f>
        <v>65637</v>
      </c>
    </row>
    <row r="78" spans="1:3" ht="38.25" x14ac:dyDescent="0.2">
      <c r="A78" s="64" t="s">
        <v>112</v>
      </c>
      <c r="B78" s="74" t="s">
        <v>113</v>
      </c>
      <c r="C78" s="73">
        <f>IF([3]С2.3!E27&gt;0,[3]С2.3!E27,[3]С2.3!E17)</f>
        <v>31684</v>
      </c>
    </row>
    <row r="79" spans="1:3" ht="17.25" x14ac:dyDescent="0.2">
      <c r="A79" s="64" t="s">
        <v>114</v>
      </c>
      <c r="B79" s="37" t="s">
        <v>115</v>
      </c>
      <c r="C79" s="39">
        <f>[3]С2!F29</f>
        <v>0.128978033685065</v>
      </c>
    </row>
    <row r="80" spans="1:3" ht="30" x14ac:dyDescent="0.2">
      <c r="A80" s="64" t="s">
        <v>116</v>
      </c>
      <c r="B80" s="58" t="s">
        <v>117</v>
      </c>
      <c r="C80" s="75">
        <f>[3]С2!F30</f>
        <v>0.11668498168498169</v>
      </c>
    </row>
    <row r="81" spans="1:3" ht="17.25" x14ac:dyDescent="0.2">
      <c r="A81" s="64" t="s">
        <v>118</v>
      </c>
      <c r="B81" s="76" t="s">
        <v>119</v>
      </c>
      <c r="C81" s="39">
        <f>[3]С2!F31</f>
        <v>0.13880000000000001</v>
      </c>
    </row>
    <row r="82" spans="1:3" s="68" customFormat="1" ht="18" thickBot="1" x14ac:dyDescent="0.25">
      <c r="A82" s="77" t="s">
        <v>120</v>
      </c>
      <c r="B82" s="78" t="s">
        <v>121</v>
      </c>
      <c r="C82" s="79">
        <f>[3]С2!F32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[3]С3!F14</f>
        <v>7012.1794194579406</v>
      </c>
    </row>
    <row r="86" spans="1:3" s="68" customFormat="1" ht="42.75" x14ac:dyDescent="0.2">
      <c r="A86" s="82" t="s">
        <v>126</v>
      </c>
      <c r="B86" s="58" t="s">
        <v>127</v>
      </c>
      <c r="C86" s="83">
        <f>[3]С3!F15</f>
        <v>0.2</v>
      </c>
    </row>
    <row r="87" spans="1:3" s="68" customFormat="1" ht="14.25" x14ac:dyDescent="0.2">
      <c r="A87" s="82" t="s">
        <v>128</v>
      </c>
      <c r="B87" s="84" t="s">
        <v>129</v>
      </c>
      <c r="C87" s="67">
        <f>[3]С3!F18</f>
        <v>15</v>
      </c>
    </row>
    <row r="88" spans="1:3" s="68" customFormat="1" ht="17.25" x14ac:dyDescent="0.2">
      <c r="A88" s="82" t="s">
        <v>130</v>
      </c>
      <c r="B88" s="37" t="s">
        <v>131</v>
      </c>
      <c r="C88" s="38">
        <f>[3]С3!F19</f>
        <v>3487.1555421534131</v>
      </c>
    </row>
    <row r="89" spans="1:3" s="68" customFormat="1" ht="55.5" x14ac:dyDescent="0.2">
      <c r="A89" s="82" t="s">
        <v>132</v>
      </c>
      <c r="B89" s="58" t="s">
        <v>133</v>
      </c>
      <c r="C89" s="85">
        <f>[3]С3!F20</f>
        <v>2.1999999999999999E-2</v>
      </c>
    </row>
    <row r="90" spans="1:3" s="68" customFormat="1" ht="14.25" x14ac:dyDescent="0.2">
      <c r="A90" s="82" t="s">
        <v>134</v>
      </c>
      <c r="B90" s="63" t="s">
        <v>80</v>
      </c>
      <c r="C90" s="67">
        <f>[3]С3!F21</f>
        <v>10</v>
      </c>
    </row>
    <row r="91" spans="1:3" s="68" customFormat="1" ht="17.25" x14ac:dyDescent="0.2">
      <c r="A91" s="82" t="s">
        <v>135</v>
      </c>
      <c r="B91" s="37" t="s">
        <v>136</v>
      </c>
      <c r="C91" s="38">
        <f>[3]С3!F22</f>
        <v>4.2734663496849565</v>
      </c>
    </row>
    <row r="92" spans="1:3" s="68" customFormat="1" ht="55.5" x14ac:dyDescent="0.2">
      <c r="A92" s="82" t="s">
        <v>137</v>
      </c>
      <c r="B92" s="58" t="s">
        <v>138</v>
      </c>
      <c r="C92" s="85">
        <f>[3]С3!F23</f>
        <v>3.0000000000000001E-3</v>
      </c>
    </row>
    <row r="93" spans="1:3" s="68" customFormat="1" ht="27.75" thickBot="1" x14ac:dyDescent="0.25">
      <c r="A93" s="86" t="s">
        <v>139</v>
      </c>
      <c r="B93" s="87" t="s">
        <v>140</v>
      </c>
      <c r="C93" s="88">
        <f>[3]С3!F24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[3]С4!F16</f>
        <v>1652.5</v>
      </c>
    </row>
    <row r="97" spans="1:3" ht="30" x14ac:dyDescent="0.2">
      <c r="A97" s="64" t="s">
        <v>145</v>
      </c>
      <c r="B97" s="63" t="s">
        <v>146</v>
      </c>
      <c r="C97" s="38">
        <f>[3]С4!F17</f>
        <v>73547</v>
      </c>
    </row>
    <row r="98" spans="1:3" ht="17.25" x14ac:dyDescent="0.2">
      <c r="A98" s="64" t="s">
        <v>147</v>
      </c>
      <c r="B98" s="63" t="s">
        <v>148</v>
      </c>
      <c r="C98" s="44">
        <f>[3]С4!F18</f>
        <v>0.02</v>
      </c>
    </row>
    <row r="99" spans="1:3" ht="30" x14ac:dyDescent="0.2">
      <c r="A99" s="64" t="s">
        <v>149</v>
      </c>
      <c r="B99" s="63" t="s">
        <v>150</v>
      </c>
      <c r="C99" s="38">
        <f>[3]С4!F19</f>
        <v>12104</v>
      </c>
    </row>
    <row r="100" spans="1:3" ht="31.5" x14ac:dyDescent="0.2">
      <c r="A100" s="64" t="s">
        <v>151</v>
      </c>
      <c r="B100" s="63" t="s">
        <v>152</v>
      </c>
      <c r="C100" s="44">
        <f>[3]С4!F20</f>
        <v>1.4999999999999999E-2</v>
      </c>
    </row>
    <row r="101" spans="1:3" ht="30" x14ac:dyDescent="0.2">
      <c r="A101" s="64" t="s">
        <v>153</v>
      </c>
      <c r="B101" s="37" t="s">
        <v>154</v>
      </c>
      <c r="C101" s="38">
        <f>[3]С4!F21</f>
        <v>1933.1949342509995</v>
      </c>
    </row>
    <row r="102" spans="1:3" ht="24" customHeight="1" x14ac:dyDescent="0.2">
      <c r="A102" s="64" t="s">
        <v>155</v>
      </c>
      <c r="B102" s="58" t="s">
        <v>156</v>
      </c>
      <c r="C102" s="90">
        <f>IF([3]С4.2!F8="да",[3]С4.2!D21,[3]С4.2!D15)</f>
        <v>0</v>
      </c>
    </row>
    <row r="103" spans="1:3" ht="68.25" x14ac:dyDescent="0.2">
      <c r="A103" s="64" t="s">
        <v>157</v>
      </c>
      <c r="B103" s="58" t="s">
        <v>158</v>
      </c>
      <c r="C103" s="38">
        <f>[3]С4!F22</f>
        <v>3.6112641666666665</v>
      </c>
    </row>
    <row r="104" spans="1:3" ht="30" x14ac:dyDescent="0.2">
      <c r="A104" s="64" t="s">
        <v>159</v>
      </c>
      <c r="B104" s="63" t="s">
        <v>160</v>
      </c>
      <c r="C104" s="38">
        <f>[3]С4!F23</f>
        <v>180</v>
      </c>
    </row>
    <row r="105" spans="1:3" ht="14.25" x14ac:dyDescent="0.2">
      <c r="A105" s="64" t="s">
        <v>161</v>
      </c>
      <c r="B105" s="58" t="s">
        <v>162</v>
      </c>
      <c r="C105" s="38">
        <f>[3]С4!F24</f>
        <v>8497.1999999999989</v>
      </c>
    </row>
    <row r="106" spans="1:3" ht="14.25" x14ac:dyDescent="0.2">
      <c r="A106" s="64" t="s">
        <v>163</v>
      </c>
      <c r="B106" s="63" t="s">
        <v>164</v>
      </c>
      <c r="C106" s="44">
        <f>[3]С4!F25</f>
        <v>0.35</v>
      </c>
    </row>
    <row r="107" spans="1:3" ht="17.25" x14ac:dyDescent="0.2">
      <c r="A107" s="64" t="s">
        <v>165</v>
      </c>
      <c r="B107" s="37" t="s">
        <v>166</v>
      </c>
      <c r="C107" s="38">
        <f>[3]С4!F26</f>
        <v>83.892300000000006</v>
      </c>
    </row>
    <row r="108" spans="1:3" ht="25.5" x14ac:dyDescent="0.2">
      <c r="A108" s="64" t="s">
        <v>167</v>
      </c>
      <c r="B108" s="58" t="s">
        <v>94</v>
      </c>
      <c r="C108" s="90">
        <f>[3]С4.3!E16</f>
        <v>0</v>
      </c>
    </row>
    <row r="109" spans="1:3" ht="25.5" x14ac:dyDescent="0.2">
      <c r="A109" s="64" t="s">
        <v>168</v>
      </c>
      <c r="B109" s="58" t="s">
        <v>169</v>
      </c>
      <c r="C109" s="38">
        <f>[3]С4.3!E17</f>
        <v>19.86</v>
      </c>
    </row>
    <row r="110" spans="1:3" ht="38.25" x14ac:dyDescent="0.2">
      <c r="A110" s="64" t="s">
        <v>170</v>
      </c>
      <c r="B110" s="58" t="s">
        <v>106</v>
      </c>
      <c r="C110" s="90">
        <f>[3]С4.3!E18</f>
        <v>0</v>
      </c>
    </row>
    <row r="111" spans="1:3" x14ac:dyDescent="0.2">
      <c r="A111" s="64" t="s">
        <v>171</v>
      </c>
      <c r="B111" s="58" t="s">
        <v>172</v>
      </c>
      <c r="C111" s="38">
        <f>[3]С4.3!E19</f>
        <v>69.819999999999993</v>
      </c>
    </row>
    <row r="112" spans="1:3" x14ac:dyDescent="0.2">
      <c r="A112" s="64" t="s">
        <v>173</v>
      </c>
      <c r="B112" s="63" t="s">
        <v>174</v>
      </c>
      <c r="C112" s="38">
        <f>[3]С4.3!E11</f>
        <v>1871</v>
      </c>
    </row>
    <row r="113" spans="1:3" x14ac:dyDescent="0.2">
      <c r="A113" s="64" t="s">
        <v>175</v>
      </c>
      <c r="B113" s="63" t="s">
        <v>176</v>
      </c>
      <c r="C113" s="57">
        <f>[3]С4.3!E12</f>
        <v>1636</v>
      </c>
    </row>
    <row r="114" spans="1:3" x14ac:dyDescent="0.2">
      <c r="A114" s="64" t="s">
        <v>177</v>
      </c>
      <c r="B114" s="63" t="s">
        <v>178</v>
      </c>
      <c r="C114" s="57">
        <f>[3]С4.3!E13</f>
        <v>204</v>
      </c>
    </row>
    <row r="115" spans="1:3" ht="30" x14ac:dyDescent="0.2">
      <c r="A115" s="64" t="s">
        <v>179</v>
      </c>
      <c r="B115" s="37" t="s">
        <v>180</v>
      </c>
      <c r="C115" s="38">
        <f>[3]С4!F27</f>
        <v>1047.1575926659227</v>
      </c>
    </row>
    <row r="116" spans="1:3" ht="25.5" x14ac:dyDescent="0.2">
      <c r="A116" s="64" t="s">
        <v>181</v>
      </c>
      <c r="B116" s="58" t="s">
        <v>182</v>
      </c>
      <c r="C116" s="38">
        <f>[3]С4!F28</f>
        <v>804.26850435170718</v>
      </c>
    </row>
    <row r="117" spans="1:3" ht="42.75" x14ac:dyDescent="0.2">
      <c r="A117" s="64" t="s">
        <v>183</v>
      </c>
      <c r="B117" s="58" t="s">
        <v>184</v>
      </c>
      <c r="C117" s="38">
        <f>[3]С4!F29</f>
        <v>242.8890883142156</v>
      </c>
    </row>
    <row r="118" spans="1:3" ht="30" x14ac:dyDescent="0.2">
      <c r="A118" s="64" t="s">
        <v>185</v>
      </c>
      <c r="B118" s="43" t="s">
        <v>186</v>
      </c>
      <c r="C118" s="38">
        <f>[3]С4!F30</f>
        <v>2002.392347177396</v>
      </c>
    </row>
    <row r="119" spans="1:3" ht="42.75" x14ac:dyDescent="0.2">
      <c r="A119" s="64" t="s">
        <v>187</v>
      </c>
      <c r="B119" s="91" t="s">
        <v>188</v>
      </c>
      <c r="C119" s="38">
        <f>[3]С4!F33</f>
        <v>1284.8303932295435</v>
      </c>
    </row>
    <row r="120" spans="1:3" ht="30" x14ac:dyDescent="0.2">
      <c r="A120" s="64" t="s">
        <v>189</v>
      </c>
      <c r="B120" s="92" t="s">
        <v>190</v>
      </c>
      <c r="C120" s="38">
        <f>[3]С4!F35</f>
        <v>17.040680999999999</v>
      </c>
    </row>
    <row r="121" spans="1:3" ht="14.25" x14ac:dyDescent="0.2">
      <c r="A121" s="64" t="s">
        <v>191</v>
      </c>
      <c r="B121" s="61" t="s">
        <v>192</v>
      </c>
      <c r="C121" s="38">
        <f>[3]С4!F36</f>
        <v>14319.9</v>
      </c>
    </row>
    <row r="122" spans="1:3" ht="28.5" thickBot="1" x14ac:dyDescent="0.25">
      <c r="A122" s="77" t="s">
        <v>193</v>
      </c>
      <c r="B122" s="93" t="s">
        <v>194</v>
      </c>
      <c r="C122" s="88">
        <f>[3]С4!F37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[3]С5!F17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[3]С2!F37</f>
        <v>20.818139999999996</v>
      </c>
    </row>
    <row r="136" spans="1:4" ht="14.25" x14ac:dyDescent="0.2">
      <c r="A136" s="64" t="s">
        <v>216</v>
      </c>
      <c r="B136" s="107" t="s">
        <v>217</v>
      </c>
      <c r="C136" s="38">
        <f>[3]С2!F38</f>
        <v>7</v>
      </c>
    </row>
    <row r="137" spans="1:4" ht="17.25" x14ac:dyDescent="0.2">
      <c r="A137" s="64" t="s">
        <v>218</v>
      </c>
      <c r="B137" s="107" t="s">
        <v>219</v>
      </c>
      <c r="C137" s="38">
        <f>[3]С2!F40</f>
        <v>0.97</v>
      </c>
    </row>
    <row r="138" spans="1:4" ht="15" thickBot="1" x14ac:dyDescent="0.25">
      <c r="A138" s="77" t="s">
        <v>220</v>
      </c>
      <c r="B138" s="108" t="s">
        <v>221</v>
      </c>
      <c r="C138" s="50">
        <f>[3]С2!F42</f>
        <v>0.35</v>
      </c>
    </row>
    <row r="139" spans="1:4" s="94" customFormat="1" ht="13.5" thickBot="1" x14ac:dyDescent="0.25">
      <c r="A139" s="51"/>
      <c r="B139" s="80"/>
      <c r="C139" s="16"/>
    </row>
    <row r="140" spans="1:4" ht="30" x14ac:dyDescent="0.2">
      <c r="A140" s="89" t="s">
        <v>222</v>
      </c>
      <c r="B140" s="109" t="s">
        <v>223</v>
      </c>
      <c r="C140" s="110">
        <f>[3]С2!F35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[3]С2.5!$E$11</f>
        <v>-2.9000000000000026E-2</v>
      </c>
      <c r="D143" s="94"/>
    </row>
    <row r="144" spans="1:4" x14ac:dyDescent="0.2">
      <c r="A144" s="112"/>
      <c r="B144" s="117">
        <f>B143+1</f>
        <v>2021</v>
      </c>
      <c r="C144" s="118">
        <f>[3]С2.5!$F$11</f>
        <v>0.245</v>
      </c>
      <c r="D144" s="94"/>
    </row>
    <row r="145" spans="1:4" x14ac:dyDescent="0.2">
      <c r="A145" s="112"/>
      <c r="B145" s="117">
        <f t="shared" ref="B145:B208" si="0">B144+1</f>
        <v>2022</v>
      </c>
      <c r="C145" s="118">
        <f>[3]С2.5!$G$11</f>
        <v>0.121</v>
      </c>
      <c r="D145" s="94"/>
    </row>
    <row r="146" spans="1:4" ht="13.5" thickBot="1" x14ac:dyDescent="0.25">
      <c r="A146" s="112"/>
      <c r="B146" s="119">
        <f t="shared" si="0"/>
        <v>2023</v>
      </c>
      <c r="C146" s="120">
        <f>[3]С2.5!$H$11</f>
        <v>0.02</v>
      </c>
      <c r="D146" s="94"/>
    </row>
    <row r="147" spans="1:4" hidden="1" x14ac:dyDescent="0.2">
      <c r="A147" s="112"/>
      <c r="B147" s="121">
        <f t="shared" si="0"/>
        <v>2024</v>
      </c>
      <c r="C147" s="122">
        <f>[3]С2.5!$I$11</f>
        <v>-2.93E-2</v>
      </c>
      <c r="D147" s="94"/>
    </row>
    <row r="148" spans="1:4" hidden="1" x14ac:dyDescent="0.2">
      <c r="A148" s="112"/>
      <c r="B148" s="117">
        <f t="shared" si="0"/>
        <v>2025</v>
      </c>
      <c r="C148" s="118">
        <f>[3]С2.5!$J$11</f>
        <v>0.21215960863291</v>
      </c>
      <c r="D148" s="94"/>
    </row>
    <row r="149" spans="1:4" hidden="1" x14ac:dyDescent="0.2">
      <c r="A149" s="112"/>
      <c r="B149" s="117">
        <f t="shared" si="0"/>
        <v>2026</v>
      </c>
      <c r="C149" s="118">
        <f>[3]С2.5!$K$11</f>
        <v>3.5813361771260002E-2</v>
      </c>
      <c r="D149" s="94"/>
    </row>
    <row r="150" spans="1:4" hidden="1" x14ac:dyDescent="0.2">
      <c r="A150" s="112"/>
      <c r="B150" s="117">
        <f t="shared" si="0"/>
        <v>2027</v>
      </c>
      <c r="C150" s="118">
        <f>[3]С2.5!$L$11</f>
        <v>3.2682303599220003E-2</v>
      </c>
      <c r="D150" s="94"/>
    </row>
    <row r="151" spans="1:4" hidden="1" x14ac:dyDescent="0.2">
      <c r="A151" s="112"/>
      <c r="B151" s="117">
        <f t="shared" si="0"/>
        <v>2028</v>
      </c>
      <c r="C151" s="118">
        <f>[3]С2.5!$M$11</f>
        <v>0</v>
      </c>
      <c r="D151" s="94"/>
    </row>
    <row r="152" spans="1:4" hidden="1" x14ac:dyDescent="0.2">
      <c r="A152" s="112"/>
      <c r="B152" s="117">
        <f t="shared" si="0"/>
        <v>2029</v>
      </c>
      <c r="C152" s="118">
        <f>[3]С2.5!$N$11</f>
        <v>0</v>
      </c>
      <c r="D152" s="94"/>
    </row>
    <row r="153" spans="1:4" hidden="1" x14ac:dyDescent="0.2">
      <c r="A153" s="112"/>
      <c r="B153" s="117">
        <f t="shared" si="0"/>
        <v>2030</v>
      </c>
      <c r="C153" s="118">
        <f>[3]С2.5!$O$11</f>
        <v>0</v>
      </c>
      <c r="D153" s="94"/>
    </row>
    <row r="154" spans="1:4" hidden="1" x14ac:dyDescent="0.2">
      <c r="A154" s="112"/>
      <c r="B154" s="117">
        <f t="shared" si="0"/>
        <v>2031</v>
      </c>
      <c r="C154" s="118">
        <f>[3]С2.5!$P$11</f>
        <v>0</v>
      </c>
      <c r="D154" s="94"/>
    </row>
    <row r="155" spans="1:4" hidden="1" x14ac:dyDescent="0.2">
      <c r="A155" s="94"/>
      <c r="B155" s="117">
        <f t="shared" si="0"/>
        <v>2032</v>
      </c>
      <c r="C155" s="118">
        <f>[3]С2.5!$Q$11</f>
        <v>0</v>
      </c>
      <c r="D155" s="94"/>
    </row>
    <row r="156" spans="1:4" hidden="1" x14ac:dyDescent="0.2">
      <c r="A156" s="94"/>
      <c r="B156" s="117">
        <f t="shared" si="0"/>
        <v>2033</v>
      </c>
      <c r="C156" s="118">
        <f>[3]С2.5!$R$11</f>
        <v>0</v>
      </c>
      <c r="D156" s="94"/>
    </row>
    <row r="157" spans="1:4" hidden="1" x14ac:dyDescent="0.2">
      <c r="B157" s="117">
        <f t="shared" si="0"/>
        <v>2034</v>
      </c>
      <c r="C157" s="118">
        <f>[3]С2.5!$S$11</f>
        <v>0</v>
      </c>
    </row>
    <row r="158" spans="1:4" hidden="1" x14ac:dyDescent="0.2">
      <c r="B158" s="117">
        <f t="shared" si="0"/>
        <v>2035</v>
      </c>
      <c r="C158" s="118">
        <f>[3]С2.5!$T$11</f>
        <v>0</v>
      </c>
    </row>
    <row r="159" spans="1:4" hidden="1" x14ac:dyDescent="0.2">
      <c r="B159" s="117">
        <f t="shared" si="0"/>
        <v>2036</v>
      </c>
      <c r="C159" s="118">
        <f>[3]С2.5!$U$11</f>
        <v>0</v>
      </c>
    </row>
    <row r="160" spans="1:4" hidden="1" x14ac:dyDescent="0.2">
      <c r="B160" s="117">
        <f t="shared" si="0"/>
        <v>2037</v>
      </c>
      <c r="C160" s="118">
        <f>[3]С2.5!$V$11</f>
        <v>0</v>
      </c>
    </row>
    <row r="161" spans="2:3" hidden="1" x14ac:dyDescent="0.2">
      <c r="B161" s="117">
        <f t="shared" si="0"/>
        <v>2038</v>
      </c>
      <c r="C161" s="118">
        <f>[3]С2.5!$W$11</f>
        <v>0</v>
      </c>
    </row>
    <row r="162" spans="2:3" hidden="1" x14ac:dyDescent="0.2">
      <c r="B162" s="117">
        <f t="shared" si="0"/>
        <v>2039</v>
      </c>
      <c r="C162" s="118">
        <f>[3]С2.5!$X$11</f>
        <v>0</v>
      </c>
    </row>
    <row r="163" spans="2:3" hidden="1" x14ac:dyDescent="0.2">
      <c r="B163" s="117">
        <f t="shared" si="0"/>
        <v>2040</v>
      </c>
      <c r="C163" s="118">
        <f>[3]С2.5!$Y$11</f>
        <v>0</v>
      </c>
    </row>
    <row r="164" spans="2:3" hidden="1" x14ac:dyDescent="0.2">
      <c r="B164" s="117">
        <f t="shared" si="0"/>
        <v>2041</v>
      </c>
      <c r="C164" s="118">
        <f>[3]С2.5!$Z$11</f>
        <v>0</v>
      </c>
    </row>
    <row r="165" spans="2:3" hidden="1" x14ac:dyDescent="0.2">
      <c r="B165" s="117">
        <f t="shared" si="0"/>
        <v>2042</v>
      </c>
      <c r="C165" s="118">
        <f>[3]С2.5!$AA$11</f>
        <v>0</v>
      </c>
    </row>
    <row r="166" spans="2:3" hidden="1" x14ac:dyDescent="0.2">
      <c r="B166" s="117">
        <f t="shared" si="0"/>
        <v>2043</v>
      </c>
      <c r="C166" s="118">
        <f>[3]С2.5!$AB$11</f>
        <v>0</v>
      </c>
    </row>
    <row r="167" spans="2:3" hidden="1" x14ac:dyDescent="0.2">
      <c r="B167" s="117">
        <f t="shared" si="0"/>
        <v>2044</v>
      </c>
      <c r="C167" s="118">
        <f>[3]С2.5!$AC$11</f>
        <v>0</v>
      </c>
    </row>
    <row r="168" spans="2:3" hidden="1" x14ac:dyDescent="0.2">
      <c r="B168" s="117">
        <f t="shared" si="0"/>
        <v>2045</v>
      </c>
      <c r="C168" s="118">
        <f>[3]С2.5!$AD$11</f>
        <v>0</v>
      </c>
    </row>
    <row r="169" spans="2:3" hidden="1" x14ac:dyDescent="0.2">
      <c r="B169" s="117">
        <f t="shared" si="0"/>
        <v>2046</v>
      </c>
      <c r="C169" s="118">
        <f>[3]С2.5!$AE$11</f>
        <v>0</v>
      </c>
    </row>
    <row r="170" spans="2:3" hidden="1" x14ac:dyDescent="0.2">
      <c r="B170" s="117">
        <f t="shared" si="0"/>
        <v>2047</v>
      </c>
      <c r="C170" s="118">
        <f>[3]С2.5!$AF$11</f>
        <v>0</v>
      </c>
    </row>
    <row r="171" spans="2:3" hidden="1" x14ac:dyDescent="0.2">
      <c r="B171" s="117">
        <f t="shared" si="0"/>
        <v>2048</v>
      </c>
      <c r="C171" s="118">
        <f>[3]С2.5!$AG$11</f>
        <v>0</v>
      </c>
    </row>
    <row r="172" spans="2:3" hidden="1" x14ac:dyDescent="0.2">
      <c r="B172" s="117">
        <f t="shared" si="0"/>
        <v>2049</v>
      </c>
      <c r="C172" s="118">
        <f>[3]С2.5!$AH$11</f>
        <v>0</v>
      </c>
    </row>
    <row r="173" spans="2:3" hidden="1" x14ac:dyDescent="0.2">
      <c r="B173" s="117">
        <f t="shared" si="0"/>
        <v>2050</v>
      </c>
      <c r="C173" s="118">
        <f>[3]С2.5!$AI$11</f>
        <v>0</v>
      </c>
    </row>
    <row r="174" spans="2:3" hidden="1" x14ac:dyDescent="0.2">
      <c r="B174" s="117">
        <f t="shared" si="0"/>
        <v>2051</v>
      </c>
      <c r="C174" s="118">
        <f>[3]С2.5!$AJ$11</f>
        <v>0</v>
      </c>
    </row>
    <row r="175" spans="2:3" hidden="1" x14ac:dyDescent="0.2">
      <c r="B175" s="117">
        <f t="shared" si="0"/>
        <v>2052</v>
      </c>
      <c r="C175" s="118">
        <f>[3]С2.5!$AK$11</f>
        <v>0</v>
      </c>
    </row>
    <row r="176" spans="2:3" hidden="1" x14ac:dyDescent="0.2">
      <c r="B176" s="117">
        <f t="shared" si="0"/>
        <v>2053</v>
      </c>
      <c r="C176" s="118">
        <f>[3]С2.5!$AL$11</f>
        <v>0</v>
      </c>
    </row>
    <row r="177" spans="2:3" hidden="1" x14ac:dyDescent="0.2">
      <c r="B177" s="117">
        <f t="shared" si="0"/>
        <v>2054</v>
      </c>
      <c r="C177" s="118">
        <f>[3]С2.5!$AM$11</f>
        <v>0</v>
      </c>
    </row>
    <row r="178" spans="2:3" hidden="1" x14ac:dyDescent="0.2">
      <c r="B178" s="117">
        <f t="shared" si="0"/>
        <v>2055</v>
      </c>
      <c r="C178" s="118">
        <f>[3]С2.5!$AN$11</f>
        <v>0</v>
      </c>
    </row>
    <row r="179" spans="2:3" hidden="1" x14ac:dyDescent="0.2">
      <c r="B179" s="117">
        <f t="shared" si="0"/>
        <v>2056</v>
      </c>
      <c r="C179" s="118">
        <f>[3]С2.5!$AO$11</f>
        <v>0</v>
      </c>
    </row>
    <row r="180" spans="2:3" hidden="1" x14ac:dyDescent="0.2">
      <c r="B180" s="117">
        <f t="shared" si="0"/>
        <v>2057</v>
      </c>
      <c r="C180" s="118">
        <f>[3]С2.5!$AP$11</f>
        <v>0</v>
      </c>
    </row>
    <row r="181" spans="2:3" hidden="1" x14ac:dyDescent="0.2">
      <c r="B181" s="117">
        <f t="shared" si="0"/>
        <v>2058</v>
      </c>
      <c r="C181" s="118">
        <f>[3]С2.5!$AQ$11</f>
        <v>0</v>
      </c>
    </row>
    <row r="182" spans="2:3" hidden="1" x14ac:dyDescent="0.2">
      <c r="B182" s="117">
        <f t="shared" si="0"/>
        <v>2059</v>
      </c>
      <c r="C182" s="118">
        <f>[3]С2.5!$AR$11</f>
        <v>0</v>
      </c>
    </row>
    <row r="183" spans="2:3" hidden="1" x14ac:dyDescent="0.2">
      <c r="B183" s="117">
        <f t="shared" si="0"/>
        <v>2060</v>
      </c>
      <c r="C183" s="118">
        <f>[3]С2.5!$AS$11</f>
        <v>0</v>
      </c>
    </row>
    <row r="184" spans="2:3" hidden="1" x14ac:dyDescent="0.2">
      <c r="B184" s="117">
        <f t="shared" si="0"/>
        <v>2061</v>
      </c>
      <c r="C184" s="118">
        <f>[3]С2.5!$AT$11</f>
        <v>0</v>
      </c>
    </row>
    <row r="185" spans="2:3" hidden="1" x14ac:dyDescent="0.2">
      <c r="B185" s="117">
        <f t="shared" si="0"/>
        <v>2062</v>
      </c>
      <c r="C185" s="118">
        <f>[3]С2.5!$AU$11</f>
        <v>0</v>
      </c>
    </row>
    <row r="186" spans="2:3" hidden="1" x14ac:dyDescent="0.2">
      <c r="B186" s="117">
        <f t="shared" si="0"/>
        <v>2063</v>
      </c>
      <c r="C186" s="118">
        <f>[3]С2.5!$AV$11</f>
        <v>0</v>
      </c>
    </row>
    <row r="187" spans="2:3" hidden="1" x14ac:dyDescent="0.2">
      <c r="B187" s="117">
        <f t="shared" si="0"/>
        <v>2064</v>
      </c>
      <c r="C187" s="118">
        <f>[3]С2.5!$AW$11</f>
        <v>0</v>
      </c>
    </row>
    <row r="188" spans="2:3" hidden="1" x14ac:dyDescent="0.2">
      <c r="B188" s="117">
        <f t="shared" si="0"/>
        <v>2065</v>
      </c>
      <c r="C188" s="118">
        <f>[3]С2.5!$AX$11</f>
        <v>0</v>
      </c>
    </row>
    <row r="189" spans="2:3" hidden="1" x14ac:dyDescent="0.2">
      <c r="B189" s="117">
        <f t="shared" si="0"/>
        <v>2066</v>
      </c>
      <c r="C189" s="118">
        <f>[3]С2.5!$AY$11</f>
        <v>0</v>
      </c>
    </row>
    <row r="190" spans="2:3" hidden="1" x14ac:dyDescent="0.2">
      <c r="B190" s="117">
        <f t="shared" si="0"/>
        <v>2067</v>
      </c>
      <c r="C190" s="118">
        <f>[3]С2.5!$AZ$11</f>
        <v>0</v>
      </c>
    </row>
    <row r="191" spans="2:3" hidden="1" x14ac:dyDescent="0.2">
      <c r="B191" s="117">
        <f t="shared" si="0"/>
        <v>2068</v>
      </c>
      <c r="C191" s="118">
        <f>[3]С2.5!$BA$11</f>
        <v>0</v>
      </c>
    </row>
    <row r="192" spans="2:3" hidden="1" x14ac:dyDescent="0.2">
      <c r="B192" s="117">
        <f t="shared" si="0"/>
        <v>2069</v>
      </c>
      <c r="C192" s="118">
        <f>[3]С2.5!$BB$11</f>
        <v>0</v>
      </c>
    </row>
    <row r="193" spans="2:3" hidden="1" x14ac:dyDescent="0.2">
      <c r="B193" s="117">
        <f t="shared" si="0"/>
        <v>2070</v>
      </c>
      <c r="C193" s="118">
        <f>[3]С2.5!$BC$11</f>
        <v>0</v>
      </c>
    </row>
    <row r="194" spans="2:3" hidden="1" x14ac:dyDescent="0.2">
      <c r="B194" s="117">
        <f t="shared" si="0"/>
        <v>2071</v>
      </c>
      <c r="C194" s="118">
        <f>[3]С2.5!$BD$11</f>
        <v>0</v>
      </c>
    </row>
    <row r="195" spans="2:3" hidden="1" x14ac:dyDescent="0.2">
      <c r="B195" s="117">
        <f t="shared" si="0"/>
        <v>2072</v>
      </c>
      <c r="C195" s="118">
        <f>[3]С2.5!$BE$11</f>
        <v>0</v>
      </c>
    </row>
    <row r="196" spans="2:3" hidden="1" x14ac:dyDescent="0.2">
      <c r="B196" s="117">
        <f t="shared" si="0"/>
        <v>2073</v>
      </c>
      <c r="C196" s="118">
        <f>[3]С2.5!$BF$11</f>
        <v>0</v>
      </c>
    </row>
    <row r="197" spans="2:3" hidden="1" x14ac:dyDescent="0.2">
      <c r="B197" s="117">
        <f t="shared" si="0"/>
        <v>2074</v>
      </c>
      <c r="C197" s="118">
        <f>[3]С2.5!$BG$11</f>
        <v>0</v>
      </c>
    </row>
    <row r="198" spans="2:3" hidden="1" x14ac:dyDescent="0.2">
      <c r="B198" s="117">
        <f t="shared" si="0"/>
        <v>2075</v>
      </c>
      <c r="C198" s="118">
        <f>[3]С2.5!$BH$11</f>
        <v>0</v>
      </c>
    </row>
    <row r="199" spans="2:3" hidden="1" x14ac:dyDescent="0.2">
      <c r="B199" s="117">
        <f t="shared" si="0"/>
        <v>2076</v>
      </c>
      <c r="C199" s="118">
        <f>[3]С2.5!$BI$11</f>
        <v>0</v>
      </c>
    </row>
    <row r="200" spans="2:3" hidden="1" x14ac:dyDescent="0.2">
      <c r="B200" s="117">
        <f t="shared" si="0"/>
        <v>2077</v>
      </c>
      <c r="C200" s="118">
        <f>[3]С2.5!$BJ$11</f>
        <v>0</v>
      </c>
    </row>
    <row r="201" spans="2:3" hidden="1" x14ac:dyDescent="0.2">
      <c r="B201" s="117">
        <f t="shared" si="0"/>
        <v>2078</v>
      </c>
      <c r="C201" s="118">
        <f>[3]С2.5!$BK$11</f>
        <v>0</v>
      </c>
    </row>
    <row r="202" spans="2:3" hidden="1" x14ac:dyDescent="0.2">
      <c r="B202" s="117">
        <f t="shared" si="0"/>
        <v>2079</v>
      </c>
      <c r="C202" s="118">
        <f>[3]С2.5!$BL$11</f>
        <v>0</v>
      </c>
    </row>
    <row r="203" spans="2:3" hidden="1" x14ac:dyDescent="0.2">
      <c r="B203" s="117">
        <f t="shared" si="0"/>
        <v>2080</v>
      </c>
      <c r="C203" s="118">
        <f>[3]С2.5!$BM$11</f>
        <v>0</v>
      </c>
    </row>
    <row r="204" spans="2:3" hidden="1" x14ac:dyDescent="0.2">
      <c r="B204" s="117">
        <f t="shared" si="0"/>
        <v>2081</v>
      </c>
      <c r="C204" s="118">
        <f>[3]С2.5!$BN$11</f>
        <v>0</v>
      </c>
    </row>
    <row r="205" spans="2:3" hidden="1" x14ac:dyDescent="0.2">
      <c r="B205" s="117">
        <f t="shared" si="0"/>
        <v>2082</v>
      </c>
      <c r="C205" s="118">
        <f>[3]С2.5!$BO$11</f>
        <v>0</v>
      </c>
    </row>
    <row r="206" spans="2:3" hidden="1" x14ac:dyDescent="0.2">
      <c r="B206" s="117">
        <f t="shared" si="0"/>
        <v>2083</v>
      </c>
      <c r="C206" s="118">
        <f>[3]С2.5!$BP$11</f>
        <v>0</v>
      </c>
    </row>
    <row r="207" spans="2:3" hidden="1" x14ac:dyDescent="0.2">
      <c r="B207" s="117">
        <f t="shared" si="0"/>
        <v>2084</v>
      </c>
      <c r="C207" s="118">
        <f>[3]С2.5!$BQ$11</f>
        <v>0</v>
      </c>
    </row>
    <row r="208" spans="2:3" hidden="1" x14ac:dyDescent="0.2">
      <c r="B208" s="117">
        <f t="shared" si="0"/>
        <v>2085</v>
      </c>
      <c r="C208" s="118">
        <f>[3]С2.5!$BR$11</f>
        <v>0</v>
      </c>
    </row>
    <row r="209" spans="2:3" hidden="1" x14ac:dyDescent="0.2">
      <c r="B209" s="117">
        <f t="shared" ref="B209:B223" si="1">B208+1</f>
        <v>2086</v>
      </c>
      <c r="C209" s="118">
        <f>[3]С2.5!$BS$11</f>
        <v>0</v>
      </c>
    </row>
    <row r="210" spans="2:3" hidden="1" x14ac:dyDescent="0.2">
      <c r="B210" s="117">
        <f t="shared" si="1"/>
        <v>2087</v>
      </c>
      <c r="C210" s="118">
        <f>[3]С2.5!$BT$11</f>
        <v>0</v>
      </c>
    </row>
    <row r="211" spans="2:3" hidden="1" x14ac:dyDescent="0.2">
      <c r="B211" s="117">
        <f t="shared" si="1"/>
        <v>2088</v>
      </c>
      <c r="C211" s="118">
        <f>[3]С2.5!$BU$11</f>
        <v>0</v>
      </c>
    </row>
    <row r="212" spans="2:3" hidden="1" x14ac:dyDescent="0.2">
      <c r="B212" s="117">
        <f t="shared" si="1"/>
        <v>2089</v>
      </c>
      <c r="C212" s="118">
        <f>[3]С2.5!$BV$11</f>
        <v>0</v>
      </c>
    </row>
    <row r="213" spans="2:3" hidden="1" x14ac:dyDescent="0.2">
      <c r="B213" s="117">
        <f t="shared" si="1"/>
        <v>2090</v>
      </c>
      <c r="C213" s="118">
        <f>[3]С2.5!$BW$11</f>
        <v>0</v>
      </c>
    </row>
    <row r="214" spans="2:3" hidden="1" x14ac:dyDescent="0.2">
      <c r="B214" s="117">
        <f t="shared" si="1"/>
        <v>2091</v>
      </c>
      <c r="C214" s="118">
        <f>[3]С2.5!$BX$11</f>
        <v>0</v>
      </c>
    </row>
    <row r="215" spans="2:3" hidden="1" x14ac:dyDescent="0.2">
      <c r="B215" s="117">
        <f t="shared" si="1"/>
        <v>2092</v>
      </c>
      <c r="C215" s="118">
        <f>[3]С2.5!$BY$11</f>
        <v>0</v>
      </c>
    </row>
    <row r="216" spans="2:3" hidden="1" x14ac:dyDescent="0.2">
      <c r="B216" s="117">
        <f t="shared" si="1"/>
        <v>2093</v>
      </c>
      <c r="C216" s="118">
        <f>[3]С2.5!$BZ$11</f>
        <v>0</v>
      </c>
    </row>
    <row r="217" spans="2:3" hidden="1" x14ac:dyDescent="0.2">
      <c r="B217" s="117">
        <f t="shared" si="1"/>
        <v>2094</v>
      </c>
      <c r="C217" s="118">
        <f>[3]С2.5!$CA$11</f>
        <v>0</v>
      </c>
    </row>
    <row r="218" spans="2:3" hidden="1" x14ac:dyDescent="0.2">
      <c r="B218" s="117">
        <f t="shared" si="1"/>
        <v>2095</v>
      </c>
      <c r="C218" s="118">
        <f>[3]С2.5!$CB$11</f>
        <v>0</v>
      </c>
    </row>
    <row r="219" spans="2:3" hidden="1" x14ac:dyDescent="0.2">
      <c r="B219" s="117">
        <f t="shared" si="1"/>
        <v>2096</v>
      </c>
      <c r="C219" s="118">
        <f>[3]С2.5!$CC$11</f>
        <v>0</v>
      </c>
    </row>
    <row r="220" spans="2:3" hidden="1" x14ac:dyDescent="0.2">
      <c r="B220" s="117">
        <f t="shared" si="1"/>
        <v>2097</v>
      </c>
      <c r="C220" s="118">
        <f>[3]С2.5!$CD$11</f>
        <v>0</v>
      </c>
    </row>
    <row r="221" spans="2:3" hidden="1" x14ac:dyDescent="0.2">
      <c r="B221" s="117">
        <f t="shared" si="1"/>
        <v>2098</v>
      </c>
      <c r="C221" s="118">
        <f>[3]С2.5!$CE$11</f>
        <v>0</v>
      </c>
    </row>
    <row r="222" spans="2:3" hidden="1" x14ac:dyDescent="0.2">
      <c r="B222" s="117">
        <f t="shared" si="1"/>
        <v>2099</v>
      </c>
      <c r="C222" s="118">
        <f>[3]С2.5!$CF$11</f>
        <v>0</v>
      </c>
    </row>
    <row r="223" spans="2:3" ht="13.5" hidden="1" thickBot="1" x14ac:dyDescent="0.25">
      <c r="B223" s="119">
        <f t="shared" si="1"/>
        <v>2100</v>
      </c>
      <c r="C223" s="120">
        <f>[3]С2.5!$CG$11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3" r:id="rId3" name="Button 1">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[4]И1!D13</f>
        <v>Субъект Российской Федерации</v>
      </c>
      <c r="C4" s="11" t="str">
        <f>[4]И1!E13</f>
        <v>Новосибирская область</v>
      </c>
    </row>
    <row r="5" spans="1:3" ht="38.25" x14ac:dyDescent="0.2">
      <c r="A5" s="9"/>
      <c r="B5" s="10" t="str">
        <f>[4]И1!D14</f>
        <v>Тип муниципального образования (выберите из списка)</v>
      </c>
      <c r="C5" s="11" t="str">
        <f>[4]И1!E14</f>
        <v>село Болтово, Сузунский муниципальный район</v>
      </c>
    </row>
    <row r="6" spans="1:3" x14ac:dyDescent="0.2">
      <c r="A6" s="9"/>
      <c r="B6" s="10" t="str">
        <f>IF([4]И1!E15="","",[4]И1!D15)</f>
        <v/>
      </c>
      <c r="C6" s="11" t="str">
        <f>IF([4]И1!E15="","",[4]И1!E15)</f>
        <v/>
      </c>
    </row>
    <row r="7" spans="1:3" x14ac:dyDescent="0.2">
      <c r="A7" s="9"/>
      <c r="B7" s="10" t="str">
        <f>[4]И1!D16</f>
        <v>Код ОКТМО</v>
      </c>
      <c r="C7" s="12" t="str">
        <f>[4]И1!E16</f>
        <v xml:space="preserve"> (50648407101)</v>
      </c>
    </row>
    <row r="8" spans="1:3" x14ac:dyDescent="0.2">
      <c r="A8" s="9"/>
      <c r="B8" s="13" t="str">
        <f>[4]И1!D17</f>
        <v>Система теплоснабжения</v>
      </c>
      <c r="C8" s="14">
        <f>[4]И1!E17</f>
        <v>0</v>
      </c>
    </row>
    <row r="9" spans="1:3" x14ac:dyDescent="0.2">
      <c r="A9" s="9"/>
      <c r="B9" s="10" t="str">
        <f>[4]И1!D8</f>
        <v>Период регулирования (i)-й</v>
      </c>
      <c r="C9" s="15">
        <f>[4]И1!E8</f>
        <v>2023</v>
      </c>
    </row>
    <row r="10" spans="1:3" x14ac:dyDescent="0.2">
      <c r="A10" s="9"/>
      <c r="B10" s="10" t="str">
        <f>[4]И1!D9</f>
        <v>Период регулирования (i-1)-й</v>
      </c>
      <c r="C10" s="15">
        <f>[4]И1!E9</f>
        <v>2022</v>
      </c>
    </row>
    <row r="11" spans="1:3" x14ac:dyDescent="0.2">
      <c r="A11" s="9"/>
      <c r="B11" s="10" t="str">
        <f>[4]И1!D10</f>
        <v>Период регулирования (i-2)-й</v>
      </c>
      <c r="C11" s="15">
        <f>[4]И1!E10</f>
        <v>2021</v>
      </c>
    </row>
    <row r="12" spans="1:3" x14ac:dyDescent="0.2">
      <c r="A12" s="9"/>
      <c r="B12" s="10" t="str">
        <f>[4]И1!D11</f>
        <v>Базовый год (б)</v>
      </c>
      <c r="C12" s="15">
        <f>[4]И1!E11</f>
        <v>2019</v>
      </c>
    </row>
    <row r="13" spans="1:3" ht="38.25" x14ac:dyDescent="0.2">
      <c r="A13" s="9"/>
      <c r="B13" s="10" t="str">
        <f>[4]И1!D18</f>
        <v>Вид топлива, использование которого преобладает в системе теплоснабжения</v>
      </c>
      <c r="C13" s="16" t="str">
        <f>[4]С1.1!E13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3976.9726677970812</v>
      </c>
    </row>
    <row r="18" spans="1:3" ht="42.75" x14ac:dyDescent="0.2">
      <c r="A18" s="24" t="s">
        <v>8</v>
      </c>
      <c r="B18" s="27" t="s">
        <v>9</v>
      </c>
      <c r="C18" s="28">
        <f>[4]С1!F12</f>
        <v>881.42331892382447</v>
      </c>
    </row>
    <row r="19" spans="1:3" ht="42.75" x14ac:dyDescent="0.2">
      <c r="A19" s="24" t="s">
        <v>10</v>
      </c>
      <c r="B19" s="27" t="s">
        <v>11</v>
      </c>
      <c r="C19" s="28">
        <f>[4]С2!F12</f>
        <v>2108.7102251987935</v>
      </c>
    </row>
    <row r="20" spans="1:3" ht="30" x14ac:dyDescent="0.2">
      <c r="A20" s="24" t="s">
        <v>12</v>
      </c>
      <c r="B20" s="27" t="s">
        <v>13</v>
      </c>
      <c r="C20" s="28">
        <f>[4]С3!F12</f>
        <v>504.54115631660852</v>
      </c>
    </row>
    <row r="21" spans="1:3" ht="42.75" x14ac:dyDescent="0.2">
      <c r="A21" s="24" t="s">
        <v>14</v>
      </c>
      <c r="B21" s="27" t="s">
        <v>15</v>
      </c>
      <c r="C21" s="28">
        <f>[4]С4!F12</f>
        <v>404.31811112653935</v>
      </c>
    </row>
    <row r="22" spans="1:3" ht="30" x14ac:dyDescent="0.2">
      <c r="A22" s="24" t="s">
        <v>16</v>
      </c>
      <c r="B22" s="27" t="s">
        <v>17</v>
      </c>
      <c r="C22" s="28">
        <f>[4]С5!F12</f>
        <v>77.979856231315324</v>
      </c>
    </row>
    <row r="23" spans="1:3" ht="43.5" thickBot="1" x14ac:dyDescent="0.25">
      <c r="A23" s="29" t="s">
        <v>18</v>
      </c>
      <c r="B23" s="30" t="s">
        <v>19</v>
      </c>
      <c r="C23" s="31" t="str">
        <f>[4]С6!F12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[4]С1.1!E16</f>
        <v>5100</v>
      </c>
    </row>
    <row r="29" spans="1:3" ht="42.75" x14ac:dyDescent="0.2">
      <c r="A29" s="24" t="s">
        <v>10</v>
      </c>
      <c r="B29" s="37" t="s">
        <v>22</v>
      </c>
      <c r="C29" s="38">
        <f>[4]С1.1!E27</f>
        <v>2370</v>
      </c>
    </row>
    <row r="30" spans="1:3" ht="17.25" x14ac:dyDescent="0.2">
      <c r="A30" s="24" t="s">
        <v>12</v>
      </c>
      <c r="B30" s="37" t="s">
        <v>23</v>
      </c>
      <c r="C30" s="39">
        <f>[4]С1.1!E19</f>
        <v>0.59499999999999997</v>
      </c>
    </row>
    <row r="31" spans="1:3" ht="17.25" x14ac:dyDescent="0.2">
      <c r="A31" s="24" t="s">
        <v>14</v>
      </c>
      <c r="B31" s="37" t="s">
        <v>24</v>
      </c>
      <c r="C31" s="39">
        <f>[4]С1.1!E20</f>
        <v>-0.113</v>
      </c>
    </row>
    <row r="32" spans="1:3" ht="30" x14ac:dyDescent="0.2">
      <c r="A32" s="24" t="s">
        <v>16</v>
      </c>
      <c r="B32" s="40" t="s">
        <v>25</v>
      </c>
      <c r="C32" s="41">
        <f>[4]С1!F13</f>
        <v>176.4</v>
      </c>
    </row>
    <row r="33" spans="1:3" x14ac:dyDescent="0.2">
      <c r="A33" s="24" t="s">
        <v>18</v>
      </c>
      <c r="B33" s="40" t="s">
        <v>26</v>
      </c>
      <c r="C33" s="42">
        <f>[4]С1!F16</f>
        <v>7000</v>
      </c>
    </row>
    <row r="34" spans="1:3" ht="14.25" x14ac:dyDescent="0.2">
      <c r="A34" s="24" t="s">
        <v>27</v>
      </c>
      <c r="B34" s="43" t="s">
        <v>28</v>
      </c>
      <c r="C34" s="44">
        <f>[4]С1!F17</f>
        <v>0.72857142857142854</v>
      </c>
    </row>
    <row r="35" spans="1:3" ht="15.75" x14ac:dyDescent="0.2">
      <c r="A35" s="45" t="s">
        <v>29</v>
      </c>
      <c r="B35" s="46" t="s">
        <v>30</v>
      </c>
      <c r="C35" s="44">
        <f>[4]С1!F20</f>
        <v>21.588411179999994</v>
      </c>
    </row>
    <row r="36" spans="1:3" ht="15.75" x14ac:dyDescent="0.2">
      <c r="A36" s="45" t="s">
        <v>31</v>
      </c>
      <c r="B36" s="47" t="s">
        <v>32</v>
      </c>
      <c r="C36" s="44">
        <f>[4]С1!F21</f>
        <v>20.818139999999996</v>
      </c>
    </row>
    <row r="37" spans="1:3" ht="14.25" x14ac:dyDescent="0.2">
      <c r="A37" s="45" t="s">
        <v>33</v>
      </c>
      <c r="B37" s="48" t="s">
        <v>34</v>
      </c>
      <c r="C37" s="44">
        <f>[4]С1!F22</f>
        <v>1.0369999999999999</v>
      </c>
    </row>
    <row r="38" spans="1:3" ht="53.25" thickBot="1" x14ac:dyDescent="0.25">
      <c r="A38" s="29" t="s">
        <v>35</v>
      </c>
      <c r="B38" s="49" t="s">
        <v>36</v>
      </c>
      <c r="C38" s="50">
        <f>[4]С1!F23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[4]С2.1!E12</f>
        <v>V</v>
      </c>
    </row>
    <row r="42" spans="1:3" ht="25.5" x14ac:dyDescent="0.2">
      <c r="A42" s="24" t="s">
        <v>41</v>
      </c>
      <c r="B42" s="37" t="s">
        <v>42</v>
      </c>
      <c r="C42" s="56" t="str">
        <f>[4]С2.1!E13</f>
        <v>6 и менее баллов</v>
      </c>
    </row>
    <row r="43" spans="1:3" ht="25.5" x14ac:dyDescent="0.2">
      <c r="A43" s="24" t="s">
        <v>43</v>
      </c>
      <c r="B43" s="37" t="s">
        <v>44</v>
      </c>
      <c r="C43" s="56" t="str">
        <f>[4]С2.1!E14</f>
        <v>от 200 до 500</v>
      </c>
    </row>
    <row r="44" spans="1:3" ht="25.5" x14ac:dyDescent="0.2">
      <c r="A44" s="24" t="s">
        <v>45</v>
      </c>
      <c r="B44" s="37" t="s">
        <v>46</v>
      </c>
      <c r="C44" s="57" t="str">
        <f>[4]С2.1!E15</f>
        <v>нет</v>
      </c>
    </row>
    <row r="45" spans="1:3" ht="30" x14ac:dyDescent="0.2">
      <c r="A45" s="24" t="s">
        <v>47</v>
      </c>
      <c r="B45" s="37" t="s">
        <v>48</v>
      </c>
      <c r="C45" s="38">
        <f>[4]С2!F18</f>
        <v>32402.627334033532</v>
      </c>
    </row>
    <row r="46" spans="1:3" ht="30" x14ac:dyDescent="0.2">
      <c r="A46" s="24" t="s">
        <v>49</v>
      </c>
      <c r="B46" s="58" t="s">
        <v>50</v>
      </c>
      <c r="C46" s="38">
        <f>IF([4]С2!F19&gt;0,[4]С2!F19,[4]С2!F20)</f>
        <v>23441.524932855718</v>
      </c>
    </row>
    <row r="47" spans="1:3" ht="25.5" x14ac:dyDescent="0.2">
      <c r="A47" s="24" t="s">
        <v>51</v>
      </c>
      <c r="B47" s="59" t="s">
        <v>52</v>
      </c>
      <c r="C47" s="38">
        <f>[4]С2.1!E19</f>
        <v>-37</v>
      </c>
    </row>
    <row r="48" spans="1:3" ht="25.5" x14ac:dyDescent="0.2">
      <c r="A48" s="24" t="s">
        <v>53</v>
      </c>
      <c r="B48" s="59" t="s">
        <v>54</v>
      </c>
      <c r="C48" s="38" t="str">
        <f>[4]С2.1!E22</f>
        <v>нет</v>
      </c>
    </row>
    <row r="49" spans="1:3" ht="38.25" x14ac:dyDescent="0.2">
      <c r="A49" s="24" t="s">
        <v>55</v>
      </c>
      <c r="B49" s="60" t="s">
        <v>56</v>
      </c>
      <c r="C49" s="38">
        <f>[4]С2.2!E10</f>
        <v>1287</v>
      </c>
    </row>
    <row r="50" spans="1:3" ht="25.5" x14ac:dyDescent="0.2">
      <c r="A50" s="24" t="s">
        <v>57</v>
      </c>
      <c r="B50" s="61" t="s">
        <v>58</v>
      </c>
      <c r="C50" s="38">
        <f>[4]С2.2!E12</f>
        <v>5.97</v>
      </c>
    </row>
    <row r="51" spans="1:3" ht="52.5" x14ac:dyDescent="0.2">
      <c r="A51" s="24" t="s">
        <v>59</v>
      </c>
      <c r="B51" s="62" t="s">
        <v>60</v>
      </c>
      <c r="C51" s="38">
        <f>[4]С2.2!E13</f>
        <v>1</v>
      </c>
    </row>
    <row r="52" spans="1:3" ht="27.75" x14ac:dyDescent="0.2">
      <c r="A52" s="24" t="s">
        <v>61</v>
      </c>
      <c r="B52" s="61" t="s">
        <v>62</v>
      </c>
      <c r="C52" s="38">
        <f>[4]С2.2!E14</f>
        <v>12104</v>
      </c>
    </row>
    <row r="53" spans="1:3" ht="25.5" x14ac:dyDescent="0.2">
      <c r="A53" s="24" t="s">
        <v>63</v>
      </c>
      <c r="B53" s="62" t="s">
        <v>64</v>
      </c>
      <c r="C53" s="39">
        <f>[4]С2.2!E15</f>
        <v>4.8000000000000001E-2</v>
      </c>
    </row>
    <row r="54" spans="1:3" x14ac:dyDescent="0.2">
      <c r="A54" s="24" t="s">
        <v>65</v>
      </c>
      <c r="B54" s="62" t="s">
        <v>66</v>
      </c>
      <c r="C54" s="38">
        <f>[4]С2.2!E16</f>
        <v>1</v>
      </c>
    </row>
    <row r="55" spans="1:3" ht="15.75" x14ac:dyDescent="0.2">
      <c r="A55" s="24" t="s">
        <v>67</v>
      </c>
      <c r="B55" s="63" t="s">
        <v>68</v>
      </c>
      <c r="C55" s="38">
        <f>[4]С2!F21</f>
        <v>1</v>
      </c>
    </row>
    <row r="56" spans="1:3" ht="30" x14ac:dyDescent="0.2">
      <c r="A56" s="64" t="s">
        <v>69</v>
      </c>
      <c r="B56" s="37" t="s">
        <v>70</v>
      </c>
      <c r="C56" s="38">
        <f>[4]С2!F13</f>
        <v>169640.22915965237</v>
      </c>
    </row>
    <row r="57" spans="1:3" ht="30" x14ac:dyDescent="0.2">
      <c r="A57" s="64" t="s">
        <v>71</v>
      </c>
      <c r="B57" s="63" t="s">
        <v>72</v>
      </c>
      <c r="C57" s="38">
        <f>[4]С2!F14</f>
        <v>113455</v>
      </c>
    </row>
    <row r="58" spans="1:3" ht="15.75" x14ac:dyDescent="0.2">
      <c r="A58" s="64" t="s">
        <v>73</v>
      </c>
      <c r="B58" s="65" t="s">
        <v>74</v>
      </c>
      <c r="C58" s="44">
        <f>[4]С2!F15</f>
        <v>1.071</v>
      </c>
    </row>
    <row r="59" spans="1:3" ht="15.75" x14ac:dyDescent="0.2">
      <c r="A59" s="64" t="s">
        <v>75</v>
      </c>
      <c r="B59" s="65" t="s">
        <v>76</v>
      </c>
      <c r="C59" s="44">
        <f>[4]С2!F16</f>
        <v>1</v>
      </c>
    </row>
    <row r="60" spans="1:3" ht="17.25" x14ac:dyDescent="0.2">
      <c r="A60" s="64" t="s">
        <v>77</v>
      </c>
      <c r="B60" s="63" t="s">
        <v>78</v>
      </c>
      <c r="C60" s="38">
        <f>[4]С2!F17</f>
        <v>1.01</v>
      </c>
    </row>
    <row r="61" spans="1:3" s="68" customFormat="1" ht="14.25" x14ac:dyDescent="0.2">
      <c r="A61" s="64" t="s">
        <v>79</v>
      </c>
      <c r="B61" s="66" t="s">
        <v>80</v>
      </c>
      <c r="C61" s="67">
        <f>[4]С2!F33</f>
        <v>10</v>
      </c>
    </row>
    <row r="62" spans="1:3" ht="30" x14ac:dyDescent="0.2">
      <c r="A62" s="64" t="s">
        <v>81</v>
      </c>
      <c r="B62" s="69" t="s">
        <v>82</v>
      </c>
      <c r="C62" s="38">
        <f>[4]С2!F26</f>
        <v>1424.4887832283189</v>
      </c>
    </row>
    <row r="63" spans="1:3" ht="17.25" x14ac:dyDescent="0.2">
      <c r="A63" s="64" t="s">
        <v>83</v>
      </c>
      <c r="B63" s="58" t="s">
        <v>84</v>
      </c>
      <c r="C63" s="38">
        <f>[4]С2!F27</f>
        <v>0.24536656199999998</v>
      </c>
    </row>
    <row r="64" spans="1:3" ht="17.25" x14ac:dyDescent="0.2">
      <c r="A64" s="64" t="s">
        <v>85</v>
      </c>
      <c r="B64" s="63" t="s">
        <v>86</v>
      </c>
      <c r="C64" s="67">
        <f>[4]С2!F28</f>
        <v>4200</v>
      </c>
    </row>
    <row r="65" spans="1:3" ht="42.75" x14ac:dyDescent="0.2">
      <c r="A65" s="64" t="s">
        <v>87</v>
      </c>
      <c r="B65" s="37" t="s">
        <v>88</v>
      </c>
      <c r="C65" s="38">
        <f>[4]С2!F22</f>
        <v>35717.748653137714</v>
      </c>
    </row>
    <row r="66" spans="1:3" ht="30" x14ac:dyDescent="0.2">
      <c r="A66" s="64" t="s">
        <v>89</v>
      </c>
      <c r="B66" s="65" t="s">
        <v>90</v>
      </c>
      <c r="C66" s="38">
        <f>[4]С2!F23</f>
        <v>1990</v>
      </c>
    </row>
    <row r="67" spans="1:3" ht="30" x14ac:dyDescent="0.2">
      <c r="A67" s="64" t="s">
        <v>91</v>
      </c>
      <c r="B67" s="58" t="s">
        <v>92</v>
      </c>
      <c r="C67" s="38">
        <f>[4]С2.1!E27</f>
        <v>14307.876789999998</v>
      </c>
    </row>
    <row r="68" spans="1:3" ht="38.25" x14ac:dyDescent="0.2">
      <c r="A68" s="64" t="s">
        <v>93</v>
      </c>
      <c r="B68" s="70" t="s">
        <v>94</v>
      </c>
      <c r="C68" s="57">
        <f>[4]С2.3!E21</f>
        <v>0</v>
      </c>
    </row>
    <row r="69" spans="1:3" ht="25.5" x14ac:dyDescent="0.2">
      <c r="A69" s="64" t="s">
        <v>95</v>
      </c>
      <c r="B69" s="71" t="s">
        <v>96</v>
      </c>
      <c r="C69" s="72">
        <f>[4]С2.3!E11</f>
        <v>9.89</v>
      </c>
    </row>
    <row r="70" spans="1:3" ht="25.5" x14ac:dyDescent="0.2">
      <c r="A70" s="64" t="s">
        <v>97</v>
      </c>
      <c r="B70" s="71" t="s">
        <v>98</v>
      </c>
      <c r="C70" s="67">
        <f>[4]С2.3!E13</f>
        <v>300</v>
      </c>
    </row>
    <row r="71" spans="1:3" ht="25.5" x14ac:dyDescent="0.2">
      <c r="A71" s="64" t="s">
        <v>99</v>
      </c>
      <c r="B71" s="70" t="s">
        <v>100</v>
      </c>
      <c r="C71" s="73">
        <f>IF([4]С2.3!E22&gt;0,[4]С2.3!E22,[4]С2.3!E14)</f>
        <v>61211</v>
      </c>
    </row>
    <row r="72" spans="1:3" ht="38.25" x14ac:dyDescent="0.2">
      <c r="A72" s="64" t="s">
        <v>101</v>
      </c>
      <c r="B72" s="70" t="s">
        <v>102</v>
      </c>
      <c r="C72" s="73">
        <f>IF([4]С2.3!E23&gt;0,[4]С2.3!E23,[4]С2.3!E15)</f>
        <v>45675</v>
      </c>
    </row>
    <row r="73" spans="1:3" ht="30" x14ac:dyDescent="0.2">
      <c r="A73" s="64" t="s">
        <v>103</v>
      </c>
      <c r="B73" s="58" t="s">
        <v>104</v>
      </c>
      <c r="C73" s="38">
        <f>[4]С2.1!E28</f>
        <v>9541.9567200000001</v>
      </c>
    </row>
    <row r="74" spans="1:3" ht="38.25" x14ac:dyDescent="0.2">
      <c r="A74" s="64" t="s">
        <v>105</v>
      </c>
      <c r="B74" s="70" t="s">
        <v>106</v>
      </c>
      <c r="C74" s="57">
        <f>[4]С2.3!E25</f>
        <v>0</v>
      </c>
    </row>
    <row r="75" spans="1:3" ht="25.5" x14ac:dyDescent="0.2">
      <c r="A75" s="64" t="s">
        <v>107</v>
      </c>
      <c r="B75" s="71" t="s">
        <v>108</v>
      </c>
      <c r="C75" s="72">
        <f>[4]С2.3!E12</f>
        <v>0.56000000000000005</v>
      </c>
    </row>
    <row r="76" spans="1:3" ht="25.5" x14ac:dyDescent="0.2">
      <c r="A76" s="64" t="s">
        <v>109</v>
      </c>
      <c r="B76" s="71" t="s">
        <v>98</v>
      </c>
      <c r="C76" s="67">
        <f>[4]С2.3!E13</f>
        <v>300</v>
      </c>
    </row>
    <row r="77" spans="1:3" ht="25.5" x14ac:dyDescent="0.2">
      <c r="A77" s="64" t="s">
        <v>110</v>
      </c>
      <c r="B77" s="74" t="s">
        <v>111</v>
      </c>
      <c r="C77" s="73">
        <f>IF([4]С2.3!E26&gt;0,[4]С2.3!E26,[4]С2.3!E16)</f>
        <v>65637</v>
      </c>
    </row>
    <row r="78" spans="1:3" ht="38.25" x14ac:dyDescent="0.2">
      <c r="A78" s="64" t="s">
        <v>112</v>
      </c>
      <c r="B78" s="74" t="s">
        <v>113</v>
      </c>
      <c r="C78" s="73">
        <f>IF([4]С2.3!E27&gt;0,[4]С2.3!E27,[4]С2.3!E17)</f>
        <v>31684</v>
      </c>
    </row>
    <row r="79" spans="1:3" ht="17.25" x14ac:dyDescent="0.2">
      <c r="A79" s="64" t="s">
        <v>114</v>
      </c>
      <c r="B79" s="37" t="s">
        <v>115</v>
      </c>
      <c r="C79" s="39">
        <f>[4]С2!F29</f>
        <v>0.128978033685065</v>
      </c>
    </row>
    <row r="80" spans="1:3" ht="30" x14ac:dyDescent="0.2">
      <c r="A80" s="64" t="s">
        <v>116</v>
      </c>
      <c r="B80" s="58" t="s">
        <v>117</v>
      </c>
      <c r="C80" s="75">
        <f>[4]С2!F30</f>
        <v>0.11668498168498169</v>
      </c>
    </row>
    <row r="81" spans="1:3" ht="17.25" x14ac:dyDescent="0.2">
      <c r="A81" s="64" t="s">
        <v>118</v>
      </c>
      <c r="B81" s="76" t="s">
        <v>119</v>
      </c>
      <c r="C81" s="39">
        <f>[4]С2!F31</f>
        <v>0.13880000000000001</v>
      </c>
    </row>
    <row r="82" spans="1:3" s="68" customFormat="1" ht="18" thickBot="1" x14ac:dyDescent="0.25">
      <c r="A82" s="77" t="s">
        <v>120</v>
      </c>
      <c r="B82" s="78" t="s">
        <v>121</v>
      </c>
      <c r="C82" s="79">
        <f>[4]С2!F32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[4]С3!F14</f>
        <v>7012.1794194579406</v>
      </c>
    </row>
    <row r="86" spans="1:3" s="68" customFormat="1" ht="42.75" x14ac:dyDescent="0.2">
      <c r="A86" s="82" t="s">
        <v>126</v>
      </c>
      <c r="B86" s="58" t="s">
        <v>127</v>
      </c>
      <c r="C86" s="83">
        <f>[4]С3!F15</f>
        <v>0.2</v>
      </c>
    </row>
    <row r="87" spans="1:3" s="68" customFormat="1" ht="14.25" x14ac:dyDescent="0.2">
      <c r="A87" s="82" t="s">
        <v>128</v>
      </c>
      <c r="B87" s="84" t="s">
        <v>129</v>
      </c>
      <c r="C87" s="67">
        <f>[4]С3!F18</f>
        <v>15</v>
      </c>
    </row>
    <row r="88" spans="1:3" s="68" customFormat="1" ht="17.25" x14ac:dyDescent="0.2">
      <c r="A88" s="82" t="s">
        <v>130</v>
      </c>
      <c r="B88" s="37" t="s">
        <v>131</v>
      </c>
      <c r="C88" s="38">
        <f>[4]С3!F19</f>
        <v>3487.1555421534131</v>
      </c>
    </row>
    <row r="89" spans="1:3" s="68" customFormat="1" ht="55.5" x14ac:dyDescent="0.2">
      <c r="A89" s="82" t="s">
        <v>132</v>
      </c>
      <c r="B89" s="58" t="s">
        <v>133</v>
      </c>
      <c r="C89" s="85">
        <f>[4]С3!F20</f>
        <v>2.1999999999999999E-2</v>
      </c>
    </row>
    <row r="90" spans="1:3" s="68" customFormat="1" ht="14.25" x14ac:dyDescent="0.2">
      <c r="A90" s="82" t="s">
        <v>134</v>
      </c>
      <c r="B90" s="63" t="s">
        <v>80</v>
      </c>
      <c r="C90" s="67">
        <f>[4]С3!F21</f>
        <v>10</v>
      </c>
    </row>
    <row r="91" spans="1:3" s="68" customFormat="1" ht="17.25" x14ac:dyDescent="0.2">
      <c r="A91" s="82" t="s">
        <v>135</v>
      </c>
      <c r="B91" s="37" t="s">
        <v>136</v>
      </c>
      <c r="C91" s="38">
        <f>[4]С3!F22</f>
        <v>4.2734663496849565</v>
      </c>
    </row>
    <row r="92" spans="1:3" s="68" customFormat="1" ht="55.5" x14ac:dyDescent="0.2">
      <c r="A92" s="82" t="s">
        <v>137</v>
      </c>
      <c r="B92" s="58" t="s">
        <v>138</v>
      </c>
      <c r="C92" s="85">
        <f>[4]С3!F23</f>
        <v>3.0000000000000001E-3</v>
      </c>
    </row>
    <row r="93" spans="1:3" s="68" customFormat="1" ht="27.75" thickBot="1" x14ac:dyDescent="0.25">
      <c r="A93" s="86" t="s">
        <v>139</v>
      </c>
      <c r="B93" s="87" t="s">
        <v>140</v>
      </c>
      <c r="C93" s="88">
        <f>[4]С3!F24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[4]С4!F16</f>
        <v>1652.5</v>
      </c>
    </row>
    <row r="97" spans="1:3" ht="30" x14ac:dyDescent="0.2">
      <c r="A97" s="64" t="s">
        <v>145</v>
      </c>
      <c r="B97" s="63" t="s">
        <v>146</v>
      </c>
      <c r="C97" s="38">
        <f>[4]С4!F17</f>
        <v>73547</v>
      </c>
    </row>
    <row r="98" spans="1:3" ht="17.25" x14ac:dyDescent="0.2">
      <c r="A98" s="64" t="s">
        <v>147</v>
      </c>
      <c r="B98" s="63" t="s">
        <v>148</v>
      </c>
      <c r="C98" s="44">
        <f>[4]С4!F18</f>
        <v>0.02</v>
      </c>
    </row>
    <row r="99" spans="1:3" ht="30" x14ac:dyDescent="0.2">
      <c r="A99" s="64" t="s">
        <v>149</v>
      </c>
      <c r="B99" s="63" t="s">
        <v>150</v>
      </c>
      <c r="C99" s="38">
        <f>[4]С4!F19</f>
        <v>12104</v>
      </c>
    </row>
    <row r="100" spans="1:3" ht="31.5" x14ac:dyDescent="0.2">
      <c r="A100" s="64" t="s">
        <v>151</v>
      </c>
      <c r="B100" s="63" t="s">
        <v>152</v>
      </c>
      <c r="C100" s="44">
        <f>[4]С4!F20</f>
        <v>1.4999999999999999E-2</v>
      </c>
    </row>
    <row r="101" spans="1:3" ht="30" x14ac:dyDescent="0.2">
      <c r="A101" s="64" t="s">
        <v>153</v>
      </c>
      <c r="B101" s="37" t="s">
        <v>154</v>
      </c>
      <c r="C101" s="38">
        <f>[4]С4!F21</f>
        <v>1933.1949342509995</v>
      </c>
    </row>
    <row r="102" spans="1:3" ht="24" customHeight="1" x14ac:dyDescent="0.2">
      <c r="A102" s="64" t="s">
        <v>155</v>
      </c>
      <c r="B102" s="58" t="s">
        <v>156</v>
      </c>
      <c r="C102" s="90">
        <f>IF([4]С4.2!F8="да",[4]С4.2!D21,[4]С4.2!D15)</f>
        <v>0</v>
      </c>
    </row>
    <row r="103" spans="1:3" ht="68.25" x14ac:dyDescent="0.2">
      <c r="A103" s="64" t="s">
        <v>157</v>
      </c>
      <c r="B103" s="58" t="s">
        <v>158</v>
      </c>
      <c r="C103" s="38">
        <f>[4]С4!F22</f>
        <v>3.6112641666666665</v>
      </c>
    </row>
    <row r="104" spans="1:3" ht="30" x14ac:dyDescent="0.2">
      <c r="A104" s="64" t="s">
        <v>159</v>
      </c>
      <c r="B104" s="63" t="s">
        <v>160</v>
      </c>
      <c r="C104" s="38">
        <f>[4]С4!F23</f>
        <v>180</v>
      </c>
    </row>
    <row r="105" spans="1:3" ht="14.25" x14ac:dyDescent="0.2">
      <c r="A105" s="64" t="s">
        <v>161</v>
      </c>
      <c r="B105" s="58" t="s">
        <v>162</v>
      </c>
      <c r="C105" s="38">
        <f>[4]С4!F24</f>
        <v>8497.1999999999989</v>
      </c>
    </row>
    <row r="106" spans="1:3" ht="14.25" x14ac:dyDescent="0.2">
      <c r="A106" s="64" t="s">
        <v>163</v>
      </c>
      <c r="B106" s="63" t="s">
        <v>164</v>
      </c>
      <c r="C106" s="44">
        <f>[4]С4!F25</f>
        <v>0.35</v>
      </c>
    </row>
    <row r="107" spans="1:3" ht="17.25" x14ac:dyDescent="0.2">
      <c r="A107" s="64" t="s">
        <v>165</v>
      </c>
      <c r="B107" s="37" t="s">
        <v>166</v>
      </c>
      <c r="C107" s="38">
        <f>[4]С4!F26</f>
        <v>0</v>
      </c>
    </row>
    <row r="108" spans="1:3" ht="25.5" x14ac:dyDescent="0.2">
      <c r="A108" s="64" t="s">
        <v>167</v>
      </c>
      <c r="B108" s="58" t="s">
        <v>94</v>
      </c>
      <c r="C108" s="90">
        <f>[4]С4.3!E16</f>
        <v>0</v>
      </c>
    </row>
    <row r="109" spans="1:3" ht="25.5" x14ac:dyDescent="0.2">
      <c r="A109" s="64" t="s">
        <v>168</v>
      </c>
      <c r="B109" s="58" t="s">
        <v>169</v>
      </c>
      <c r="C109" s="38">
        <f>[4]С4.3!E17</f>
        <v>0</v>
      </c>
    </row>
    <row r="110" spans="1:3" ht="38.25" x14ac:dyDescent="0.2">
      <c r="A110" s="64" t="s">
        <v>170</v>
      </c>
      <c r="B110" s="58" t="s">
        <v>106</v>
      </c>
      <c r="C110" s="90">
        <f>[4]С4.3!E18</f>
        <v>0</v>
      </c>
    </row>
    <row r="111" spans="1:3" x14ac:dyDescent="0.2">
      <c r="A111" s="64" t="s">
        <v>171</v>
      </c>
      <c r="B111" s="58" t="s">
        <v>172</v>
      </c>
      <c r="C111" s="38">
        <f>[4]С4.3!E19</f>
        <v>0</v>
      </c>
    </row>
    <row r="112" spans="1:3" x14ac:dyDescent="0.2">
      <c r="A112" s="64" t="s">
        <v>173</v>
      </c>
      <c r="B112" s="63" t="s">
        <v>174</v>
      </c>
      <c r="C112" s="38">
        <f>[4]С4.3!E11</f>
        <v>1871</v>
      </c>
    </row>
    <row r="113" spans="1:3" x14ac:dyDescent="0.2">
      <c r="A113" s="64" t="s">
        <v>175</v>
      </c>
      <c r="B113" s="63" t="s">
        <v>176</v>
      </c>
      <c r="C113" s="57">
        <f>[4]С4.3!E12</f>
        <v>1636</v>
      </c>
    </row>
    <row r="114" spans="1:3" x14ac:dyDescent="0.2">
      <c r="A114" s="64" t="s">
        <v>177</v>
      </c>
      <c r="B114" s="63" t="s">
        <v>178</v>
      </c>
      <c r="C114" s="57">
        <f>[4]С4.3!E13</f>
        <v>204</v>
      </c>
    </row>
    <row r="115" spans="1:3" ht="30" x14ac:dyDescent="0.2">
      <c r="A115" s="64" t="s">
        <v>179</v>
      </c>
      <c r="B115" s="37" t="s">
        <v>180</v>
      </c>
      <c r="C115" s="38">
        <f>[4]С4!F27</f>
        <v>1047.1575926659227</v>
      </c>
    </row>
    <row r="116" spans="1:3" ht="25.5" x14ac:dyDescent="0.2">
      <c r="A116" s="64" t="s">
        <v>181</v>
      </c>
      <c r="B116" s="58" t="s">
        <v>182</v>
      </c>
      <c r="C116" s="38">
        <f>[4]С4!F28</f>
        <v>804.26850435170718</v>
      </c>
    </row>
    <row r="117" spans="1:3" ht="42.75" x14ac:dyDescent="0.2">
      <c r="A117" s="64" t="s">
        <v>183</v>
      </c>
      <c r="B117" s="58" t="s">
        <v>184</v>
      </c>
      <c r="C117" s="38">
        <f>[4]С4!F29</f>
        <v>242.8890883142156</v>
      </c>
    </row>
    <row r="118" spans="1:3" ht="30" x14ac:dyDescent="0.2">
      <c r="A118" s="64" t="s">
        <v>185</v>
      </c>
      <c r="B118" s="43" t="s">
        <v>186</v>
      </c>
      <c r="C118" s="38">
        <f>[4]С4!F30</f>
        <v>2013.2761083529024</v>
      </c>
    </row>
    <row r="119" spans="1:3" ht="42.75" x14ac:dyDescent="0.2">
      <c r="A119" s="64" t="s">
        <v>187</v>
      </c>
      <c r="B119" s="91" t="s">
        <v>188</v>
      </c>
      <c r="C119" s="38">
        <f>[4]С4!F33</f>
        <v>1301.5122646834577</v>
      </c>
    </row>
    <row r="120" spans="1:3" ht="30" x14ac:dyDescent="0.2">
      <c r="A120" s="64" t="s">
        <v>189</v>
      </c>
      <c r="B120" s="92" t="s">
        <v>190</v>
      </c>
      <c r="C120" s="38">
        <f>[4]С4!F35</f>
        <v>17.040680999999999</v>
      </c>
    </row>
    <row r="121" spans="1:3" ht="14.25" x14ac:dyDescent="0.2">
      <c r="A121" s="64" t="s">
        <v>191</v>
      </c>
      <c r="B121" s="61" t="s">
        <v>192</v>
      </c>
      <c r="C121" s="38">
        <f>[4]С4!F36</f>
        <v>14319.9</v>
      </c>
    </row>
    <row r="122" spans="1:3" ht="28.5" thickBot="1" x14ac:dyDescent="0.25">
      <c r="A122" s="77" t="s">
        <v>193</v>
      </c>
      <c r="B122" s="93" t="s">
        <v>194</v>
      </c>
      <c r="C122" s="88">
        <f>[4]С4!F37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[4]С5!F17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[4]С2!F37</f>
        <v>20.818139999999996</v>
      </c>
    </row>
    <row r="136" spans="1:4" ht="14.25" x14ac:dyDescent="0.2">
      <c r="A136" s="64" t="s">
        <v>216</v>
      </c>
      <c r="B136" s="107" t="s">
        <v>217</v>
      </c>
      <c r="C136" s="38">
        <f>[4]С2!F38</f>
        <v>7</v>
      </c>
    </row>
    <row r="137" spans="1:4" ht="17.25" x14ac:dyDescent="0.2">
      <c r="A137" s="64" t="s">
        <v>218</v>
      </c>
      <c r="B137" s="107" t="s">
        <v>219</v>
      </c>
      <c r="C137" s="38">
        <f>[4]С2!F40</f>
        <v>0.97</v>
      </c>
    </row>
    <row r="138" spans="1:4" ht="15" thickBot="1" x14ac:dyDescent="0.25">
      <c r="A138" s="77" t="s">
        <v>220</v>
      </c>
      <c r="B138" s="108" t="s">
        <v>221</v>
      </c>
      <c r="C138" s="50">
        <f>[4]С2!F42</f>
        <v>0.35</v>
      </c>
    </row>
    <row r="139" spans="1:4" s="94" customFormat="1" ht="13.5" thickBot="1" x14ac:dyDescent="0.25">
      <c r="A139" s="51"/>
      <c r="B139" s="80"/>
      <c r="C139" s="16"/>
    </row>
    <row r="140" spans="1:4" ht="30" x14ac:dyDescent="0.2">
      <c r="A140" s="89" t="s">
        <v>222</v>
      </c>
      <c r="B140" s="109" t="s">
        <v>223</v>
      </c>
      <c r="C140" s="110">
        <f>[4]С2!F35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[4]С2.5!$E$11</f>
        <v>-2.9000000000000026E-2</v>
      </c>
      <c r="D143" s="94"/>
    </row>
    <row r="144" spans="1:4" x14ac:dyDescent="0.2">
      <c r="A144" s="112"/>
      <c r="B144" s="117">
        <f>B143+1</f>
        <v>2021</v>
      </c>
      <c r="C144" s="118">
        <f>[4]С2.5!$F$11</f>
        <v>0.245</v>
      </c>
      <c r="D144" s="94"/>
    </row>
    <row r="145" spans="1:4" x14ac:dyDescent="0.2">
      <c r="A145" s="112"/>
      <c r="B145" s="117">
        <f t="shared" ref="B145:B208" si="0">B144+1</f>
        <v>2022</v>
      </c>
      <c r="C145" s="118">
        <f>[4]С2.5!$G$11</f>
        <v>0.121</v>
      </c>
      <c r="D145" s="94"/>
    </row>
    <row r="146" spans="1:4" ht="13.5" thickBot="1" x14ac:dyDescent="0.25">
      <c r="A146" s="112"/>
      <c r="B146" s="119">
        <f t="shared" si="0"/>
        <v>2023</v>
      </c>
      <c r="C146" s="120">
        <f>[4]С2.5!$H$11</f>
        <v>0.02</v>
      </c>
      <c r="D146" s="94"/>
    </row>
    <row r="147" spans="1:4" hidden="1" x14ac:dyDescent="0.2">
      <c r="A147" s="112"/>
      <c r="B147" s="121">
        <f t="shared" si="0"/>
        <v>2024</v>
      </c>
      <c r="C147" s="122">
        <f>[4]С2.5!$I$11</f>
        <v>-2.93E-2</v>
      </c>
      <c r="D147" s="94"/>
    </row>
    <row r="148" spans="1:4" hidden="1" x14ac:dyDescent="0.2">
      <c r="A148" s="112"/>
      <c r="B148" s="117">
        <f t="shared" si="0"/>
        <v>2025</v>
      </c>
      <c r="C148" s="118">
        <f>[4]С2.5!$J$11</f>
        <v>0.21215960863291</v>
      </c>
      <c r="D148" s="94"/>
    </row>
    <row r="149" spans="1:4" hidden="1" x14ac:dyDescent="0.2">
      <c r="A149" s="112"/>
      <c r="B149" s="117">
        <f t="shared" si="0"/>
        <v>2026</v>
      </c>
      <c r="C149" s="118">
        <f>[4]С2.5!$K$11</f>
        <v>3.5813361771260002E-2</v>
      </c>
      <c r="D149" s="94"/>
    </row>
    <row r="150" spans="1:4" hidden="1" x14ac:dyDescent="0.2">
      <c r="A150" s="112"/>
      <c r="B150" s="117">
        <f t="shared" si="0"/>
        <v>2027</v>
      </c>
      <c r="C150" s="118">
        <f>[4]С2.5!$L$11</f>
        <v>3.2682303599220003E-2</v>
      </c>
      <c r="D150" s="94"/>
    </row>
    <row r="151" spans="1:4" hidden="1" x14ac:dyDescent="0.2">
      <c r="A151" s="112"/>
      <c r="B151" s="117">
        <f t="shared" si="0"/>
        <v>2028</v>
      </c>
      <c r="C151" s="118">
        <f>[4]С2.5!$M$11</f>
        <v>0</v>
      </c>
      <c r="D151" s="94"/>
    </row>
    <row r="152" spans="1:4" hidden="1" x14ac:dyDescent="0.2">
      <c r="A152" s="112"/>
      <c r="B152" s="117">
        <f t="shared" si="0"/>
        <v>2029</v>
      </c>
      <c r="C152" s="118">
        <f>[4]С2.5!$N$11</f>
        <v>0</v>
      </c>
      <c r="D152" s="94"/>
    </row>
    <row r="153" spans="1:4" hidden="1" x14ac:dyDescent="0.2">
      <c r="A153" s="112"/>
      <c r="B153" s="117">
        <f t="shared" si="0"/>
        <v>2030</v>
      </c>
      <c r="C153" s="118">
        <f>[4]С2.5!$O$11</f>
        <v>0</v>
      </c>
      <c r="D153" s="94"/>
    </row>
    <row r="154" spans="1:4" hidden="1" x14ac:dyDescent="0.2">
      <c r="A154" s="112"/>
      <c r="B154" s="117">
        <f t="shared" si="0"/>
        <v>2031</v>
      </c>
      <c r="C154" s="118">
        <f>[4]С2.5!$P$11</f>
        <v>0</v>
      </c>
      <c r="D154" s="94"/>
    </row>
    <row r="155" spans="1:4" hidden="1" x14ac:dyDescent="0.2">
      <c r="A155" s="94"/>
      <c r="B155" s="117">
        <f t="shared" si="0"/>
        <v>2032</v>
      </c>
      <c r="C155" s="118">
        <f>[4]С2.5!$Q$11</f>
        <v>0</v>
      </c>
      <c r="D155" s="94"/>
    </row>
    <row r="156" spans="1:4" hidden="1" x14ac:dyDescent="0.2">
      <c r="A156" s="94"/>
      <c r="B156" s="117">
        <f t="shared" si="0"/>
        <v>2033</v>
      </c>
      <c r="C156" s="118">
        <f>[4]С2.5!$R$11</f>
        <v>0</v>
      </c>
      <c r="D156" s="94"/>
    </row>
    <row r="157" spans="1:4" hidden="1" x14ac:dyDescent="0.2">
      <c r="B157" s="117">
        <f t="shared" si="0"/>
        <v>2034</v>
      </c>
      <c r="C157" s="118">
        <f>[4]С2.5!$S$11</f>
        <v>0</v>
      </c>
    </row>
    <row r="158" spans="1:4" hidden="1" x14ac:dyDescent="0.2">
      <c r="B158" s="117">
        <f t="shared" si="0"/>
        <v>2035</v>
      </c>
      <c r="C158" s="118">
        <f>[4]С2.5!$T$11</f>
        <v>0</v>
      </c>
    </row>
    <row r="159" spans="1:4" hidden="1" x14ac:dyDescent="0.2">
      <c r="B159" s="117">
        <f t="shared" si="0"/>
        <v>2036</v>
      </c>
      <c r="C159" s="118">
        <f>[4]С2.5!$U$11</f>
        <v>0</v>
      </c>
    </row>
    <row r="160" spans="1:4" hidden="1" x14ac:dyDescent="0.2">
      <c r="B160" s="117">
        <f t="shared" si="0"/>
        <v>2037</v>
      </c>
      <c r="C160" s="118">
        <f>[4]С2.5!$V$11</f>
        <v>0</v>
      </c>
    </row>
    <row r="161" spans="2:3" hidden="1" x14ac:dyDescent="0.2">
      <c r="B161" s="117">
        <f t="shared" si="0"/>
        <v>2038</v>
      </c>
      <c r="C161" s="118">
        <f>[4]С2.5!$W$11</f>
        <v>0</v>
      </c>
    </row>
    <row r="162" spans="2:3" hidden="1" x14ac:dyDescent="0.2">
      <c r="B162" s="117">
        <f t="shared" si="0"/>
        <v>2039</v>
      </c>
      <c r="C162" s="118">
        <f>[4]С2.5!$X$11</f>
        <v>0</v>
      </c>
    </row>
    <row r="163" spans="2:3" hidden="1" x14ac:dyDescent="0.2">
      <c r="B163" s="117">
        <f t="shared" si="0"/>
        <v>2040</v>
      </c>
      <c r="C163" s="118">
        <f>[4]С2.5!$Y$11</f>
        <v>0</v>
      </c>
    </row>
    <row r="164" spans="2:3" hidden="1" x14ac:dyDescent="0.2">
      <c r="B164" s="117">
        <f t="shared" si="0"/>
        <v>2041</v>
      </c>
      <c r="C164" s="118">
        <f>[4]С2.5!$Z$11</f>
        <v>0</v>
      </c>
    </row>
    <row r="165" spans="2:3" hidden="1" x14ac:dyDescent="0.2">
      <c r="B165" s="117">
        <f t="shared" si="0"/>
        <v>2042</v>
      </c>
      <c r="C165" s="118">
        <f>[4]С2.5!$AA$11</f>
        <v>0</v>
      </c>
    </row>
    <row r="166" spans="2:3" hidden="1" x14ac:dyDescent="0.2">
      <c r="B166" s="117">
        <f t="shared" si="0"/>
        <v>2043</v>
      </c>
      <c r="C166" s="118">
        <f>[4]С2.5!$AB$11</f>
        <v>0</v>
      </c>
    </row>
    <row r="167" spans="2:3" hidden="1" x14ac:dyDescent="0.2">
      <c r="B167" s="117">
        <f t="shared" si="0"/>
        <v>2044</v>
      </c>
      <c r="C167" s="118">
        <f>[4]С2.5!$AC$11</f>
        <v>0</v>
      </c>
    </row>
    <row r="168" spans="2:3" hidden="1" x14ac:dyDescent="0.2">
      <c r="B168" s="117">
        <f t="shared" si="0"/>
        <v>2045</v>
      </c>
      <c r="C168" s="118">
        <f>[4]С2.5!$AD$11</f>
        <v>0</v>
      </c>
    </row>
    <row r="169" spans="2:3" hidden="1" x14ac:dyDescent="0.2">
      <c r="B169" s="117">
        <f t="shared" si="0"/>
        <v>2046</v>
      </c>
      <c r="C169" s="118">
        <f>[4]С2.5!$AE$11</f>
        <v>0</v>
      </c>
    </row>
    <row r="170" spans="2:3" hidden="1" x14ac:dyDescent="0.2">
      <c r="B170" s="117">
        <f t="shared" si="0"/>
        <v>2047</v>
      </c>
      <c r="C170" s="118">
        <f>[4]С2.5!$AF$11</f>
        <v>0</v>
      </c>
    </row>
    <row r="171" spans="2:3" hidden="1" x14ac:dyDescent="0.2">
      <c r="B171" s="117">
        <f t="shared" si="0"/>
        <v>2048</v>
      </c>
      <c r="C171" s="118">
        <f>[4]С2.5!$AG$11</f>
        <v>0</v>
      </c>
    </row>
    <row r="172" spans="2:3" hidden="1" x14ac:dyDescent="0.2">
      <c r="B172" s="117">
        <f t="shared" si="0"/>
        <v>2049</v>
      </c>
      <c r="C172" s="118">
        <f>[4]С2.5!$AH$11</f>
        <v>0</v>
      </c>
    </row>
    <row r="173" spans="2:3" hidden="1" x14ac:dyDescent="0.2">
      <c r="B173" s="117">
        <f t="shared" si="0"/>
        <v>2050</v>
      </c>
      <c r="C173" s="118">
        <f>[4]С2.5!$AI$11</f>
        <v>0</v>
      </c>
    </row>
    <row r="174" spans="2:3" hidden="1" x14ac:dyDescent="0.2">
      <c r="B174" s="117">
        <f t="shared" si="0"/>
        <v>2051</v>
      </c>
      <c r="C174" s="118">
        <f>[4]С2.5!$AJ$11</f>
        <v>0</v>
      </c>
    </row>
    <row r="175" spans="2:3" hidden="1" x14ac:dyDescent="0.2">
      <c r="B175" s="117">
        <f t="shared" si="0"/>
        <v>2052</v>
      </c>
      <c r="C175" s="118">
        <f>[4]С2.5!$AK$11</f>
        <v>0</v>
      </c>
    </row>
    <row r="176" spans="2:3" hidden="1" x14ac:dyDescent="0.2">
      <c r="B176" s="117">
        <f t="shared" si="0"/>
        <v>2053</v>
      </c>
      <c r="C176" s="118">
        <f>[4]С2.5!$AL$11</f>
        <v>0</v>
      </c>
    </row>
    <row r="177" spans="2:3" hidden="1" x14ac:dyDescent="0.2">
      <c r="B177" s="117">
        <f t="shared" si="0"/>
        <v>2054</v>
      </c>
      <c r="C177" s="118">
        <f>[4]С2.5!$AM$11</f>
        <v>0</v>
      </c>
    </row>
    <row r="178" spans="2:3" hidden="1" x14ac:dyDescent="0.2">
      <c r="B178" s="117">
        <f t="shared" si="0"/>
        <v>2055</v>
      </c>
      <c r="C178" s="118">
        <f>[4]С2.5!$AN$11</f>
        <v>0</v>
      </c>
    </row>
    <row r="179" spans="2:3" hidden="1" x14ac:dyDescent="0.2">
      <c r="B179" s="117">
        <f t="shared" si="0"/>
        <v>2056</v>
      </c>
      <c r="C179" s="118">
        <f>[4]С2.5!$AO$11</f>
        <v>0</v>
      </c>
    </row>
    <row r="180" spans="2:3" hidden="1" x14ac:dyDescent="0.2">
      <c r="B180" s="117">
        <f t="shared" si="0"/>
        <v>2057</v>
      </c>
      <c r="C180" s="118">
        <f>[4]С2.5!$AP$11</f>
        <v>0</v>
      </c>
    </row>
    <row r="181" spans="2:3" hidden="1" x14ac:dyDescent="0.2">
      <c r="B181" s="117">
        <f t="shared" si="0"/>
        <v>2058</v>
      </c>
      <c r="C181" s="118">
        <f>[4]С2.5!$AQ$11</f>
        <v>0</v>
      </c>
    </row>
    <row r="182" spans="2:3" hidden="1" x14ac:dyDescent="0.2">
      <c r="B182" s="117">
        <f t="shared" si="0"/>
        <v>2059</v>
      </c>
      <c r="C182" s="118">
        <f>[4]С2.5!$AR$11</f>
        <v>0</v>
      </c>
    </row>
    <row r="183" spans="2:3" hidden="1" x14ac:dyDescent="0.2">
      <c r="B183" s="117">
        <f t="shared" si="0"/>
        <v>2060</v>
      </c>
      <c r="C183" s="118">
        <f>[4]С2.5!$AS$11</f>
        <v>0</v>
      </c>
    </row>
    <row r="184" spans="2:3" hidden="1" x14ac:dyDescent="0.2">
      <c r="B184" s="117">
        <f t="shared" si="0"/>
        <v>2061</v>
      </c>
      <c r="C184" s="118">
        <f>[4]С2.5!$AT$11</f>
        <v>0</v>
      </c>
    </row>
    <row r="185" spans="2:3" hidden="1" x14ac:dyDescent="0.2">
      <c r="B185" s="117">
        <f t="shared" si="0"/>
        <v>2062</v>
      </c>
      <c r="C185" s="118">
        <f>[4]С2.5!$AU$11</f>
        <v>0</v>
      </c>
    </row>
    <row r="186" spans="2:3" hidden="1" x14ac:dyDescent="0.2">
      <c r="B186" s="117">
        <f t="shared" si="0"/>
        <v>2063</v>
      </c>
      <c r="C186" s="118">
        <f>[4]С2.5!$AV$11</f>
        <v>0</v>
      </c>
    </row>
    <row r="187" spans="2:3" hidden="1" x14ac:dyDescent="0.2">
      <c r="B187" s="117">
        <f t="shared" si="0"/>
        <v>2064</v>
      </c>
      <c r="C187" s="118">
        <f>[4]С2.5!$AW$11</f>
        <v>0</v>
      </c>
    </row>
    <row r="188" spans="2:3" hidden="1" x14ac:dyDescent="0.2">
      <c r="B188" s="117">
        <f t="shared" si="0"/>
        <v>2065</v>
      </c>
      <c r="C188" s="118">
        <f>[4]С2.5!$AX$11</f>
        <v>0</v>
      </c>
    </row>
    <row r="189" spans="2:3" hidden="1" x14ac:dyDescent="0.2">
      <c r="B189" s="117">
        <f t="shared" si="0"/>
        <v>2066</v>
      </c>
      <c r="C189" s="118">
        <f>[4]С2.5!$AY$11</f>
        <v>0</v>
      </c>
    </row>
    <row r="190" spans="2:3" hidden="1" x14ac:dyDescent="0.2">
      <c r="B190" s="117">
        <f t="shared" si="0"/>
        <v>2067</v>
      </c>
      <c r="C190" s="118">
        <f>[4]С2.5!$AZ$11</f>
        <v>0</v>
      </c>
    </row>
    <row r="191" spans="2:3" hidden="1" x14ac:dyDescent="0.2">
      <c r="B191" s="117">
        <f t="shared" si="0"/>
        <v>2068</v>
      </c>
      <c r="C191" s="118">
        <f>[4]С2.5!$BA$11</f>
        <v>0</v>
      </c>
    </row>
    <row r="192" spans="2:3" hidden="1" x14ac:dyDescent="0.2">
      <c r="B192" s="117">
        <f t="shared" si="0"/>
        <v>2069</v>
      </c>
      <c r="C192" s="118">
        <f>[4]С2.5!$BB$11</f>
        <v>0</v>
      </c>
    </row>
    <row r="193" spans="2:3" hidden="1" x14ac:dyDescent="0.2">
      <c r="B193" s="117">
        <f t="shared" si="0"/>
        <v>2070</v>
      </c>
      <c r="C193" s="118">
        <f>[4]С2.5!$BC$11</f>
        <v>0</v>
      </c>
    </row>
    <row r="194" spans="2:3" hidden="1" x14ac:dyDescent="0.2">
      <c r="B194" s="117">
        <f t="shared" si="0"/>
        <v>2071</v>
      </c>
      <c r="C194" s="118">
        <f>[4]С2.5!$BD$11</f>
        <v>0</v>
      </c>
    </row>
    <row r="195" spans="2:3" hidden="1" x14ac:dyDescent="0.2">
      <c r="B195" s="117">
        <f t="shared" si="0"/>
        <v>2072</v>
      </c>
      <c r="C195" s="118">
        <f>[4]С2.5!$BE$11</f>
        <v>0</v>
      </c>
    </row>
    <row r="196" spans="2:3" hidden="1" x14ac:dyDescent="0.2">
      <c r="B196" s="117">
        <f t="shared" si="0"/>
        <v>2073</v>
      </c>
      <c r="C196" s="118">
        <f>[4]С2.5!$BF$11</f>
        <v>0</v>
      </c>
    </row>
    <row r="197" spans="2:3" hidden="1" x14ac:dyDescent="0.2">
      <c r="B197" s="117">
        <f t="shared" si="0"/>
        <v>2074</v>
      </c>
      <c r="C197" s="118">
        <f>[4]С2.5!$BG$11</f>
        <v>0</v>
      </c>
    </row>
    <row r="198" spans="2:3" hidden="1" x14ac:dyDescent="0.2">
      <c r="B198" s="117">
        <f t="shared" si="0"/>
        <v>2075</v>
      </c>
      <c r="C198" s="118">
        <f>[4]С2.5!$BH$11</f>
        <v>0</v>
      </c>
    </row>
    <row r="199" spans="2:3" hidden="1" x14ac:dyDescent="0.2">
      <c r="B199" s="117">
        <f t="shared" si="0"/>
        <v>2076</v>
      </c>
      <c r="C199" s="118">
        <f>[4]С2.5!$BI$11</f>
        <v>0</v>
      </c>
    </row>
    <row r="200" spans="2:3" hidden="1" x14ac:dyDescent="0.2">
      <c r="B200" s="117">
        <f t="shared" si="0"/>
        <v>2077</v>
      </c>
      <c r="C200" s="118">
        <f>[4]С2.5!$BJ$11</f>
        <v>0</v>
      </c>
    </row>
    <row r="201" spans="2:3" hidden="1" x14ac:dyDescent="0.2">
      <c r="B201" s="117">
        <f t="shared" si="0"/>
        <v>2078</v>
      </c>
      <c r="C201" s="118">
        <f>[4]С2.5!$BK$11</f>
        <v>0</v>
      </c>
    </row>
    <row r="202" spans="2:3" hidden="1" x14ac:dyDescent="0.2">
      <c r="B202" s="117">
        <f t="shared" si="0"/>
        <v>2079</v>
      </c>
      <c r="C202" s="118">
        <f>[4]С2.5!$BL$11</f>
        <v>0</v>
      </c>
    </row>
    <row r="203" spans="2:3" hidden="1" x14ac:dyDescent="0.2">
      <c r="B203" s="117">
        <f t="shared" si="0"/>
        <v>2080</v>
      </c>
      <c r="C203" s="118">
        <f>[4]С2.5!$BM$11</f>
        <v>0</v>
      </c>
    </row>
    <row r="204" spans="2:3" hidden="1" x14ac:dyDescent="0.2">
      <c r="B204" s="117">
        <f t="shared" si="0"/>
        <v>2081</v>
      </c>
      <c r="C204" s="118">
        <f>[4]С2.5!$BN$11</f>
        <v>0</v>
      </c>
    </row>
    <row r="205" spans="2:3" hidden="1" x14ac:dyDescent="0.2">
      <c r="B205" s="117">
        <f t="shared" si="0"/>
        <v>2082</v>
      </c>
      <c r="C205" s="118">
        <f>[4]С2.5!$BO$11</f>
        <v>0</v>
      </c>
    </row>
    <row r="206" spans="2:3" hidden="1" x14ac:dyDescent="0.2">
      <c r="B206" s="117">
        <f t="shared" si="0"/>
        <v>2083</v>
      </c>
      <c r="C206" s="118">
        <f>[4]С2.5!$BP$11</f>
        <v>0</v>
      </c>
    </row>
    <row r="207" spans="2:3" hidden="1" x14ac:dyDescent="0.2">
      <c r="B207" s="117">
        <f t="shared" si="0"/>
        <v>2084</v>
      </c>
      <c r="C207" s="118">
        <f>[4]С2.5!$BQ$11</f>
        <v>0</v>
      </c>
    </row>
    <row r="208" spans="2:3" hidden="1" x14ac:dyDescent="0.2">
      <c r="B208" s="117">
        <f t="shared" si="0"/>
        <v>2085</v>
      </c>
      <c r="C208" s="118">
        <f>[4]С2.5!$BR$11</f>
        <v>0</v>
      </c>
    </row>
    <row r="209" spans="2:3" hidden="1" x14ac:dyDescent="0.2">
      <c r="B209" s="117">
        <f t="shared" ref="B209:B223" si="1">B208+1</f>
        <v>2086</v>
      </c>
      <c r="C209" s="118">
        <f>[4]С2.5!$BS$11</f>
        <v>0</v>
      </c>
    </row>
    <row r="210" spans="2:3" hidden="1" x14ac:dyDescent="0.2">
      <c r="B210" s="117">
        <f t="shared" si="1"/>
        <v>2087</v>
      </c>
      <c r="C210" s="118">
        <f>[4]С2.5!$BT$11</f>
        <v>0</v>
      </c>
    </row>
    <row r="211" spans="2:3" hidden="1" x14ac:dyDescent="0.2">
      <c r="B211" s="117">
        <f t="shared" si="1"/>
        <v>2088</v>
      </c>
      <c r="C211" s="118">
        <f>[4]С2.5!$BU$11</f>
        <v>0</v>
      </c>
    </row>
    <row r="212" spans="2:3" hidden="1" x14ac:dyDescent="0.2">
      <c r="B212" s="117">
        <f t="shared" si="1"/>
        <v>2089</v>
      </c>
      <c r="C212" s="118">
        <f>[4]С2.5!$BV$11</f>
        <v>0</v>
      </c>
    </row>
    <row r="213" spans="2:3" hidden="1" x14ac:dyDescent="0.2">
      <c r="B213" s="117">
        <f t="shared" si="1"/>
        <v>2090</v>
      </c>
      <c r="C213" s="118">
        <f>[4]С2.5!$BW$11</f>
        <v>0</v>
      </c>
    </row>
    <row r="214" spans="2:3" hidden="1" x14ac:dyDescent="0.2">
      <c r="B214" s="117">
        <f t="shared" si="1"/>
        <v>2091</v>
      </c>
      <c r="C214" s="118">
        <f>[4]С2.5!$BX$11</f>
        <v>0</v>
      </c>
    </row>
    <row r="215" spans="2:3" hidden="1" x14ac:dyDescent="0.2">
      <c r="B215" s="117">
        <f t="shared" si="1"/>
        <v>2092</v>
      </c>
      <c r="C215" s="118">
        <f>[4]С2.5!$BY$11</f>
        <v>0</v>
      </c>
    </row>
    <row r="216" spans="2:3" hidden="1" x14ac:dyDescent="0.2">
      <c r="B216" s="117">
        <f t="shared" si="1"/>
        <v>2093</v>
      </c>
      <c r="C216" s="118">
        <f>[4]С2.5!$BZ$11</f>
        <v>0</v>
      </c>
    </row>
    <row r="217" spans="2:3" hidden="1" x14ac:dyDescent="0.2">
      <c r="B217" s="117">
        <f t="shared" si="1"/>
        <v>2094</v>
      </c>
      <c r="C217" s="118">
        <f>[4]С2.5!$CA$11</f>
        <v>0</v>
      </c>
    </row>
    <row r="218" spans="2:3" hidden="1" x14ac:dyDescent="0.2">
      <c r="B218" s="117">
        <f t="shared" si="1"/>
        <v>2095</v>
      </c>
      <c r="C218" s="118">
        <f>[4]С2.5!$CB$11</f>
        <v>0</v>
      </c>
    </row>
    <row r="219" spans="2:3" hidden="1" x14ac:dyDescent="0.2">
      <c r="B219" s="117">
        <f t="shared" si="1"/>
        <v>2096</v>
      </c>
      <c r="C219" s="118">
        <f>[4]С2.5!$CC$11</f>
        <v>0</v>
      </c>
    </row>
    <row r="220" spans="2:3" hidden="1" x14ac:dyDescent="0.2">
      <c r="B220" s="117">
        <f t="shared" si="1"/>
        <v>2097</v>
      </c>
      <c r="C220" s="118">
        <f>[4]С2.5!$CD$11</f>
        <v>0</v>
      </c>
    </row>
    <row r="221" spans="2:3" hidden="1" x14ac:dyDescent="0.2">
      <c r="B221" s="117">
        <f t="shared" si="1"/>
        <v>2098</v>
      </c>
      <c r="C221" s="118">
        <f>[4]С2.5!$CE$11</f>
        <v>0</v>
      </c>
    </row>
    <row r="222" spans="2:3" hidden="1" x14ac:dyDescent="0.2">
      <c r="B222" s="117">
        <f t="shared" si="1"/>
        <v>2099</v>
      </c>
      <c r="C222" s="118">
        <f>[4]С2.5!$CF$11</f>
        <v>0</v>
      </c>
    </row>
    <row r="223" spans="2:3" ht="13.5" hidden="1" thickBot="1" x14ac:dyDescent="0.25">
      <c r="B223" s="119">
        <f t="shared" si="1"/>
        <v>2100</v>
      </c>
      <c r="C223" s="120">
        <f>[4]С2.5!$CG$11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7" r:id="rId3" name="Button 1">
              <controlPr defaultSize="0" print="0" autoFill="0" autoPict="0" macro="[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[5]И1!D13</f>
        <v>Субъект Российской Федерации</v>
      </c>
      <c r="C4" s="11" t="str">
        <f>[5]И1!E13</f>
        <v>Новосибирская область</v>
      </c>
    </row>
    <row r="5" spans="1:3" ht="38.25" x14ac:dyDescent="0.2">
      <c r="A5" s="9"/>
      <c r="B5" s="10" t="str">
        <f>[5]И1!D14</f>
        <v>Тип муниципального образования (выберите из списка)</v>
      </c>
      <c r="C5" s="11" t="str">
        <f>[5]И1!E14</f>
        <v xml:space="preserve">село Верх-Сузун, Сузунский муниципальный район </v>
      </c>
    </row>
    <row r="6" spans="1:3" x14ac:dyDescent="0.2">
      <c r="A6" s="9"/>
      <c r="B6" s="10" t="str">
        <f>IF([5]И1!E15="","",[5]И1!D15)</f>
        <v/>
      </c>
      <c r="C6" s="11" t="str">
        <f>IF([5]И1!E15="","",[5]И1!E15)</f>
        <v/>
      </c>
    </row>
    <row r="7" spans="1:3" x14ac:dyDescent="0.2">
      <c r="A7" s="9"/>
      <c r="B7" s="10" t="str">
        <f>[5]И1!D16</f>
        <v>Код ОКТМО</v>
      </c>
      <c r="C7" s="12" t="str">
        <f>[5]И1!E16</f>
        <v>(50648410101)</v>
      </c>
    </row>
    <row r="8" spans="1:3" x14ac:dyDescent="0.2">
      <c r="A8" s="9"/>
      <c r="B8" s="13" t="str">
        <f>[5]И1!D17</f>
        <v>Система теплоснабжения</v>
      </c>
      <c r="C8" s="14">
        <f>[5]И1!E17</f>
        <v>0</v>
      </c>
    </row>
    <row r="9" spans="1:3" x14ac:dyDescent="0.2">
      <c r="A9" s="9"/>
      <c r="B9" s="10" t="str">
        <f>[5]И1!D8</f>
        <v>Период регулирования (i)-й</v>
      </c>
      <c r="C9" s="15">
        <f>[5]И1!E8</f>
        <v>2023</v>
      </c>
    </row>
    <row r="10" spans="1:3" x14ac:dyDescent="0.2">
      <c r="A10" s="9"/>
      <c r="B10" s="10" t="str">
        <f>[5]И1!D9</f>
        <v>Период регулирования (i-1)-й</v>
      </c>
      <c r="C10" s="15">
        <f>[5]И1!E9</f>
        <v>2022</v>
      </c>
    </row>
    <row r="11" spans="1:3" x14ac:dyDescent="0.2">
      <c r="A11" s="9"/>
      <c r="B11" s="10" t="str">
        <f>[5]И1!D10</f>
        <v>Период регулирования (i-2)-й</v>
      </c>
      <c r="C11" s="15">
        <f>[5]И1!E10</f>
        <v>2021</v>
      </c>
    </row>
    <row r="12" spans="1:3" x14ac:dyDescent="0.2">
      <c r="A12" s="9"/>
      <c r="B12" s="10" t="str">
        <f>[5]И1!D11</f>
        <v>Базовый год (б)</v>
      </c>
      <c r="C12" s="15">
        <f>[5]И1!E11</f>
        <v>2019</v>
      </c>
    </row>
    <row r="13" spans="1:3" ht="38.25" x14ac:dyDescent="0.2">
      <c r="A13" s="9"/>
      <c r="B13" s="10" t="str">
        <f>[5]И1!D18</f>
        <v>Вид топлива, использование которого преобладает в системе теплоснабжения</v>
      </c>
      <c r="C13" s="16" t="str">
        <f>[5]С1.1!E13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3956.4590563559946</v>
      </c>
    </row>
    <row r="18" spans="1:3" ht="42.75" x14ac:dyDescent="0.2">
      <c r="A18" s="24" t="s">
        <v>8</v>
      </c>
      <c r="B18" s="27" t="s">
        <v>9</v>
      </c>
      <c r="C18" s="28">
        <f>[5]С1!F12</f>
        <v>856.84388130877142</v>
      </c>
    </row>
    <row r="19" spans="1:3" ht="42.75" x14ac:dyDescent="0.2">
      <c r="A19" s="24" t="s">
        <v>10</v>
      </c>
      <c r="B19" s="27" t="s">
        <v>11</v>
      </c>
      <c r="C19" s="28">
        <f>[5]С2!F12</f>
        <v>2108.7102251987935</v>
      </c>
    </row>
    <row r="20" spans="1:3" ht="30" x14ac:dyDescent="0.2">
      <c r="A20" s="24" t="s">
        <v>12</v>
      </c>
      <c r="B20" s="27" t="s">
        <v>13</v>
      </c>
      <c r="C20" s="28">
        <f>[5]С3!F12</f>
        <v>504.54115631660852</v>
      </c>
    </row>
    <row r="21" spans="1:3" ht="42.75" x14ac:dyDescent="0.2">
      <c r="A21" s="24" t="s">
        <v>14</v>
      </c>
      <c r="B21" s="27" t="s">
        <v>15</v>
      </c>
      <c r="C21" s="28">
        <f>[5]С4!F12</f>
        <v>408.78616497582124</v>
      </c>
    </row>
    <row r="22" spans="1:3" ht="30" x14ac:dyDescent="0.2">
      <c r="A22" s="24" t="s">
        <v>16</v>
      </c>
      <c r="B22" s="27" t="s">
        <v>17</v>
      </c>
      <c r="C22" s="28">
        <f>[5]С5!F12</f>
        <v>77.577628555999894</v>
      </c>
    </row>
    <row r="23" spans="1:3" ht="43.5" thickBot="1" x14ac:dyDescent="0.25">
      <c r="A23" s="29" t="s">
        <v>18</v>
      </c>
      <c r="B23" s="30" t="s">
        <v>19</v>
      </c>
      <c r="C23" s="31" t="str">
        <f>[5]С6!F12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[5]С1.1!E16</f>
        <v>5100</v>
      </c>
    </row>
    <row r="29" spans="1:3" ht="42.75" x14ac:dyDescent="0.2">
      <c r="A29" s="24" t="s">
        <v>10</v>
      </c>
      <c r="B29" s="37" t="s">
        <v>22</v>
      </c>
      <c r="C29" s="38">
        <f>[5]С1.1!E27</f>
        <v>2303.91</v>
      </c>
    </row>
    <row r="30" spans="1:3" ht="17.25" x14ac:dyDescent="0.2">
      <c r="A30" s="24" t="s">
        <v>12</v>
      </c>
      <c r="B30" s="37" t="s">
        <v>23</v>
      </c>
      <c r="C30" s="39">
        <f>[5]С1.1!E19</f>
        <v>0.59499999999999997</v>
      </c>
    </row>
    <row r="31" spans="1:3" ht="17.25" x14ac:dyDescent="0.2">
      <c r="A31" s="24" t="s">
        <v>14</v>
      </c>
      <c r="B31" s="37" t="s">
        <v>24</v>
      </c>
      <c r="C31" s="39">
        <f>[5]С1.1!E20</f>
        <v>-0.113</v>
      </c>
    </row>
    <row r="32" spans="1:3" ht="30" x14ac:dyDescent="0.2">
      <c r="A32" s="24" t="s">
        <v>16</v>
      </c>
      <c r="B32" s="40" t="s">
        <v>25</v>
      </c>
      <c r="C32" s="41">
        <f>[5]С1!F13</f>
        <v>176.4</v>
      </c>
    </row>
    <row r="33" spans="1:3" x14ac:dyDescent="0.2">
      <c r="A33" s="24" t="s">
        <v>18</v>
      </c>
      <c r="B33" s="40" t="s">
        <v>26</v>
      </c>
      <c r="C33" s="42">
        <f>[5]С1!F16</f>
        <v>7000</v>
      </c>
    </row>
    <row r="34" spans="1:3" ht="14.25" x14ac:dyDescent="0.2">
      <c r="A34" s="24" t="s">
        <v>27</v>
      </c>
      <c r="B34" s="43" t="s">
        <v>28</v>
      </c>
      <c r="C34" s="44">
        <f>[5]С1!F17</f>
        <v>0.72857142857142854</v>
      </c>
    </row>
    <row r="35" spans="1:3" ht="15.75" x14ac:dyDescent="0.2">
      <c r="A35" s="45" t="s">
        <v>29</v>
      </c>
      <c r="B35" s="46" t="s">
        <v>30</v>
      </c>
      <c r="C35" s="44">
        <f>[5]С1!F20</f>
        <v>21.588411179999994</v>
      </c>
    </row>
    <row r="36" spans="1:3" ht="15.75" x14ac:dyDescent="0.2">
      <c r="A36" s="45" t="s">
        <v>31</v>
      </c>
      <c r="B36" s="47" t="s">
        <v>32</v>
      </c>
      <c r="C36" s="44">
        <f>[5]С1!F21</f>
        <v>20.818139999999996</v>
      </c>
    </row>
    <row r="37" spans="1:3" ht="14.25" x14ac:dyDescent="0.2">
      <c r="A37" s="45" t="s">
        <v>33</v>
      </c>
      <c r="B37" s="48" t="s">
        <v>34</v>
      </c>
      <c r="C37" s="44">
        <f>[5]С1!F22</f>
        <v>1.0369999999999999</v>
      </c>
    </row>
    <row r="38" spans="1:3" ht="53.25" thickBot="1" x14ac:dyDescent="0.25">
      <c r="A38" s="29" t="s">
        <v>35</v>
      </c>
      <c r="B38" s="49" t="s">
        <v>36</v>
      </c>
      <c r="C38" s="50">
        <f>[5]С1!F23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[5]С2.1!E12</f>
        <v>V</v>
      </c>
    </row>
    <row r="42" spans="1:3" ht="25.5" x14ac:dyDescent="0.2">
      <c r="A42" s="24" t="s">
        <v>41</v>
      </c>
      <c r="B42" s="37" t="s">
        <v>42</v>
      </c>
      <c r="C42" s="56" t="str">
        <f>[5]С2.1!E13</f>
        <v>6 и менее баллов</v>
      </c>
    </row>
    <row r="43" spans="1:3" ht="25.5" x14ac:dyDescent="0.2">
      <c r="A43" s="24" t="s">
        <v>43</v>
      </c>
      <c r="B43" s="37" t="s">
        <v>44</v>
      </c>
      <c r="C43" s="56" t="str">
        <f>[5]С2.1!E14</f>
        <v>от 200 до 500</v>
      </c>
    </row>
    <row r="44" spans="1:3" ht="25.5" x14ac:dyDescent="0.2">
      <c r="A44" s="24" t="s">
        <v>45</v>
      </c>
      <c r="B44" s="37" t="s">
        <v>46</v>
      </c>
      <c r="C44" s="57" t="str">
        <f>[5]С2.1!E15</f>
        <v>нет</v>
      </c>
    </row>
    <row r="45" spans="1:3" ht="30" x14ac:dyDescent="0.2">
      <c r="A45" s="24" t="s">
        <v>47</v>
      </c>
      <c r="B45" s="37" t="s">
        <v>48</v>
      </c>
      <c r="C45" s="38">
        <f>[5]С2!F18</f>
        <v>32402.627334033532</v>
      </c>
    </row>
    <row r="46" spans="1:3" ht="30" x14ac:dyDescent="0.2">
      <c r="A46" s="24" t="s">
        <v>49</v>
      </c>
      <c r="B46" s="58" t="s">
        <v>50</v>
      </c>
      <c r="C46" s="38">
        <f>IF([5]С2!F19&gt;0,[5]С2!F19,[5]С2!F20)</f>
        <v>23441.524932855718</v>
      </c>
    </row>
    <row r="47" spans="1:3" ht="25.5" x14ac:dyDescent="0.2">
      <c r="A47" s="24" t="s">
        <v>51</v>
      </c>
      <c r="B47" s="59" t="s">
        <v>52</v>
      </c>
      <c r="C47" s="38">
        <f>[5]С2.1!E19</f>
        <v>-37</v>
      </c>
    </row>
    <row r="48" spans="1:3" ht="25.5" x14ac:dyDescent="0.2">
      <c r="A48" s="24" t="s">
        <v>53</v>
      </c>
      <c r="B48" s="59" t="s">
        <v>54</v>
      </c>
      <c r="C48" s="38" t="str">
        <f>[5]С2.1!E22</f>
        <v>нет</v>
      </c>
    </row>
    <row r="49" spans="1:3" ht="38.25" x14ac:dyDescent="0.2">
      <c r="A49" s="24" t="s">
        <v>55</v>
      </c>
      <c r="B49" s="60" t="s">
        <v>56</v>
      </c>
      <c r="C49" s="38">
        <f>[5]С2.2!E10</f>
        <v>1287</v>
      </c>
    </row>
    <row r="50" spans="1:3" ht="25.5" x14ac:dyDescent="0.2">
      <c r="A50" s="24" t="s">
        <v>57</v>
      </c>
      <c r="B50" s="61" t="s">
        <v>58</v>
      </c>
      <c r="C50" s="38">
        <f>[5]С2.2!E12</f>
        <v>5.97</v>
      </c>
    </row>
    <row r="51" spans="1:3" ht="52.5" x14ac:dyDescent="0.2">
      <c r="A51" s="24" t="s">
        <v>59</v>
      </c>
      <c r="B51" s="62" t="s">
        <v>60</v>
      </c>
      <c r="C51" s="38">
        <f>[5]С2.2!E13</f>
        <v>1</v>
      </c>
    </row>
    <row r="52" spans="1:3" ht="27.75" x14ac:dyDescent="0.2">
      <c r="A52" s="24" t="s">
        <v>61</v>
      </c>
      <c r="B52" s="61" t="s">
        <v>62</v>
      </c>
      <c r="C52" s="38">
        <f>[5]С2.2!E14</f>
        <v>12104</v>
      </c>
    </row>
    <row r="53" spans="1:3" ht="25.5" x14ac:dyDescent="0.2">
      <c r="A53" s="24" t="s">
        <v>63</v>
      </c>
      <c r="B53" s="62" t="s">
        <v>64</v>
      </c>
      <c r="C53" s="39">
        <f>[5]С2.2!E15</f>
        <v>4.8000000000000001E-2</v>
      </c>
    </row>
    <row r="54" spans="1:3" x14ac:dyDescent="0.2">
      <c r="A54" s="24" t="s">
        <v>65</v>
      </c>
      <c r="B54" s="62" t="s">
        <v>66</v>
      </c>
      <c r="C54" s="38">
        <f>[5]С2.2!E16</f>
        <v>1</v>
      </c>
    </row>
    <row r="55" spans="1:3" ht="15.75" x14ac:dyDescent="0.2">
      <c r="A55" s="24" t="s">
        <v>67</v>
      </c>
      <c r="B55" s="63" t="s">
        <v>68</v>
      </c>
      <c r="C55" s="38">
        <f>[5]С2!F21</f>
        <v>1</v>
      </c>
    </row>
    <row r="56" spans="1:3" ht="30" x14ac:dyDescent="0.2">
      <c r="A56" s="64" t="s">
        <v>69</v>
      </c>
      <c r="B56" s="37" t="s">
        <v>70</v>
      </c>
      <c r="C56" s="38">
        <f>[5]С2!F13</f>
        <v>169640.22915965237</v>
      </c>
    </row>
    <row r="57" spans="1:3" ht="30" x14ac:dyDescent="0.2">
      <c r="A57" s="64" t="s">
        <v>71</v>
      </c>
      <c r="B57" s="63" t="s">
        <v>72</v>
      </c>
      <c r="C57" s="38">
        <f>[5]С2!F14</f>
        <v>113455</v>
      </c>
    </row>
    <row r="58" spans="1:3" ht="15.75" x14ac:dyDescent="0.2">
      <c r="A58" s="64" t="s">
        <v>73</v>
      </c>
      <c r="B58" s="65" t="s">
        <v>74</v>
      </c>
      <c r="C58" s="44">
        <f>[5]С2!F15</f>
        <v>1.071</v>
      </c>
    </row>
    <row r="59" spans="1:3" ht="15.75" x14ac:dyDescent="0.2">
      <c r="A59" s="64" t="s">
        <v>75</v>
      </c>
      <c r="B59" s="65" t="s">
        <v>76</v>
      </c>
      <c r="C59" s="44">
        <f>[5]С2!F16</f>
        <v>1</v>
      </c>
    </row>
    <row r="60" spans="1:3" ht="17.25" x14ac:dyDescent="0.2">
      <c r="A60" s="64" t="s">
        <v>77</v>
      </c>
      <c r="B60" s="63" t="s">
        <v>78</v>
      </c>
      <c r="C60" s="38">
        <f>[5]С2!F17</f>
        <v>1.01</v>
      </c>
    </row>
    <row r="61" spans="1:3" s="68" customFormat="1" ht="14.25" x14ac:dyDescent="0.2">
      <c r="A61" s="64" t="s">
        <v>79</v>
      </c>
      <c r="B61" s="66" t="s">
        <v>80</v>
      </c>
      <c r="C61" s="67">
        <f>[5]С2!F33</f>
        <v>10</v>
      </c>
    </row>
    <row r="62" spans="1:3" ht="30" x14ac:dyDescent="0.2">
      <c r="A62" s="64" t="s">
        <v>81</v>
      </c>
      <c r="B62" s="69" t="s">
        <v>82</v>
      </c>
      <c r="C62" s="38">
        <f>[5]С2!F26</f>
        <v>1424.4887832283189</v>
      </c>
    </row>
    <row r="63" spans="1:3" ht="17.25" x14ac:dyDescent="0.2">
      <c r="A63" s="64" t="s">
        <v>83</v>
      </c>
      <c r="B63" s="58" t="s">
        <v>84</v>
      </c>
      <c r="C63" s="38">
        <f>[5]С2!F27</f>
        <v>0.24536656199999998</v>
      </c>
    </row>
    <row r="64" spans="1:3" ht="17.25" x14ac:dyDescent="0.2">
      <c r="A64" s="64" t="s">
        <v>85</v>
      </c>
      <c r="B64" s="63" t="s">
        <v>86</v>
      </c>
      <c r="C64" s="67">
        <f>[5]С2!F28</f>
        <v>4200</v>
      </c>
    </row>
    <row r="65" spans="1:3" ht="42.75" x14ac:dyDescent="0.2">
      <c r="A65" s="64" t="s">
        <v>87</v>
      </c>
      <c r="B65" s="37" t="s">
        <v>88</v>
      </c>
      <c r="C65" s="38">
        <f>[5]С2!F22</f>
        <v>35717.748653137714</v>
      </c>
    </row>
    <row r="66" spans="1:3" ht="30" x14ac:dyDescent="0.2">
      <c r="A66" s="64" t="s">
        <v>89</v>
      </c>
      <c r="B66" s="65" t="s">
        <v>90</v>
      </c>
      <c r="C66" s="38">
        <f>[5]С2!F23</f>
        <v>1990</v>
      </c>
    </row>
    <row r="67" spans="1:3" ht="30" x14ac:dyDescent="0.2">
      <c r="A67" s="64" t="s">
        <v>91</v>
      </c>
      <c r="B67" s="58" t="s">
        <v>92</v>
      </c>
      <c r="C67" s="38">
        <f>[5]С2.1!E27</f>
        <v>14307.876789999998</v>
      </c>
    </row>
    <row r="68" spans="1:3" ht="38.25" x14ac:dyDescent="0.2">
      <c r="A68" s="64" t="s">
        <v>93</v>
      </c>
      <c r="B68" s="70" t="s">
        <v>94</v>
      </c>
      <c r="C68" s="57">
        <f>[5]С2.3!E21</f>
        <v>0</v>
      </c>
    </row>
    <row r="69" spans="1:3" ht="25.5" x14ac:dyDescent="0.2">
      <c r="A69" s="64" t="s">
        <v>95</v>
      </c>
      <c r="B69" s="71" t="s">
        <v>96</v>
      </c>
      <c r="C69" s="72">
        <f>[5]С2.3!E11</f>
        <v>9.89</v>
      </c>
    </row>
    <row r="70" spans="1:3" ht="25.5" x14ac:dyDescent="0.2">
      <c r="A70" s="64" t="s">
        <v>97</v>
      </c>
      <c r="B70" s="71" t="s">
        <v>98</v>
      </c>
      <c r="C70" s="67">
        <f>[5]С2.3!E13</f>
        <v>300</v>
      </c>
    </row>
    <row r="71" spans="1:3" ht="25.5" x14ac:dyDescent="0.2">
      <c r="A71" s="64" t="s">
        <v>99</v>
      </c>
      <c r="B71" s="70" t="s">
        <v>100</v>
      </c>
      <c r="C71" s="73">
        <f>IF([5]С2.3!E22&gt;0,[5]С2.3!E22,[5]С2.3!E14)</f>
        <v>61211</v>
      </c>
    </row>
    <row r="72" spans="1:3" ht="38.25" x14ac:dyDescent="0.2">
      <c r="A72" s="64" t="s">
        <v>101</v>
      </c>
      <c r="B72" s="70" t="s">
        <v>102</v>
      </c>
      <c r="C72" s="73">
        <f>IF([5]С2.3!E23&gt;0,[5]С2.3!E23,[5]С2.3!E15)</f>
        <v>45675</v>
      </c>
    </row>
    <row r="73" spans="1:3" ht="30" x14ac:dyDescent="0.2">
      <c r="A73" s="64" t="s">
        <v>103</v>
      </c>
      <c r="B73" s="58" t="s">
        <v>104</v>
      </c>
      <c r="C73" s="38">
        <f>[5]С2.1!E28</f>
        <v>9541.9567200000001</v>
      </c>
    </row>
    <row r="74" spans="1:3" ht="38.25" x14ac:dyDescent="0.2">
      <c r="A74" s="64" t="s">
        <v>105</v>
      </c>
      <c r="B74" s="70" t="s">
        <v>106</v>
      </c>
      <c r="C74" s="57">
        <f>[5]С2.3!E25</f>
        <v>0</v>
      </c>
    </row>
    <row r="75" spans="1:3" ht="25.5" x14ac:dyDescent="0.2">
      <c r="A75" s="64" t="s">
        <v>107</v>
      </c>
      <c r="B75" s="71" t="s">
        <v>108</v>
      </c>
      <c r="C75" s="72">
        <f>[5]С2.3!E12</f>
        <v>0.56000000000000005</v>
      </c>
    </row>
    <row r="76" spans="1:3" ht="25.5" x14ac:dyDescent="0.2">
      <c r="A76" s="64" t="s">
        <v>109</v>
      </c>
      <c r="B76" s="71" t="s">
        <v>98</v>
      </c>
      <c r="C76" s="67">
        <f>[5]С2.3!E13</f>
        <v>300</v>
      </c>
    </row>
    <row r="77" spans="1:3" ht="25.5" x14ac:dyDescent="0.2">
      <c r="A77" s="64" t="s">
        <v>110</v>
      </c>
      <c r="B77" s="74" t="s">
        <v>111</v>
      </c>
      <c r="C77" s="73">
        <f>IF([5]С2.3!E26&gt;0,[5]С2.3!E26,[5]С2.3!E16)</f>
        <v>65637</v>
      </c>
    </row>
    <row r="78" spans="1:3" ht="38.25" x14ac:dyDescent="0.2">
      <c r="A78" s="64" t="s">
        <v>112</v>
      </c>
      <c r="B78" s="74" t="s">
        <v>113</v>
      </c>
      <c r="C78" s="73">
        <f>IF([5]С2.3!E27&gt;0,[5]С2.3!E27,[5]С2.3!E17)</f>
        <v>31684</v>
      </c>
    </row>
    <row r="79" spans="1:3" ht="17.25" x14ac:dyDescent="0.2">
      <c r="A79" s="64" t="s">
        <v>114</v>
      </c>
      <c r="B79" s="37" t="s">
        <v>115</v>
      </c>
      <c r="C79" s="39">
        <f>[5]С2!F29</f>
        <v>0.128978033685065</v>
      </c>
    </row>
    <row r="80" spans="1:3" ht="30" x14ac:dyDescent="0.2">
      <c r="A80" s="64" t="s">
        <v>116</v>
      </c>
      <c r="B80" s="58" t="s">
        <v>117</v>
      </c>
      <c r="C80" s="75">
        <f>[5]С2!F30</f>
        <v>0.11668498168498169</v>
      </c>
    </row>
    <row r="81" spans="1:3" ht="17.25" x14ac:dyDescent="0.2">
      <c r="A81" s="64" t="s">
        <v>118</v>
      </c>
      <c r="B81" s="76" t="s">
        <v>119</v>
      </c>
      <c r="C81" s="39">
        <f>[5]С2!F31</f>
        <v>0.13880000000000001</v>
      </c>
    </row>
    <row r="82" spans="1:3" s="68" customFormat="1" ht="18" thickBot="1" x14ac:dyDescent="0.25">
      <c r="A82" s="77" t="s">
        <v>120</v>
      </c>
      <c r="B82" s="78" t="s">
        <v>121</v>
      </c>
      <c r="C82" s="79">
        <f>[5]С2!F32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[5]С3!F14</f>
        <v>7012.1794194579406</v>
      </c>
    </row>
    <row r="86" spans="1:3" s="68" customFormat="1" ht="42.75" x14ac:dyDescent="0.2">
      <c r="A86" s="82" t="s">
        <v>126</v>
      </c>
      <c r="B86" s="58" t="s">
        <v>127</v>
      </c>
      <c r="C86" s="83">
        <f>[5]С3!F15</f>
        <v>0.2</v>
      </c>
    </row>
    <row r="87" spans="1:3" s="68" customFormat="1" ht="14.25" x14ac:dyDescent="0.2">
      <c r="A87" s="82" t="s">
        <v>128</v>
      </c>
      <c r="B87" s="84" t="s">
        <v>129</v>
      </c>
      <c r="C87" s="67">
        <f>[5]С3!F18</f>
        <v>15</v>
      </c>
    </row>
    <row r="88" spans="1:3" s="68" customFormat="1" ht="17.25" x14ac:dyDescent="0.2">
      <c r="A88" s="82" t="s">
        <v>130</v>
      </c>
      <c r="B88" s="37" t="s">
        <v>131</v>
      </c>
      <c r="C88" s="38">
        <f>[5]С3!F19</f>
        <v>3487.1555421534131</v>
      </c>
    </row>
    <row r="89" spans="1:3" s="68" customFormat="1" ht="55.5" x14ac:dyDescent="0.2">
      <c r="A89" s="82" t="s">
        <v>132</v>
      </c>
      <c r="B89" s="58" t="s">
        <v>133</v>
      </c>
      <c r="C89" s="85">
        <f>[5]С3!F20</f>
        <v>2.1999999999999999E-2</v>
      </c>
    </row>
    <row r="90" spans="1:3" s="68" customFormat="1" ht="14.25" x14ac:dyDescent="0.2">
      <c r="A90" s="82" t="s">
        <v>134</v>
      </c>
      <c r="B90" s="63" t="s">
        <v>80</v>
      </c>
      <c r="C90" s="67">
        <f>[5]С3!F21</f>
        <v>10</v>
      </c>
    </row>
    <row r="91" spans="1:3" s="68" customFormat="1" ht="17.25" x14ac:dyDescent="0.2">
      <c r="A91" s="82" t="s">
        <v>135</v>
      </c>
      <c r="B91" s="37" t="s">
        <v>136</v>
      </c>
      <c r="C91" s="38">
        <f>[5]С3!F22</f>
        <v>4.2734663496849565</v>
      </c>
    </row>
    <row r="92" spans="1:3" s="68" customFormat="1" ht="55.5" x14ac:dyDescent="0.2">
      <c r="A92" s="82" t="s">
        <v>137</v>
      </c>
      <c r="B92" s="58" t="s">
        <v>138</v>
      </c>
      <c r="C92" s="85">
        <f>[5]С3!F23</f>
        <v>3.0000000000000001E-3</v>
      </c>
    </row>
    <row r="93" spans="1:3" s="68" customFormat="1" ht="27.75" thickBot="1" x14ac:dyDescent="0.25">
      <c r="A93" s="86" t="s">
        <v>139</v>
      </c>
      <c r="B93" s="87" t="s">
        <v>140</v>
      </c>
      <c r="C93" s="88">
        <f>[5]С3!F24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[5]С4!F16</f>
        <v>1652.5</v>
      </c>
    </row>
    <row r="97" spans="1:3" ht="30" x14ac:dyDescent="0.2">
      <c r="A97" s="64" t="s">
        <v>145</v>
      </c>
      <c r="B97" s="63" t="s">
        <v>146</v>
      </c>
      <c r="C97" s="38">
        <f>[5]С4!F17</f>
        <v>73547</v>
      </c>
    </row>
    <row r="98" spans="1:3" ht="17.25" x14ac:dyDescent="0.2">
      <c r="A98" s="64" t="s">
        <v>147</v>
      </c>
      <c r="B98" s="63" t="s">
        <v>148</v>
      </c>
      <c r="C98" s="44">
        <f>[5]С4!F18</f>
        <v>0.02</v>
      </c>
    </row>
    <row r="99" spans="1:3" ht="30" x14ac:dyDescent="0.2">
      <c r="A99" s="64" t="s">
        <v>149</v>
      </c>
      <c r="B99" s="63" t="s">
        <v>150</v>
      </c>
      <c r="C99" s="38">
        <f>[5]С4!F19</f>
        <v>12104</v>
      </c>
    </row>
    <row r="100" spans="1:3" ht="31.5" x14ac:dyDescent="0.2">
      <c r="A100" s="64" t="s">
        <v>151</v>
      </c>
      <c r="B100" s="63" t="s">
        <v>152</v>
      </c>
      <c r="C100" s="44">
        <f>[5]С4!F20</f>
        <v>1.4999999999999999E-2</v>
      </c>
    </row>
    <row r="101" spans="1:3" ht="30" x14ac:dyDescent="0.2">
      <c r="A101" s="64" t="s">
        <v>153</v>
      </c>
      <c r="B101" s="37" t="s">
        <v>154</v>
      </c>
      <c r="C101" s="38">
        <f>[5]С4!F21</f>
        <v>1933.1949342509995</v>
      </c>
    </row>
    <row r="102" spans="1:3" ht="24" customHeight="1" x14ac:dyDescent="0.2">
      <c r="A102" s="64" t="s">
        <v>155</v>
      </c>
      <c r="B102" s="58" t="s">
        <v>156</v>
      </c>
      <c r="C102" s="90">
        <f>IF([5]С4.2!F8="да",[5]С4.2!D21,[5]С4.2!D15)</f>
        <v>0</v>
      </c>
    </row>
    <row r="103" spans="1:3" ht="68.25" x14ac:dyDescent="0.2">
      <c r="A103" s="64" t="s">
        <v>157</v>
      </c>
      <c r="B103" s="58" t="s">
        <v>158</v>
      </c>
      <c r="C103" s="38">
        <f>[5]С4!F22</f>
        <v>3.6112641666666665</v>
      </c>
    </row>
    <row r="104" spans="1:3" ht="30" x14ac:dyDescent="0.2">
      <c r="A104" s="64" t="s">
        <v>159</v>
      </c>
      <c r="B104" s="63" t="s">
        <v>160</v>
      </c>
      <c r="C104" s="38">
        <f>[5]С4!F23</f>
        <v>180</v>
      </c>
    </row>
    <row r="105" spans="1:3" ht="14.25" x14ac:dyDescent="0.2">
      <c r="A105" s="64" t="s">
        <v>161</v>
      </c>
      <c r="B105" s="58" t="s">
        <v>162</v>
      </c>
      <c r="C105" s="38">
        <f>[5]С4!F24</f>
        <v>8497.1999999999989</v>
      </c>
    </row>
    <row r="106" spans="1:3" ht="14.25" x14ac:dyDescent="0.2">
      <c r="A106" s="64" t="s">
        <v>163</v>
      </c>
      <c r="B106" s="63" t="s">
        <v>164</v>
      </c>
      <c r="C106" s="44">
        <f>[5]С4!F25</f>
        <v>0.35</v>
      </c>
    </row>
    <row r="107" spans="1:3" ht="17.25" x14ac:dyDescent="0.2">
      <c r="A107" s="64" t="s">
        <v>165</v>
      </c>
      <c r="B107" s="37" t="s">
        <v>166</v>
      </c>
      <c r="C107" s="38">
        <f>[5]С4!F26</f>
        <v>88.767030000000005</v>
      </c>
    </row>
    <row r="108" spans="1:3" ht="25.5" x14ac:dyDescent="0.2">
      <c r="A108" s="64" t="s">
        <v>167</v>
      </c>
      <c r="B108" s="58" t="s">
        <v>94</v>
      </c>
      <c r="C108" s="90">
        <f>[5]С4.3!E16</f>
        <v>0</v>
      </c>
    </row>
    <row r="109" spans="1:3" ht="25.5" x14ac:dyDescent="0.2">
      <c r="A109" s="64" t="s">
        <v>168</v>
      </c>
      <c r="B109" s="58" t="s">
        <v>169</v>
      </c>
      <c r="C109" s="38">
        <f>[5]С4.3!E17</f>
        <v>21.25</v>
      </c>
    </row>
    <row r="110" spans="1:3" ht="38.25" x14ac:dyDescent="0.2">
      <c r="A110" s="64" t="s">
        <v>170</v>
      </c>
      <c r="B110" s="58" t="s">
        <v>106</v>
      </c>
      <c r="C110" s="90">
        <f>[5]С4.3!E18</f>
        <v>0</v>
      </c>
    </row>
    <row r="111" spans="1:3" x14ac:dyDescent="0.2">
      <c r="A111" s="64" t="s">
        <v>171</v>
      </c>
      <c r="B111" s="58" t="s">
        <v>172</v>
      </c>
      <c r="C111" s="38">
        <f>[5]С4.3!E19</f>
        <v>69.819999999999993</v>
      </c>
    </row>
    <row r="112" spans="1:3" x14ac:dyDescent="0.2">
      <c r="A112" s="64" t="s">
        <v>173</v>
      </c>
      <c r="B112" s="63" t="s">
        <v>174</v>
      </c>
      <c r="C112" s="38">
        <f>[5]С4.3!E11</f>
        <v>1871</v>
      </c>
    </row>
    <row r="113" spans="1:3" x14ac:dyDescent="0.2">
      <c r="A113" s="64" t="s">
        <v>175</v>
      </c>
      <c r="B113" s="63" t="s">
        <v>176</v>
      </c>
      <c r="C113" s="57">
        <f>[5]С4.3!E12</f>
        <v>1636</v>
      </c>
    </row>
    <row r="114" spans="1:3" x14ac:dyDescent="0.2">
      <c r="A114" s="64" t="s">
        <v>177</v>
      </c>
      <c r="B114" s="63" t="s">
        <v>178</v>
      </c>
      <c r="C114" s="57">
        <f>[5]С4.3!E13</f>
        <v>204</v>
      </c>
    </row>
    <row r="115" spans="1:3" ht="30" x14ac:dyDescent="0.2">
      <c r="A115" s="64" t="s">
        <v>179</v>
      </c>
      <c r="B115" s="37" t="s">
        <v>180</v>
      </c>
      <c r="C115" s="38">
        <f>[5]С4!F27</f>
        <v>1047.1575926659227</v>
      </c>
    </row>
    <row r="116" spans="1:3" ht="25.5" x14ac:dyDescent="0.2">
      <c r="A116" s="64" t="s">
        <v>181</v>
      </c>
      <c r="B116" s="58" t="s">
        <v>182</v>
      </c>
      <c r="C116" s="38">
        <f>[5]С4!F28</f>
        <v>804.26850435170718</v>
      </c>
    </row>
    <row r="117" spans="1:3" ht="42.75" x14ac:dyDescent="0.2">
      <c r="A117" s="64" t="s">
        <v>183</v>
      </c>
      <c r="B117" s="58" t="s">
        <v>184</v>
      </c>
      <c r="C117" s="38">
        <f>[5]С4!F29</f>
        <v>242.8890883142156</v>
      </c>
    </row>
    <row r="118" spans="1:3" ht="30" x14ac:dyDescent="0.2">
      <c r="A118" s="64" t="s">
        <v>185</v>
      </c>
      <c r="B118" s="43" t="s">
        <v>186</v>
      </c>
      <c r="C118" s="38">
        <f>[5]С4!F30</f>
        <v>1983.5922572964203</v>
      </c>
    </row>
    <row r="119" spans="1:3" ht="42.75" x14ac:dyDescent="0.2">
      <c r="A119" s="64" t="s">
        <v>187</v>
      </c>
      <c r="B119" s="91" t="s">
        <v>188</v>
      </c>
      <c r="C119" s="38">
        <f>[5]С4!F33</f>
        <v>1265.6933925460569</v>
      </c>
    </row>
    <row r="120" spans="1:3" ht="30" x14ac:dyDescent="0.2">
      <c r="A120" s="64" t="s">
        <v>189</v>
      </c>
      <c r="B120" s="92" t="s">
        <v>190</v>
      </c>
      <c r="C120" s="38">
        <f>[5]С4!F35</f>
        <v>17.040680999999999</v>
      </c>
    </row>
    <row r="121" spans="1:3" ht="14.25" x14ac:dyDescent="0.2">
      <c r="A121" s="64" t="s">
        <v>191</v>
      </c>
      <c r="B121" s="61" t="s">
        <v>192</v>
      </c>
      <c r="C121" s="38">
        <f>[5]С4!F36</f>
        <v>14319.9</v>
      </c>
    </row>
    <row r="122" spans="1:3" ht="28.5" thickBot="1" x14ac:dyDescent="0.25">
      <c r="A122" s="77" t="s">
        <v>193</v>
      </c>
      <c r="B122" s="93" t="s">
        <v>194</v>
      </c>
      <c r="C122" s="88">
        <f>[5]С4!F37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[5]С5!F17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[5]С2!F37</f>
        <v>20.818139999999996</v>
      </c>
    </row>
    <row r="136" spans="1:4" ht="14.25" x14ac:dyDescent="0.2">
      <c r="A136" s="64" t="s">
        <v>216</v>
      </c>
      <c r="B136" s="107" t="s">
        <v>217</v>
      </c>
      <c r="C136" s="38">
        <f>[5]С2!F38</f>
        <v>7</v>
      </c>
    </row>
    <row r="137" spans="1:4" ht="17.25" x14ac:dyDescent="0.2">
      <c r="A137" s="64" t="s">
        <v>218</v>
      </c>
      <c r="B137" s="107" t="s">
        <v>219</v>
      </c>
      <c r="C137" s="38">
        <f>[5]С2!F40</f>
        <v>0.97</v>
      </c>
    </row>
    <row r="138" spans="1:4" ht="15" thickBot="1" x14ac:dyDescent="0.25">
      <c r="A138" s="77" t="s">
        <v>220</v>
      </c>
      <c r="B138" s="108" t="s">
        <v>221</v>
      </c>
      <c r="C138" s="50">
        <f>[5]С2!F42</f>
        <v>0.35</v>
      </c>
    </row>
    <row r="139" spans="1:4" s="94" customFormat="1" ht="13.5" thickBot="1" x14ac:dyDescent="0.25">
      <c r="A139" s="51"/>
      <c r="B139" s="80"/>
      <c r="C139" s="16"/>
    </row>
    <row r="140" spans="1:4" ht="30" x14ac:dyDescent="0.2">
      <c r="A140" s="89" t="s">
        <v>222</v>
      </c>
      <c r="B140" s="109" t="s">
        <v>223</v>
      </c>
      <c r="C140" s="110">
        <f>[5]С2!F35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[5]С2.5!$E$11</f>
        <v>-2.9000000000000026E-2</v>
      </c>
      <c r="D143" s="94"/>
    </row>
    <row r="144" spans="1:4" x14ac:dyDescent="0.2">
      <c r="A144" s="112"/>
      <c r="B144" s="117">
        <f>B143+1</f>
        <v>2021</v>
      </c>
      <c r="C144" s="118">
        <f>[5]С2.5!$F$11</f>
        <v>0.245</v>
      </c>
      <c r="D144" s="94"/>
    </row>
    <row r="145" spans="1:4" x14ac:dyDescent="0.2">
      <c r="A145" s="112"/>
      <c r="B145" s="117">
        <f t="shared" ref="B145:B208" si="0">B144+1</f>
        <v>2022</v>
      </c>
      <c r="C145" s="118">
        <f>[5]С2.5!$G$11</f>
        <v>0.121</v>
      </c>
      <c r="D145" s="94"/>
    </row>
    <row r="146" spans="1:4" ht="13.5" thickBot="1" x14ac:dyDescent="0.25">
      <c r="A146" s="112"/>
      <c r="B146" s="119">
        <f t="shared" si="0"/>
        <v>2023</v>
      </c>
      <c r="C146" s="120">
        <f>[5]С2.5!$H$11</f>
        <v>0.02</v>
      </c>
      <c r="D146" s="94"/>
    </row>
    <row r="147" spans="1:4" hidden="1" x14ac:dyDescent="0.2">
      <c r="A147" s="112"/>
      <c r="B147" s="121">
        <f t="shared" si="0"/>
        <v>2024</v>
      </c>
      <c r="C147" s="122">
        <f>[5]С2.5!$I$11</f>
        <v>-2.93E-2</v>
      </c>
      <c r="D147" s="94"/>
    </row>
    <row r="148" spans="1:4" hidden="1" x14ac:dyDescent="0.2">
      <c r="A148" s="112"/>
      <c r="B148" s="117">
        <f t="shared" si="0"/>
        <v>2025</v>
      </c>
      <c r="C148" s="118">
        <f>[5]С2.5!$J$11</f>
        <v>0.21215960863291</v>
      </c>
      <c r="D148" s="94"/>
    </row>
    <row r="149" spans="1:4" hidden="1" x14ac:dyDescent="0.2">
      <c r="A149" s="112"/>
      <c r="B149" s="117">
        <f t="shared" si="0"/>
        <v>2026</v>
      </c>
      <c r="C149" s="118">
        <f>[5]С2.5!$K$11</f>
        <v>3.5813361771260002E-2</v>
      </c>
      <c r="D149" s="94"/>
    </row>
    <row r="150" spans="1:4" hidden="1" x14ac:dyDescent="0.2">
      <c r="A150" s="112"/>
      <c r="B150" s="117">
        <f t="shared" si="0"/>
        <v>2027</v>
      </c>
      <c r="C150" s="118">
        <f>[5]С2.5!$L$11</f>
        <v>3.2682303599220003E-2</v>
      </c>
      <c r="D150" s="94"/>
    </row>
    <row r="151" spans="1:4" hidden="1" x14ac:dyDescent="0.2">
      <c r="A151" s="112"/>
      <c r="B151" s="117">
        <f t="shared" si="0"/>
        <v>2028</v>
      </c>
      <c r="C151" s="118">
        <f>[5]С2.5!$M$11</f>
        <v>0</v>
      </c>
      <c r="D151" s="94"/>
    </row>
    <row r="152" spans="1:4" hidden="1" x14ac:dyDescent="0.2">
      <c r="A152" s="112"/>
      <c r="B152" s="117">
        <f t="shared" si="0"/>
        <v>2029</v>
      </c>
      <c r="C152" s="118">
        <f>[5]С2.5!$N$11</f>
        <v>0</v>
      </c>
      <c r="D152" s="94"/>
    </row>
    <row r="153" spans="1:4" hidden="1" x14ac:dyDescent="0.2">
      <c r="A153" s="112"/>
      <c r="B153" s="117">
        <f t="shared" si="0"/>
        <v>2030</v>
      </c>
      <c r="C153" s="118">
        <f>[5]С2.5!$O$11</f>
        <v>0</v>
      </c>
      <c r="D153" s="94"/>
    </row>
    <row r="154" spans="1:4" hidden="1" x14ac:dyDescent="0.2">
      <c r="A154" s="112"/>
      <c r="B154" s="117">
        <f t="shared" si="0"/>
        <v>2031</v>
      </c>
      <c r="C154" s="118">
        <f>[5]С2.5!$P$11</f>
        <v>0</v>
      </c>
      <c r="D154" s="94"/>
    </row>
    <row r="155" spans="1:4" hidden="1" x14ac:dyDescent="0.2">
      <c r="A155" s="94"/>
      <c r="B155" s="117">
        <f t="shared" si="0"/>
        <v>2032</v>
      </c>
      <c r="C155" s="118">
        <f>[5]С2.5!$Q$11</f>
        <v>0</v>
      </c>
      <c r="D155" s="94"/>
    </row>
    <row r="156" spans="1:4" hidden="1" x14ac:dyDescent="0.2">
      <c r="A156" s="94"/>
      <c r="B156" s="117">
        <f t="shared" si="0"/>
        <v>2033</v>
      </c>
      <c r="C156" s="118">
        <f>[5]С2.5!$R$11</f>
        <v>0</v>
      </c>
      <c r="D156" s="94"/>
    </row>
    <row r="157" spans="1:4" hidden="1" x14ac:dyDescent="0.2">
      <c r="B157" s="117">
        <f t="shared" si="0"/>
        <v>2034</v>
      </c>
      <c r="C157" s="118">
        <f>[5]С2.5!$S$11</f>
        <v>0</v>
      </c>
    </row>
    <row r="158" spans="1:4" hidden="1" x14ac:dyDescent="0.2">
      <c r="B158" s="117">
        <f t="shared" si="0"/>
        <v>2035</v>
      </c>
      <c r="C158" s="118">
        <f>[5]С2.5!$T$11</f>
        <v>0</v>
      </c>
    </row>
    <row r="159" spans="1:4" hidden="1" x14ac:dyDescent="0.2">
      <c r="B159" s="117">
        <f t="shared" si="0"/>
        <v>2036</v>
      </c>
      <c r="C159" s="118">
        <f>[5]С2.5!$U$11</f>
        <v>0</v>
      </c>
    </row>
    <row r="160" spans="1:4" hidden="1" x14ac:dyDescent="0.2">
      <c r="B160" s="117">
        <f t="shared" si="0"/>
        <v>2037</v>
      </c>
      <c r="C160" s="118">
        <f>[5]С2.5!$V$11</f>
        <v>0</v>
      </c>
    </row>
    <row r="161" spans="2:3" hidden="1" x14ac:dyDescent="0.2">
      <c r="B161" s="117">
        <f t="shared" si="0"/>
        <v>2038</v>
      </c>
      <c r="C161" s="118">
        <f>[5]С2.5!$W$11</f>
        <v>0</v>
      </c>
    </row>
    <row r="162" spans="2:3" hidden="1" x14ac:dyDescent="0.2">
      <c r="B162" s="117">
        <f t="shared" si="0"/>
        <v>2039</v>
      </c>
      <c r="C162" s="118">
        <f>[5]С2.5!$X$11</f>
        <v>0</v>
      </c>
    </row>
    <row r="163" spans="2:3" hidden="1" x14ac:dyDescent="0.2">
      <c r="B163" s="117">
        <f t="shared" si="0"/>
        <v>2040</v>
      </c>
      <c r="C163" s="118">
        <f>[5]С2.5!$Y$11</f>
        <v>0</v>
      </c>
    </row>
    <row r="164" spans="2:3" hidden="1" x14ac:dyDescent="0.2">
      <c r="B164" s="117">
        <f t="shared" si="0"/>
        <v>2041</v>
      </c>
      <c r="C164" s="118">
        <f>[5]С2.5!$Z$11</f>
        <v>0</v>
      </c>
    </row>
    <row r="165" spans="2:3" hidden="1" x14ac:dyDescent="0.2">
      <c r="B165" s="117">
        <f t="shared" si="0"/>
        <v>2042</v>
      </c>
      <c r="C165" s="118">
        <f>[5]С2.5!$AA$11</f>
        <v>0</v>
      </c>
    </row>
    <row r="166" spans="2:3" hidden="1" x14ac:dyDescent="0.2">
      <c r="B166" s="117">
        <f t="shared" si="0"/>
        <v>2043</v>
      </c>
      <c r="C166" s="118">
        <f>[5]С2.5!$AB$11</f>
        <v>0</v>
      </c>
    </row>
    <row r="167" spans="2:3" hidden="1" x14ac:dyDescent="0.2">
      <c r="B167" s="117">
        <f t="shared" si="0"/>
        <v>2044</v>
      </c>
      <c r="C167" s="118">
        <f>[5]С2.5!$AC$11</f>
        <v>0</v>
      </c>
    </row>
    <row r="168" spans="2:3" hidden="1" x14ac:dyDescent="0.2">
      <c r="B168" s="117">
        <f t="shared" si="0"/>
        <v>2045</v>
      </c>
      <c r="C168" s="118">
        <f>[5]С2.5!$AD$11</f>
        <v>0</v>
      </c>
    </row>
    <row r="169" spans="2:3" hidden="1" x14ac:dyDescent="0.2">
      <c r="B169" s="117">
        <f t="shared" si="0"/>
        <v>2046</v>
      </c>
      <c r="C169" s="118">
        <f>[5]С2.5!$AE$11</f>
        <v>0</v>
      </c>
    </row>
    <row r="170" spans="2:3" hidden="1" x14ac:dyDescent="0.2">
      <c r="B170" s="117">
        <f t="shared" si="0"/>
        <v>2047</v>
      </c>
      <c r="C170" s="118">
        <f>[5]С2.5!$AF$11</f>
        <v>0</v>
      </c>
    </row>
    <row r="171" spans="2:3" hidden="1" x14ac:dyDescent="0.2">
      <c r="B171" s="117">
        <f t="shared" si="0"/>
        <v>2048</v>
      </c>
      <c r="C171" s="118">
        <f>[5]С2.5!$AG$11</f>
        <v>0</v>
      </c>
    </row>
    <row r="172" spans="2:3" hidden="1" x14ac:dyDescent="0.2">
      <c r="B172" s="117">
        <f t="shared" si="0"/>
        <v>2049</v>
      </c>
      <c r="C172" s="118">
        <f>[5]С2.5!$AH$11</f>
        <v>0</v>
      </c>
    </row>
    <row r="173" spans="2:3" hidden="1" x14ac:dyDescent="0.2">
      <c r="B173" s="117">
        <f t="shared" si="0"/>
        <v>2050</v>
      </c>
      <c r="C173" s="118">
        <f>[5]С2.5!$AI$11</f>
        <v>0</v>
      </c>
    </row>
    <row r="174" spans="2:3" hidden="1" x14ac:dyDescent="0.2">
      <c r="B174" s="117">
        <f t="shared" si="0"/>
        <v>2051</v>
      </c>
      <c r="C174" s="118">
        <f>[5]С2.5!$AJ$11</f>
        <v>0</v>
      </c>
    </row>
    <row r="175" spans="2:3" hidden="1" x14ac:dyDescent="0.2">
      <c r="B175" s="117">
        <f t="shared" si="0"/>
        <v>2052</v>
      </c>
      <c r="C175" s="118">
        <f>[5]С2.5!$AK$11</f>
        <v>0</v>
      </c>
    </row>
    <row r="176" spans="2:3" hidden="1" x14ac:dyDescent="0.2">
      <c r="B176" s="117">
        <f t="shared" si="0"/>
        <v>2053</v>
      </c>
      <c r="C176" s="118">
        <f>[5]С2.5!$AL$11</f>
        <v>0</v>
      </c>
    </row>
    <row r="177" spans="2:3" hidden="1" x14ac:dyDescent="0.2">
      <c r="B177" s="117">
        <f t="shared" si="0"/>
        <v>2054</v>
      </c>
      <c r="C177" s="118">
        <f>[5]С2.5!$AM$11</f>
        <v>0</v>
      </c>
    </row>
    <row r="178" spans="2:3" hidden="1" x14ac:dyDescent="0.2">
      <c r="B178" s="117">
        <f t="shared" si="0"/>
        <v>2055</v>
      </c>
      <c r="C178" s="118">
        <f>[5]С2.5!$AN$11</f>
        <v>0</v>
      </c>
    </row>
    <row r="179" spans="2:3" hidden="1" x14ac:dyDescent="0.2">
      <c r="B179" s="117">
        <f t="shared" si="0"/>
        <v>2056</v>
      </c>
      <c r="C179" s="118">
        <f>[5]С2.5!$AO$11</f>
        <v>0</v>
      </c>
    </row>
    <row r="180" spans="2:3" hidden="1" x14ac:dyDescent="0.2">
      <c r="B180" s="117">
        <f t="shared" si="0"/>
        <v>2057</v>
      </c>
      <c r="C180" s="118">
        <f>[5]С2.5!$AP$11</f>
        <v>0</v>
      </c>
    </row>
    <row r="181" spans="2:3" hidden="1" x14ac:dyDescent="0.2">
      <c r="B181" s="117">
        <f t="shared" si="0"/>
        <v>2058</v>
      </c>
      <c r="C181" s="118">
        <f>[5]С2.5!$AQ$11</f>
        <v>0</v>
      </c>
    </row>
    <row r="182" spans="2:3" hidden="1" x14ac:dyDescent="0.2">
      <c r="B182" s="117">
        <f t="shared" si="0"/>
        <v>2059</v>
      </c>
      <c r="C182" s="118">
        <f>[5]С2.5!$AR$11</f>
        <v>0</v>
      </c>
    </row>
    <row r="183" spans="2:3" hidden="1" x14ac:dyDescent="0.2">
      <c r="B183" s="117">
        <f t="shared" si="0"/>
        <v>2060</v>
      </c>
      <c r="C183" s="118">
        <f>[5]С2.5!$AS$11</f>
        <v>0</v>
      </c>
    </row>
    <row r="184" spans="2:3" hidden="1" x14ac:dyDescent="0.2">
      <c r="B184" s="117">
        <f t="shared" si="0"/>
        <v>2061</v>
      </c>
      <c r="C184" s="118">
        <f>[5]С2.5!$AT$11</f>
        <v>0</v>
      </c>
    </row>
    <row r="185" spans="2:3" hidden="1" x14ac:dyDescent="0.2">
      <c r="B185" s="117">
        <f t="shared" si="0"/>
        <v>2062</v>
      </c>
      <c r="C185" s="118">
        <f>[5]С2.5!$AU$11</f>
        <v>0</v>
      </c>
    </row>
    <row r="186" spans="2:3" hidden="1" x14ac:dyDescent="0.2">
      <c r="B186" s="117">
        <f t="shared" si="0"/>
        <v>2063</v>
      </c>
      <c r="C186" s="118">
        <f>[5]С2.5!$AV$11</f>
        <v>0</v>
      </c>
    </row>
    <row r="187" spans="2:3" hidden="1" x14ac:dyDescent="0.2">
      <c r="B187" s="117">
        <f t="shared" si="0"/>
        <v>2064</v>
      </c>
      <c r="C187" s="118">
        <f>[5]С2.5!$AW$11</f>
        <v>0</v>
      </c>
    </row>
    <row r="188" spans="2:3" hidden="1" x14ac:dyDescent="0.2">
      <c r="B188" s="117">
        <f t="shared" si="0"/>
        <v>2065</v>
      </c>
      <c r="C188" s="118">
        <f>[5]С2.5!$AX$11</f>
        <v>0</v>
      </c>
    </row>
    <row r="189" spans="2:3" hidden="1" x14ac:dyDescent="0.2">
      <c r="B189" s="117">
        <f t="shared" si="0"/>
        <v>2066</v>
      </c>
      <c r="C189" s="118">
        <f>[5]С2.5!$AY$11</f>
        <v>0</v>
      </c>
    </row>
    <row r="190" spans="2:3" hidden="1" x14ac:dyDescent="0.2">
      <c r="B190" s="117">
        <f t="shared" si="0"/>
        <v>2067</v>
      </c>
      <c r="C190" s="118">
        <f>[5]С2.5!$AZ$11</f>
        <v>0</v>
      </c>
    </row>
    <row r="191" spans="2:3" hidden="1" x14ac:dyDescent="0.2">
      <c r="B191" s="117">
        <f t="shared" si="0"/>
        <v>2068</v>
      </c>
      <c r="C191" s="118">
        <f>[5]С2.5!$BA$11</f>
        <v>0</v>
      </c>
    </row>
    <row r="192" spans="2:3" hidden="1" x14ac:dyDescent="0.2">
      <c r="B192" s="117">
        <f t="shared" si="0"/>
        <v>2069</v>
      </c>
      <c r="C192" s="118">
        <f>[5]С2.5!$BB$11</f>
        <v>0</v>
      </c>
    </row>
    <row r="193" spans="2:3" hidden="1" x14ac:dyDescent="0.2">
      <c r="B193" s="117">
        <f t="shared" si="0"/>
        <v>2070</v>
      </c>
      <c r="C193" s="118">
        <f>[5]С2.5!$BC$11</f>
        <v>0</v>
      </c>
    </row>
    <row r="194" spans="2:3" hidden="1" x14ac:dyDescent="0.2">
      <c r="B194" s="117">
        <f t="shared" si="0"/>
        <v>2071</v>
      </c>
      <c r="C194" s="118">
        <f>[5]С2.5!$BD$11</f>
        <v>0</v>
      </c>
    </row>
    <row r="195" spans="2:3" hidden="1" x14ac:dyDescent="0.2">
      <c r="B195" s="117">
        <f t="shared" si="0"/>
        <v>2072</v>
      </c>
      <c r="C195" s="118">
        <f>[5]С2.5!$BE$11</f>
        <v>0</v>
      </c>
    </row>
    <row r="196" spans="2:3" hidden="1" x14ac:dyDescent="0.2">
      <c r="B196" s="117">
        <f t="shared" si="0"/>
        <v>2073</v>
      </c>
      <c r="C196" s="118">
        <f>[5]С2.5!$BF$11</f>
        <v>0</v>
      </c>
    </row>
    <row r="197" spans="2:3" hidden="1" x14ac:dyDescent="0.2">
      <c r="B197" s="117">
        <f t="shared" si="0"/>
        <v>2074</v>
      </c>
      <c r="C197" s="118">
        <f>[5]С2.5!$BG$11</f>
        <v>0</v>
      </c>
    </row>
    <row r="198" spans="2:3" hidden="1" x14ac:dyDescent="0.2">
      <c r="B198" s="117">
        <f t="shared" si="0"/>
        <v>2075</v>
      </c>
      <c r="C198" s="118">
        <f>[5]С2.5!$BH$11</f>
        <v>0</v>
      </c>
    </row>
    <row r="199" spans="2:3" hidden="1" x14ac:dyDescent="0.2">
      <c r="B199" s="117">
        <f t="shared" si="0"/>
        <v>2076</v>
      </c>
      <c r="C199" s="118">
        <f>[5]С2.5!$BI$11</f>
        <v>0</v>
      </c>
    </row>
    <row r="200" spans="2:3" hidden="1" x14ac:dyDescent="0.2">
      <c r="B200" s="117">
        <f t="shared" si="0"/>
        <v>2077</v>
      </c>
      <c r="C200" s="118">
        <f>[5]С2.5!$BJ$11</f>
        <v>0</v>
      </c>
    </row>
    <row r="201" spans="2:3" hidden="1" x14ac:dyDescent="0.2">
      <c r="B201" s="117">
        <f t="shared" si="0"/>
        <v>2078</v>
      </c>
      <c r="C201" s="118">
        <f>[5]С2.5!$BK$11</f>
        <v>0</v>
      </c>
    </row>
    <row r="202" spans="2:3" hidden="1" x14ac:dyDescent="0.2">
      <c r="B202" s="117">
        <f t="shared" si="0"/>
        <v>2079</v>
      </c>
      <c r="C202" s="118">
        <f>[5]С2.5!$BL$11</f>
        <v>0</v>
      </c>
    </row>
    <row r="203" spans="2:3" hidden="1" x14ac:dyDescent="0.2">
      <c r="B203" s="117">
        <f t="shared" si="0"/>
        <v>2080</v>
      </c>
      <c r="C203" s="118">
        <f>[5]С2.5!$BM$11</f>
        <v>0</v>
      </c>
    </row>
    <row r="204" spans="2:3" hidden="1" x14ac:dyDescent="0.2">
      <c r="B204" s="117">
        <f t="shared" si="0"/>
        <v>2081</v>
      </c>
      <c r="C204" s="118">
        <f>[5]С2.5!$BN$11</f>
        <v>0</v>
      </c>
    </row>
    <row r="205" spans="2:3" hidden="1" x14ac:dyDescent="0.2">
      <c r="B205" s="117">
        <f t="shared" si="0"/>
        <v>2082</v>
      </c>
      <c r="C205" s="118">
        <f>[5]С2.5!$BO$11</f>
        <v>0</v>
      </c>
    </row>
    <row r="206" spans="2:3" hidden="1" x14ac:dyDescent="0.2">
      <c r="B206" s="117">
        <f t="shared" si="0"/>
        <v>2083</v>
      </c>
      <c r="C206" s="118">
        <f>[5]С2.5!$BP$11</f>
        <v>0</v>
      </c>
    </row>
    <row r="207" spans="2:3" hidden="1" x14ac:dyDescent="0.2">
      <c r="B207" s="117">
        <f t="shared" si="0"/>
        <v>2084</v>
      </c>
      <c r="C207" s="118">
        <f>[5]С2.5!$BQ$11</f>
        <v>0</v>
      </c>
    </row>
    <row r="208" spans="2:3" hidden="1" x14ac:dyDescent="0.2">
      <c r="B208" s="117">
        <f t="shared" si="0"/>
        <v>2085</v>
      </c>
      <c r="C208" s="118">
        <f>[5]С2.5!$BR$11</f>
        <v>0</v>
      </c>
    </row>
    <row r="209" spans="2:3" hidden="1" x14ac:dyDescent="0.2">
      <c r="B209" s="117">
        <f t="shared" ref="B209:B223" si="1">B208+1</f>
        <v>2086</v>
      </c>
      <c r="C209" s="118">
        <f>[5]С2.5!$BS$11</f>
        <v>0</v>
      </c>
    </row>
    <row r="210" spans="2:3" hidden="1" x14ac:dyDescent="0.2">
      <c r="B210" s="117">
        <f t="shared" si="1"/>
        <v>2087</v>
      </c>
      <c r="C210" s="118">
        <f>[5]С2.5!$BT$11</f>
        <v>0</v>
      </c>
    </row>
    <row r="211" spans="2:3" hidden="1" x14ac:dyDescent="0.2">
      <c r="B211" s="117">
        <f t="shared" si="1"/>
        <v>2088</v>
      </c>
      <c r="C211" s="118">
        <f>[5]С2.5!$BU$11</f>
        <v>0</v>
      </c>
    </row>
    <row r="212" spans="2:3" hidden="1" x14ac:dyDescent="0.2">
      <c r="B212" s="117">
        <f t="shared" si="1"/>
        <v>2089</v>
      </c>
      <c r="C212" s="118">
        <f>[5]С2.5!$BV$11</f>
        <v>0</v>
      </c>
    </row>
    <row r="213" spans="2:3" hidden="1" x14ac:dyDescent="0.2">
      <c r="B213" s="117">
        <f t="shared" si="1"/>
        <v>2090</v>
      </c>
      <c r="C213" s="118">
        <f>[5]С2.5!$BW$11</f>
        <v>0</v>
      </c>
    </row>
    <row r="214" spans="2:3" hidden="1" x14ac:dyDescent="0.2">
      <c r="B214" s="117">
        <f t="shared" si="1"/>
        <v>2091</v>
      </c>
      <c r="C214" s="118">
        <f>[5]С2.5!$BX$11</f>
        <v>0</v>
      </c>
    </row>
    <row r="215" spans="2:3" hidden="1" x14ac:dyDescent="0.2">
      <c r="B215" s="117">
        <f t="shared" si="1"/>
        <v>2092</v>
      </c>
      <c r="C215" s="118">
        <f>[5]С2.5!$BY$11</f>
        <v>0</v>
      </c>
    </row>
    <row r="216" spans="2:3" hidden="1" x14ac:dyDescent="0.2">
      <c r="B216" s="117">
        <f t="shared" si="1"/>
        <v>2093</v>
      </c>
      <c r="C216" s="118">
        <f>[5]С2.5!$BZ$11</f>
        <v>0</v>
      </c>
    </row>
    <row r="217" spans="2:3" hidden="1" x14ac:dyDescent="0.2">
      <c r="B217" s="117">
        <f t="shared" si="1"/>
        <v>2094</v>
      </c>
      <c r="C217" s="118">
        <f>[5]С2.5!$CA$11</f>
        <v>0</v>
      </c>
    </row>
    <row r="218" spans="2:3" hidden="1" x14ac:dyDescent="0.2">
      <c r="B218" s="117">
        <f t="shared" si="1"/>
        <v>2095</v>
      </c>
      <c r="C218" s="118">
        <f>[5]С2.5!$CB$11</f>
        <v>0</v>
      </c>
    </row>
    <row r="219" spans="2:3" hidden="1" x14ac:dyDescent="0.2">
      <c r="B219" s="117">
        <f t="shared" si="1"/>
        <v>2096</v>
      </c>
      <c r="C219" s="118">
        <f>[5]С2.5!$CC$11</f>
        <v>0</v>
      </c>
    </row>
    <row r="220" spans="2:3" hidden="1" x14ac:dyDescent="0.2">
      <c r="B220" s="117">
        <f t="shared" si="1"/>
        <v>2097</v>
      </c>
      <c r="C220" s="118">
        <f>[5]С2.5!$CD$11</f>
        <v>0</v>
      </c>
    </row>
    <row r="221" spans="2:3" hidden="1" x14ac:dyDescent="0.2">
      <c r="B221" s="117">
        <f t="shared" si="1"/>
        <v>2098</v>
      </c>
      <c r="C221" s="118">
        <f>[5]С2.5!$CE$11</f>
        <v>0</v>
      </c>
    </row>
    <row r="222" spans="2:3" hidden="1" x14ac:dyDescent="0.2">
      <c r="B222" s="117">
        <f t="shared" si="1"/>
        <v>2099</v>
      </c>
      <c r="C222" s="118">
        <f>[5]С2.5!$CF$11</f>
        <v>0</v>
      </c>
    </row>
    <row r="223" spans="2:3" ht="13.5" hidden="1" thickBot="1" x14ac:dyDescent="0.25">
      <c r="B223" s="119">
        <f t="shared" si="1"/>
        <v>2100</v>
      </c>
      <c r="C223" s="120">
        <f>[5]С2.5!$CG$11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5121" r:id="rId3" name="Button 1">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[6]И1!D13</f>
        <v>Субъект Российской Федерации</v>
      </c>
      <c r="C4" s="11" t="str">
        <f>[6]И1!E13</f>
        <v>Новосибирская область</v>
      </c>
    </row>
    <row r="5" spans="1:3" ht="38.25" x14ac:dyDescent="0.2">
      <c r="A5" s="9"/>
      <c r="B5" s="10" t="str">
        <f>[6]И1!D14</f>
        <v>Тип муниципального образования (выберите из списка)</v>
      </c>
      <c r="C5" s="11" t="str">
        <f>[6]И1!E14</f>
        <v xml:space="preserve">село Заковряжино, Сузунский муниципальный район </v>
      </c>
    </row>
    <row r="6" spans="1:3" x14ac:dyDescent="0.2">
      <c r="A6" s="9"/>
      <c r="B6" s="10" t="str">
        <f>IF([6]И1!E15="","",[6]И1!D15)</f>
        <v/>
      </c>
      <c r="C6" s="11" t="str">
        <f>IF([6]И1!E15="","",[6]И1!E15)</f>
        <v/>
      </c>
    </row>
    <row r="7" spans="1:3" x14ac:dyDescent="0.2">
      <c r="A7" s="9"/>
      <c r="B7" s="10" t="str">
        <f>[6]И1!D16</f>
        <v>Код ОКТМО</v>
      </c>
      <c r="C7" s="12" t="str">
        <f>[6]И1!E16</f>
        <v>(50648416101)</v>
      </c>
    </row>
    <row r="8" spans="1:3" x14ac:dyDescent="0.2">
      <c r="A8" s="9"/>
      <c r="B8" s="13" t="str">
        <f>[6]И1!D17</f>
        <v>Система теплоснабжения</v>
      </c>
      <c r="C8" s="14">
        <f>[6]И1!E17</f>
        <v>0</v>
      </c>
    </row>
    <row r="9" spans="1:3" x14ac:dyDescent="0.2">
      <c r="A9" s="9"/>
      <c r="B9" s="10" t="str">
        <f>[6]И1!D8</f>
        <v>Период регулирования (i)-й</v>
      </c>
      <c r="C9" s="15">
        <f>[6]И1!E8</f>
        <v>2023</v>
      </c>
    </row>
    <row r="10" spans="1:3" x14ac:dyDescent="0.2">
      <c r="A10" s="9"/>
      <c r="B10" s="10" t="str">
        <f>[6]И1!D9</f>
        <v>Период регулирования (i-1)-й</v>
      </c>
      <c r="C10" s="15">
        <f>[6]И1!E9</f>
        <v>2022</v>
      </c>
    </row>
    <row r="11" spans="1:3" x14ac:dyDescent="0.2">
      <c r="A11" s="9"/>
      <c r="B11" s="10" t="str">
        <f>[6]И1!D10</f>
        <v>Период регулирования (i-2)-й</v>
      </c>
      <c r="C11" s="15">
        <f>[6]И1!E10</f>
        <v>2021</v>
      </c>
    </row>
    <row r="12" spans="1:3" x14ac:dyDescent="0.2">
      <c r="A12" s="9"/>
      <c r="B12" s="10" t="str">
        <f>[6]И1!D11</f>
        <v>Базовый год (б)</v>
      </c>
      <c r="C12" s="15">
        <f>[6]И1!E11</f>
        <v>2019</v>
      </c>
    </row>
    <row r="13" spans="1:3" ht="38.25" x14ac:dyDescent="0.2">
      <c r="A13" s="9"/>
      <c r="B13" s="10" t="str">
        <f>[6]И1!D18</f>
        <v>Вид топлива, использование которого преобладает в системе теплоснабжения</v>
      </c>
      <c r="C13" s="16" t="str">
        <f>[6]С1.1!E13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3952.4225241473619</v>
      </c>
    </row>
    <row r="18" spans="1:3" ht="42.75" x14ac:dyDescent="0.2">
      <c r="A18" s="24" t="s">
        <v>8</v>
      </c>
      <c r="B18" s="27" t="s">
        <v>9</v>
      </c>
      <c r="C18" s="28">
        <f>[6]С1!F12</f>
        <v>853.50414231976902</v>
      </c>
    </row>
    <row r="19" spans="1:3" ht="42.75" x14ac:dyDescent="0.2">
      <c r="A19" s="24" t="s">
        <v>10</v>
      </c>
      <c r="B19" s="27" t="s">
        <v>11</v>
      </c>
      <c r="C19" s="28">
        <f>[6]С2!F12</f>
        <v>2108.7102251987935</v>
      </c>
    </row>
    <row r="20" spans="1:3" ht="30" x14ac:dyDescent="0.2">
      <c r="A20" s="24" t="s">
        <v>12</v>
      </c>
      <c r="B20" s="27" t="s">
        <v>13</v>
      </c>
      <c r="C20" s="28">
        <f>[6]С3!F12</f>
        <v>504.54115631660852</v>
      </c>
    </row>
    <row r="21" spans="1:3" ht="42.75" x14ac:dyDescent="0.2">
      <c r="A21" s="24" t="s">
        <v>14</v>
      </c>
      <c r="B21" s="27" t="s">
        <v>15</v>
      </c>
      <c r="C21" s="28">
        <f>[6]С4!F12</f>
        <v>408.16851944655633</v>
      </c>
    </row>
    <row r="22" spans="1:3" ht="30" x14ac:dyDescent="0.2">
      <c r="A22" s="24" t="s">
        <v>16</v>
      </c>
      <c r="B22" s="27" t="s">
        <v>17</v>
      </c>
      <c r="C22" s="28">
        <f>[6]С5!F12</f>
        <v>77.498480865634548</v>
      </c>
    </row>
    <row r="23" spans="1:3" ht="43.5" thickBot="1" x14ac:dyDescent="0.25">
      <c r="A23" s="29" t="s">
        <v>18</v>
      </c>
      <c r="B23" s="30" t="s">
        <v>19</v>
      </c>
      <c r="C23" s="31" t="str">
        <f>[6]С6!F12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[6]С1.1!E16</f>
        <v>5100</v>
      </c>
    </row>
    <row r="29" spans="1:3" ht="42.75" x14ac:dyDescent="0.2">
      <c r="A29" s="24" t="s">
        <v>10</v>
      </c>
      <c r="B29" s="37" t="s">
        <v>22</v>
      </c>
      <c r="C29" s="38">
        <f>[6]С1.1!E27</f>
        <v>2294.9299999999998</v>
      </c>
    </row>
    <row r="30" spans="1:3" ht="17.25" x14ac:dyDescent="0.2">
      <c r="A30" s="24" t="s">
        <v>12</v>
      </c>
      <c r="B30" s="37" t="s">
        <v>23</v>
      </c>
      <c r="C30" s="39">
        <f>[6]С1.1!E19</f>
        <v>0.59499999999999997</v>
      </c>
    </row>
    <row r="31" spans="1:3" ht="17.25" x14ac:dyDescent="0.2">
      <c r="A31" s="24" t="s">
        <v>14</v>
      </c>
      <c r="B31" s="37" t="s">
        <v>24</v>
      </c>
      <c r="C31" s="39">
        <f>[6]С1.1!E20</f>
        <v>-0.113</v>
      </c>
    </row>
    <row r="32" spans="1:3" ht="30" x14ac:dyDescent="0.2">
      <c r="A32" s="24" t="s">
        <v>16</v>
      </c>
      <c r="B32" s="40" t="s">
        <v>25</v>
      </c>
      <c r="C32" s="41">
        <f>[6]С1!F13</f>
        <v>176.4</v>
      </c>
    </row>
    <row r="33" spans="1:3" x14ac:dyDescent="0.2">
      <c r="A33" s="24" t="s">
        <v>18</v>
      </c>
      <c r="B33" s="40" t="s">
        <v>26</v>
      </c>
      <c r="C33" s="42">
        <f>[6]С1!F16</f>
        <v>7000</v>
      </c>
    </row>
    <row r="34" spans="1:3" ht="14.25" x14ac:dyDescent="0.2">
      <c r="A34" s="24" t="s">
        <v>27</v>
      </c>
      <c r="B34" s="43" t="s">
        <v>28</v>
      </c>
      <c r="C34" s="44">
        <f>[6]С1!F17</f>
        <v>0.72857142857142854</v>
      </c>
    </row>
    <row r="35" spans="1:3" ht="15.75" x14ac:dyDescent="0.2">
      <c r="A35" s="45" t="s">
        <v>29</v>
      </c>
      <c r="B35" s="46" t="s">
        <v>30</v>
      </c>
      <c r="C35" s="44">
        <f>[6]С1!F20</f>
        <v>21.588411179999994</v>
      </c>
    </row>
    <row r="36" spans="1:3" ht="15.75" x14ac:dyDescent="0.2">
      <c r="A36" s="45" t="s">
        <v>31</v>
      </c>
      <c r="B36" s="47" t="s">
        <v>32</v>
      </c>
      <c r="C36" s="44">
        <f>[6]С1!F21</f>
        <v>20.818139999999996</v>
      </c>
    </row>
    <row r="37" spans="1:3" ht="14.25" x14ac:dyDescent="0.2">
      <c r="A37" s="45" t="s">
        <v>33</v>
      </c>
      <c r="B37" s="48" t="s">
        <v>34</v>
      </c>
      <c r="C37" s="44">
        <f>[6]С1!F22</f>
        <v>1.0369999999999999</v>
      </c>
    </row>
    <row r="38" spans="1:3" ht="53.25" thickBot="1" x14ac:dyDescent="0.25">
      <c r="A38" s="29" t="s">
        <v>35</v>
      </c>
      <c r="B38" s="49" t="s">
        <v>36</v>
      </c>
      <c r="C38" s="50">
        <f>[6]С1!F23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[6]С2.1!E12</f>
        <v>V</v>
      </c>
    </row>
    <row r="42" spans="1:3" ht="25.5" x14ac:dyDescent="0.2">
      <c r="A42" s="24" t="s">
        <v>41</v>
      </c>
      <c r="B42" s="37" t="s">
        <v>42</v>
      </c>
      <c r="C42" s="56" t="str">
        <f>[6]С2.1!E13</f>
        <v>6 и менее баллов</v>
      </c>
    </row>
    <row r="43" spans="1:3" ht="25.5" x14ac:dyDescent="0.2">
      <c r="A43" s="24" t="s">
        <v>43</v>
      </c>
      <c r="B43" s="37" t="s">
        <v>44</v>
      </c>
      <c r="C43" s="56" t="str">
        <f>[6]С2.1!E14</f>
        <v>от 200 до 500</v>
      </c>
    </row>
    <row r="44" spans="1:3" ht="25.5" x14ac:dyDescent="0.2">
      <c r="A44" s="24" t="s">
        <v>45</v>
      </c>
      <c r="B44" s="37" t="s">
        <v>46</v>
      </c>
      <c r="C44" s="57" t="str">
        <f>[6]С2.1!E15</f>
        <v>нет</v>
      </c>
    </row>
    <row r="45" spans="1:3" ht="30" x14ac:dyDescent="0.2">
      <c r="A45" s="24" t="s">
        <v>47</v>
      </c>
      <c r="B45" s="37" t="s">
        <v>48</v>
      </c>
      <c r="C45" s="38">
        <f>[6]С2!F18</f>
        <v>32402.627334033532</v>
      </c>
    </row>
    <row r="46" spans="1:3" ht="30" x14ac:dyDescent="0.2">
      <c r="A46" s="24" t="s">
        <v>49</v>
      </c>
      <c r="B46" s="58" t="s">
        <v>50</v>
      </c>
      <c r="C46" s="38">
        <f>IF([6]С2!F19&gt;0,[6]С2!F19,[6]С2!F20)</f>
        <v>23441.524932855718</v>
      </c>
    </row>
    <row r="47" spans="1:3" ht="25.5" x14ac:dyDescent="0.2">
      <c r="A47" s="24" t="s">
        <v>51</v>
      </c>
      <c r="B47" s="59" t="s">
        <v>52</v>
      </c>
      <c r="C47" s="38">
        <f>[6]С2.1!E19</f>
        <v>-37</v>
      </c>
    </row>
    <row r="48" spans="1:3" ht="25.5" x14ac:dyDescent="0.2">
      <c r="A48" s="24" t="s">
        <v>53</v>
      </c>
      <c r="B48" s="59" t="s">
        <v>54</v>
      </c>
      <c r="C48" s="38" t="str">
        <f>[6]С2.1!E22</f>
        <v>нет</v>
      </c>
    </row>
    <row r="49" spans="1:3" ht="38.25" x14ac:dyDescent="0.2">
      <c r="A49" s="24" t="s">
        <v>55</v>
      </c>
      <c r="B49" s="60" t="s">
        <v>56</v>
      </c>
      <c r="C49" s="38">
        <f>[6]С2.2!E10</f>
        <v>1287</v>
      </c>
    </row>
    <row r="50" spans="1:3" ht="25.5" x14ac:dyDescent="0.2">
      <c r="A50" s="24" t="s">
        <v>57</v>
      </c>
      <c r="B50" s="61" t="s">
        <v>58</v>
      </c>
      <c r="C50" s="38">
        <f>[6]С2.2!E12</f>
        <v>5.97</v>
      </c>
    </row>
    <row r="51" spans="1:3" ht="52.5" x14ac:dyDescent="0.2">
      <c r="A51" s="24" t="s">
        <v>59</v>
      </c>
      <c r="B51" s="62" t="s">
        <v>60</v>
      </c>
      <c r="C51" s="38">
        <f>[6]С2.2!E13</f>
        <v>1</v>
      </c>
    </row>
    <row r="52" spans="1:3" ht="27.75" x14ac:dyDescent="0.2">
      <c r="A52" s="24" t="s">
        <v>61</v>
      </c>
      <c r="B52" s="61" t="s">
        <v>62</v>
      </c>
      <c r="C52" s="38">
        <f>[6]С2.2!E14</f>
        <v>12104</v>
      </c>
    </row>
    <row r="53" spans="1:3" ht="25.5" x14ac:dyDescent="0.2">
      <c r="A53" s="24" t="s">
        <v>63</v>
      </c>
      <c r="B53" s="62" t="s">
        <v>64</v>
      </c>
      <c r="C53" s="39">
        <f>[6]С2.2!E15</f>
        <v>4.8000000000000001E-2</v>
      </c>
    </row>
    <row r="54" spans="1:3" x14ac:dyDescent="0.2">
      <c r="A54" s="24" t="s">
        <v>65</v>
      </c>
      <c r="B54" s="62" t="s">
        <v>66</v>
      </c>
      <c r="C54" s="38">
        <f>[6]С2.2!E16</f>
        <v>1</v>
      </c>
    </row>
    <row r="55" spans="1:3" ht="15.75" x14ac:dyDescent="0.2">
      <c r="A55" s="24" t="s">
        <v>67</v>
      </c>
      <c r="B55" s="63" t="s">
        <v>68</v>
      </c>
      <c r="C55" s="38">
        <f>[6]С2!F21</f>
        <v>1</v>
      </c>
    </row>
    <row r="56" spans="1:3" ht="30" x14ac:dyDescent="0.2">
      <c r="A56" s="64" t="s">
        <v>69</v>
      </c>
      <c r="B56" s="37" t="s">
        <v>70</v>
      </c>
      <c r="C56" s="38">
        <f>[6]С2!F13</f>
        <v>169640.22915965237</v>
      </c>
    </row>
    <row r="57" spans="1:3" ht="30" x14ac:dyDescent="0.2">
      <c r="A57" s="64" t="s">
        <v>71</v>
      </c>
      <c r="B57" s="63" t="s">
        <v>72</v>
      </c>
      <c r="C57" s="38">
        <f>[6]С2!F14</f>
        <v>113455</v>
      </c>
    </row>
    <row r="58" spans="1:3" ht="15.75" x14ac:dyDescent="0.2">
      <c r="A58" s="64" t="s">
        <v>73</v>
      </c>
      <c r="B58" s="65" t="s">
        <v>74</v>
      </c>
      <c r="C58" s="44">
        <f>[6]С2!F15</f>
        <v>1.071</v>
      </c>
    </row>
    <row r="59" spans="1:3" ht="15.75" x14ac:dyDescent="0.2">
      <c r="A59" s="64" t="s">
        <v>75</v>
      </c>
      <c r="B59" s="65" t="s">
        <v>76</v>
      </c>
      <c r="C59" s="44">
        <f>[6]С2!F16</f>
        <v>1</v>
      </c>
    </row>
    <row r="60" spans="1:3" ht="17.25" x14ac:dyDescent="0.2">
      <c r="A60" s="64" t="s">
        <v>77</v>
      </c>
      <c r="B60" s="63" t="s">
        <v>78</v>
      </c>
      <c r="C60" s="38">
        <f>[6]С2!F17</f>
        <v>1.01</v>
      </c>
    </row>
    <row r="61" spans="1:3" s="68" customFormat="1" ht="14.25" x14ac:dyDescent="0.2">
      <c r="A61" s="64" t="s">
        <v>79</v>
      </c>
      <c r="B61" s="66" t="s">
        <v>80</v>
      </c>
      <c r="C61" s="67">
        <f>[6]С2!F33</f>
        <v>10</v>
      </c>
    </row>
    <row r="62" spans="1:3" ht="30" x14ac:dyDescent="0.2">
      <c r="A62" s="64" t="s">
        <v>81</v>
      </c>
      <c r="B62" s="69" t="s">
        <v>82</v>
      </c>
      <c r="C62" s="38">
        <f>[6]С2!F26</f>
        <v>1424.4887832283189</v>
      </c>
    </row>
    <row r="63" spans="1:3" ht="17.25" x14ac:dyDescent="0.2">
      <c r="A63" s="64" t="s">
        <v>83</v>
      </c>
      <c r="B63" s="58" t="s">
        <v>84</v>
      </c>
      <c r="C63" s="38">
        <f>[6]С2!F27</f>
        <v>0.24536656199999998</v>
      </c>
    </row>
    <row r="64" spans="1:3" ht="17.25" x14ac:dyDescent="0.2">
      <c r="A64" s="64" t="s">
        <v>85</v>
      </c>
      <c r="B64" s="63" t="s">
        <v>86</v>
      </c>
      <c r="C64" s="67">
        <f>[6]С2!F28</f>
        <v>4200</v>
      </c>
    </row>
    <row r="65" spans="1:3" ht="42.75" x14ac:dyDescent="0.2">
      <c r="A65" s="64" t="s">
        <v>87</v>
      </c>
      <c r="B65" s="37" t="s">
        <v>88</v>
      </c>
      <c r="C65" s="38">
        <f>[6]С2!F22</f>
        <v>35717.748653137714</v>
      </c>
    </row>
    <row r="66" spans="1:3" ht="30" x14ac:dyDescent="0.2">
      <c r="A66" s="64" t="s">
        <v>89</v>
      </c>
      <c r="B66" s="65" t="s">
        <v>90</v>
      </c>
      <c r="C66" s="38">
        <f>[6]С2!F23</f>
        <v>1990</v>
      </c>
    </row>
    <row r="67" spans="1:3" ht="30" x14ac:dyDescent="0.2">
      <c r="A67" s="64" t="s">
        <v>91</v>
      </c>
      <c r="B67" s="58" t="s">
        <v>92</v>
      </c>
      <c r="C67" s="38">
        <f>[6]С2.1!E27</f>
        <v>14307.876789999998</v>
      </c>
    </row>
    <row r="68" spans="1:3" ht="38.25" x14ac:dyDescent="0.2">
      <c r="A68" s="64" t="s">
        <v>93</v>
      </c>
      <c r="B68" s="70" t="s">
        <v>94</v>
      </c>
      <c r="C68" s="57">
        <f>[6]С2.3!E21</f>
        <v>0</v>
      </c>
    </row>
    <row r="69" spans="1:3" ht="25.5" x14ac:dyDescent="0.2">
      <c r="A69" s="64" t="s">
        <v>95</v>
      </c>
      <c r="B69" s="71" t="s">
        <v>96</v>
      </c>
      <c r="C69" s="72">
        <f>[6]С2.3!E11</f>
        <v>9.89</v>
      </c>
    </row>
    <row r="70" spans="1:3" ht="25.5" x14ac:dyDescent="0.2">
      <c r="A70" s="64" t="s">
        <v>97</v>
      </c>
      <c r="B70" s="71" t="s">
        <v>98</v>
      </c>
      <c r="C70" s="67">
        <f>[6]С2.3!E13</f>
        <v>300</v>
      </c>
    </row>
    <row r="71" spans="1:3" ht="25.5" x14ac:dyDescent="0.2">
      <c r="A71" s="64" t="s">
        <v>99</v>
      </c>
      <c r="B71" s="70" t="s">
        <v>100</v>
      </c>
      <c r="C71" s="73">
        <f>IF([6]С2.3!E22&gt;0,[6]С2.3!E22,[6]С2.3!E14)</f>
        <v>61211</v>
      </c>
    </row>
    <row r="72" spans="1:3" ht="38.25" x14ac:dyDescent="0.2">
      <c r="A72" s="64" t="s">
        <v>101</v>
      </c>
      <c r="B72" s="70" t="s">
        <v>102</v>
      </c>
      <c r="C72" s="73">
        <f>IF([6]С2.3!E23&gt;0,[6]С2.3!E23,[6]С2.3!E15)</f>
        <v>45675</v>
      </c>
    </row>
    <row r="73" spans="1:3" ht="30" x14ac:dyDescent="0.2">
      <c r="A73" s="64" t="s">
        <v>103</v>
      </c>
      <c r="B73" s="58" t="s">
        <v>104</v>
      </c>
      <c r="C73" s="38">
        <f>[6]С2.1!E28</f>
        <v>9541.9567200000001</v>
      </c>
    </row>
    <row r="74" spans="1:3" ht="38.25" x14ac:dyDescent="0.2">
      <c r="A74" s="64" t="s">
        <v>105</v>
      </c>
      <c r="B74" s="70" t="s">
        <v>106</v>
      </c>
      <c r="C74" s="57">
        <f>[6]С2.3!E25</f>
        <v>0</v>
      </c>
    </row>
    <row r="75" spans="1:3" ht="25.5" x14ac:dyDescent="0.2">
      <c r="A75" s="64" t="s">
        <v>107</v>
      </c>
      <c r="B75" s="71" t="s">
        <v>108</v>
      </c>
      <c r="C75" s="72">
        <f>[6]С2.3!E12</f>
        <v>0.56000000000000005</v>
      </c>
    </row>
    <row r="76" spans="1:3" ht="25.5" x14ac:dyDescent="0.2">
      <c r="A76" s="64" t="s">
        <v>109</v>
      </c>
      <c r="B76" s="71" t="s">
        <v>98</v>
      </c>
      <c r="C76" s="67">
        <f>[6]С2.3!E13</f>
        <v>300</v>
      </c>
    </row>
    <row r="77" spans="1:3" ht="25.5" x14ac:dyDescent="0.2">
      <c r="A77" s="64" t="s">
        <v>110</v>
      </c>
      <c r="B77" s="74" t="s">
        <v>111</v>
      </c>
      <c r="C77" s="73">
        <f>IF([6]С2.3!E26&gt;0,[6]С2.3!E26,[6]С2.3!E16)</f>
        <v>65637</v>
      </c>
    </row>
    <row r="78" spans="1:3" ht="38.25" x14ac:dyDescent="0.2">
      <c r="A78" s="64" t="s">
        <v>112</v>
      </c>
      <c r="B78" s="74" t="s">
        <v>113</v>
      </c>
      <c r="C78" s="73">
        <f>IF([6]С2.3!E27&gt;0,[6]С2.3!E27,[6]С2.3!E17)</f>
        <v>31684</v>
      </c>
    </row>
    <row r="79" spans="1:3" ht="17.25" x14ac:dyDescent="0.2">
      <c r="A79" s="64" t="s">
        <v>114</v>
      </c>
      <c r="B79" s="37" t="s">
        <v>115</v>
      </c>
      <c r="C79" s="39">
        <f>[6]С2!F29</f>
        <v>0.128978033685065</v>
      </c>
    </row>
    <row r="80" spans="1:3" ht="30" x14ac:dyDescent="0.2">
      <c r="A80" s="64" t="s">
        <v>116</v>
      </c>
      <c r="B80" s="58" t="s">
        <v>117</v>
      </c>
      <c r="C80" s="75">
        <f>[6]С2!F30</f>
        <v>0.11668498168498169</v>
      </c>
    </row>
    <row r="81" spans="1:3" ht="17.25" x14ac:dyDescent="0.2">
      <c r="A81" s="64" t="s">
        <v>118</v>
      </c>
      <c r="B81" s="76" t="s">
        <v>119</v>
      </c>
      <c r="C81" s="39">
        <f>[6]С2!F31</f>
        <v>0.13880000000000001</v>
      </c>
    </row>
    <row r="82" spans="1:3" s="68" customFormat="1" ht="18" thickBot="1" x14ac:dyDescent="0.25">
      <c r="A82" s="77" t="s">
        <v>120</v>
      </c>
      <c r="B82" s="78" t="s">
        <v>121</v>
      </c>
      <c r="C82" s="79">
        <f>[6]С2!F32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[6]С3!F14</f>
        <v>7012.1794194579406</v>
      </c>
    </row>
    <row r="86" spans="1:3" s="68" customFormat="1" ht="42.75" x14ac:dyDescent="0.2">
      <c r="A86" s="82" t="s">
        <v>126</v>
      </c>
      <c r="B86" s="58" t="s">
        <v>127</v>
      </c>
      <c r="C86" s="83">
        <f>[6]С3!F15</f>
        <v>0.2</v>
      </c>
    </row>
    <row r="87" spans="1:3" s="68" customFormat="1" ht="14.25" x14ac:dyDescent="0.2">
      <c r="A87" s="82" t="s">
        <v>128</v>
      </c>
      <c r="B87" s="84" t="s">
        <v>129</v>
      </c>
      <c r="C87" s="67">
        <f>[6]С3!F18</f>
        <v>15</v>
      </c>
    </row>
    <row r="88" spans="1:3" s="68" customFormat="1" ht="17.25" x14ac:dyDescent="0.2">
      <c r="A88" s="82" t="s">
        <v>130</v>
      </c>
      <c r="B88" s="37" t="s">
        <v>131</v>
      </c>
      <c r="C88" s="38">
        <f>[6]С3!F19</f>
        <v>3487.1555421534131</v>
      </c>
    </row>
    <row r="89" spans="1:3" s="68" customFormat="1" ht="55.5" x14ac:dyDescent="0.2">
      <c r="A89" s="82" t="s">
        <v>132</v>
      </c>
      <c r="B89" s="58" t="s">
        <v>133</v>
      </c>
      <c r="C89" s="85">
        <f>[6]С3!F20</f>
        <v>2.1999999999999999E-2</v>
      </c>
    </row>
    <row r="90" spans="1:3" s="68" customFormat="1" ht="14.25" x14ac:dyDescent="0.2">
      <c r="A90" s="82" t="s">
        <v>134</v>
      </c>
      <c r="B90" s="63" t="s">
        <v>80</v>
      </c>
      <c r="C90" s="67">
        <f>[6]С3!F21</f>
        <v>10</v>
      </c>
    </row>
    <row r="91" spans="1:3" s="68" customFormat="1" ht="17.25" x14ac:dyDescent="0.2">
      <c r="A91" s="82" t="s">
        <v>135</v>
      </c>
      <c r="B91" s="37" t="s">
        <v>136</v>
      </c>
      <c r="C91" s="38">
        <f>[6]С3!F22</f>
        <v>4.2734663496849565</v>
      </c>
    </row>
    <row r="92" spans="1:3" s="68" customFormat="1" ht="55.5" x14ac:dyDescent="0.2">
      <c r="A92" s="82" t="s">
        <v>137</v>
      </c>
      <c r="B92" s="58" t="s">
        <v>138</v>
      </c>
      <c r="C92" s="85">
        <f>[6]С3!F23</f>
        <v>3.0000000000000001E-3</v>
      </c>
    </row>
    <row r="93" spans="1:3" s="68" customFormat="1" ht="27.75" thickBot="1" x14ac:dyDescent="0.25">
      <c r="A93" s="86" t="s">
        <v>139</v>
      </c>
      <c r="B93" s="87" t="s">
        <v>140</v>
      </c>
      <c r="C93" s="88">
        <f>[6]С3!F24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[6]С4!F16</f>
        <v>1652.5</v>
      </c>
    </row>
    <row r="97" spans="1:3" ht="30" x14ac:dyDescent="0.2">
      <c r="A97" s="64" t="s">
        <v>145</v>
      </c>
      <c r="B97" s="63" t="s">
        <v>146</v>
      </c>
      <c r="C97" s="38">
        <f>[6]С4!F17</f>
        <v>73547</v>
      </c>
    </row>
    <row r="98" spans="1:3" ht="17.25" x14ac:dyDescent="0.2">
      <c r="A98" s="64" t="s">
        <v>147</v>
      </c>
      <c r="B98" s="63" t="s">
        <v>148</v>
      </c>
      <c r="C98" s="44">
        <f>[6]С4!F18</f>
        <v>0.02</v>
      </c>
    </row>
    <row r="99" spans="1:3" ht="30" x14ac:dyDescent="0.2">
      <c r="A99" s="64" t="s">
        <v>149</v>
      </c>
      <c r="B99" s="63" t="s">
        <v>150</v>
      </c>
      <c r="C99" s="38">
        <f>[6]С4!F19</f>
        <v>12104</v>
      </c>
    </row>
    <row r="100" spans="1:3" ht="31.5" x14ac:dyDescent="0.2">
      <c r="A100" s="64" t="s">
        <v>151</v>
      </c>
      <c r="B100" s="63" t="s">
        <v>152</v>
      </c>
      <c r="C100" s="44">
        <f>[6]С4!F20</f>
        <v>1.4999999999999999E-2</v>
      </c>
    </row>
    <row r="101" spans="1:3" ht="30" x14ac:dyDescent="0.2">
      <c r="A101" s="64" t="s">
        <v>153</v>
      </c>
      <c r="B101" s="37" t="s">
        <v>154</v>
      </c>
      <c r="C101" s="38">
        <f>[6]С4!F21</f>
        <v>1933.1949342509995</v>
      </c>
    </row>
    <row r="102" spans="1:3" ht="24" customHeight="1" x14ac:dyDescent="0.2">
      <c r="A102" s="64" t="s">
        <v>155</v>
      </c>
      <c r="B102" s="58" t="s">
        <v>156</v>
      </c>
      <c r="C102" s="90">
        <f>IF([6]С4.2!F8="да",[6]С4.2!D21,[6]С4.2!D15)</f>
        <v>0</v>
      </c>
    </row>
    <row r="103" spans="1:3" ht="68.25" x14ac:dyDescent="0.2">
      <c r="A103" s="64" t="s">
        <v>157</v>
      </c>
      <c r="B103" s="58" t="s">
        <v>158</v>
      </c>
      <c r="C103" s="38">
        <f>[6]С4!F22</f>
        <v>3.6112641666666665</v>
      </c>
    </row>
    <row r="104" spans="1:3" ht="30" x14ac:dyDescent="0.2">
      <c r="A104" s="64" t="s">
        <v>159</v>
      </c>
      <c r="B104" s="63" t="s">
        <v>160</v>
      </c>
      <c r="C104" s="38">
        <f>[6]С4!F23</f>
        <v>180</v>
      </c>
    </row>
    <row r="105" spans="1:3" ht="14.25" x14ac:dyDescent="0.2">
      <c r="A105" s="64" t="s">
        <v>161</v>
      </c>
      <c r="B105" s="58" t="s">
        <v>162</v>
      </c>
      <c r="C105" s="38">
        <f>[6]С4!F24</f>
        <v>8497.1999999999989</v>
      </c>
    </row>
    <row r="106" spans="1:3" ht="14.25" x14ac:dyDescent="0.2">
      <c r="A106" s="64" t="s">
        <v>163</v>
      </c>
      <c r="B106" s="63" t="s">
        <v>164</v>
      </c>
      <c r="C106" s="44">
        <f>[6]С4!F25</f>
        <v>0.35</v>
      </c>
    </row>
    <row r="107" spans="1:3" ht="17.25" x14ac:dyDescent="0.2">
      <c r="A107" s="64" t="s">
        <v>165</v>
      </c>
      <c r="B107" s="37" t="s">
        <v>166</v>
      </c>
      <c r="C107" s="38">
        <f>[6]С4!F26</f>
        <v>83.261039999999994</v>
      </c>
    </row>
    <row r="108" spans="1:3" ht="25.5" x14ac:dyDescent="0.2">
      <c r="A108" s="64" t="s">
        <v>167</v>
      </c>
      <c r="B108" s="58" t="s">
        <v>94</v>
      </c>
      <c r="C108" s="90">
        <f>[6]С4.3!E16</f>
        <v>0</v>
      </c>
    </row>
    <row r="109" spans="1:3" ht="25.5" x14ac:dyDescent="0.2">
      <c r="A109" s="64" t="s">
        <v>168</v>
      </c>
      <c r="B109" s="58" t="s">
        <v>169</v>
      </c>
      <c r="C109" s="38">
        <f>[6]С4.3!E17</f>
        <v>19.68</v>
      </c>
    </row>
    <row r="110" spans="1:3" ht="38.25" x14ac:dyDescent="0.2">
      <c r="A110" s="64" t="s">
        <v>170</v>
      </c>
      <c r="B110" s="58" t="s">
        <v>106</v>
      </c>
      <c r="C110" s="90">
        <f>[6]С4.3!E18</f>
        <v>0</v>
      </c>
    </row>
    <row r="111" spans="1:3" x14ac:dyDescent="0.2">
      <c r="A111" s="64" t="s">
        <v>171</v>
      </c>
      <c r="B111" s="58" t="s">
        <v>172</v>
      </c>
      <c r="C111" s="38">
        <f>[6]С4.3!E19</f>
        <v>69.819999999999993</v>
      </c>
    </row>
    <row r="112" spans="1:3" x14ac:dyDescent="0.2">
      <c r="A112" s="64" t="s">
        <v>173</v>
      </c>
      <c r="B112" s="63" t="s">
        <v>174</v>
      </c>
      <c r="C112" s="38">
        <f>[6]С4.3!E11</f>
        <v>1871</v>
      </c>
    </row>
    <row r="113" spans="1:3" x14ac:dyDescent="0.2">
      <c r="A113" s="64" t="s">
        <v>175</v>
      </c>
      <c r="B113" s="63" t="s">
        <v>176</v>
      </c>
      <c r="C113" s="57">
        <f>[6]С4.3!E12</f>
        <v>1636</v>
      </c>
    </row>
    <row r="114" spans="1:3" x14ac:dyDescent="0.2">
      <c r="A114" s="64" t="s">
        <v>177</v>
      </c>
      <c r="B114" s="63" t="s">
        <v>178</v>
      </c>
      <c r="C114" s="57">
        <f>[6]С4.3!E13</f>
        <v>204</v>
      </c>
    </row>
    <row r="115" spans="1:3" ht="30" x14ac:dyDescent="0.2">
      <c r="A115" s="64" t="s">
        <v>179</v>
      </c>
      <c r="B115" s="37" t="s">
        <v>180</v>
      </c>
      <c r="C115" s="38">
        <f>[6]С4!F27</f>
        <v>1047.1575926659227</v>
      </c>
    </row>
    <row r="116" spans="1:3" ht="25.5" x14ac:dyDescent="0.2">
      <c r="A116" s="64" t="s">
        <v>181</v>
      </c>
      <c r="B116" s="58" t="s">
        <v>182</v>
      </c>
      <c r="C116" s="38">
        <f>[6]С4!F28</f>
        <v>804.26850435170718</v>
      </c>
    </row>
    <row r="117" spans="1:3" ht="42.75" x14ac:dyDescent="0.2">
      <c r="A117" s="64" t="s">
        <v>183</v>
      </c>
      <c r="B117" s="58" t="s">
        <v>184</v>
      </c>
      <c r="C117" s="38">
        <f>[6]С4!F29</f>
        <v>242.8890883142156</v>
      </c>
    </row>
    <row r="118" spans="1:3" ht="30" x14ac:dyDescent="0.2">
      <c r="A118" s="64" t="s">
        <v>185</v>
      </c>
      <c r="B118" s="43" t="s">
        <v>186</v>
      </c>
      <c r="C118" s="38">
        <f>[6]С4!F30</f>
        <v>1978.3448169883382</v>
      </c>
    </row>
    <row r="119" spans="1:3" ht="42.75" x14ac:dyDescent="0.2">
      <c r="A119" s="64" t="s">
        <v>187</v>
      </c>
      <c r="B119" s="91" t="s">
        <v>188</v>
      </c>
      <c r="C119" s="38">
        <f>[6]С4!F33</f>
        <v>1260.8264917775011</v>
      </c>
    </row>
    <row r="120" spans="1:3" ht="30" x14ac:dyDescent="0.2">
      <c r="A120" s="64" t="s">
        <v>189</v>
      </c>
      <c r="B120" s="92" t="s">
        <v>190</v>
      </c>
      <c r="C120" s="38">
        <f>[6]С4!F35</f>
        <v>17.040680999999999</v>
      </c>
    </row>
    <row r="121" spans="1:3" ht="14.25" x14ac:dyDescent="0.2">
      <c r="A121" s="64" t="s">
        <v>191</v>
      </c>
      <c r="B121" s="61" t="s">
        <v>192</v>
      </c>
      <c r="C121" s="38">
        <f>[6]С4!F36</f>
        <v>14319.9</v>
      </c>
    </row>
    <row r="122" spans="1:3" ht="28.5" thickBot="1" x14ac:dyDescent="0.25">
      <c r="A122" s="77" t="s">
        <v>193</v>
      </c>
      <c r="B122" s="93" t="s">
        <v>194</v>
      </c>
      <c r="C122" s="88">
        <f>[6]С4!F37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[6]С5!F17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[6]С2!F37</f>
        <v>20.818139999999996</v>
      </c>
    </row>
    <row r="136" spans="1:4" ht="14.25" x14ac:dyDescent="0.2">
      <c r="A136" s="64" t="s">
        <v>216</v>
      </c>
      <c r="B136" s="107" t="s">
        <v>217</v>
      </c>
      <c r="C136" s="38">
        <f>[6]С2!F38</f>
        <v>7</v>
      </c>
    </row>
    <row r="137" spans="1:4" ht="17.25" x14ac:dyDescent="0.2">
      <c r="A137" s="64" t="s">
        <v>218</v>
      </c>
      <c r="B137" s="107" t="s">
        <v>219</v>
      </c>
      <c r="C137" s="38">
        <f>[6]С2!F40</f>
        <v>0.97</v>
      </c>
    </row>
    <row r="138" spans="1:4" ht="15" thickBot="1" x14ac:dyDescent="0.25">
      <c r="A138" s="77" t="s">
        <v>220</v>
      </c>
      <c r="B138" s="108" t="s">
        <v>221</v>
      </c>
      <c r="C138" s="50">
        <f>[6]С2!F42</f>
        <v>0.35</v>
      </c>
    </row>
    <row r="139" spans="1:4" s="94" customFormat="1" ht="13.5" thickBot="1" x14ac:dyDescent="0.25">
      <c r="A139" s="51"/>
      <c r="B139" s="80"/>
      <c r="C139" s="16"/>
    </row>
    <row r="140" spans="1:4" ht="30" x14ac:dyDescent="0.2">
      <c r="A140" s="89" t="s">
        <v>222</v>
      </c>
      <c r="B140" s="109" t="s">
        <v>223</v>
      </c>
      <c r="C140" s="110">
        <f>[6]С2!F35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[6]С2.5!$E$11</f>
        <v>-2.9000000000000026E-2</v>
      </c>
      <c r="D143" s="94"/>
    </row>
    <row r="144" spans="1:4" x14ac:dyDescent="0.2">
      <c r="A144" s="112"/>
      <c r="B144" s="117">
        <f>B143+1</f>
        <v>2021</v>
      </c>
      <c r="C144" s="118">
        <f>[6]С2.5!$F$11</f>
        <v>0.245</v>
      </c>
      <c r="D144" s="94"/>
    </row>
    <row r="145" spans="1:4" x14ac:dyDescent="0.2">
      <c r="A145" s="112"/>
      <c r="B145" s="117">
        <f t="shared" ref="B145:B208" si="0">B144+1</f>
        <v>2022</v>
      </c>
      <c r="C145" s="118">
        <f>[6]С2.5!$G$11</f>
        <v>0.121</v>
      </c>
      <c r="D145" s="94"/>
    </row>
    <row r="146" spans="1:4" ht="13.5" thickBot="1" x14ac:dyDescent="0.25">
      <c r="A146" s="112"/>
      <c r="B146" s="119">
        <f t="shared" si="0"/>
        <v>2023</v>
      </c>
      <c r="C146" s="120">
        <f>[6]С2.5!$H$11</f>
        <v>0.02</v>
      </c>
      <c r="D146" s="94"/>
    </row>
    <row r="147" spans="1:4" hidden="1" x14ac:dyDescent="0.2">
      <c r="A147" s="112"/>
      <c r="B147" s="121">
        <f t="shared" si="0"/>
        <v>2024</v>
      </c>
      <c r="C147" s="122">
        <f>[6]С2.5!$I$11</f>
        <v>-2.93E-2</v>
      </c>
      <c r="D147" s="94"/>
    </row>
    <row r="148" spans="1:4" hidden="1" x14ac:dyDescent="0.2">
      <c r="A148" s="112"/>
      <c r="B148" s="117">
        <f t="shared" si="0"/>
        <v>2025</v>
      </c>
      <c r="C148" s="118">
        <f>[6]С2.5!$J$11</f>
        <v>0.21215960863291</v>
      </c>
      <c r="D148" s="94"/>
    </row>
    <row r="149" spans="1:4" hidden="1" x14ac:dyDescent="0.2">
      <c r="A149" s="112"/>
      <c r="B149" s="117">
        <f t="shared" si="0"/>
        <v>2026</v>
      </c>
      <c r="C149" s="118">
        <f>[6]С2.5!$K$11</f>
        <v>3.5813361771260002E-2</v>
      </c>
      <c r="D149" s="94"/>
    </row>
    <row r="150" spans="1:4" hidden="1" x14ac:dyDescent="0.2">
      <c r="A150" s="112"/>
      <c r="B150" s="117">
        <f t="shared" si="0"/>
        <v>2027</v>
      </c>
      <c r="C150" s="118">
        <f>[6]С2.5!$L$11</f>
        <v>3.2682303599220003E-2</v>
      </c>
      <c r="D150" s="94"/>
    </row>
    <row r="151" spans="1:4" hidden="1" x14ac:dyDescent="0.2">
      <c r="A151" s="112"/>
      <c r="B151" s="117">
        <f t="shared" si="0"/>
        <v>2028</v>
      </c>
      <c r="C151" s="118">
        <f>[6]С2.5!$M$11</f>
        <v>0</v>
      </c>
      <c r="D151" s="94"/>
    </row>
    <row r="152" spans="1:4" hidden="1" x14ac:dyDescent="0.2">
      <c r="A152" s="112"/>
      <c r="B152" s="117">
        <f t="shared" si="0"/>
        <v>2029</v>
      </c>
      <c r="C152" s="118">
        <f>[6]С2.5!$N$11</f>
        <v>0</v>
      </c>
      <c r="D152" s="94"/>
    </row>
    <row r="153" spans="1:4" hidden="1" x14ac:dyDescent="0.2">
      <c r="A153" s="112"/>
      <c r="B153" s="117">
        <f t="shared" si="0"/>
        <v>2030</v>
      </c>
      <c r="C153" s="118">
        <f>[6]С2.5!$O$11</f>
        <v>0</v>
      </c>
      <c r="D153" s="94"/>
    </row>
    <row r="154" spans="1:4" hidden="1" x14ac:dyDescent="0.2">
      <c r="A154" s="112"/>
      <c r="B154" s="117">
        <f t="shared" si="0"/>
        <v>2031</v>
      </c>
      <c r="C154" s="118">
        <f>[6]С2.5!$P$11</f>
        <v>0</v>
      </c>
      <c r="D154" s="94"/>
    </row>
    <row r="155" spans="1:4" hidden="1" x14ac:dyDescent="0.2">
      <c r="A155" s="94"/>
      <c r="B155" s="117">
        <f t="shared" si="0"/>
        <v>2032</v>
      </c>
      <c r="C155" s="118">
        <f>[6]С2.5!$Q$11</f>
        <v>0</v>
      </c>
      <c r="D155" s="94"/>
    </row>
    <row r="156" spans="1:4" hidden="1" x14ac:dyDescent="0.2">
      <c r="A156" s="94"/>
      <c r="B156" s="117">
        <f t="shared" si="0"/>
        <v>2033</v>
      </c>
      <c r="C156" s="118">
        <f>[6]С2.5!$R$11</f>
        <v>0</v>
      </c>
      <c r="D156" s="94"/>
    </row>
    <row r="157" spans="1:4" hidden="1" x14ac:dyDescent="0.2">
      <c r="B157" s="117">
        <f t="shared" si="0"/>
        <v>2034</v>
      </c>
      <c r="C157" s="118">
        <f>[6]С2.5!$S$11</f>
        <v>0</v>
      </c>
    </row>
    <row r="158" spans="1:4" hidden="1" x14ac:dyDescent="0.2">
      <c r="B158" s="117">
        <f t="shared" si="0"/>
        <v>2035</v>
      </c>
      <c r="C158" s="118">
        <f>[6]С2.5!$T$11</f>
        <v>0</v>
      </c>
    </row>
    <row r="159" spans="1:4" hidden="1" x14ac:dyDescent="0.2">
      <c r="B159" s="117">
        <f t="shared" si="0"/>
        <v>2036</v>
      </c>
      <c r="C159" s="118">
        <f>[6]С2.5!$U$11</f>
        <v>0</v>
      </c>
    </row>
    <row r="160" spans="1:4" hidden="1" x14ac:dyDescent="0.2">
      <c r="B160" s="117">
        <f t="shared" si="0"/>
        <v>2037</v>
      </c>
      <c r="C160" s="118">
        <f>[6]С2.5!$V$11</f>
        <v>0</v>
      </c>
    </row>
    <row r="161" spans="2:3" hidden="1" x14ac:dyDescent="0.2">
      <c r="B161" s="117">
        <f t="shared" si="0"/>
        <v>2038</v>
      </c>
      <c r="C161" s="118">
        <f>[6]С2.5!$W$11</f>
        <v>0</v>
      </c>
    </row>
    <row r="162" spans="2:3" hidden="1" x14ac:dyDescent="0.2">
      <c r="B162" s="117">
        <f t="shared" si="0"/>
        <v>2039</v>
      </c>
      <c r="C162" s="118">
        <f>[6]С2.5!$X$11</f>
        <v>0</v>
      </c>
    </row>
    <row r="163" spans="2:3" hidden="1" x14ac:dyDescent="0.2">
      <c r="B163" s="117">
        <f t="shared" si="0"/>
        <v>2040</v>
      </c>
      <c r="C163" s="118">
        <f>[6]С2.5!$Y$11</f>
        <v>0</v>
      </c>
    </row>
    <row r="164" spans="2:3" hidden="1" x14ac:dyDescent="0.2">
      <c r="B164" s="117">
        <f t="shared" si="0"/>
        <v>2041</v>
      </c>
      <c r="C164" s="118">
        <f>[6]С2.5!$Z$11</f>
        <v>0</v>
      </c>
    </row>
    <row r="165" spans="2:3" hidden="1" x14ac:dyDescent="0.2">
      <c r="B165" s="117">
        <f t="shared" si="0"/>
        <v>2042</v>
      </c>
      <c r="C165" s="118">
        <f>[6]С2.5!$AA$11</f>
        <v>0</v>
      </c>
    </row>
    <row r="166" spans="2:3" hidden="1" x14ac:dyDescent="0.2">
      <c r="B166" s="117">
        <f t="shared" si="0"/>
        <v>2043</v>
      </c>
      <c r="C166" s="118">
        <f>[6]С2.5!$AB$11</f>
        <v>0</v>
      </c>
    </row>
    <row r="167" spans="2:3" hidden="1" x14ac:dyDescent="0.2">
      <c r="B167" s="117">
        <f t="shared" si="0"/>
        <v>2044</v>
      </c>
      <c r="C167" s="118">
        <f>[6]С2.5!$AC$11</f>
        <v>0</v>
      </c>
    </row>
    <row r="168" spans="2:3" hidden="1" x14ac:dyDescent="0.2">
      <c r="B168" s="117">
        <f t="shared" si="0"/>
        <v>2045</v>
      </c>
      <c r="C168" s="118">
        <f>[6]С2.5!$AD$11</f>
        <v>0</v>
      </c>
    </row>
    <row r="169" spans="2:3" hidden="1" x14ac:dyDescent="0.2">
      <c r="B169" s="117">
        <f t="shared" si="0"/>
        <v>2046</v>
      </c>
      <c r="C169" s="118">
        <f>[6]С2.5!$AE$11</f>
        <v>0</v>
      </c>
    </row>
    <row r="170" spans="2:3" hidden="1" x14ac:dyDescent="0.2">
      <c r="B170" s="117">
        <f t="shared" si="0"/>
        <v>2047</v>
      </c>
      <c r="C170" s="118">
        <f>[6]С2.5!$AF$11</f>
        <v>0</v>
      </c>
    </row>
    <row r="171" spans="2:3" hidden="1" x14ac:dyDescent="0.2">
      <c r="B171" s="117">
        <f t="shared" si="0"/>
        <v>2048</v>
      </c>
      <c r="C171" s="118">
        <f>[6]С2.5!$AG$11</f>
        <v>0</v>
      </c>
    </row>
    <row r="172" spans="2:3" hidden="1" x14ac:dyDescent="0.2">
      <c r="B172" s="117">
        <f t="shared" si="0"/>
        <v>2049</v>
      </c>
      <c r="C172" s="118">
        <f>[6]С2.5!$AH$11</f>
        <v>0</v>
      </c>
    </row>
    <row r="173" spans="2:3" hidden="1" x14ac:dyDescent="0.2">
      <c r="B173" s="117">
        <f t="shared" si="0"/>
        <v>2050</v>
      </c>
      <c r="C173" s="118">
        <f>[6]С2.5!$AI$11</f>
        <v>0</v>
      </c>
    </row>
    <row r="174" spans="2:3" hidden="1" x14ac:dyDescent="0.2">
      <c r="B174" s="117">
        <f t="shared" si="0"/>
        <v>2051</v>
      </c>
      <c r="C174" s="118">
        <f>[6]С2.5!$AJ$11</f>
        <v>0</v>
      </c>
    </row>
    <row r="175" spans="2:3" hidden="1" x14ac:dyDescent="0.2">
      <c r="B175" s="117">
        <f t="shared" si="0"/>
        <v>2052</v>
      </c>
      <c r="C175" s="118">
        <f>[6]С2.5!$AK$11</f>
        <v>0</v>
      </c>
    </row>
    <row r="176" spans="2:3" hidden="1" x14ac:dyDescent="0.2">
      <c r="B176" s="117">
        <f t="shared" si="0"/>
        <v>2053</v>
      </c>
      <c r="C176" s="118">
        <f>[6]С2.5!$AL$11</f>
        <v>0</v>
      </c>
    </row>
    <row r="177" spans="2:3" hidden="1" x14ac:dyDescent="0.2">
      <c r="B177" s="117">
        <f t="shared" si="0"/>
        <v>2054</v>
      </c>
      <c r="C177" s="118">
        <f>[6]С2.5!$AM$11</f>
        <v>0</v>
      </c>
    </row>
    <row r="178" spans="2:3" hidden="1" x14ac:dyDescent="0.2">
      <c r="B178" s="117">
        <f t="shared" si="0"/>
        <v>2055</v>
      </c>
      <c r="C178" s="118">
        <f>[6]С2.5!$AN$11</f>
        <v>0</v>
      </c>
    </row>
    <row r="179" spans="2:3" hidden="1" x14ac:dyDescent="0.2">
      <c r="B179" s="117">
        <f t="shared" si="0"/>
        <v>2056</v>
      </c>
      <c r="C179" s="118">
        <f>[6]С2.5!$AO$11</f>
        <v>0</v>
      </c>
    </row>
    <row r="180" spans="2:3" hidden="1" x14ac:dyDescent="0.2">
      <c r="B180" s="117">
        <f t="shared" si="0"/>
        <v>2057</v>
      </c>
      <c r="C180" s="118">
        <f>[6]С2.5!$AP$11</f>
        <v>0</v>
      </c>
    </row>
    <row r="181" spans="2:3" hidden="1" x14ac:dyDescent="0.2">
      <c r="B181" s="117">
        <f t="shared" si="0"/>
        <v>2058</v>
      </c>
      <c r="C181" s="118">
        <f>[6]С2.5!$AQ$11</f>
        <v>0</v>
      </c>
    </row>
    <row r="182" spans="2:3" hidden="1" x14ac:dyDescent="0.2">
      <c r="B182" s="117">
        <f t="shared" si="0"/>
        <v>2059</v>
      </c>
      <c r="C182" s="118">
        <f>[6]С2.5!$AR$11</f>
        <v>0</v>
      </c>
    </row>
    <row r="183" spans="2:3" hidden="1" x14ac:dyDescent="0.2">
      <c r="B183" s="117">
        <f t="shared" si="0"/>
        <v>2060</v>
      </c>
      <c r="C183" s="118">
        <f>[6]С2.5!$AS$11</f>
        <v>0</v>
      </c>
    </row>
    <row r="184" spans="2:3" hidden="1" x14ac:dyDescent="0.2">
      <c r="B184" s="117">
        <f t="shared" si="0"/>
        <v>2061</v>
      </c>
      <c r="C184" s="118">
        <f>[6]С2.5!$AT$11</f>
        <v>0</v>
      </c>
    </row>
    <row r="185" spans="2:3" hidden="1" x14ac:dyDescent="0.2">
      <c r="B185" s="117">
        <f t="shared" si="0"/>
        <v>2062</v>
      </c>
      <c r="C185" s="118">
        <f>[6]С2.5!$AU$11</f>
        <v>0</v>
      </c>
    </row>
    <row r="186" spans="2:3" hidden="1" x14ac:dyDescent="0.2">
      <c r="B186" s="117">
        <f t="shared" si="0"/>
        <v>2063</v>
      </c>
      <c r="C186" s="118">
        <f>[6]С2.5!$AV$11</f>
        <v>0</v>
      </c>
    </row>
    <row r="187" spans="2:3" hidden="1" x14ac:dyDescent="0.2">
      <c r="B187" s="117">
        <f t="shared" si="0"/>
        <v>2064</v>
      </c>
      <c r="C187" s="118">
        <f>[6]С2.5!$AW$11</f>
        <v>0</v>
      </c>
    </row>
    <row r="188" spans="2:3" hidden="1" x14ac:dyDescent="0.2">
      <c r="B188" s="117">
        <f t="shared" si="0"/>
        <v>2065</v>
      </c>
      <c r="C188" s="118">
        <f>[6]С2.5!$AX$11</f>
        <v>0</v>
      </c>
    </row>
    <row r="189" spans="2:3" hidden="1" x14ac:dyDescent="0.2">
      <c r="B189" s="117">
        <f t="shared" si="0"/>
        <v>2066</v>
      </c>
      <c r="C189" s="118">
        <f>[6]С2.5!$AY$11</f>
        <v>0</v>
      </c>
    </row>
    <row r="190" spans="2:3" hidden="1" x14ac:dyDescent="0.2">
      <c r="B190" s="117">
        <f t="shared" si="0"/>
        <v>2067</v>
      </c>
      <c r="C190" s="118">
        <f>[6]С2.5!$AZ$11</f>
        <v>0</v>
      </c>
    </row>
    <row r="191" spans="2:3" hidden="1" x14ac:dyDescent="0.2">
      <c r="B191" s="117">
        <f t="shared" si="0"/>
        <v>2068</v>
      </c>
      <c r="C191" s="118">
        <f>[6]С2.5!$BA$11</f>
        <v>0</v>
      </c>
    </row>
    <row r="192" spans="2:3" hidden="1" x14ac:dyDescent="0.2">
      <c r="B192" s="117">
        <f t="shared" si="0"/>
        <v>2069</v>
      </c>
      <c r="C192" s="118">
        <f>[6]С2.5!$BB$11</f>
        <v>0</v>
      </c>
    </row>
    <row r="193" spans="2:3" hidden="1" x14ac:dyDescent="0.2">
      <c r="B193" s="117">
        <f t="shared" si="0"/>
        <v>2070</v>
      </c>
      <c r="C193" s="118">
        <f>[6]С2.5!$BC$11</f>
        <v>0</v>
      </c>
    </row>
    <row r="194" spans="2:3" hidden="1" x14ac:dyDescent="0.2">
      <c r="B194" s="117">
        <f t="shared" si="0"/>
        <v>2071</v>
      </c>
      <c r="C194" s="118">
        <f>[6]С2.5!$BD$11</f>
        <v>0</v>
      </c>
    </row>
    <row r="195" spans="2:3" hidden="1" x14ac:dyDescent="0.2">
      <c r="B195" s="117">
        <f t="shared" si="0"/>
        <v>2072</v>
      </c>
      <c r="C195" s="118">
        <f>[6]С2.5!$BE$11</f>
        <v>0</v>
      </c>
    </row>
    <row r="196" spans="2:3" hidden="1" x14ac:dyDescent="0.2">
      <c r="B196" s="117">
        <f t="shared" si="0"/>
        <v>2073</v>
      </c>
      <c r="C196" s="118">
        <f>[6]С2.5!$BF$11</f>
        <v>0</v>
      </c>
    </row>
    <row r="197" spans="2:3" hidden="1" x14ac:dyDescent="0.2">
      <c r="B197" s="117">
        <f t="shared" si="0"/>
        <v>2074</v>
      </c>
      <c r="C197" s="118">
        <f>[6]С2.5!$BG$11</f>
        <v>0</v>
      </c>
    </row>
    <row r="198" spans="2:3" hidden="1" x14ac:dyDescent="0.2">
      <c r="B198" s="117">
        <f t="shared" si="0"/>
        <v>2075</v>
      </c>
      <c r="C198" s="118">
        <f>[6]С2.5!$BH$11</f>
        <v>0</v>
      </c>
    </row>
    <row r="199" spans="2:3" hidden="1" x14ac:dyDescent="0.2">
      <c r="B199" s="117">
        <f t="shared" si="0"/>
        <v>2076</v>
      </c>
      <c r="C199" s="118">
        <f>[6]С2.5!$BI$11</f>
        <v>0</v>
      </c>
    </row>
    <row r="200" spans="2:3" hidden="1" x14ac:dyDescent="0.2">
      <c r="B200" s="117">
        <f t="shared" si="0"/>
        <v>2077</v>
      </c>
      <c r="C200" s="118">
        <f>[6]С2.5!$BJ$11</f>
        <v>0</v>
      </c>
    </row>
    <row r="201" spans="2:3" hidden="1" x14ac:dyDescent="0.2">
      <c r="B201" s="117">
        <f t="shared" si="0"/>
        <v>2078</v>
      </c>
      <c r="C201" s="118">
        <f>[6]С2.5!$BK$11</f>
        <v>0</v>
      </c>
    </row>
    <row r="202" spans="2:3" hidden="1" x14ac:dyDescent="0.2">
      <c r="B202" s="117">
        <f t="shared" si="0"/>
        <v>2079</v>
      </c>
      <c r="C202" s="118">
        <f>[6]С2.5!$BL$11</f>
        <v>0</v>
      </c>
    </row>
    <row r="203" spans="2:3" hidden="1" x14ac:dyDescent="0.2">
      <c r="B203" s="117">
        <f t="shared" si="0"/>
        <v>2080</v>
      </c>
      <c r="C203" s="118">
        <f>[6]С2.5!$BM$11</f>
        <v>0</v>
      </c>
    </row>
    <row r="204" spans="2:3" hidden="1" x14ac:dyDescent="0.2">
      <c r="B204" s="117">
        <f t="shared" si="0"/>
        <v>2081</v>
      </c>
      <c r="C204" s="118">
        <f>[6]С2.5!$BN$11</f>
        <v>0</v>
      </c>
    </row>
    <row r="205" spans="2:3" hidden="1" x14ac:dyDescent="0.2">
      <c r="B205" s="117">
        <f t="shared" si="0"/>
        <v>2082</v>
      </c>
      <c r="C205" s="118">
        <f>[6]С2.5!$BO$11</f>
        <v>0</v>
      </c>
    </row>
    <row r="206" spans="2:3" hidden="1" x14ac:dyDescent="0.2">
      <c r="B206" s="117">
        <f t="shared" si="0"/>
        <v>2083</v>
      </c>
      <c r="C206" s="118">
        <f>[6]С2.5!$BP$11</f>
        <v>0</v>
      </c>
    </row>
    <row r="207" spans="2:3" hidden="1" x14ac:dyDescent="0.2">
      <c r="B207" s="117">
        <f t="shared" si="0"/>
        <v>2084</v>
      </c>
      <c r="C207" s="118">
        <f>[6]С2.5!$BQ$11</f>
        <v>0</v>
      </c>
    </row>
    <row r="208" spans="2:3" hidden="1" x14ac:dyDescent="0.2">
      <c r="B208" s="117">
        <f t="shared" si="0"/>
        <v>2085</v>
      </c>
      <c r="C208" s="118">
        <f>[6]С2.5!$BR$11</f>
        <v>0</v>
      </c>
    </row>
    <row r="209" spans="2:3" hidden="1" x14ac:dyDescent="0.2">
      <c r="B209" s="117">
        <f t="shared" ref="B209:B223" si="1">B208+1</f>
        <v>2086</v>
      </c>
      <c r="C209" s="118">
        <f>[6]С2.5!$BS$11</f>
        <v>0</v>
      </c>
    </row>
    <row r="210" spans="2:3" hidden="1" x14ac:dyDescent="0.2">
      <c r="B210" s="117">
        <f t="shared" si="1"/>
        <v>2087</v>
      </c>
      <c r="C210" s="118">
        <f>[6]С2.5!$BT$11</f>
        <v>0</v>
      </c>
    </row>
    <row r="211" spans="2:3" hidden="1" x14ac:dyDescent="0.2">
      <c r="B211" s="117">
        <f t="shared" si="1"/>
        <v>2088</v>
      </c>
      <c r="C211" s="118">
        <f>[6]С2.5!$BU$11</f>
        <v>0</v>
      </c>
    </row>
    <row r="212" spans="2:3" hidden="1" x14ac:dyDescent="0.2">
      <c r="B212" s="117">
        <f t="shared" si="1"/>
        <v>2089</v>
      </c>
      <c r="C212" s="118">
        <f>[6]С2.5!$BV$11</f>
        <v>0</v>
      </c>
    </row>
    <row r="213" spans="2:3" hidden="1" x14ac:dyDescent="0.2">
      <c r="B213" s="117">
        <f t="shared" si="1"/>
        <v>2090</v>
      </c>
      <c r="C213" s="118">
        <f>[6]С2.5!$BW$11</f>
        <v>0</v>
      </c>
    </row>
    <row r="214" spans="2:3" hidden="1" x14ac:dyDescent="0.2">
      <c r="B214" s="117">
        <f t="shared" si="1"/>
        <v>2091</v>
      </c>
      <c r="C214" s="118">
        <f>[6]С2.5!$BX$11</f>
        <v>0</v>
      </c>
    </row>
    <row r="215" spans="2:3" hidden="1" x14ac:dyDescent="0.2">
      <c r="B215" s="117">
        <f t="shared" si="1"/>
        <v>2092</v>
      </c>
      <c r="C215" s="118">
        <f>[6]С2.5!$BY$11</f>
        <v>0</v>
      </c>
    </row>
    <row r="216" spans="2:3" hidden="1" x14ac:dyDescent="0.2">
      <c r="B216" s="117">
        <f t="shared" si="1"/>
        <v>2093</v>
      </c>
      <c r="C216" s="118">
        <f>[6]С2.5!$BZ$11</f>
        <v>0</v>
      </c>
    </row>
    <row r="217" spans="2:3" hidden="1" x14ac:dyDescent="0.2">
      <c r="B217" s="117">
        <f t="shared" si="1"/>
        <v>2094</v>
      </c>
      <c r="C217" s="118">
        <f>[6]С2.5!$CA$11</f>
        <v>0</v>
      </c>
    </row>
    <row r="218" spans="2:3" hidden="1" x14ac:dyDescent="0.2">
      <c r="B218" s="117">
        <f t="shared" si="1"/>
        <v>2095</v>
      </c>
      <c r="C218" s="118">
        <f>[6]С2.5!$CB$11</f>
        <v>0</v>
      </c>
    </row>
    <row r="219" spans="2:3" hidden="1" x14ac:dyDescent="0.2">
      <c r="B219" s="117">
        <f t="shared" si="1"/>
        <v>2096</v>
      </c>
      <c r="C219" s="118">
        <f>[6]С2.5!$CC$11</f>
        <v>0</v>
      </c>
    </row>
    <row r="220" spans="2:3" hidden="1" x14ac:dyDescent="0.2">
      <c r="B220" s="117">
        <f t="shared" si="1"/>
        <v>2097</v>
      </c>
      <c r="C220" s="118">
        <f>[6]С2.5!$CD$11</f>
        <v>0</v>
      </c>
    </row>
    <row r="221" spans="2:3" hidden="1" x14ac:dyDescent="0.2">
      <c r="B221" s="117">
        <f t="shared" si="1"/>
        <v>2098</v>
      </c>
      <c r="C221" s="118">
        <f>[6]С2.5!$CE$11</f>
        <v>0</v>
      </c>
    </row>
    <row r="222" spans="2:3" hidden="1" x14ac:dyDescent="0.2">
      <c r="B222" s="117">
        <f t="shared" si="1"/>
        <v>2099</v>
      </c>
      <c r="C222" s="118">
        <f>[6]С2.5!$CF$11</f>
        <v>0</v>
      </c>
    </row>
    <row r="223" spans="2:3" ht="13.5" hidden="1" thickBot="1" x14ac:dyDescent="0.25">
      <c r="B223" s="119">
        <f t="shared" si="1"/>
        <v>2100</v>
      </c>
      <c r="C223" s="120">
        <f>[6]С2.5!$CG$11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6145" r:id="rId3" name="Button 1">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[7]И1!D13</f>
        <v>Субъект Российской Федерации</v>
      </c>
      <c r="C4" s="11" t="str">
        <f>[7]И1!E13</f>
        <v>Новосибирская область</v>
      </c>
    </row>
    <row r="5" spans="1:3" ht="38.25" x14ac:dyDescent="0.2">
      <c r="A5" s="9"/>
      <c r="B5" s="10" t="str">
        <f>[7]И1!D14</f>
        <v>Тип муниципального образования (выберите из списка)</v>
      </c>
      <c r="C5" s="11" t="str">
        <f>[7]И1!E14</f>
        <v xml:space="preserve">село Каргаполово, Сузунский муниципальный район </v>
      </c>
    </row>
    <row r="6" spans="1:3" x14ac:dyDescent="0.2">
      <c r="A6" s="9"/>
      <c r="B6" s="10" t="str">
        <f>IF([7]И1!E15="","",[7]И1!D15)</f>
        <v/>
      </c>
      <c r="C6" s="11" t="str">
        <f>IF([7]И1!E15="","",[7]И1!E15)</f>
        <v/>
      </c>
    </row>
    <row r="7" spans="1:3" x14ac:dyDescent="0.2">
      <c r="A7" s="9"/>
      <c r="B7" s="10" t="str">
        <f>[7]И1!D16</f>
        <v>Код ОКТМО</v>
      </c>
      <c r="C7" s="12" t="str">
        <f>[7]И1!E16</f>
        <v>(50648419101)</v>
      </c>
    </row>
    <row r="8" spans="1:3" x14ac:dyDescent="0.2">
      <c r="A8" s="9"/>
      <c r="B8" s="13" t="str">
        <f>[7]И1!D17</f>
        <v>Система теплоснабжения</v>
      </c>
      <c r="C8" s="14">
        <f>[7]И1!E17</f>
        <v>0</v>
      </c>
    </row>
    <row r="9" spans="1:3" x14ac:dyDescent="0.2">
      <c r="A9" s="9"/>
      <c r="B9" s="10" t="str">
        <f>[7]И1!D8</f>
        <v>Период регулирования (i)-й</v>
      </c>
      <c r="C9" s="15">
        <f>[7]И1!E8</f>
        <v>2023</v>
      </c>
    </row>
    <row r="10" spans="1:3" x14ac:dyDescent="0.2">
      <c r="A10" s="9"/>
      <c r="B10" s="10" t="str">
        <f>[7]И1!D9</f>
        <v>Период регулирования (i-1)-й</v>
      </c>
      <c r="C10" s="15">
        <f>[7]И1!E9</f>
        <v>2022</v>
      </c>
    </row>
    <row r="11" spans="1:3" x14ac:dyDescent="0.2">
      <c r="A11" s="9"/>
      <c r="B11" s="10" t="str">
        <f>[7]И1!D10</f>
        <v>Период регулирования (i-2)-й</v>
      </c>
      <c r="C11" s="15">
        <f>[7]И1!E10</f>
        <v>2021</v>
      </c>
    </row>
    <row r="12" spans="1:3" x14ac:dyDescent="0.2">
      <c r="A12" s="9"/>
      <c r="B12" s="10" t="str">
        <f>[7]И1!D11</f>
        <v>Базовый год (б)</v>
      </c>
      <c r="C12" s="15">
        <f>[7]И1!E11</f>
        <v>2019</v>
      </c>
    </row>
    <row r="13" spans="1:3" ht="38.25" x14ac:dyDescent="0.2">
      <c r="A13" s="9"/>
      <c r="B13" s="10" t="str">
        <f>[7]И1!D18</f>
        <v>Вид топлива, использование которого преобладает в системе теплоснабжения</v>
      </c>
      <c r="C13" s="16" t="str">
        <f>[7]С1.1!E13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4041.8921288218708</v>
      </c>
    </row>
    <row r="18" spans="1:3" ht="42.75" x14ac:dyDescent="0.2">
      <c r="A18" s="24" t="s">
        <v>8</v>
      </c>
      <c r="B18" s="27" t="s">
        <v>9</v>
      </c>
      <c r="C18" s="28">
        <f>[7]С1!F12</f>
        <v>935.30967902419013</v>
      </c>
    </row>
    <row r="19" spans="1:3" ht="42.75" x14ac:dyDescent="0.2">
      <c r="A19" s="24" t="s">
        <v>10</v>
      </c>
      <c r="B19" s="27" t="s">
        <v>11</v>
      </c>
      <c r="C19" s="28">
        <f>[7]С2!F12</f>
        <v>2108.7102251987935</v>
      </c>
    </row>
    <row r="20" spans="1:3" ht="30" x14ac:dyDescent="0.2">
      <c r="A20" s="24" t="s">
        <v>12</v>
      </c>
      <c r="B20" s="27" t="s">
        <v>13</v>
      </c>
      <c r="C20" s="28">
        <f>[7]С3!F12</f>
        <v>504.54115631660852</v>
      </c>
    </row>
    <row r="21" spans="1:3" ht="42.75" x14ac:dyDescent="0.2">
      <c r="A21" s="24" t="s">
        <v>14</v>
      </c>
      <c r="B21" s="27" t="s">
        <v>15</v>
      </c>
      <c r="C21" s="28">
        <f>[7]С4!F12</f>
        <v>414.07828144263408</v>
      </c>
    </row>
    <row r="22" spans="1:3" ht="30" x14ac:dyDescent="0.2">
      <c r="A22" s="24" t="s">
        <v>16</v>
      </c>
      <c r="B22" s="27" t="s">
        <v>17</v>
      </c>
      <c r="C22" s="28">
        <f>[7]С5!F12</f>
        <v>79.252786839644529</v>
      </c>
    </row>
    <row r="23" spans="1:3" ht="43.5" thickBot="1" x14ac:dyDescent="0.25">
      <c r="A23" s="29" t="s">
        <v>18</v>
      </c>
      <c r="B23" s="30" t="s">
        <v>19</v>
      </c>
      <c r="C23" s="31" t="str">
        <f>[7]С6!F12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[7]С1.1!E16</f>
        <v>5100</v>
      </c>
    </row>
    <row r="29" spans="1:3" ht="42.75" x14ac:dyDescent="0.2">
      <c r="A29" s="24" t="s">
        <v>10</v>
      </c>
      <c r="B29" s="37" t="s">
        <v>22</v>
      </c>
      <c r="C29" s="38">
        <f>[7]С1.1!E27</f>
        <v>2514.8914167528437</v>
      </c>
    </row>
    <row r="30" spans="1:3" ht="17.25" x14ac:dyDescent="0.2">
      <c r="A30" s="24" t="s">
        <v>12</v>
      </c>
      <c r="B30" s="37" t="s">
        <v>23</v>
      </c>
      <c r="C30" s="39">
        <f>[7]С1.1!E19</f>
        <v>0.59499999999999997</v>
      </c>
    </row>
    <row r="31" spans="1:3" ht="17.25" x14ac:dyDescent="0.2">
      <c r="A31" s="24" t="s">
        <v>14</v>
      </c>
      <c r="B31" s="37" t="s">
        <v>24</v>
      </c>
      <c r="C31" s="39">
        <f>[7]С1.1!E20</f>
        <v>-0.113</v>
      </c>
    </row>
    <row r="32" spans="1:3" ht="30" x14ac:dyDescent="0.2">
      <c r="A32" s="24" t="s">
        <v>16</v>
      </c>
      <c r="B32" s="40" t="s">
        <v>25</v>
      </c>
      <c r="C32" s="41">
        <f>[7]С1!F13</f>
        <v>176.4</v>
      </c>
    </row>
    <row r="33" spans="1:3" x14ac:dyDescent="0.2">
      <c r="A33" s="24" t="s">
        <v>18</v>
      </c>
      <c r="B33" s="40" t="s">
        <v>26</v>
      </c>
      <c r="C33" s="42">
        <f>[7]С1!F16</f>
        <v>7000</v>
      </c>
    </row>
    <row r="34" spans="1:3" ht="14.25" x14ac:dyDescent="0.2">
      <c r="A34" s="24" t="s">
        <v>27</v>
      </c>
      <c r="B34" s="43" t="s">
        <v>28</v>
      </c>
      <c r="C34" s="44">
        <f>[7]С1!F17</f>
        <v>0.72857142857142854</v>
      </c>
    </row>
    <row r="35" spans="1:3" ht="15.75" x14ac:dyDescent="0.2">
      <c r="A35" s="45" t="s">
        <v>29</v>
      </c>
      <c r="B35" s="46" t="s">
        <v>30</v>
      </c>
      <c r="C35" s="44">
        <f>[7]С1!F20</f>
        <v>21.588411179999994</v>
      </c>
    </row>
    <row r="36" spans="1:3" ht="15.75" x14ac:dyDescent="0.2">
      <c r="A36" s="45" t="s">
        <v>31</v>
      </c>
      <c r="B36" s="47" t="s">
        <v>32</v>
      </c>
      <c r="C36" s="44">
        <f>[7]С1!F21</f>
        <v>20.818139999999996</v>
      </c>
    </row>
    <row r="37" spans="1:3" ht="14.25" x14ac:dyDescent="0.2">
      <c r="A37" s="45" t="s">
        <v>33</v>
      </c>
      <c r="B37" s="48" t="s">
        <v>34</v>
      </c>
      <c r="C37" s="44">
        <f>[7]С1!F22</f>
        <v>1.0369999999999999</v>
      </c>
    </row>
    <row r="38" spans="1:3" ht="53.25" thickBot="1" x14ac:dyDescent="0.25">
      <c r="A38" s="29" t="s">
        <v>35</v>
      </c>
      <c r="B38" s="49" t="s">
        <v>36</v>
      </c>
      <c r="C38" s="50">
        <f>[7]С1!F23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[7]С2.1!E12</f>
        <v>V</v>
      </c>
    </row>
    <row r="42" spans="1:3" ht="25.5" x14ac:dyDescent="0.2">
      <c r="A42" s="24" t="s">
        <v>41</v>
      </c>
      <c r="B42" s="37" t="s">
        <v>42</v>
      </c>
      <c r="C42" s="56" t="str">
        <f>[7]С2.1!E13</f>
        <v>6 и менее баллов</v>
      </c>
    </row>
    <row r="43" spans="1:3" ht="25.5" x14ac:dyDescent="0.2">
      <c r="A43" s="24" t="s">
        <v>43</v>
      </c>
      <c r="B43" s="37" t="s">
        <v>44</v>
      </c>
      <c r="C43" s="56" t="str">
        <f>[7]С2.1!E14</f>
        <v>от 200 до 500</v>
      </c>
    </row>
    <row r="44" spans="1:3" ht="25.5" x14ac:dyDescent="0.2">
      <c r="A44" s="24" t="s">
        <v>45</v>
      </c>
      <c r="B44" s="37" t="s">
        <v>46</v>
      </c>
      <c r="C44" s="57" t="str">
        <f>[7]С2.1!E15</f>
        <v>нет</v>
      </c>
    </row>
    <row r="45" spans="1:3" ht="30" x14ac:dyDescent="0.2">
      <c r="A45" s="24" t="s">
        <v>47</v>
      </c>
      <c r="B45" s="37" t="s">
        <v>48</v>
      </c>
      <c r="C45" s="38">
        <f>[7]С2!F18</f>
        <v>32402.627334033532</v>
      </c>
    </row>
    <row r="46" spans="1:3" ht="30" x14ac:dyDescent="0.2">
      <c r="A46" s="24" t="s">
        <v>49</v>
      </c>
      <c r="B46" s="58" t="s">
        <v>50</v>
      </c>
      <c r="C46" s="38">
        <f>IF([7]С2!F19&gt;0,[7]С2!F19,[7]С2!F20)</f>
        <v>23441.524932855718</v>
      </c>
    </row>
    <row r="47" spans="1:3" ht="25.5" x14ac:dyDescent="0.2">
      <c r="A47" s="24" t="s">
        <v>51</v>
      </c>
      <c r="B47" s="59" t="s">
        <v>52</v>
      </c>
      <c r="C47" s="38">
        <f>[7]С2.1!E19</f>
        <v>-37</v>
      </c>
    </row>
    <row r="48" spans="1:3" ht="25.5" x14ac:dyDescent="0.2">
      <c r="A48" s="24" t="s">
        <v>53</v>
      </c>
      <c r="B48" s="59" t="s">
        <v>54</v>
      </c>
      <c r="C48" s="38" t="str">
        <f>[7]С2.1!E22</f>
        <v>нет</v>
      </c>
    </row>
    <row r="49" spans="1:3" ht="38.25" x14ac:dyDescent="0.2">
      <c r="A49" s="24" t="s">
        <v>55</v>
      </c>
      <c r="B49" s="60" t="s">
        <v>56</v>
      </c>
      <c r="C49" s="38">
        <f>[7]С2.2!E10</f>
        <v>1287</v>
      </c>
    </row>
    <row r="50" spans="1:3" ht="25.5" x14ac:dyDescent="0.2">
      <c r="A50" s="24" t="s">
        <v>57</v>
      </c>
      <c r="B50" s="61" t="s">
        <v>58</v>
      </c>
      <c r="C50" s="38">
        <f>[7]С2.2!E12</f>
        <v>5.97</v>
      </c>
    </row>
    <row r="51" spans="1:3" ht="52.5" x14ac:dyDescent="0.2">
      <c r="A51" s="24" t="s">
        <v>59</v>
      </c>
      <c r="B51" s="62" t="s">
        <v>60</v>
      </c>
      <c r="C51" s="38">
        <f>[7]С2.2!E13</f>
        <v>1</v>
      </c>
    </row>
    <row r="52" spans="1:3" ht="27.75" x14ac:dyDescent="0.2">
      <c r="A52" s="24" t="s">
        <v>61</v>
      </c>
      <c r="B52" s="61" t="s">
        <v>62</v>
      </c>
      <c r="C52" s="38">
        <f>[7]С2.2!E14</f>
        <v>12104</v>
      </c>
    </row>
    <row r="53" spans="1:3" ht="25.5" x14ac:dyDescent="0.2">
      <c r="A53" s="24" t="s">
        <v>63</v>
      </c>
      <c r="B53" s="62" t="s">
        <v>64</v>
      </c>
      <c r="C53" s="39">
        <f>[7]С2.2!E15</f>
        <v>4.8000000000000001E-2</v>
      </c>
    </row>
    <row r="54" spans="1:3" x14ac:dyDescent="0.2">
      <c r="A54" s="24" t="s">
        <v>65</v>
      </c>
      <c r="B54" s="62" t="s">
        <v>66</v>
      </c>
      <c r="C54" s="38">
        <f>[7]С2.2!E16</f>
        <v>1</v>
      </c>
    </row>
    <row r="55" spans="1:3" ht="15.75" x14ac:dyDescent="0.2">
      <c r="A55" s="24" t="s">
        <v>67</v>
      </c>
      <c r="B55" s="63" t="s">
        <v>68</v>
      </c>
      <c r="C55" s="38">
        <f>[7]С2!F21</f>
        <v>1</v>
      </c>
    </row>
    <row r="56" spans="1:3" ht="30" x14ac:dyDescent="0.2">
      <c r="A56" s="64" t="s">
        <v>69</v>
      </c>
      <c r="B56" s="37" t="s">
        <v>70</v>
      </c>
      <c r="C56" s="38">
        <f>[7]С2!F13</f>
        <v>169640.22915965237</v>
      </c>
    </row>
    <row r="57" spans="1:3" ht="30" x14ac:dyDescent="0.2">
      <c r="A57" s="64" t="s">
        <v>71</v>
      </c>
      <c r="B57" s="63" t="s">
        <v>72</v>
      </c>
      <c r="C57" s="38">
        <f>[7]С2!F14</f>
        <v>113455</v>
      </c>
    </row>
    <row r="58" spans="1:3" ht="15.75" x14ac:dyDescent="0.2">
      <c r="A58" s="64" t="s">
        <v>73</v>
      </c>
      <c r="B58" s="65" t="s">
        <v>74</v>
      </c>
      <c r="C58" s="44">
        <f>[7]С2!F15</f>
        <v>1.071</v>
      </c>
    </row>
    <row r="59" spans="1:3" ht="15.75" x14ac:dyDescent="0.2">
      <c r="A59" s="64" t="s">
        <v>75</v>
      </c>
      <c r="B59" s="65" t="s">
        <v>76</v>
      </c>
      <c r="C59" s="44">
        <f>[7]С2!F16</f>
        <v>1</v>
      </c>
    </row>
    <row r="60" spans="1:3" ht="17.25" x14ac:dyDescent="0.2">
      <c r="A60" s="64" t="s">
        <v>77</v>
      </c>
      <c r="B60" s="63" t="s">
        <v>78</v>
      </c>
      <c r="C60" s="38">
        <f>[7]С2!F17</f>
        <v>1.01</v>
      </c>
    </row>
    <row r="61" spans="1:3" s="68" customFormat="1" ht="14.25" x14ac:dyDescent="0.2">
      <c r="A61" s="64" t="s">
        <v>79</v>
      </c>
      <c r="B61" s="66" t="s">
        <v>80</v>
      </c>
      <c r="C61" s="67">
        <f>[7]С2!F33</f>
        <v>10</v>
      </c>
    </row>
    <row r="62" spans="1:3" ht="30" x14ac:dyDescent="0.2">
      <c r="A62" s="64" t="s">
        <v>81</v>
      </c>
      <c r="B62" s="69" t="s">
        <v>82</v>
      </c>
      <c r="C62" s="38">
        <f>[7]С2!F26</f>
        <v>1424.4887832283189</v>
      </c>
    </row>
    <row r="63" spans="1:3" ht="17.25" x14ac:dyDescent="0.2">
      <c r="A63" s="64" t="s">
        <v>83</v>
      </c>
      <c r="B63" s="58" t="s">
        <v>84</v>
      </c>
      <c r="C63" s="38">
        <f>[7]С2!F27</f>
        <v>0.24536656199999998</v>
      </c>
    </row>
    <row r="64" spans="1:3" ht="17.25" x14ac:dyDescent="0.2">
      <c r="A64" s="64" t="s">
        <v>85</v>
      </c>
      <c r="B64" s="63" t="s">
        <v>86</v>
      </c>
      <c r="C64" s="67">
        <f>[7]С2!F28</f>
        <v>4200</v>
      </c>
    </row>
    <row r="65" spans="1:3" ht="42.75" x14ac:dyDescent="0.2">
      <c r="A65" s="64" t="s">
        <v>87</v>
      </c>
      <c r="B65" s="37" t="s">
        <v>88</v>
      </c>
      <c r="C65" s="38">
        <f>[7]С2!F22</f>
        <v>35717.748653137714</v>
      </c>
    </row>
    <row r="66" spans="1:3" ht="30" x14ac:dyDescent="0.2">
      <c r="A66" s="64" t="s">
        <v>89</v>
      </c>
      <c r="B66" s="65" t="s">
        <v>90</v>
      </c>
      <c r="C66" s="38">
        <f>[7]С2!F23</f>
        <v>1990</v>
      </c>
    </row>
    <row r="67" spans="1:3" ht="30" x14ac:dyDescent="0.2">
      <c r="A67" s="64" t="s">
        <v>91</v>
      </c>
      <c r="B67" s="58" t="s">
        <v>92</v>
      </c>
      <c r="C67" s="38">
        <f>[7]С2.1!E27</f>
        <v>14307.876789999998</v>
      </c>
    </row>
    <row r="68" spans="1:3" ht="38.25" x14ac:dyDescent="0.2">
      <c r="A68" s="64" t="s">
        <v>93</v>
      </c>
      <c r="B68" s="70" t="s">
        <v>94</v>
      </c>
      <c r="C68" s="57">
        <f>[7]С2.3!E21</f>
        <v>0</v>
      </c>
    </row>
    <row r="69" spans="1:3" ht="25.5" x14ac:dyDescent="0.2">
      <c r="A69" s="64" t="s">
        <v>95</v>
      </c>
      <c r="B69" s="71" t="s">
        <v>96</v>
      </c>
      <c r="C69" s="72">
        <f>[7]С2.3!E11</f>
        <v>9.89</v>
      </c>
    </row>
    <row r="70" spans="1:3" ht="25.5" x14ac:dyDescent="0.2">
      <c r="A70" s="64" t="s">
        <v>97</v>
      </c>
      <c r="B70" s="71" t="s">
        <v>98</v>
      </c>
      <c r="C70" s="67">
        <f>[7]С2.3!E13</f>
        <v>300</v>
      </c>
    </row>
    <row r="71" spans="1:3" ht="25.5" x14ac:dyDescent="0.2">
      <c r="A71" s="64" t="s">
        <v>99</v>
      </c>
      <c r="B71" s="70" t="s">
        <v>100</v>
      </c>
      <c r="C71" s="73">
        <f>IF([7]С2.3!E22&gt;0,[7]С2.3!E22,[7]С2.3!E14)</f>
        <v>61211</v>
      </c>
    </row>
    <row r="72" spans="1:3" ht="38.25" x14ac:dyDescent="0.2">
      <c r="A72" s="64" t="s">
        <v>101</v>
      </c>
      <c r="B72" s="70" t="s">
        <v>102</v>
      </c>
      <c r="C72" s="73">
        <f>IF([7]С2.3!E23&gt;0,[7]С2.3!E23,[7]С2.3!E15)</f>
        <v>45675</v>
      </c>
    </row>
    <row r="73" spans="1:3" ht="30" x14ac:dyDescent="0.2">
      <c r="A73" s="64" t="s">
        <v>103</v>
      </c>
      <c r="B73" s="58" t="s">
        <v>104</v>
      </c>
      <c r="C73" s="38">
        <f>[7]С2.1!E28</f>
        <v>9541.9567200000001</v>
      </c>
    </row>
    <row r="74" spans="1:3" ht="38.25" x14ac:dyDescent="0.2">
      <c r="A74" s="64" t="s">
        <v>105</v>
      </c>
      <c r="B74" s="70" t="s">
        <v>106</v>
      </c>
      <c r="C74" s="57">
        <f>[7]С2.3!E25</f>
        <v>0</v>
      </c>
    </row>
    <row r="75" spans="1:3" ht="25.5" x14ac:dyDescent="0.2">
      <c r="A75" s="64" t="s">
        <v>107</v>
      </c>
      <c r="B75" s="71" t="s">
        <v>108</v>
      </c>
      <c r="C75" s="72">
        <f>[7]С2.3!E12</f>
        <v>0.56000000000000005</v>
      </c>
    </row>
    <row r="76" spans="1:3" ht="25.5" x14ac:dyDescent="0.2">
      <c r="A76" s="64" t="s">
        <v>109</v>
      </c>
      <c r="B76" s="71" t="s">
        <v>98</v>
      </c>
      <c r="C76" s="67">
        <f>[7]С2.3!E13</f>
        <v>300</v>
      </c>
    </row>
    <row r="77" spans="1:3" ht="25.5" x14ac:dyDescent="0.2">
      <c r="A77" s="64" t="s">
        <v>110</v>
      </c>
      <c r="B77" s="74" t="s">
        <v>111</v>
      </c>
      <c r="C77" s="73">
        <f>IF([7]С2.3!E26&gt;0,[7]С2.3!E26,[7]С2.3!E16)</f>
        <v>65637</v>
      </c>
    </row>
    <row r="78" spans="1:3" ht="38.25" x14ac:dyDescent="0.2">
      <c r="A78" s="64" t="s">
        <v>112</v>
      </c>
      <c r="B78" s="74" t="s">
        <v>113</v>
      </c>
      <c r="C78" s="73">
        <f>IF([7]С2.3!E27&gt;0,[7]С2.3!E27,[7]С2.3!E17)</f>
        <v>31684</v>
      </c>
    </row>
    <row r="79" spans="1:3" ht="17.25" x14ac:dyDescent="0.2">
      <c r="A79" s="64" t="s">
        <v>114</v>
      </c>
      <c r="B79" s="37" t="s">
        <v>115</v>
      </c>
      <c r="C79" s="39">
        <f>[7]С2!F29</f>
        <v>0.128978033685065</v>
      </c>
    </row>
    <row r="80" spans="1:3" ht="30" x14ac:dyDescent="0.2">
      <c r="A80" s="64" t="s">
        <v>116</v>
      </c>
      <c r="B80" s="58" t="s">
        <v>117</v>
      </c>
      <c r="C80" s="75">
        <f>[7]С2!F30</f>
        <v>0.11668498168498169</v>
      </c>
    </row>
    <row r="81" spans="1:3" ht="17.25" x14ac:dyDescent="0.2">
      <c r="A81" s="64" t="s">
        <v>118</v>
      </c>
      <c r="B81" s="76" t="s">
        <v>119</v>
      </c>
      <c r="C81" s="39">
        <f>[7]С2!F31</f>
        <v>0.13880000000000001</v>
      </c>
    </row>
    <row r="82" spans="1:3" s="68" customFormat="1" ht="18" thickBot="1" x14ac:dyDescent="0.25">
      <c r="A82" s="77" t="s">
        <v>120</v>
      </c>
      <c r="B82" s="78" t="s">
        <v>121</v>
      </c>
      <c r="C82" s="79">
        <f>[7]С2!F32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[7]С3!F14</f>
        <v>7012.1794194579406</v>
      </c>
    </row>
    <row r="86" spans="1:3" s="68" customFormat="1" ht="42.75" x14ac:dyDescent="0.2">
      <c r="A86" s="82" t="s">
        <v>126</v>
      </c>
      <c r="B86" s="58" t="s">
        <v>127</v>
      </c>
      <c r="C86" s="83">
        <f>[7]С3!F15</f>
        <v>0.2</v>
      </c>
    </row>
    <row r="87" spans="1:3" s="68" customFormat="1" ht="14.25" x14ac:dyDescent="0.2">
      <c r="A87" s="82" t="s">
        <v>128</v>
      </c>
      <c r="B87" s="84" t="s">
        <v>129</v>
      </c>
      <c r="C87" s="67">
        <f>[7]С3!F18</f>
        <v>15</v>
      </c>
    </row>
    <row r="88" spans="1:3" s="68" customFormat="1" ht="17.25" x14ac:dyDescent="0.2">
      <c r="A88" s="82" t="s">
        <v>130</v>
      </c>
      <c r="B88" s="37" t="s">
        <v>131</v>
      </c>
      <c r="C88" s="38">
        <f>[7]С3!F19</f>
        <v>3487.1555421534131</v>
      </c>
    </row>
    <row r="89" spans="1:3" s="68" customFormat="1" ht="55.5" x14ac:dyDescent="0.2">
      <c r="A89" s="82" t="s">
        <v>132</v>
      </c>
      <c r="B89" s="58" t="s">
        <v>133</v>
      </c>
      <c r="C89" s="85">
        <f>[7]С3!F20</f>
        <v>2.1999999999999999E-2</v>
      </c>
    </row>
    <row r="90" spans="1:3" s="68" customFormat="1" ht="14.25" x14ac:dyDescent="0.2">
      <c r="A90" s="82" t="s">
        <v>134</v>
      </c>
      <c r="B90" s="63" t="s">
        <v>80</v>
      </c>
      <c r="C90" s="67">
        <f>[7]С3!F21</f>
        <v>10</v>
      </c>
    </row>
    <row r="91" spans="1:3" s="68" customFormat="1" ht="17.25" x14ac:dyDescent="0.2">
      <c r="A91" s="82" t="s">
        <v>135</v>
      </c>
      <c r="B91" s="37" t="s">
        <v>136</v>
      </c>
      <c r="C91" s="38">
        <f>[7]С3!F22</f>
        <v>4.2734663496849565</v>
      </c>
    </row>
    <row r="92" spans="1:3" s="68" customFormat="1" ht="55.5" x14ac:dyDescent="0.2">
      <c r="A92" s="82" t="s">
        <v>137</v>
      </c>
      <c r="B92" s="58" t="s">
        <v>138</v>
      </c>
      <c r="C92" s="85">
        <f>[7]С3!F23</f>
        <v>3.0000000000000001E-3</v>
      </c>
    </row>
    <row r="93" spans="1:3" s="68" customFormat="1" ht="27.75" thickBot="1" x14ac:dyDescent="0.25">
      <c r="A93" s="86" t="s">
        <v>139</v>
      </c>
      <c r="B93" s="87" t="s">
        <v>140</v>
      </c>
      <c r="C93" s="88">
        <f>[7]С3!F24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[7]С4!F16</f>
        <v>1652.5</v>
      </c>
    </row>
    <row r="97" spans="1:3" ht="30" x14ac:dyDescent="0.2">
      <c r="A97" s="64" t="s">
        <v>145</v>
      </c>
      <c r="B97" s="63" t="s">
        <v>146</v>
      </c>
      <c r="C97" s="38">
        <f>[7]С4!F17</f>
        <v>73547</v>
      </c>
    </row>
    <row r="98" spans="1:3" ht="17.25" x14ac:dyDescent="0.2">
      <c r="A98" s="64" t="s">
        <v>147</v>
      </c>
      <c r="B98" s="63" t="s">
        <v>148</v>
      </c>
      <c r="C98" s="44">
        <f>[7]С4!F18</f>
        <v>0.02</v>
      </c>
    </row>
    <row r="99" spans="1:3" ht="30" x14ac:dyDescent="0.2">
      <c r="A99" s="64" t="s">
        <v>149</v>
      </c>
      <c r="B99" s="63" t="s">
        <v>150</v>
      </c>
      <c r="C99" s="38">
        <f>[7]С4!F19</f>
        <v>12104</v>
      </c>
    </row>
    <row r="100" spans="1:3" ht="31.5" x14ac:dyDescent="0.2">
      <c r="A100" s="64" t="s">
        <v>151</v>
      </c>
      <c r="B100" s="63" t="s">
        <v>152</v>
      </c>
      <c r="C100" s="44">
        <f>[7]С4!F20</f>
        <v>1.4999999999999999E-2</v>
      </c>
    </row>
    <row r="101" spans="1:3" ht="30" x14ac:dyDescent="0.2">
      <c r="A101" s="64" t="s">
        <v>153</v>
      </c>
      <c r="B101" s="37" t="s">
        <v>154</v>
      </c>
      <c r="C101" s="38">
        <f>[7]С4!F21</f>
        <v>1933.1949342509995</v>
      </c>
    </row>
    <row r="102" spans="1:3" ht="24" customHeight="1" x14ac:dyDescent="0.2">
      <c r="A102" s="64" t="s">
        <v>155</v>
      </c>
      <c r="B102" s="58" t="s">
        <v>156</v>
      </c>
      <c r="C102" s="90">
        <f>IF([7]С4.2!F8="да",[7]С4.2!D21,[7]С4.2!D15)</f>
        <v>0</v>
      </c>
    </row>
    <row r="103" spans="1:3" ht="68.25" x14ac:dyDescent="0.2">
      <c r="A103" s="64" t="s">
        <v>157</v>
      </c>
      <c r="B103" s="58" t="s">
        <v>158</v>
      </c>
      <c r="C103" s="38">
        <f>[7]С4!F22</f>
        <v>3.6112641666666665</v>
      </c>
    </row>
    <row r="104" spans="1:3" ht="30" x14ac:dyDescent="0.2">
      <c r="A104" s="64" t="s">
        <v>159</v>
      </c>
      <c r="B104" s="63" t="s">
        <v>160</v>
      </c>
      <c r="C104" s="38">
        <f>[7]С4!F23</f>
        <v>180</v>
      </c>
    </row>
    <row r="105" spans="1:3" ht="14.25" x14ac:dyDescent="0.2">
      <c r="A105" s="64" t="s">
        <v>161</v>
      </c>
      <c r="B105" s="58" t="s">
        <v>162</v>
      </c>
      <c r="C105" s="38">
        <f>[7]С4!F24</f>
        <v>8497.1999999999989</v>
      </c>
    </row>
    <row r="106" spans="1:3" ht="14.25" x14ac:dyDescent="0.2">
      <c r="A106" s="64" t="s">
        <v>163</v>
      </c>
      <c r="B106" s="63" t="s">
        <v>164</v>
      </c>
      <c r="C106" s="44">
        <f>[7]С4!F25</f>
        <v>0.35</v>
      </c>
    </row>
    <row r="107" spans="1:3" ht="17.25" x14ac:dyDescent="0.2">
      <c r="A107" s="64" t="s">
        <v>165</v>
      </c>
      <c r="B107" s="37" t="s">
        <v>166</v>
      </c>
      <c r="C107" s="38">
        <f>[7]С4!F26</f>
        <v>85.891289999999998</v>
      </c>
    </row>
    <row r="108" spans="1:3" ht="25.5" x14ac:dyDescent="0.2">
      <c r="A108" s="64" t="s">
        <v>167</v>
      </c>
      <c r="B108" s="58" t="s">
        <v>94</v>
      </c>
      <c r="C108" s="90">
        <f>[7]С4.3!E16</f>
        <v>0</v>
      </c>
    </row>
    <row r="109" spans="1:3" ht="25.5" x14ac:dyDescent="0.2">
      <c r="A109" s="64" t="s">
        <v>168</v>
      </c>
      <c r="B109" s="58" t="s">
        <v>169</v>
      </c>
      <c r="C109" s="38">
        <f>[7]С4.3!E17</f>
        <v>20.43</v>
      </c>
    </row>
    <row r="110" spans="1:3" ht="38.25" x14ac:dyDescent="0.2">
      <c r="A110" s="64" t="s">
        <v>170</v>
      </c>
      <c r="B110" s="58" t="s">
        <v>106</v>
      </c>
      <c r="C110" s="90">
        <f>[7]С4.3!E18</f>
        <v>0</v>
      </c>
    </row>
    <row r="111" spans="1:3" x14ac:dyDescent="0.2">
      <c r="A111" s="64" t="s">
        <v>171</v>
      </c>
      <c r="B111" s="58" t="s">
        <v>172</v>
      </c>
      <c r="C111" s="38">
        <f>[7]С4.3!E19</f>
        <v>69.819999999999993</v>
      </c>
    </row>
    <row r="112" spans="1:3" x14ac:dyDescent="0.2">
      <c r="A112" s="64" t="s">
        <v>173</v>
      </c>
      <c r="B112" s="63" t="s">
        <v>174</v>
      </c>
      <c r="C112" s="38">
        <f>[7]С4.3!E11</f>
        <v>1871</v>
      </c>
    </row>
    <row r="113" spans="1:3" x14ac:dyDescent="0.2">
      <c r="A113" s="64" t="s">
        <v>175</v>
      </c>
      <c r="B113" s="63" t="s">
        <v>176</v>
      </c>
      <c r="C113" s="57">
        <f>[7]С4.3!E12</f>
        <v>1636</v>
      </c>
    </row>
    <row r="114" spans="1:3" x14ac:dyDescent="0.2">
      <c r="A114" s="64" t="s">
        <v>177</v>
      </c>
      <c r="B114" s="63" t="s">
        <v>178</v>
      </c>
      <c r="C114" s="57">
        <f>[7]С4.3!E13</f>
        <v>204</v>
      </c>
    </row>
    <row r="115" spans="1:3" ht="30" x14ac:dyDescent="0.2">
      <c r="A115" s="64" t="s">
        <v>179</v>
      </c>
      <c r="B115" s="37" t="s">
        <v>180</v>
      </c>
      <c r="C115" s="38">
        <f>[7]С4!F27</f>
        <v>1047.1575926659227</v>
      </c>
    </row>
    <row r="116" spans="1:3" ht="25.5" x14ac:dyDescent="0.2">
      <c r="A116" s="64" t="s">
        <v>181</v>
      </c>
      <c r="B116" s="58" t="s">
        <v>182</v>
      </c>
      <c r="C116" s="38">
        <f>[7]С4!F28</f>
        <v>804.26850435170718</v>
      </c>
    </row>
    <row r="117" spans="1:3" ht="42.75" x14ac:dyDescent="0.2">
      <c r="A117" s="64" t="s">
        <v>183</v>
      </c>
      <c r="B117" s="58" t="s">
        <v>184</v>
      </c>
      <c r="C117" s="38">
        <f>[7]С4!F29</f>
        <v>242.8890883142156</v>
      </c>
    </row>
    <row r="118" spans="1:3" ht="30" x14ac:dyDescent="0.2">
      <c r="A118" s="64" t="s">
        <v>185</v>
      </c>
      <c r="B118" s="43" t="s">
        <v>186</v>
      </c>
      <c r="C118" s="38">
        <f>[7]С4!F30</f>
        <v>2097.739341504715</v>
      </c>
    </row>
    <row r="119" spans="1:3" ht="42.75" x14ac:dyDescent="0.2">
      <c r="A119" s="64" t="s">
        <v>187</v>
      </c>
      <c r="B119" s="91" t="s">
        <v>188</v>
      </c>
      <c r="C119" s="38">
        <f>[7]С4!F33</f>
        <v>1380.0392298896456</v>
      </c>
    </row>
    <row r="120" spans="1:3" ht="30" x14ac:dyDescent="0.2">
      <c r="A120" s="64" t="s">
        <v>189</v>
      </c>
      <c r="B120" s="92" t="s">
        <v>190</v>
      </c>
      <c r="C120" s="38">
        <f>[7]С4!F35</f>
        <v>17.040680999999999</v>
      </c>
    </row>
    <row r="121" spans="1:3" ht="14.25" x14ac:dyDescent="0.2">
      <c r="A121" s="64" t="s">
        <v>191</v>
      </c>
      <c r="B121" s="61" t="s">
        <v>192</v>
      </c>
      <c r="C121" s="38">
        <f>[7]С4!F36</f>
        <v>14319.9</v>
      </c>
    </row>
    <row r="122" spans="1:3" ht="28.5" thickBot="1" x14ac:dyDescent="0.25">
      <c r="A122" s="77" t="s">
        <v>193</v>
      </c>
      <c r="B122" s="93" t="s">
        <v>194</v>
      </c>
      <c r="C122" s="88">
        <f>[7]С4!F37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[7]С5!F17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[7]С2!F37</f>
        <v>20.818139999999996</v>
      </c>
    </row>
    <row r="136" spans="1:4" ht="14.25" x14ac:dyDescent="0.2">
      <c r="A136" s="64" t="s">
        <v>216</v>
      </c>
      <c r="B136" s="107" t="s">
        <v>217</v>
      </c>
      <c r="C136" s="38">
        <f>[7]С2!F38</f>
        <v>7</v>
      </c>
    </row>
    <row r="137" spans="1:4" ht="17.25" x14ac:dyDescent="0.2">
      <c r="A137" s="64" t="s">
        <v>218</v>
      </c>
      <c r="B137" s="107" t="s">
        <v>219</v>
      </c>
      <c r="C137" s="38">
        <f>[7]С2!F40</f>
        <v>0.97</v>
      </c>
    </row>
    <row r="138" spans="1:4" ht="15" thickBot="1" x14ac:dyDescent="0.25">
      <c r="A138" s="77" t="s">
        <v>220</v>
      </c>
      <c r="B138" s="108" t="s">
        <v>221</v>
      </c>
      <c r="C138" s="50">
        <f>[7]С2!F42</f>
        <v>0.35</v>
      </c>
    </row>
    <row r="139" spans="1:4" s="94" customFormat="1" ht="13.5" thickBot="1" x14ac:dyDescent="0.25">
      <c r="A139" s="51"/>
      <c r="B139" s="80"/>
      <c r="C139" s="16"/>
    </row>
    <row r="140" spans="1:4" ht="30" x14ac:dyDescent="0.2">
      <c r="A140" s="89" t="s">
        <v>222</v>
      </c>
      <c r="B140" s="109" t="s">
        <v>223</v>
      </c>
      <c r="C140" s="110">
        <f>[7]С2!F35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[7]С2.5!$E$11</f>
        <v>-2.9000000000000026E-2</v>
      </c>
      <c r="D143" s="94"/>
    </row>
    <row r="144" spans="1:4" x14ac:dyDescent="0.2">
      <c r="A144" s="112"/>
      <c r="B144" s="117">
        <f>B143+1</f>
        <v>2021</v>
      </c>
      <c r="C144" s="118">
        <f>[7]С2.5!$F$11</f>
        <v>0.245</v>
      </c>
      <c r="D144" s="94"/>
    </row>
    <row r="145" spans="1:4" x14ac:dyDescent="0.2">
      <c r="A145" s="112"/>
      <c r="B145" s="117">
        <f t="shared" ref="B145:B208" si="0">B144+1</f>
        <v>2022</v>
      </c>
      <c r="C145" s="118">
        <f>[7]С2.5!$G$11</f>
        <v>0.121</v>
      </c>
      <c r="D145" s="94"/>
    </row>
    <row r="146" spans="1:4" ht="13.5" thickBot="1" x14ac:dyDescent="0.25">
      <c r="A146" s="112"/>
      <c r="B146" s="119">
        <f t="shared" si="0"/>
        <v>2023</v>
      </c>
      <c r="C146" s="120">
        <f>[7]С2.5!$H$11</f>
        <v>0.02</v>
      </c>
      <c r="D146" s="94"/>
    </row>
    <row r="147" spans="1:4" hidden="1" x14ac:dyDescent="0.2">
      <c r="A147" s="112"/>
      <c r="B147" s="121">
        <f t="shared" si="0"/>
        <v>2024</v>
      </c>
      <c r="C147" s="122">
        <f>[7]С2.5!$I$11</f>
        <v>-2.93E-2</v>
      </c>
      <c r="D147" s="94"/>
    </row>
    <row r="148" spans="1:4" hidden="1" x14ac:dyDescent="0.2">
      <c r="A148" s="112"/>
      <c r="B148" s="117">
        <f t="shared" si="0"/>
        <v>2025</v>
      </c>
      <c r="C148" s="118">
        <f>[7]С2.5!$J$11</f>
        <v>0.21215960863291</v>
      </c>
      <c r="D148" s="94"/>
    </row>
    <row r="149" spans="1:4" hidden="1" x14ac:dyDescent="0.2">
      <c r="A149" s="112"/>
      <c r="B149" s="117">
        <f t="shared" si="0"/>
        <v>2026</v>
      </c>
      <c r="C149" s="118">
        <f>[7]С2.5!$K$11</f>
        <v>3.5813361771260002E-2</v>
      </c>
      <c r="D149" s="94"/>
    </row>
    <row r="150" spans="1:4" hidden="1" x14ac:dyDescent="0.2">
      <c r="A150" s="112"/>
      <c r="B150" s="117">
        <f t="shared" si="0"/>
        <v>2027</v>
      </c>
      <c r="C150" s="118">
        <f>[7]С2.5!$L$11</f>
        <v>3.2682303599220003E-2</v>
      </c>
      <c r="D150" s="94"/>
    </row>
    <row r="151" spans="1:4" hidden="1" x14ac:dyDescent="0.2">
      <c r="A151" s="112"/>
      <c r="B151" s="117">
        <f t="shared" si="0"/>
        <v>2028</v>
      </c>
      <c r="C151" s="118">
        <f>[7]С2.5!$M$11</f>
        <v>0</v>
      </c>
      <c r="D151" s="94"/>
    </row>
    <row r="152" spans="1:4" hidden="1" x14ac:dyDescent="0.2">
      <c r="A152" s="112"/>
      <c r="B152" s="117">
        <f t="shared" si="0"/>
        <v>2029</v>
      </c>
      <c r="C152" s="118">
        <f>[7]С2.5!$N$11</f>
        <v>0</v>
      </c>
      <c r="D152" s="94"/>
    </row>
    <row r="153" spans="1:4" hidden="1" x14ac:dyDescent="0.2">
      <c r="A153" s="112"/>
      <c r="B153" s="117">
        <f t="shared" si="0"/>
        <v>2030</v>
      </c>
      <c r="C153" s="118">
        <f>[7]С2.5!$O$11</f>
        <v>0</v>
      </c>
      <c r="D153" s="94"/>
    </row>
    <row r="154" spans="1:4" hidden="1" x14ac:dyDescent="0.2">
      <c r="A154" s="112"/>
      <c r="B154" s="117">
        <f t="shared" si="0"/>
        <v>2031</v>
      </c>
      <c r="C154" s="118">
        <f>[7]С2.5!$P$11</f>
        <v>0</v>
      </c>
      <c r="D154" s="94"/>
    </row>
    <row r="155" spans="1:4" hidden="1" x14ac:dyDescent="0.2">
      <c r="A155" s="94"/>
      <c r="B155" s="117">
        <f t="shared" si="0"/>
        <v>2032</v>
      </c>
      <c r="C155" s="118">
        <f>[7]С2.5!$Q$11</f>
        <v>0</v>
      </c>
      <c r="D155" s="94"/>
    </row>
    <row r="156" spans="1:4" hidden="1" x14ac:dyDescent="0.2">
      <c r="A156" s="94"/>
      <c r="B156" s="117">
        <f t="shared" si="0"/>
        <v>2033</v>
      </c>
      <c r="C156" s="118">
        <f>[7]С2.5!$R$11</f>
        <v>0</v>
      </c>
      <c r="D156" s="94"/>
    </row>
    <row r="157" spans="1:4" hidden="1" x14ac:dyDescent="0.2">
      <c r="B157" s="117">
        <f t="shared" si="0"/>
        <v>2034</v>
      </c>
      <c r="C157" s="118">
        <f>[7]С2.5!$S$11</f>
        <v>0</v>
      </c>
    </row>
    <row r="158" spans="1:4" hidden="1" x14ac:dyDescent="0.2">
      <c r="B158" s="117">
        <f t="shared" si="0"/>
        <v>2035</v>
      </c>
      <c r="C158" s="118">
        <f>[7]С2.5!$T$11</f>
        <v>0</v>
      </c>
    </row>
    <row r="159" spans="1:4" hidden="1" x14ac:dyDescent="0.2">
      <c r="B159" s="117">
        <f t="shared" si="0"/>
        <v>2036</v>
      </c>
      <c r="C159" s="118">
        <f>[7]С2.5!$U$11</f>
        <v>0</v>
      </c>
    </row>
    <row r="160" spans="1:4" hidden="1" x14ac:dyDescent="0.2">
      <c r="B160" s="117">
        <f t="shared" si="0"/>
        <v>2037</v>
      </c>
      <c r="C160" s="118">
        <f>[7]С2.5!$V$11</f>
        <v>0</v>
      </c>
    </row>
    <row r="161" spans="2:3" hidden="1" x14ac:dyDescent="0.2">
      <c r="B161" s="117">
        <f t="shared" si="0"/>
        <v>2038</v>
      </c>
      <c r="C161" s="118">
        <f>[7]С2.5!$W$11</f>
        <v>0</v>
      </c>
    </row>
    <row r="162" spans="2:3" hidden="1" x14ac:dyDescent="0.2">
      <c r="B162" s="117">
        <f t="shared" si="0"/>
        <v>2039</v>
      </c>
      <c r="C162" s="118">
        <f>[7]С2.5!$X$11</f>
        <v>0</v>
      </c>
    </row>
    <row r="163" spans="2:3" hidden="1" x14ac:dyDescent="0.2">
      <c r="B163" s="117">
        <f t="shared" si="0"/>
        <v>2040</v>
      </c>
      <c r="C163" s="118">
        <f>[7]С2.5!$Y$11</f>
        <v>0</v>
      </c>
    </row>
    <row r="164" spans="2:3" hidden="1" x14ac:dyDescent="0.2">
      <c r="B164" s="117">
        <f t="shared" si="0"/>
        <v>2041</v>
      </c>
      <c r="C164" s="118">
        <f>[7]С2.5!$Z$11</f>
        <v>0</v>
      </c>
    </row>
    <row r="165" spans="2:3" hidden="1" x14ac:dyDescent="0.2">
      <c r="B165" s="117">
        <f t="shared" si="0"/>
        <v>2042</v>
      </c>
      <c r="C165" s="118">
        <f>[7]С2.5!$AA$11</f>
        <v>0</v>
      </c>
    </row>
    <row r="166" spans="2:3" hidden="1" x14ac:dyDescent="0.2">
      <c r="B166" s="117">
        <f t="shared" si="0"/>
        <v>2043</v>
      </c>
      <c r="C166" s="118">
        <f>[7]С2.5!$AB$11</f>
        <v>0</v>
      </c>
    </row>
    <row r="167" spans="2:3" hidden="1" x14ac:dyDescent="0.2">
      <c r="B167" s="117">
        <f t="shared" si="0"/>
        <v>2044</v>
      </c>
      <c r="C167" s="118">
        <f>[7]С2.5!$AC$11</f>
        <v>0</v>
      </c>
    </row>
    <row r="168" spans="2:3" hidden="1" x14ac:dyDescent="0.2">
      <c r="B168" s="117">
        <f t="shared" si="0"/>
        <v>2045</v>
      </c>
      <c r="C168" s="118">
        <f>[7]С2.5!$AD$11</f>
        <v>0</v>
      </c>
    </row>
    <row r="169" spans="2:3" hidden="1" x14ac:dyDescent="0.2">
      <c r="B169" s="117">
        <f t="shared" si="0"/>
        <v>2046</v>
      </c>
      <c r="C169" s="118">
        <f>[7]С2.5!$AE$11</f>
        <v>0</v>
      </c>
    </row>
    <row r="170" spans="2:3" hidden="1" x14ac:dyDescent="0.2">
      <c r="B170" s="117">
        <f t="shared" si="0"/>
        <v>2047</v>
      </c>
      <c r="C170" s="118">
        <f>[7]С2.5!$AF$11</f>
        <v>0</v>
      </c>
    </row>
    <row r="171" spans="2:3" hidden="1" x14ac:dyDescent="0.2">
      <c r="B171" s="117">
        <f t="shared" si="0"/>
        <v>2048</v>
      </c>
      <c r="C171" s="118">
        <f>[7]С2.5!$AG$11</f>
        <v>0</v>
      </c>
    </row>
    <row r="172" spans="2:3" hidden="1" x14ac:dyDescent="0.2">
      <c r="B172" s="117">
        <f t="shared" si="0"/>
        <v>2049</v>
      </c>
      <c r="C172" s="118">
        <f>[7]С2.5!$AH$11</f>
        <v>0</v>
      </c>
    </row>
    <row r="173" spans="2:3" hidden="1" x14ac:dyDescent="0.2">
      <c r="B173" s="117">
        <f t="shared" si="0"/>
        <v>2050</v>
      </c>
      <c r="C173" s="118">
        <f>[7]С2.5!$AI$11</f>
        <v>0</v>
      </c>
    </row>
    <row r="174" spans="2:3" hidden="1" x14ac:dyDescent="0.2">
      <c r="B174" s="117">
        <f t="shared" si="0"/>
        <v>2051</v>
      </c>
      <c r="C174" s="118">
        <f>[7]С2.5!$AJ$11</f>
        <v>0</v>
      </c>
    </row>
    <row r="175" spans="2:3" hidden="1" x14ac:dyDescent="0.2">
      <c r="B175" s="117">
        <f t="shared" si="0"/>
        <v>2052</v>
      </c>
      <c r="C175" s="118">
        <f>[7]С2.5!$AK$11</f>
        <v>0</v>
      </c>
    </row>
    <row r="176" spans="2:3" hidden="1" x14ac:dyDescent="0.2">
      <c r="B176" s="117">
        <f t="shared" si="0"/>
        <v>2053</v>
      </c>
      <c r="C176" s="118">
        <f>[7]С2.5!$AL$11</f>
        <v>0</v>
      </c>
    </row>
    <row r="177" spans="2:3" hidden="1" x14ac:dyDescent="0.2">
      <c r="B177" s="117">
        <f t="shared" si="0"/>
        <v>2054</v>
      </c>
      <c r="C177" s="118">
        <f>[7]С2.5!$AM$11</f>
        <v>0</v>
      </c>
    </row>
    <row r="178" spans="2:3" hidden="1" x14ac:dyDescent="0.2">
      <c r="B178" s="117">
        <f t="shared" si="0"/>
        <v>2055</v>
      </c>
      <c r="C178" s="118">
        <f>[7]С2.5!$AN$11</f>
        <v>0</v>
      </c>
    </row>
    <row r="179" spans="2:3" hidden="1" x14ac:dyDescent="0.2">
      <c r="B179" s="117">
        <f t="shared" si="0"/>
        <v>2056</v>
      </c>
      <c r="C179" s="118">
        <f>[7]С2.5!$AO$11</f>
        <v>0</v>
      </c>
    </row>
    <row r="180" spans="2:3" hidden="1" x14ac:dyDescent="0.2">
      <c r="B180" s="117">
        <f t="shared" si="0"/>
        <v>2057</v>
      </c>
      <c r="C180" s="118">
        <f>[7]С2.5!$AP$11</f>
        <v>0</v>
      </c>
    </row>
    <row r="181" spans="2:3" hidden="1" x14ac:dyDescent="0.2">
      <c r="B181" s="117">
        <f t="shared" si="0"/>
        <v>2058</v>
      </c>
      <c r="C181" s="118">
        <f>[7]С2.5!$AQ$11</f>
        <v>0</v>
      </c>
    </row>
    <row r="182" spans="2:3" hidden="1" x14ac:dyDescent="0.2">
      <c r="B182" s="117">
        <f t="shared" si="0"/>
        <v>2059</v>
      </c>
      <c r="C182" s="118">
        <f>[7]С2.5!$AR$11</f>
        <v>0</v>
      </c>
    </row>
    <row r="183" spans="2:3" hidden="1" x14ac:dyDescent="0.2">
      <c r="B183" s="117">
        <f t="shared" si="0"/>
        <v>2060</v>
      </c>
      <c r="C183" s="118">
        <f>[7]С2.5!$AS$11</f>
        <v>0</v>
      </c>
    </row>
    <row r="184" spans="2:3" hidden="1" x14ac:dyDescent="0.2">
      <c r="B184" s="117">
        <f t="shared" si="0"/>
        <v>2061</v>
      </c>
      <c r="C184" s="118">
        <f>[7]С2.5!$AT$11</f>
        <v>0</v>
      </c>
    </row>
    <row r="185" spans="2:3" hidden="1" x14ac:dyDescent="0.2">
      <c r="B185" s="117">
        <f t="shared" si="0"/>
        <v>2062</v>
      </c>
      <c r="C185" s="118">
        <f>[7]С2.5!$AU$11</f>
        <v>0</v>
      </c>
    </row>
    <row r="186" spans="2:3" hidden="1" x14ac:dyDescent="0.2">
      <c r="B186" s="117">
        <f t="shared" si="0"/>
        <v>2063</v>
      </c>
      <c r="C186" s="118">
        <f>[7]С2.5!$AV$11</f>
        <v>0</v>
      </c>
    </row>
    <row r="187" spans="2:3" hidden="1" x14ac:dyDescent="0.2">
      <c r="B187" s="117">
        <f t="shared" si="0"/>
        <v>2064</v>
      </c>
      <c r="C187" s="118">
        <f>[7]С2.5!$AW$11</f>
        <v>0</v>
      </c>
    </row>
    <row r="188" spans="2:3" hidden="1" x14ac:dyDescent="0.2">
      <c r="B188" s="117">
        <f t="shared" si="0"/>
        <v>2065</v>
      </c>
      <c r="C188" s="118">
        <f>[7]С2.5!$AX$11</f>
        <v>0</v>
      </c>
    </row>
    <row r="189" spans="2:3" hidden="1" x14ac:dyDescent="0.2">
      <c r="B189" s="117">
        <f t="shared" si="0"/>
        <v>2066</v>
      </c>
      <c r="C189" s="118">
        <f>[7]С2.5!$AY$11</f>
        <v>0</v>
      </c>
    </row>
    <row r="190" spans="2:3" hidden="1" x14ac:dyDescent="0.2">
      <c r="B190" s="117">
        <f t="shared" si="0"/>
        <v>2067</v>
      </c>
      <c r="C190" s="118">
        <f>[7]С2.5!$AZ$11</f>
        <v>0</v>
      </c>
    </row>
    <row r="191" spans="2:3" hidden="1" x14ac:dyDescent="0.2">
      <c r="B191" s="117">
        <f t="shared" si="0"/>
        <v>2068</v>
      </c>
      <c r="C191" s="118">
        <f>[7]С2.5!$BA$11</f>
        <v>0</v>
      </c>
    </row>
    <row r="192" spans="2:3" hidden="1" x14ac:dyDescent="0.2">
      <c r="B192" s="117">
        <f t="shared" si="0"/>
        <v>2069</v>
      </c>
      <c r="C192" s="118">
        <f>[7]С2.5!$BB$11</f>
        <v>0</v>
      </c>
    </row>
    <row r="193" spans="2:3" hidden="1" x14ac:dyDescent="0.2">
      <c r="B193" s="117">
        <f t="shared" si="0"/>
        <v>2070</v>
      </c>
      <c r="C193" s="118">
        <f>[7]С2.5!$BC$11</f>
        <v>0</v>
      </c>
    </row>
    <row r="194" spans="2:3" hidden="1" x14ac:dyDescent="0.2">
      <c r="B194" s="117">
        <f t="shared" si="0"/>
        <v>2071</v>
      </c>
      <c r="C194" s="118">
        <f>[7]С2.5!$BD$11</f>
        <v>0</v>
      </c>
    </row>
    <row r="195" spans="2:3" hidden="1" x14ac:dyDescent="0.2">
      <c r="B195" s="117">
        <f t="shared" si="0"/>
        <v>2072</v>
      </c>
      <c r="C195" s="118">
        <f>[7]С2.5!$BE$11</f>
        <v>0</v>
      </c>
    </row>
    <row r="196" spans="2:3" hidden="1" x14ac:dyDescent="0.2">
      <c r="B196" s="117">
        <f t="shared" si="0"/>
        <v>2073</v>
      </c>
      <c r="C196" s="118">
        <f>[7]С2.5!$BF$11</f>
        <v>0</v>
      </c>
    </row>
    <row r="197" spans="2:3" hidden="1" x14ac:dyDescent="0.2">
      <c r="B197" s="117">
        <f t="shared" si="0"/>
        <v>2074</v>
      </c>
      <c r="C197" s="118">
        <f>[7]С2.5!$BG$11</f>
        <v>0</v>
      </c>
    </row>
    <row r="198" spans="2:3" hidden="1" x14ac:dyDescent="0.2">
      <c r="B198" s="117">
        <f t="shared" si="0"/>
        <v>2075</v>
      </c>
      <c r="C198" s="118">
        <f>[7]С2.5!$BH$11</f>
        <v>0</v>
      </c>
    </row>
    <row r="199" spans="2:3" hidden="1" x14ac:dyDescent="0.2">
      <c r="B199" s="117">
        <f t="shared" si="0"/>
        <v>2076</v>
      </c>
      <c r="C199" s="118">
        <f>[7]С2.5!$BI$11</f>
        <v>0</v>
      </c>
    </row>
    <row r="200" spans="2:3" hidden="1" x14ac:dyDescent="0.2">
      <c r="B200" s="117">
        <f t="shared" si="0"/>
        <v>2077</v>
      </c>
      <c r="C200" s="118">
        <f>[7]С2.5!$BJ$11</f>
        <v>0</v>
      </c>
    </row>
    <row r="201" spans="2:3" hidden="1" x14ac:dyDescent="0.2">
      <c r="B201" s="117">
        <f t="shared" si="0"/>
        <v>2078</v>
      </c>
      <c r="C201" s="118">
        <f>[7]С2.5!$BK$11</f>
        <v>0</v>
      </c>
    </row>
    <row r="202" spans="2:3" hidden="1" x14ac:dyDescent="0.2">
      <c r="B202" s="117">
        <f t="shared" si="0"/>
        <v>2079</v>
      </c>
      <c r="C202" s="118">
        <f>[7]С2.5!$BL$11</f>
        <v>0</v>
      </c>
    </row>
    <row r="203" spans="2:3" hidden="1" x14ac:dyDescent="0.2">
      <c r="B203" s="117">
        <f t="shared" si="0"/>
        <v>2080</v>
      </c>
      <c r="C203" s="118">
        <f>[7]С2.5!$BM$11</f>
        <v>0</v>
      </c>
    </row>
    <row r="204" spans="2:3" hidden="1" x14ac:dyDescent="0.2">
      <c r="B204" s="117">
        <f t="shared" si="0"/>
        <v>2081</v>
      </c>
      <c r="C204" s="118">
        <f>[7]С2.5!$BN$11</f>
        <v>0</v>
      </c>
    </row>
    <row r="205" spans="2:3" hidden="1" x14ac:dyDescent="0.2">
      <c r="B205" s="117">
        <f t="shared" si="0"/>
        <v>2082</v>
      </c>
      <c r="C205" s="118">
        <f>[7]С2.5!$BO$11</f>
        <v>0</v>
      </c>
    </row>
    <row r="206" spans="2:3" hidden="1" x14ac:dyDescent="0.2">
      <c r="B206" s="117">
        <f t="shared" si="0"/>
        <v>2083</v>
      </c>
      <c r="C206" s="118">
        <f>[7]С2.5!$BP$11</f>
        <v>0</v>
      </c>
    </row>
    <row r="207" spans="2:3" hidden="1" x14ac:dyDescent="0.2">
      <c r="B207" s="117">
        <f t="shared" si="0"/>
        <v>2084</v>
      </c>
      <c r="C207" s="118">
        <f>[7]С2.5!$BQ$11</f>
        <v>0</v>
      </c>
    </row>
    <row r="208" spans="2:3" hidden="1" x14ac:dyDescent="0.2">
      <c r="B208" s="117">
        <f t="shared" si="0"/>
        <v>2085</v>
      </c>
      <c r="C208" s="118">
        <f>[7]С2.5!$BR$11</f>
        <v>0</v>
      </c>
    </row>
    <row r="209" spans="2:3" hidden="1" x14ac:dyDescent="0.2">
      <c r="B209" s="117">
        <f t="shared" ref="B209:B223" si="1">B208+1</f>
        <v>2086</v>
      </c>
      <c r="C209" s="118">
        <f>[7]С2.5!$BS$11</f>
        <v>0</v>
      </c>
    </row>
    <row r="210" spans="2:3" hidden="1" x14ac:dyDescent="0.2">
      <c r="B210" s="117">
        <f t="shared" si="1"/>
        <v>2087</v>
      </c>
      <c r="C210" s="118">
        <f>[7]С2.5!$BT$11</f>
        <v>0</v>
      </c>
    </row>
    <row r="211" spans="2:3" hidden="1" x14ac:dyDescent="0.2">
      <c r="B211" s="117">
        <f t="shared" si="1"/>
        <v>2088</v>
      </c>
      <c r="C211" s="118">
        <f>[7]С2.5!$BU$11</f>
        <v>0</v>
      </c>
    </row>
    <row r="212" spans="2:3" hidden="1" x14ac:dyDescent="0.2">
      <c r="B212" s="117">
        <f t="shared" si="1"/>
        <v>2089</v>
      </c>
      <c r="C212" s="118">
        <f>[7]С2.5!$BV$11</f>
        <v>0</v>
      </c>
    </row>
    <row r="213" spans="2:3" hidden="1" x14ac:dyDescent="0.2">
      <c r="B213" s="117">
        <f t="shared" si="1"/>
        <v>2090</v>
      </c>
      <c r="C213" s="118">
        <f>[7]С2.5!$BW$11</f>
        <v>0</v>
      </c>
    </row>
    <row r="214" spans="2:3" hidden="1" x14ac:dyDescent="0.2">
      <c r="B214" s="117">
        <f t="shared" si="1"/>
        <v>2091</v>
      </c>
      <c r="C214" s="118">
        <f>[7]С2.5!$BX$11</f>
        <v>0</v>
      </c>
    </row>
    <row r="215" spans="2:3" hidden="1" x14ac:dyDescent="0.2">
      <c r="B215" s="117">
        <f t="shared" si="1"/>
        <v>2092</v>
      </c>
      <c r="C215" s="118">
        <f>[7]С2.5!$BY$11</f>
        <v>0</v>
      </c>
    </row>
    <row r="216" spans="2:3" hidden="1" x14ac:dyDescent="0.2">
      <c r="B216" s="117">
        <f t="shared" si="1"/>
        <v>2093</v>
      </c>
      <c r="C216" s="118">
        <f>[7]С2.5!$BZ$11</f>
        <v>0</v>
      </c>
    </row>
    <row r="217" spans="2:3" hidden="1" x14ac:dyDescent="0.2">
      <c r="B217" s="117">
        <f t="shared" si="1"/>
        <v>2094</v>
      </c>
      <c r="C217" s="118">
        <f>[7]С2.5!$CA$11</f>
        <v>0</v>
      </c>
    </row>
    <row r="218" spans="2:3" hidden="1" x14ac:dyDescent="0.2">
      <c r="B218" s="117">
        <f t="shared" si="1"/>
        <v>2095</v>
      </c>
      <c r="C218" s="118">
        <f>[7]С2.5!$CB$11</f>
        <v>0</v>
      </c>
    </row>
    <row r="219" spans="2:3" hidden="1" x14ac:dyDescent="0.2">
      <c r="B219" s="117">
        <f t="shared" si="1"/>
        <v>2096</v>
      </c>
      <c r="C219" s="118">
        <f>[7]С2.5!$CC$11</f>
        <v>0</v>
      </c>
    </row>
    <row r="220" spans="2:3" hidden="1" x14ac:dyDescent="0.2">
      <c r="B220" s="117">
        <f t="shared" si="1"/>
        <v>2097</v>
      </c>
      <c r="C220" s="118">
        <f>[7]С2.5!$CD$11</f>
        <v>0</v>
      </c>
    </row>
    <row r="221" spans="2:3" hidden="1" x14ac:dyDescent="0.2">
      <c r="B221" s="117">
        <f t="shared" si="1"/>
        <v>2098</v>
      </c>
      <c r="C221" s="118">
        <f>[7]С2.5!$CE$11</f>
        <v>0</v>
      </c>
    </row>
    <row r="222" spans="2:3" hidden="1" x14ac:dyDescent="0.2">
      <c r="B222" s="117">
        <f t="shared" si="1"/>
        <v>2099</v>
      </c>
      <c r="C222" s="118">
        <f>[7]С2.5!$CF$11</f>
        <v>0</v>
      </c>
    </row>
    <row r="223" spans="2:3" ht="13.5" hidden="1" thickBot="1" x14ac:dyDescent="0.25">
      <c r="B223" s="119">
        <f t="shared" si="1"/>
        <v>2100</v>
      </c>
      <c r="C223" s="120">
        <f>[7]С2.5!$CG$11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7169" r:id="rId3" name="Button 1">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[8]И1!D13</f>
        <v>Субъект Российской Федерации</v>
      </c>
      <c r="C4" s="11" t="str">
        <f>[8]И1!E13</f>
        <v>Новосибирская область</v>
      </c>
    </row>
    <row r="5" spans="1:3" ht="38.25" x14ac:dyDescent="0.2">
      <c r="A5" s="9"/>
      <c r="B5" s="10" t="str">
        <f>[8]И1!D14</f>
        <v>Тип муниципального образования (выберите из списка)</v>
      </c>
      <c r="C5" s="11" t="str">
        <f>[8]И1!E14</f>
        <v xml:space="preserve">село Ключики, Сузунский муниципальный район </v>
      </c>
    </row>
    <row r="6" spans="1:3" x14ac:dyDescent="0.2">
      <c r="A6" s="9"/>
      <c r="B6" s="10" t="str">
        <f>IF([8]И1!E15="","",[8]И1!D15)</f>
        <v/>
      </c>
      <c r="C6" s="11" t="str">
        <f>IF([8]И1!E15="","",[8]И1!E15)</f>
        <v/>
      </c>
    </row>
    <row r="7" spans="1:3" x14ac:dyDescent="0.2">
      <c r="A7" s="9"/>
      <c r="B7" s="10" t="str">
        <f>[8]И1!D16</f>
        <v>Код ОКТМО</v>
      </c>
      <c r="C7" s="12" t="str">
        <f>[8]И1!E16</f>
        <v>(50648422101)</v>
      </c>
    </row>
    <row r="8" spans="1:3" x14ac:dyDescent="0.2">
      <c r="A8" s="9"/>
      <c r="B8" s="13" t="str">
        <f>[8]И1!D17</f>
        <v>Система теплоснабжения</v>
      </c>
      <c r="C8" s="14">
        <f>[8]И1!E17</f>
        <v>0</v>
      </c>
    </row>
    <row r="9" spans="1:3" x14ac:dyDescent="0.2">
      <c r="A9" s="9"/>
      <c r="B9" s="10" t="str">
        <f>[8]И1!D8</f>
        <v>Период регулирования (i)-й</v>
      </c>
      <c r="C9" s="15">
        <f>[8]И1!E8</f>
        <v>2023</v>
      </c>
    </row>
    <row r="10" spans="1:3" x14ac:dyDescent="0.2">
      <c r="A10" s="9"/>
      <c r="B10" s="10" t="str">
        <f>[8]И1!D9</f>
        <v>Период регулирования (i-1)-й</v>
      </c>
      <c r="C10" s="15">
        <f>[8]И1!E9</f>
        <v>2022</v>
      </c>
    </row>
    <row r="11" spans="1:3" x14ac:dyDescent="0.2">
      <c r="A11" s="9"/>
      <c r="B11" s="10" t="str">
        <f>[8]И1!D10</f>
        <v>Период регулирования (i-2)-й</v>
      </c>
      <c r="C11" s="15">
        <f>[8]И1!E10</f>
        <v>2021</v>
      </c>
    </row>
    <row r="12" spans="1:3" x14ac:dyDescent="0.2">
      <c r="A12" s="9"/>
      <c r="B12" s="10" t="str">
        <f>[8]И1!D11</f>
        <v>Базовый год (б)</v>
      </c>
      <c r="C12" s="15">
        <f>[8]И1!E11</f>
        <v>2019</v>
      </c>
    </row>
    <row r="13" spans="1:3" ht="38.25" x14ac:dyDescent="0.2">
      <c r="A13" s="9"/>
      <c r="B13" s="10" t="str">
        <f>[8]И1!D18</f>
        <v>Вид топлива, использование которого преобладает в системе теплоснабжения</v>
      </c>
      <c r="C13" s="16" t="str">
        <f>[8]С1.1!E13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3932.9102256983879</v>
      </c>
    </row>
    <row r="18" spans="1:3" ht="42.75" x14ac:dyDescent="0.2">
      <c r="A18" s="24" t="s">
        <v>8</v>
      </c>
      <c r="B18" s="27" t="s">
        <v>9</v>
      </c>
      <c r="C18" s="28">
        <f>[8]С1!F12</f>
        <v>840.12287184935565</v>
      </c>
    </row>
    <row r="19" spans="1:3" ht="42.75" x14ac:dyDescent="0.2">
      <c r="A19" s="24" t="s">
        <v>10</v>
      </c>
      <c r="B19" s="27" t="s">
        <v>11</v>
      </c>
      <c r="C19" s="28">
        <f>[8]С2!F12</f>
        <v>2108.7102251987935</v>
      </c>
    </row>
    <row r="20" spans="1:3" ht="30" x14ac:dyDescent="0.2">
      <c r="A20" s="24" t="s">
        <v>12</v>
      </c>
      <c r="B20" s="27" t="s">
        <v>13</v>
      </c>
      <c r="C20" s="28">
        <f>[8]С3!F12</f>
        <v>504.54115631660852</v>
      </c>
    </row>
    <row r="21" spans="1:3" ht="42.75" x14ac:dyDescent="0.2">
      <c r="A21" s="24" t="s">
        <v>14</v>
      </c>
      <c r="B21" s="27" t="s">
        <v>15</v>
      </c>
      <c r="C21" s="28">
        <f>[8]С4!F12</f>
        <v>402.42008555523057</v>
      </c>
    </row>
    <row r="22" spans="1:3" ht="30" x14ac:dyDescent="0.2">
      <c r="A22" s="24" t="s">
        <v>16</v>
      </c>
      <c r="B22" s="27" t="s">
        <v>17</v>
      </c>
      <c r="C22" s="28">
        <f>[8]С5!F12</f>
        <v>77.115886778399769</v>
      </c>
    </row>
    <row r="23" spans="1:3" ht="43.5" thickBot="1" x14ac:dyDescent="0.25">
      <c r="A23" s="29" t="s">
        <v>18</v>
      </c>
      <c r="B23" s="30" t="s">
        <v>19</v>
      </c>
      <c r="C23" s="31" t="str">
        <f>[8]С6!F12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[8]С1.1!E16</f>
        <v>5100</v>
      </c>
    </row>
    <row r="29" spans="1:3" ht="42.75" x14ac:dyDescent="0.2">
      <c r="A29" s="24" t="s">
        <v>10</v>
      </c>
      <c r="B29" s="37" t="s">
        <v>22</v>
      </c>
      <c r="C29" s="38">
        <f>[8]С1.1!E27</f>
        <v>2258.9499999999998</v>
      </c>
    </row>
    <row r="30" spans="1:3" ht="17.25" x14ac:dyDescent="0.2">
      <c r="A30" s="24" t="s">
        <v>12</v>
      </c>
      <c r="B30" s="37" t="s">
        <v>23</v>
      </c>
      <c r="C30" s="39">
        <f>[8]С1.1!E19</f>
        <v>0.59499999999999997</v>
      </c>
    </row>
    <row r="31" spans="1:3" ht="17.25" x14ac:dyDescent="0.2">
      <c r="A31" s="24" t="s">
        <v>14</v>
      </c>
      <c r="B31" s="37" t="s">
        <v>24</v>
      </c>
      <c r="C31" s="39">
        <f>[8]С1.1!E20</f>
        <v>-0.113</v>
      </c>
    </row>
    <row r="32" spans="1:3" ht="30" x14ac:dyDescent="0.2">
      <c r="A32" s="24" t="s">
        <v>16</v>
      </c>
      <c r="B32" s="40" t="s">
        <v>25</v>
      </c>
      <c r="C32" s="41">
        <f>[8]С1!F13</f>
        <v>176.4</v>
      </c>
    </row>
    <row r="33" spans="1:3" x14ac:dyDescent="0.2">
      <c r="A33" s="24" t="s">
        <v>18</v>
      </c>
      <c r="B33" s="40" t="s">
        <v>26</v>
      </c>
      <c r="C33" s="42">
        <f>[8]С1!F16</f>
        <v>7000</v>
      </c>
    </row>
    <row r="34" spans="1:3" ht="14.25" x14ac:dyDescent="0.2">
      <c r="A34" s="24" t="s">
        <v>27</v>
      </c>
      <c r="B34" s="43" t="s">
        <v>28</v>
      </c>
      <c r="C34" s="44">
        <f>[8]С1!F17</f>
        <v>0.72857142857142854</v>
      </c>
    </row>
    <row r="35" spans="1:3" ht="15.75" x14ac:dyDescent="0.2">
      <c r="A35" s="45" t="s">
        <v>29</v>
      </c>
      <c r="B35" s="46" t="s">
        <v>30</v>
      </c>
      <c r="C35" s="44">
        <f>[8]С1!F20</f>
        <v>21.588411179999994</v>
      </c>
    </row>
    <row r="36" spans="1:3" ht="15.75" x14ac:dyDescent="0.2">
      <c r="A36" s="45" t="s">
        <v>31</v>
      </c>
      <c r="B36" s="47" t="s">
        <v>32</v>
      </c>
      <c r="C36" s="44">
        <f>[8]С1!F21</f>
        <v>20.818139999999996</v>
      </c>
    </row>
    <row r="37" spans="1:3" ht="14.25" x14ac:dyDescent="0.2">
      <c r="A37" s="45" t="s">
        <v>33</v>
      </c>
      <c r="B37" s="48" t="s">
        <v>34</v>
      </c>
      <c r="C37" s="44">
        <f>[8]С1!F22</f>
        <v>1.0369999999999999</v>
      </c>
    </row>
    <row r="38" spans="1:3" ht="53.25" thickBot="1" x14ac:dyDescent="0.25">
      <c r="A38" s="29" t="s">
        <v>35</v>
      </c>
      <c r="B38" s="49" t="s">
        <v>36</v>
      </c>
      <c r="C38" s="50">
        <f>[8]С1!F23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[8]С2.1!E12</f>
        <v>V</v>
      </c>
    </row>
    <row r="42" spans="1:3" ht="25.5" x14ac:dyDescent="0.2">
      <c r="A42" s="24" t="s">
        <v>41</v>
      </c>
      <c r="B42" s="37" t="s">
        <v>42</v>
      </c>
      <c r="C42" s="56" t="str">
        <f>[8]С2.1!E13</f>
        <v>6 и менее баллов</v>
      </c>
    </row>
    <row r="43" spans="1:3" ht="25.5" x14ac:dyDescent="0.2">
      <c r="A43" s="24" t="s">
        <v>43</v>
      </c>
      <c r="B43" s="37" t="s">
        <v>44</v>
      </c>
      <c r="C43" s="56" t="str">
        <f>[8]С2.1!E14</f>
        <v>от 200 до 500</v>
      </c>
    </row>
    <row r="44" spans="1:3" ht="25.5" x14ac:dyDescent="0.2">
      <c r="A44" s="24" t="s">
        <v>45</v>
      </c>
      <c r="B44" s="37" t="s">
        <v>46</v>
      </c>
      <c r="C44" s="57" t="str">
        <f>[8]С2.1!E15</f>
        <v>нет</v>
      </c>
    </row>
    <row r="45" spans="1:3" ht="30" x14ac:dyDescent="0.2">
      <c r="A45" s="24" t="s">
        <v>47</v>
      </c>
      <c r="B45" s="37" t="s">
        <v>48</v>
      </c>
      <c r="C45" s="38">
        <f>[8]С2!F18</f>
        <v>32402.627334033532</v>
      </c>
    </row>
    <row r="46" spans="1:3" ht="30" x14ac:dyDescent="0.2">
      <c r="A46" s="24" t="s">
        <v>49</v>
      </c>
      <c r="B46" s="58" t="s">
        <v>50</v>
      </c>
      <c r="C46" s="38">
        <f>IF([8]С2!F19&gt;0,[8]С2!F19,[8]С2!F20)</f>
        <v>23441.524932855718</v>
      </c>
    </row>
    <row r="47" spans="1:3" ht="25.5" x14ac:dyDescent="0.2">
      <c r="A47" s="24" t="s">
        <v>51</v>
      </c>
      <c r="B47" s="59" t="s">
        <v>52</v>
      </c>
      <c r="C47" s="38">
        <f>[8]С2.1!E19</f>
        <v>-37</v>
      </c>
    </row>
    <row r="48" spans="1:3" ht="25.5" x14ac:dyDescent="0.2">
      <c r="A48" s="24" t="s">
        <v>53</v>
      </c>
      <c r="B48" s="59" t="s">
        <v>54</v>
      </c>
      <c r="C48" s="38" t="str">
        <f>[8]С2.1!E22</f>
        <v>нет</v>
      </c>
    </row>
    <row r="49" spans="1:3" ht="38.25" x14ac:dyDescent="0.2">
      <c r="A49" s="24" t="s">
        <v>55</v>
      </c>
      <c r="B49" s="60" t="s">
        <v>56</v>
      </c>
      <c r="C49" s="38">
        <f>[8]С2.2!E10</f>
        <v>1287</v>
      </c>
    </row>
    <row r="50" spans="1:3" ht="25.5" x14ac:dyDescent="0.2">
      <c r="A50" s="24" t="s">
        <v>57</v>
      </c>
      <c r="B50" s="61" t="s">
        <v>58</v>
      </c>
      <c r="C50" s="38">
        <f>[8]С2.2!E12</f>
        <v>5.97</v>
      </c>
    </row>
    <row r="51" spans="1:3" ht="52.5" x14ac:dyDescent="0.2">
      <c r="A51" s="24" t="s">
        <v>59</v>
      </c>
      <c r="B51" s="62" t="s">
        <v>60</v>
      </c>
      <c r="C51" s="38">
        <f>[8]С2.2!E13</f>
        <v>1</v>
      </c>
    </row>
    <row r="52" spans="1:3" ht="27.75" x14ac:dyDescent="0.2">
      <c r="A52" s="24" t="s">
        <v>61</v>
      </c>
      <c r="B52" s="61" t="s">
        <v>62</v>
      </c>
      <c r="C52" s="38">
        <f>[8]С2.2!E14</f>
        <v>12104</v>
      </c>
    </row>
    <row r="53" spans="1:3" ht="25.5" x14ac:dyDescent="0.2">
      <c r="A53" s="24" t="s">
        <v>63</v>
      </c>
      <c r="B53" s="62" t="s">
        <v>64</v>
      </c>
      <c r="C53" s="39">
        <f>[8]С2.2!E15</f>
        <v>4.8000000000000001E-2</v>
      </c>
    </row>
    <row r="54" spans="1:3" x14ac:dyDescent="0.2">
      <c r="A54" s="24" t="s">
        <v>65</v>
      </c>
      <c r="B54" s="62" t="s">
        <v>66</v>
      </c>
      <c r="C54" s="38">
        <f>[8]С2.2!E16</f>
        <v>1</v>
      </c>
    </row>
    <row r="55" spans="1:3" ht="15.75" x14ac:dyDescent="0.2">
      <c r="A55" s="24" t="s">
        <v>67</v>
      </c>
      <c r="B55" s="63" t="s">
        <v>68</v>
      </c>
      <c r="C55" s="38">
        <f>[8]С2!F21</f>
        <v>1</v>
      </c>
    </row>
    <row r="56" spans="1:3" ht="30" x14ac:dyDescent="0.2">
      <c r="A56" s="64" t="s">
        <v>69</v>
      </c>
      <c r="B56" s="37" t="s">
        <v>70</v>
      </c>
      <c r="C56" s="38">
        <f>[8]С2!F13</f>
        <v>169640.22915965237</v>
      </c>
    </row>
    <row r="57" spans="1:3" ht="30" x14ac:dyDescent="0.2">
      <c r="A57" s="64" t="s">
        <v>71</v>
      </c>
      <c r="B57" s="63" t="s">
        <v>72</v>
      </c>
      <c r="C57" s="38">
        <f>[8]С2!F14</f>
        <v>113455</v>
      </c>
    </row>
    <row r="58" spans="1:3" ht="15.75" x14ac:dyDescent="0.2">
      <c r="A58" s="64" t="s">
        <v>73</v>
      </c>
      <c r="B58" s="65" t="s">
        <v>74</v>
      </c>
      <c r="C58" s="44">
        <f>[8]С2!F15</f>
        <v>1.071</v>
      </c>
    </row>
    <row r="59" spans="1:3" ht="15.75" x14ac:dyDescent="0.2">
      <c r="A59" s="64" t="s">
        <v>75</v>
      </c>
      <c r="B59" s="65" t="s">
        <v>76</v>
      </c>
      <c r="C59" s="44">
        <f>[8]С2!F16</f>
        <v>1</v>
      </c>
    </row>
    <row r="60" spans="1:3" ht="17.25" x14ac:dyDescent="0.2">
      <c r="A60" s="64" t="s">
        <v>77</v>
      </c>
      <c r="B60" s="63" t="s">
        <v>78</v>
      </c>
      <c r="C60" s="38">
        <f>[8]С2!F17</f>
        <v>1.01</v>
      </c>
    </row>
    <row r="61" spans="1:3" s="68" customFormat="1" ht="14.25" x14ac:dyDescent="0.2">
      <c r="A61" s="64" t="s">
        <v>79</v>
      </c>
      <c r="B61" s="66" t="s">
        <v>80</v>
      </c>
      <c r="C61" s="67">
        <f>[8]С2!F33</f>
        <v>10</v>
      </c>
    </row>
    <row r="62" spans="1:3" ht="30" x14ac:dyDescent="0.2">
      <c r="A62" s="64" t="s">
        <v>81</v>
      </c>
      <c r="B62" s="69" t="s">
        <v>82</v>
      </c>
      <c r="C62" s="38">
        <f>[8]С2!F26</f>
        <v>1424.4887832283189</v>
      </c>
    </row>
    <row r="63" spans="1:3" ht="17.25" x14ac:dyDescent="0.2">
      <c r="A63" s="64" t="s">
        <v>83</v>
      </c>
      <c r="B63" s="58" t="s">
        <v>84</v>
      </c>
      <c r="C63" s="38">
        <f>[8]С2!F27</f>
        <v>0.24536656199999998</v>
      </c>
    </row>
    <row r="64" spans="1:3" ht="17.25" x14ac:dyDescent="0.2">
      <c r="A64" s="64" t="s">
        <v>85</v>
      </c>
      <c r="B64" s="63" t="s">
        <v>86</v>
      </c>
      <c r="C64" s="67">
        <f>[8]С2!F28</f>
        <v>4200</v>
      </c>
    </row>
    <row r="65" spans="1:3" ht="42.75" x14ac:dyDescent="0.2">
      <c r="A65" s="64" t="s">
        <v>87</v>
      </c>
      <c r="B65" s="37" t="s">
        <v>88</v>
      </c>
      <c r="C65" s="38">
        <f>[8]С2!F22</f>
        <v>35717.748653137714</v>
      </c>
    </row>
    <row r="66" spans="1:3" ht="30" x14ac:dyDescent="0.2">
      <c r="A66" s="64" t="s">
        <v>89</v>
      </c>
      <c r="B66" s="65" t="s">
        <v>90</v>
      </c>
      <c r="C66" s="38">
        <f>[8]С2!F23</f>
        <v>1990</v>
      </c>
    </row>
    <row r="67" spans="1:3" ht="30" x14ac:dyDescent="0.2">
      <c r="A67" s="64" t="s">
        <v>91</v>
      </c>
      <c r="B67" s="58" t="s">
        <v>92</v>
      </c>
      <c r="C67" s="38">
        <f>[8]С2.1!E27</f>
        <v>14307.876789999998</v>
      </c>
    </row>
    <row r="68" spans="1:3" ht="38.25" x14ac:dyDescent="0.2">
      <c r="A68" s="64" t="s">
        <v>93</v>
      </c>
      <c r="B68" s="70" t="s">
        <v>94</v>
      </c>
      <c r="C68" s="57">
        <f>[8]С2.3!E21</f>
        <v>0</v>
      </c>
    </row>
    <row r="69" spans="1:3" ht="25.5" x14ac:dyDescent="0.2">
      <c r="A69" s="64" t="s">
        <v>95</v>
      </c>
      <c r="B69" s="71" t="s">
        <v>96</v>
      </c>
      <c r="C69" s="72">
        <f>[8]С2.3!E11</f>
        <v>9.89</v>
      </c>
    </row>
    <row r="70" spans="1:3" ht="25.5" x14ac:dyDescent="0.2">
      <c r="A70" s="64" t="s">
        <v>97</v>
      </c>
      <c r="B70" s="71" t="s">
        <v>98</v>
      </c>
      <c r="C70" s="67">
        <f>[8]С2.3!E13</f>
        <v>300</v>
      </c>
    </row>
    <row r="71" spans="1:3" ht="25.5" x14ac:dyDescent="0.2">
      <c r="A71" s="64" t="s">
        <v>99</v>
      </c>
      <c r="B71" s="70" t="s">
        <v>100</v>
      </c>
      <c r="C71" s="73">
        <f>IF([8]С2.3!E22&gt;0,[8]С2.3!E22,[8]С2.3!E14)</f>
        <v>61211</v>
      </c>
    </row>
    <row r="72" spans="1:3" ht="38.25" x14ac:dyDescent="0.2">
      <c r="A72" s="64" t="s">
        <v>101</v>
      </c>
      <c r="B72" s="70" t="s">
        <v>102</v>
      </c>
      <c r="C72" s="73">
        <f>IF([8]С2.3!E23&gt;0,[8]С2.3!E23,[8]С2.3!E15)</f>
        <v>45675</v>
      </c>
    </row>
    <row r="73" spans="1:3" ht="30" x14ac:dyDescent="0.2">
      <c r="A73" s="64" t="s">
        <v>103</v>
      </c>
      <c r="B73" s="58" t="s">
        <v>104</v>
      </c>
      <c r="C73" s="38">
        <f>[8]С2.1!E28</f>
        <v>9541.9567200000001</v>
      </c>
    </row>
    <row r="74" spans="1:3" ht="38.25" x14ac:dyDescent="0.2">
      <c r="A74" s="64" t="s">
        <v>105</v>
      </c>
      <c r="B74" s="70" t="s">
        <v>106</v>
      </c>
      <c r="C74" s="57">
        <f>[8]С2.3!E25</f>
        <v>0</v>
      </c>
    </row>
    <row r="75" spans="1:3" ht="25.5" x14ac:dyDescent="0.2">
      <c r="A75" s="64" t="s">
        <v>107</v>
      </c>
      <c r="B75" s="71" t="s">
        <v>108</v>
      </c>
      <c r="C75" s="72">
        <f>[8]С2.3!E12</f>
        <v>0.56000000000000005</v>
      </c>
    </row>
    <row r="76" spans="1:3" ht="25.5" x14ac:dyDescent="0.2">
      <c r="A76" s="64" t="s">
        <v>109</v>
      </c>
      <c r="B76" s="71" t="s">
        <v>98</v>
      </c>
      <c r="C76" s="67">
        <f>[8]С2.3!E13</f>
        <v>300</v>
      </c>
    </row>
    <row r="77" spans="1:3" ht="25.5" x14ac:dyDescent="0.2">
      <c r="A77" s="64" t="s">
        <v>110</v>
      </c>
      <c r="B77" s="74" t="s">
        <v>111</v>
      </c>
      <c r="C77" s="73">
        <f>IF([8]С2.3!E26&gt;0,[8]С2.3!E26,[8]С2.3!E16)</f>
        <v>65637</v>
      </c>
    </row>
    <row r="78" spans="1:3" ht="38.25" x14ac:dyDescent="0.2">
      <c r="A78" s="64" t="s">
        <v>112</v>
      </c>
      <c r="B78" s="74" t="s">
        <v>113</v>
      </c>
      <c r="C78" s="73">
        <f>IF([8]С2.3!E27&gt;0,[8]С2.3!E27,[8]С2.3!E17)</f>
        <v>31684</v>
      </c>
    </row>
    <row r="79" spans="1:3" ht="17.25" x14ac:dyDescent="0.2">
      <c r="A79" s="64" t="s">
        <v>114</v>
      </c>
      <c r="B79" s="37" t="s">
        <v>115</v>
      </c>
      <c r="C79" s="39">
        <f>[8]С2!F29</f>
        <v>0.128978033685065</v>
      </c>
    </row>
    <row r="80" spans="1:3" ht="30" x14ac:dyDescent="0.2">
      <c r="A80" s="64" t="s">
        <v>116</v>
      </c>
      <c r="B80" s="58" t="s">
        <v>117</v>
      </c>
      <c r="C80" s="75">
        <f>[8]С2!F30</f>
        <v>0.11668498168498169</v>
      </c>
    </row>
    <row r="81" spans="1:3" ht="17.25" x14ac:dyDescent="0.2">
      <c r="A81" s="64" t="s">
        <v>118</v>
      </c>
      <c r="B81" s="76" t="s">
        <v>119</v>
      </c>
      <c r="C81" s="39">
        <f>[8]С2!F31</f>
        <v>0.13880000000000001</v>
      </c>
    </row>
    <row r="82" spans="1:3" s="68" customFormat="1" ht="18" thickBot="1" x14ac:dyDescent="0.25">
      <c r="A82" s="77" t="s">
        <v>120</v>
      </c>
      <c r="B82" s="78" t="s">
        <v>121</v>
      </c>
      <c r="C82" s="79">
        <f>[8]С2!F32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[8]С3!F14</f>
        <v>7012.1794194579406</v>
      </c>
    </row>
    <row r="86" spans="1:3" s="68" customFormat="1" ht="42.75" x14ac:dyDescent="0.2">
      <c r="A86" s="82" t="s">
        <v>126</v>
      </c>
      <c r="B86" s="58" t="s">
        <v>127</v>
      </c>
      <c r="C86" s="83">
        <f>[8]С3!F15</f>
        <v>0.2</v>
      </c>
    </row>
    <row r="87" spans="1:3" s="68" customFormat="1" ht="14.25" x14ac:dyDescent="0.2">
      <c r="A87" s="82" t="s">
        <v>128</v>
      </c>
      <c r="B87" s="84" t="s">
        <v>129</v>
      </c>
      <c r="C87" s="67">
        <f>[8]С3!F18</f>
        <v>15</v>
      </c>
    </row>
    <row r="88" spans="1:3" s="68" customFormat="1" ht="17.25" x14ac:dyDescent="0.2">
      <c r="A88" s="82" t="s">
        <v>130</v>
      </c>
      <c r="B88" s="37" t="s">
        <v>131</v>
      </c>
      <c r="C88" s="38">
        <f>[8]С3!F19</f>
        <v>3487.1555421534131</v>
      </c>
    </row>
    <row r="89" spans="1:3" s="68" customFormat="1" ht="55.5" x14ac:dyDescent="0.2">
      <c r="A89" s="82" t="s">
        <v>132</v>
      </c>
      <c r="B89" s="58" t="s">
        <v>133</v>
      </c>
      <c r="C89" s="85">
        <f>[8]С3!F20</f>
        <v>2.1999999999999999E-2</v>
      </c>
    </row>
    <row r="90" spans="1:3" s="68" customFormat="1" ht="14.25" x14ac:dyDescent="0.2">
      <c r="A90" s="82" t="s">
        <v>134</v>
      </c>
      <c r="B90" s="63" t="s">
        <v>80</v>
      </c>
      <c r="C90" s="67">
        <f>[8]С3!F21</f>
        <v>10</v>
      </c>
    </row>
    <row r="91" spans="1:3" s="68" customFormat="1" ht="17.25" x14ac:dyDescent="0.2">
      <c r="A91" s="82" t="s">
        <v>135</v>
      </c>
      <c r="B91" s="37" t="s">
        <v>136</v>
      </c>
      <c r="C91" s="38">
        <f>[8]С3!F22</f>
        <v>4.2734663496849565</v>
      </c>
    </row>
    <row r="92" spans="1:3" s="68" customFormat="1" ht="55.5" x14ac:dyDescent="0.2">
      <c r="A92" s="82" t="s">
        <v>137</v>
      </c>
      <c r="B92" s="58" t="s">
        <v>138</v>
      </c>
      <c r="C92" s="85">
        <f>[8]С3!F23</f>
        <v>3.0000000000000001E-3</v>
      </c>
    </row>
    <row r="93" spans="1:3" s="68" customFormat="1" ht="27.75" thickBot="1" x14ac:dyDescent="0.25">
      <c r="A93" s="86" t="s">
        <v>139</v>
      </c>
      <c r="B93" s="87" t="s">
        <v>140</v>
      </c>
      <c r="C93" s="88">
        <f>[8]С3!F24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[8]С4!F16</f>
        <v>1652.5</v>
      </c>
    </row>
    <row r="97" spans="1:3" ht="30" x14ac:dyDescent="0.2">
      <c r="A97" s="64" t="s">
        <v>145</v>
      </c>
      <c r="B97" s="63" t="s">
        <v>146</v>
      </c>
      <c r="C97" s="38">
        <f>[8]С4!F17</f>
        <v>73547</v>
      </c>
    </row>
    <row r="98" spans="1:3" ht="17.25" x14ac:dyDescent="0.2">
      <c r="A98" s="64" t="s">
        <v>147</v>
      </c>
      <c r="B98" s="63" t="s">
        <v>148</v>
      </c>
      <c r="C98" s="44">
        <f>[8]С4!F18</f>
        <v>0.02</v>
      </c>
    </row>
    <row r="99" spans="1:3" ht="30" x14ac:dyDescent="0.2">
      <c r="A99" s="64" t="s">
        <v>149</v>
      </c>
      <c r="B99" s="63" t="s">
        <v>150</v>
      </c>
      <c r="C99" s="38">
        <f>[8]С4!F19</f>
        <v>12104</v>
      </c>
    </row>
    <row r="100" spans="1:3" ht="31.5" x14ac:dyDescent="0.2">
      <c r="A100" s="64" t="s">
        <v>151</v>
      </c>
      <c r="B100" s="63" t="s">
        <v>152</v>
      </c>
      <c r="C100" s="44">
        <f>[8]С4!F20</f>
        <v>1.4999999999999999E-2</v>
      </c>
    </row>
    <row r="101" spans="1:3" ht="30" x14ac:dyDescent="0.2">
      <c r="A101" s="64" t="s">
        <v>153</v>
      </c>
      <c r="B101" s="37" t="s">
        <v>154</v>
      </c>
      <c r="C101" s="38">
        <f>[8]С4!F21</f>
        <v>1933.1949342509995</v>
      </c>
    </row>
    <row r="102" spans="1:3" ht="24" customHeight="1" x14ac:dyDescent="0.2">
      <c r="A102" s="64" t="s">
        <v>155</v>
      </c>
      <c r="B102" s="58" t="s">
        <v>156</v>
      </c>
      <c r="C102" s="90">
        <f>IF([8]С4.2!F8="да",[8]С4.2!D21,[8]С4.2!D15)</f>
        <v>0</v>
      </c>
    </row>
    <row r="103" spans="1:3" ht="68.25" x14ac:dyDescent="0.2">
      <c r="A103" s="64" t="s">
        <v>157</v>
      </c>
      <c r="B103" s="58" t="s">
        <v>158</v>
      </c>
      <c r="C103" s="38">
        <f>[8]С4!F22</f>
        <v>3.6112641666666665</v>
      </c>
    </row>
    <row r="104" spans="1:3" ht="30" x14ac:dyDescent="0.2">
      <c r="A104" s="64" t="s">
        <v>159</v>
      </c>
      <c r="B104" s="63" t="s">
        <v>160</v>
      </c>
      <c r="C104" s="38">
        <f>[8]С4!F23</f>
        <v>180</v>
      </c>
    </row>
    <row r="105" spans="1:3" ht="14.25" x14ac:dyDescent="0.2">
      <c r="A105" s="64" t="s">
        <v>161</v>
      </c>
      <c r="B105" s="58" t="s">
        <v>162</v>
      </c>
      <c r="C105" s="38">
        <f>[8]С4!F24</f>
        <v>8497.1999999999989</v>
      </c>
    </row>
    <row r="106" spans="1:3" ht="14.25" x14ac:dyDescent="0.2">
      <c r="A106" s="64" t="s">
        <v>163</v>
      </c>
      <c r="B106" s="63" t="s">
        <v>164</v>
      </c>
      <c r="C106" s="44">
        <f>[8]С4!F25</f>
        <v>0.35</v>
      </c>
    </row>
    <row r="107" spans="1:3" ht="17.25" x14ac:dyDescent="0.2">
      <c r="A107" s="64" t="s">
        <v>165</v>
      </c>
      <c r="B107" s="37" t="s">
        <v>166</v>
      </c>
      <c r="C107" s="38">
        <f>[8]С4!F26</f>
        <v>14.243279999999999</v>
      </c>
    </row>
    <row r="108" spans="1:3" ht="25.5" x14ac:dyDescent="0.2">
      <c r="A108" s="64" t="s">
        <v>167</v>
      </c>
      <c r="B108" s="58" t="s">
        <v>94</v>
      </c>
      <c r="C108" s="90">
        <f>[8]С4.3!E16</f>
        <v>0</v>
      </c>
    </row>
    <row r="109" spans="1:3" ht="25.5" x14ac:dyDescent="0.2">
      <c r="A109" s="64" t="s">
        <v>168</v>
      </c>
      <c r="B109" s="58" t="s">
        <v>169</v>
      </c>
      <c r="C109" s="38">
        <f>[8]С4.3!E17</f>
        <v>0</v>
      </c>
    </row>
    <row r="110" spans="1:3" ht="38.25" x14ac:dyDescent="0.2">
      <c r="A110" s="64" t="s">
        <v>170</v>
      </c>
      <c r="B110" s="58" t="s">
        <v>106</v>
      </c>
      <c r="C110" s="90">
        <f>[8]С4.3!E18</f>
        <v>0</v>
      </c>
    </row>
    <row r="111" spans="1:3" x14ac:dyDescent="0.2">
      <c r="A111" s="64" t="s">
        <v>171</v>
      </c>
      <c r="B111" s="58" t="s">
        <v>172</v>
      </c>
      <c r="C111" s="38">
        <f>[8]С4.3!E19</f>
        <v>69.819999999999993</v>
      </c>
    </row>
    <row r="112" spans="1:3" x14ac:dyDescent="0.2">
      <c r="A112" s="64" t="s">
        <v>173</v>
      </c>
      <c r="B112" s="63" t="s">
        <v>174</v>
      </c>
      <c r="C112" s="38">
        <f>[8]С4.3!E11</f>
        <v>1871</v>
      </c>
    </row>
    <row r="113" spans="1:3" x14ac:dyDescent="0.2">
      <c r="A113" s="64" t="s">
        <v>175</v>
      </c>
      <c r="B113" s="63" t="s">
        <v>176</v>
      </c>
      <c r="C113" s="57">
        <f>[8]С4.3!E12</f>
        <v>1636</v>
      </c>
    </row>
    <row r="114" spans="1:3" x14ac:dyDescent="0.2">
      <c r="A114" s="64" t="s">
        <v>177</v>
      </c>
      <c r="B114" s="63" t="s">
        <v>178</v>
      </c>
      <c r="C114" s="57">
        <f>[8]С4.3!E13</f>
        <v>204</v>
      </c>
    </row>
    <row r="115" spans="1:3" ht="30" x14ac:dyDescent="0.2">
      <c r="A115" s="64" t="s">
        <v>179</v>
      </c>
      <c r="B115" s="37" t="s">
        <v>180</v>
      </c>
      <c r="C115" s="38">
        <f>[8]С4!F27</f>
        <v>1047.1575926659227</v>
      </c>
    </row>
    <row r="116" spans="1:3" ht="25.5" x14ac:dyDescent="0.2">
      <c r="A116" s="64" t="s">
        <v>181</v>
      </c>
      <c r="B116" s="58" t="s">
        <v>182</v>
      </c>
      <c r="C116" s="38">
        <f>[8]С4!F28</f>
        <v>804.26850435170718</v>
      </c>
    </row>
    <row r="117" spans="1:3" ht="42.75" x14ac:dyDescent="0.2">
      <c r="A117" s="64" t="s">
        <v>183</v>
      </c>
      <c r="B117" s="58" t="s">
        <v>184</v>
      </c>
      <c r="C117" s="38">
        <f>[8]С4!F29</f>
        <v>242.8890883142156</v>
      </c>
    </row>
    <row r="118" spans="1:3" ht="30" x14ac:dyDescent="0.2">
      <c r="A118" s="64" t="s">
        <v>185</v>
      </c>
      <c r="B118" s="43" t="s">
        <v>186</v>
      </c>
      <c r="C118" s="38">
        <f>[8]С4!F30</f>
        <v>1954.0746203991157</v>
      </c>
    </row>
    <row r="119" spans="1:3" ht="42.75" x14ac:dyDescent="0.2">
      <c r="A119" s="64" t="s">
        <v>187</v>
      </c>
      <c r="B119" s="91" t="s">
        <v>188</v>
      </c>
      <c r="C119" s="38">
        <f>[8]С4!F33</f>
        <v>1241.326370435336</v>
      </c>
    </row>
    <row r="120" spans="1:3" ht="30" x14ac:dyDescent="0.2">
      <c r="A120" s="64" t="s">
        <v>189</v>
      </c>
      <c r="B120" s="92" t="s">
        <v>190</v>
      </c>
      <c r="C120" s="38">
        <f>[8]С4!F35</f>
        <v>17.040680999999999</v>
      </c>
    </row>
    <row r="121" spans="1:3" ht="14.25" x14ac:dyDescent="0.2">
      <c r="A121" s="64" t="s">
        <v>191</v>
      </c>
      <c r="B121" s="61" t="s">
        <v>192</v>
      </c>
      <c r="C121" s="38">
        <f>[8]С4!F36</f>
        <v>14319.9</v>
      </c>
    </row>
    <row r="122" spans="1:3" ht="28.5" thickBot="1" x14ac:dyDescent="0.25">
      <c r="A122" s="77" t="s">
        <v>193</v>
      </c>
      <c r="B122" s="93" t="s">
        <v>194</v>
      </c>
      <c r="C122" s="88">
        <f>[8]С4!F37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[8]С5!F17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[8]С2!F37</f>
        <v>20.818139999999996</v>
      </c>
    </row>
    <row r="136" spans="1:4" ht="14.25" x14ac:dyDescent="0.2">
      <c r="A136" s="64" t="s">
        <v>216</v>
      </c>
      <c r="B136" s="107" t="s">
        <v>217</v>
      </c>
      <c r="C136" s="38">
        <f>[8]С2!F38</f>
        <v>7</v>
      </c>
    </row>
    <row r="137" spans="1:4" ht="17.25" x14ac:dyDescent="0.2">
      <c r="A137" s="64" t="s">
        <v>218</v>
      </c>
      <c r="B137" s="107" t="s">
        <v>219</v>
      </c>
      <c r="C137" s="38">
        <f>[8]С2!F40</f>
        <v>0.97</v>
      </c>
    </row>
    <row r="138" spans="1:4" ht="15" thickBot="1" x14ac:dyDescent="0.25">
      <c r="A138" s="77" t="s">
        <v>220</v>
      </c>
      <c r="B138" s="108" t="s">
        <v>221</v>
      </c>
      <c r="C138" s="50">
        <f>[8]С2!F42</f>
        <v>0.35</v>
      </c>
    </row>
    <row r="139" spans="1:4" s="94" customFormat="1" ht="13.5" thickBot="1" x14ac:dyDescent="0.25">
      <c r="A139" s="51"/>
      <c r="B139" s="80"/>
      <c r="C139" s="16"/>
    </row>
    <row r="140" spans="1:4" ht="30" x14ac:dyDescent="0.2">
      <c r="A140" s="89" t="s">
        <v>222</v>
      </c>
      <c r="B140" s="109" t="s">
        <v>223</v>
      </c>
      <c r="C140" s="110">
        <f>[8]С2!F35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[8]С2.5!$E$11</f>
        <v>-2.9000000000000026E-2</v>
      </c>
      <c r="D143" s="94"/>
    </row>
    <row r="144" spans="1:4" x14ac:dyDescent="0.2">
      <c r="A144" s="112"/>
      <c r="B144" s="117">
        <f>B143+1</f>
        <v>2021</v>
      </c>
      <c r="C144" s="118">
        <f>[8]С2.5!$F$11</f>
        <v>0.245</v>
      </c>
      <c r="D144" s="94"/>
    </row>
    <row r="145" spans="1:4" x14ac:dyDescent="0.2">
      <c r="A145" s="112"/>
      <c r="B145" s="117">
        <f t="shared" ref="B145:B208" si="0">B144+1</f>
        <v>2022</v>
      </c>
      <c r="C145" s="118">
        <f>[8]С2.5!$G$11</f>
        <v>0.121</v>
      </c>
      <c r="D145" s="94"/>
    </row>
    <row r="146" spans="1:4" ht="13.5" thickBot="1" x14ac:dyDescent="0.25">
      <c r="A146" s="112"/>
      <c r="B146" s="119">
        <f t="shared" si="0"/>
        <v>2023</v>
      </c>
      <c r="C146" s="120">
        <f>[8]С2.5!$H$11</f>
        <v>0.02</v>
      </c>
      <c r="D146" s="94"/>
    </row>
    <row r="147" spans="1:4" hidden="1" x14ac:dyDescent="0.2">
      <c r="A147" s="112"/>
      <c r="B147" s="121">
        <f t="shared" si="0"/>
        <v>2024</v>
      </c>
      <c r="C147" s="122">
        <f>[8]С2.5!$I$11</f>
        <v>-2.93E-2</v>
      </c>
      <c r="D147" s="94"/>
    </row>
    <row r="148" spans="1:4" hidden="1" x14ac:dyDescent="0.2">
      <c r="A148" s="112"/>
      <c r="B148" s="117">
        <f t="shared" si="0"/>
        <v>2025</v>
      </c>
      <c r="C148" s="118">
        <f>[8]С2.5!$J$11</f>
        <v>0.21215960863291</v>
      </c>
      <c r="D148" s="94"/>
    </row>
    <row r="149" spans="1:4" hidden="1" x14ac:dyDescent="0.2">
      <c r="A149" s="112"/>
      <c r="B149" s="117">
        <f t="shared" si="0"/>
        <v>2026</v>
      </c>
      <c r="C149" s="118">
        <f>[8]С2.5!$K$11</f>
        <v>3.5813361771260002E-2</v>
      </c>
      <c r="D149" s="94"/>
    </row>
    <row r="150" spans="1:4" hidden="1" x14ac:dyDescent="0.2">
      <c r="A150" s="112"/>
      <c r="B150" s="117">
        <f t="shared" si="0"/>
        <v>2027</v>
      </c>
      <c r="C150" s="118">
        <f>[8]С2.5!$L$11</f>
        <v>3.2682303599220003E-2</v>
      </c>
      <c r="D150" s="94"/>
    </row>
    <row r="151" spans="1:4" hidden="1" x14ac:dyDescent="0.2">
      <c r="A151" s="112"/>
      <c r="B151" s="117">
        <f t="shared" si="0"/>
        <v>2028</v>
      </c>
      <c r="C151" s="118">
        <f>[8]С2.5!$M$11</f>
        <v>0</v>
      </c>
      <c r="D151" s="94"/>
    </row>
    <row r="152" spans="1:4" hidden="1" x14ac:dyDescent="0.2">
      <c r="A152" s="112"/>
      <c r="B152" s="117">
        <f t="shared" si="0"/>
        <v>2029</v>
      </c>
      <c r="C152" s="118">
        <f>[8]С2.5!$N$11</f>
        <v>0</v>
      </c>
      <c r="D152" s="94"/>
    </row>
    <row r="153" spans="1:4" hidden="1" x14ac:dyDescent="0.2">
      <c r="A153" s="112"/>
      <c r="B153" s="117">
        <f t="shared" si="0"/>
        <v>2030</v>
      </c>
      <c r="C153" s="118">
        <f>[8]С2.5!$O$11</f>
        <v>0</v>
      </c>
      <c r="D153" s="94"/>
    </row>
    <row r="154" spans="1:4" hidden="1" x14ac:dyDescent="0.2">
      <c r="A154" s="112"/>
      <c r="B154" s="117">
        <f t="shared" si="0"/>
        <v>2031</v>
      </c>
      <c r="C154" s="118">
        <f>[8]С2.5!$P$11</f>
        <v>0</v>
      </c>
      <c r="D154" s="94"/>
    </row>
    <row r="155" spans="1:4" hidden="1" x14ac:dyDescent="0.2">
      <c r="A155" s="94"/>
      <c r="B155" s="117">
        <f t="shared" si="0"/>
        <v>2032</v>
      </c>
      <c r="C155" s="118">
        <f>[8]С2.5!$Q$11</f>
        <v>0</v>
      </c>
      <c r="D155" s="94"/>
    </row>
    <row r="156" spans="1:4" hidden="1" x14ac:dyDescent="0.2">
      <c r="A156" s="94"/>
      <c r="B156" s="117">
        <f t="shared" si="0"/>
        <v>2033</v>
      </c>
      <c r="C156" s="118">
        <f>[8]С2.5!$R$11</f>
        <v>0</v>
      </c>
      <c r="D156" s="94"/>
    </row>
    <row r="157" spans="1:4" hidden="1" x14ac:dyDescent="0.2">
      <c r="B157" s="117">
        <f t="shared" si="0"/>
        <v>2034</v>
      </c>
      <c r="C157" s="118">
        <f>[8]С2.5!$S$11</f>
        <v>0</v>
      </c>
    </row>
    <row r="158" spans="1:4" hidden="1" x14ac:dyDescent="0.2">
      <c r="B158" s="117">
        <f t="shared" si="0"/>
        <v>2035</v>
      </c>
      <c r="C158" s="118">
        <f>[8]С2.5!$T$11</f>
        <v>0</v>
      </c>
    </row>
    <row r="159" spans="1:4" hidden="1" x14ac:dyDescent="0.2">
      <c r="B159" s="117">
        <f t="shared" si="0"/>
        <v>2036</v>
      </c>
      <c r="C159" s="118">
        <f>[8]С2.5!$U$11</f>
        <v>0</v>
      </c>
    </row>
    <row r="160" spans="1:4" hidden="1" x14ac:dyDescent="0.2">
      <c r="B160" s="117">
        <f t="shared" si="0"/>
        <v>2037</v>
      </c>
      <c r="C160" s="118">
        <f>[8]С2.5!$V$11</f>
        <v>0</v>
      </c>
    </row>
    <row r="161" spans="2:3" hidden="1" x14ac:dyDescent="0.2">
      <c r="B161" s="117">
        <f t="shared" si="0"/>
        <v>2038</v>
      </c>
      <c r="C161" s="118">
        <f>[8]С2.5!$W$11</f>
        <v>0</v>
      </c>
    </row>
    <row r="162" spans="2:3" hidden="1" x14ac:dyDescent="0.2">
      <c r="B162" s="117">
        <f t="shared" si="0"/>
        <v>2039</v>
      </c>
      <c r="C162" s="118">
        <f>[8]С2.5!$X$11</f>
        <v>0</v>
      </c>
    </row>
    <row r="163" spans="2:3" hidden="1" x14ac:dyDescent="0.2">
      <c r="B163" s="117">
        <f t="shared" si="0"/>
        <v>2040</v>
      </c>
      <c r="C163" s="118">
        <f>[8]С2.5!$Y$11</f>
        <v>0</v>
      </c>
    </row>
    <row r="164" spans="2:3" hidden="1" x14ac:dyDescent="0.2">
      <c r="B164" s="117">
        <f t="shared" si="0"/>
        <v>2041</v>
      </c>
      <c r="C164" s="118">
        <f>[8]С2.5!$Z$11</f>
        <v>0</v>
      </c>
    </row>
    <row r="165" spans="2:3" hidden="1" x14ac:dyDescent="0.2">
      <c r="B165" s="117">
        <f t="shared" si="0"/>
        <v>2042</v>
      </c>
      <c r="C165" s="118">
        <f>[8]С2.5!$AA$11</f>
        <v>0</v>
      </c>
    </row>
    <row r="166" spans="2:3" hidden="1" x14ac:dyDescent="0.2">
      <c r="B166" s="117">
        <f t="shared" si="0"/>
        <v>2043</v>
      </c>
      <c r="C166" s="118">
        <f>[8]С2.5!$AB$11</f>
        <v>0</v>
      </c>
    </row>
    <row r="167" spans="2:3" hidden="1" x14ac:dyDescent="0.2">
      <c r="B167" s="117">
        <f t="shared" si="0"/>
        <v>2044</v>
      </c>
      <c r="C167" s="118">
        <f>[8]С2.5!$AC$11</f>
        <v>0</v>
      </c>
    </row>
    <row r="168" spans="2:3" hidden="1" x14ac:dyDescent="0.2">
      <c r="B168" s="117">
        <f t="shared" si="0"/>
        <v>2045</v>
      </c>
      <c r="C168" s="118">
        <f>[8]С2.5!$AD$11</f>
        <v>0</v>
      </c>
    </row>
    <row r="169" spans="2:3" hidden="1" x14ac:dyDescent="0.2">
      <c r="B169" s="117">
        <f t="shared" si="0"/>
        <v>2046</v>
      </c>
      <c r="C169" s="118">
        <f>[8]С2.5!$AE$11</f>
        <v>0</v>
      </c>
    </row>
    <row r="170" spans="2:3" hidden="1" x14ac:dyDescent="0.2">
      <c r="B170" s="117">
        <f t="shared" si="0"/>
        <v>2047</v>
      </c>
      <c r="C170" s="118">
        <f>[8]С2.5!$AF$11</f>
        <v>0</v>
      </c>
    </row>
    <row r="171" spans="2:3" hidden="1" x14ac:dyDescent="0.2">
      <c r="B171" s="117">
        <f t="shared" si="0"/>
        <v>2048</v>
      </c>
      <c r="C171" s="118">
        <f>[8]С2.5!$AG$11</f>
        <v>0</v>
      </c>
    </row>
    <row r="172" spans="2:3" hidden="1" x14ac:dyDescent="0.2">
      <c r="B172" s="117">
        <f t="shared" si="0"/>
        <v>2049</v>
      </c>
      <c r="C172" s="118">
        <f>[8]С2.5!$AH$11</f>
        <v>0</v>
      </c>
    </row>
    <row r="173" spans="2:3" hidden="1" x14ac:dyDescent="0.2">
      <c r="B173" s="117">
        <f t="shared" si="0"/>
        <v>2050</v>
      </c>
      <c r="C173" s="118">
        <f>[8]С2.5!$AI$11</f>
        <v>0</v>
      </c>
    </row>
    <row r="174" spans="2:3" hidden="1" x14ac:dyDescent="0.2">
      <c r="B174" s="117">
        <f t="shared" si="0"/>
        <v>2051</v>
      </c>
      <c r="C174" s="118">
        <f>[8]С2.5!$AJ$11</f>
        <v>0</v>
      </c>
    </row>
    <row r="175" spans="2:3" hidden="1" x14ac:dyDescent="0.2">
      <c r="B175" s="117">
        <f t="shared" si="0"/>
        <v>2052</v>
      </c>
      <c r="C175" s="118">
        <f>[8]С2.5!$AK$11</f>
        <v>0</v>
      </c>
    </row>
    <row r="176" spans="2:3" hidden="1" x14ac:dyDescent="0.2">
      <c r="B176" s="117">
        <f t="shared" si="0"/>
        <v>2053</v>
      </c>
      <c r="C176" s="118">
        <f>[8]С2.5!$AL$11</f>
        <v>0</v>
      </c>
    </row>
    <row r="177" spans="2:3" hidden="1" x14ac:dyDescent="0.2">
      <c r="B177" s="117">
        <f t="shared" si="0"/>
        <v>2054</v>
      </c>
      <c r="C177" s="118">
        <f>[8]С2.5!$AM$11</f>
        <v>0</v>
      </c>
    </row>
    <row r="178" spans="2:3" hidden="1" x14ac:dyDescent="0.2">
      <c r="B178" s="117">
        <f t="shared" si="0"/>
        <v>2055</v>
      </c>
      <c r="C178" s="118">
        <f>[8]С2.5!$AN$11</f>
        <v>0</v>
      </c>
    </row>
    <row r="179" spans="2:3" hidden="1" x14ac:dyDescent="0.2">
      <c r="B179" s="117">
        <f t="shared" si="0"/>
        <v>2056</v>
      </c>
      <c r="C179" s="118">
        <f>[8]С2.5!$AO$11</f>
        <v>0</v>
      </c>
    </row>
    <row r="180" spans="2:3" hidden="1" x14ac:dyDescent="0.2">
      <c r="B180" s="117">
        <f t="shared" si="0"/>
        <v>2057</v>
      </c>
      <c r="C180" s="118">
        <f>[8]С2.5!$AP$11</f>
        <v>0</v>
      </c>
    </row>
    <row r="181" spans="2:3" hidden="1" x14ac:dyDescent="0.2">
      <c r="B181" s="117">
        <f t="shared" si="0"/>
        <v>2058</v>
      </c>
      <c r="C181" s="118">
        <f>[8]С2.5!$AQ$11</f>
        <v>0</v>
      </c>
    </row>
    <row r="182" spans="2:3" hidden="1" x14ac:dyDescent="0.2">
      <c r="B182" s="117">
        <f t="shared" si="0"/>
        <v>2059</v>
      </c>
      <c r="C182" s="118">
        <f>[8]С2.5!$AR$11</f>
        <v>0</v>
      </c>
    </row>
    <row r="183" spans="2:3" hidden="1" x14ac:dyDescent="0.2">
      <c r="B183" s="117">
        <f t="shared" si="0"/>
        <v>2060</v>
      </c>
      <c r="C183" s="118">
        <f>[8]С2.5!$AS$11</f>
        <v>0</v>
      </c>
    </row>
    <row r="184" spans="2:3" hidden="1" x14ac:dyDescent="0.2">
      <c r="B184" s="117">
        <f t="shared" si="0"/>
        <v>2061</v>
      </c>
      <c r="C184" s="118">
        <f>[8]С2.5!$AT$11</f>
        <v>0</v>
      </c>
    </row>
    <row r="185" spans="2:3" hidden="1" x14ac:dyDescent="0.2">
      <c r="B185" s="117">
        <f t="shared" si="0"/>
        <v>2062</v>
      </c>
      <c r="C185" s="118">
        <f>[8]С2.5!$AU$11</f>
        <v>0</v>
      </c>
    </row>
    <row r="186" spans="2:3" hidden="1" x14ac:dyDescent="0.2">
      <c r="B186" s="117">
        <f t="shared" si="0"/>
        <v>2063</v>
      </c>
      <c r="C186" s="118">
        <f>[8]С2.5!$AV$11</f>
        <v>0</v>
      </c>
    </row>
    <row r="187" spans="2:3" hidden="1" x14ac:dyDescent="0.2">
      <c r="B187" s="117">
        <f t="shared" si="0"/>
        <v>2064</v>
      </c>
      <c r="C187" s="118">
        <f>[8]С2.5!$AW$11</f>
        <v>0</v>
      </c>
    </row>
    <row r="188" spans="2:3" hidden="1" x14ac:dyDescent="0.2">
      <c r="B188" s="117">
        <f t="shared" si="0"/>
        <v>2065</v>
      </c>
      <c r="C188" s="118">
        <f>[8]С2.5!$AX$11</f>
        <v>0</v>
      </c>
    </row>
    <row r="189" spans="2:3" hidden="1" x14ac:dyDescent="0.2">
      <c r="B189" s="117">
        <f t="shared" si="0"/>
        <v>2066</v>
      </c>
      <c r="C189" s="118">
        <f>[8]С2.5!$AY$11</f>
        <v>0</v>
      </c>
    </row>
    <row r="190" spans="2:3" hidden="1" x14ac:dyDescent="0.2">
      <c r="B190" s="117">
        <f t="shared" si="0"/>
        <v>2067</v>
      </c>
      <c r="C190" s="118">
        <f>[8]С2.5!$AZ$11</f>
        <v>0</v>
      </c>
    </row>
    <row r="191" spans="2:3" hidden="1" x14ac:dyDescent="0.2">
      <c r="B191" s="117">
        <f t="shared" si="0"/>
        <v>2068</v>
      </c>
      <c r="C191" s="118">
        <f>[8]С2.5!$BA$11</f>
        <v>0</v>
      </c>
    </row>
    <row r="192" spans="2:3" hidden="1" x14ac:dyDescent="0.2">
      <c r="B192" s="117">
        <f t="shared" si="0"/>
        <v>2069</v>
      </c>
      <c r="C192" s="118">
        <f>[8]С2.5!$BB$11</f>
        <v>0</v>
      </c>
    </row>
    <row r="193" spans="2:3" hidden="1" x14ac:dyDescent="0.2">
      <c r="B193" s="117">
        <f t="shared" si="0"/>
        <v>2070</v>
      </c>
      <c r="C193" s="118">
        <f>[8]С2.5!$BC$11</f>
        <v>0</v>
      </c>
    </row>
    <row r="194" spans="2:3" hidden="1" x14ac:dyDescent="0.2">
      <c r="B194" s="117">
        <f t="shared" si="0"/>
        <v>2071</v>
      </c>
      <c r="C194" s="118">
        <f>[8]С2.5!$BD$11</f>
        <v>0</v>
      </c>
    </row>
    <row r="195" spans="2:3" hidden="1" x14ac:dyDescent="0.2">
      <c r="B195" s="117">
        <f t="shared" si="0"/>
        <v>2072</v>
      </c>
      <c r="C195" s="118">
        <f>[8]С2.5!$BE$11</f>
        <v>0</v>
      </c>
    </row>
    <row r="196" spans="2:3" hidden="1" x14ac:dyDescent="0.2">
      <c r="B196" s="117">
        <f t="shared" si="0"/>
        <v>2073</v>
      </c>
      <c r="C196" s="118">
        <f>[8]С2.5!$BF$11</f>
        <v>0</v>
      </c>
    </row>
    <row r="197" spans="2:3" hidden="1" x14ac:dyDescent="0.2">
      <c r="B197" s="117">
        <f t="shared" si="0"/>
        <v>2074</v>
      </c>
      <c r="C197" s="118">
        <f>[8]С2.5!$BG$11</f>
        <v>0</v>
      </c>
    </row>
    <row r="198" spans="2:3" hidden="1" x14ac:dyDescent="0.2">
      <c r="B198" s="117">
        <f t="shared" si="0"/>
        <v>2075</v>
      </c>
      <c r="C198" s="118">
        <f>[8]С2.5!$BH$11</f>
        <v>0</v>
      </c>
    </row>
    <row r="199" spans="2:3" hidden="1" x14ac:dyDescent="0.2">
      <c r="B199" s="117">
        <f t="shared" si="0"/>
        <v>2076</v>
      </c>
      <c r="C199" s="118">
        <f>[8]С2.5!$BI$11</f>
        <v>0</v>
      </c>
    </row>
    <row r="200" spans="2:3" hidden="1" x14ac:dyDescent="0.2">
      <c r="B200" s="117">
        <f t="shared" si="0"/>
        <v>2077</v>
      </c>
      <c r="C200" s="118">
        <f>[8]С2.5!$BJ$11</f>
        <v>0</v>
      </c>
    </row>
    <row r="201" spans="2:3" hidden="1" x14ac:dyDescent="0.2">
      <c r="B201" s="117">
        <f t="shared" si="0"/>
        <v>2078</v>
      </c>
      <c r="C201" s="118">
        <f>[8]С2.5!$BK$11</f>
        <v>0</v>
      </c>
    </row>
    <row r="202" spans="2:3" hidden="1" x14ac:dyDescent="0.2">
      <c r="B202" s="117">
        <f t="shared" si="0"/>
        <v>2079</v>
      </c>
      <c r="C202" s="118">
        <f>[8]С2.5!$BL$11</f>
        <v>0</v>
      </c>
    </row>
    <row r="203" spans="2:3" hidden="1" x14ac:dyDescent="0.2">
      <c r="B203" s="117">
        <f t="shared" si="0"/>
        <v>2080</v>
      </c>
      <c r="C203" s="118">
        <f>[8]С2.5!$BM$11</f>
        <v>0</v>
      </c>
    </row>
    <row r="204" spans="2:3" hidden="1" x14ac:dyDescent="0.2">
      <c r="B204" s="117">
        <f t="shared" si="0"/>
        <v>2081</v>
      </c>
      <c r="C204" s="118">
        <f>[8]С2.5!$BN$11</f>
        <v>0</v>
      </c>
    </row>
    <row r="205" spans="2:3" hidden="1" x14ac:dyDescent="0.2">
      <c r="B205" s="117">
        <f t="shared" si="0"/>
        <v>2082</v>
      </c>
      <c r="C205" s="118">
        <f>[8]С2.5!$BO$11</f>
        <v>0</v>
      </c>
    </row>
    <row r="206" spans="2:3" hidden="1" x14ac:dyDescent="0.2">
      <c r="B206" s="117">
        <f t="shared" si="0"/>
        <v>2083</v>
      </c>
      <c r="C206" s="118">
        <f>[8]С2.5!$BP$11</f>
        <v>0</v>
      </c>
    </row>
    <row r="207" spans="2:3" hidden="1" x14ac:dyDescent="0.2">
      <c r="B207" s="117">
        <f t="shared" si="0"/>
        <v>2084</v>
      </c>
      <c r="C207" s="118">
        <f>[8]С2.5!$BQ$11</f>
        <v>0</v>
      </c>
    </row>
    <row r="208" spans="2:3" hidden="1" x14ac:dyDescent="0.2">
      <c r="B208" s="117">
        <f t="shared" si="0"/>
        <v>2085</v>
      </c>
      <c r="C208" s="118">
        <f>[8]С2.5!$BR$11</f>
        <v>0</v>
      </c>
    </row>
    <row r="209" spans="2:3" hidden="1" x14ac:dyDescent="0.2">
      <c r="B209" s="117">
        <f t="shared" ref="B209:B223" si="1">B208+1</f>
        <v>2086</v>
      </c>
      <c r="C209" s="118">
        <f>[8]С2.5!$BS$11</f>
        <v>0</v>
      </c>
    </row>
    <row r="210" spans="2:3" hidden="1" x14ac:dyDescent="0.2">
      <c r="B210" s="117">
        <f t="shared" si="1"/>
        <v>2087</v>
      </c>
      <c r="C210" s="118">
        <f>[8]С2.5!$BT$11</f>
        <v>0</v>
      </c>
    </row>
    <row r="211" spans="2:3" hidden="1" x14ac:dyDescent="0.2">
      <c r="B211" s="117">
        <f t="shared" si="1"/>
        <v>2088</v>
      </c>
      <c r="C211" s="118">
        <f>[8]С2.5!$BU$11</f>
        <v>0</v>
      </c>
    </row>
    <row r="212" spans="2:3" hidden="1" x14ac:dyDescent="0.2">
      <c r="B212" s="117">
        <f t="shared" si="1"/>
        <v>2089</v>
      </c>
      <c r="C212" s="118">
        <f>[8]С2.5!$BV$11</f>
        <v>0</v>
      </c>
    </row>
    <row r="213" spans="2:3" hidden="1" x14ac:dyDescent="0.2">
      <c r="B213" s="117">
        <f t="shared" si="1"/>
        <v>2090</v>
      </c>
      <c r="C213" s="118">
        <f>[8]С2.5!$BW$11</f>
        <v>0</v>
      </c>
    </row>
    <row r="214" spans="2:3" hidden="1" x14ac:dyDescent="0.2">
      <c r="B214" s="117">
        <f t="shared" si="1"/>
        <v>2091</v>
      </c>
      <c r="C214" s="118">
        <f>[8]С2.5!$BX$11</f>
        <v>0</v>
      </c>
    </row>
    <row r="215" spans="2:3" hidden="1" x14ac:dyDescent="0.2">
      <c r="B215" s="117">
        <f t="shared" si="1"/>
        <v>2092</v>
      </c>
      <c r="C215" s="118">
        <f>[8]С2.5!$BY$11</f>
        <v>0</v>
      </c>
    </row>
    <row r="216" spans="2:3" hidden="1" x14ac:dyDescent="0.2">
      <c r="B216" s="117">
        <f t="shared" si="1"/>
        <v>2093</v>
      </c>
      <c r="C216" s="118">
        <f>[8]С2.5!$BZ$11</f>
        <v>0</v>
      </c>
    </row>
    <row r="217" spans="2:3" hidden="1" x14ac:dyDescent="0.2">
      <c r="B217" s="117">
        <f t="shared" si="1"/>
        <v>2094</v>
      </c>
      <c r="C217" s="118">
        <f>[8]С2.5!$CA$11</f>
        <v>0</v>
      </c>
    </row>
    <row r="218" spans="2:3" hidden="1" x14ac:dyDescent="0.2">
      <c r="B218" s="117">
        <f t="shared" si="1"/>
        <v>2095</v>
      </c>
      <c r="C218" s="118">
        <f>[8]С2.5!$CB$11</f>
        <v>0</v>
      </c>
    </row>
    <row r="219" spans="2:3" hidden="1" x14ac:dyDescent="0.2">
      <c r="B219" s="117">
        <f t="shared" si="1"/>
        <v>2096</v>
      </c>
      <c r="C219" s="118">
        <f>[8]С2.5!$CC$11</f>
        <v>0</v>
      </c>
    </row>
    <row r="220" spans="2:3" hidden="1" x14ac:dyDescent="0.2">
      <c r="B220" s="117">
        <f t="shared" si="1"/>
        <v>2097</v>
      </c>
      <c r="C220" s="118">
        <f>[8]С2.5!$CD$11</f>
        <v>0</v>
      </c>
    </row>
    <row r="221" spans="2:3" hidden="1" x14ac:dyDescent="0.2">
      <c r="B221" s="117">
        <f t="shared" si="1"/>
        <v>2098</v>
      </c>
      <c r="C221" s="118">
        <f>[8]С2.5!$CE$11</f>
        <v>0</v>
      </c>
    </row>
    <row r="222" spans="2:3" hidden="1" x14ac:dyDescent="0.2">
      <c r="B222" s="117">
        <f t="shared" si="1"/>
        <v>2099</v>
      </c>
      <c r="C222" s="118">
        <f>[8]С2.5!$CF$11</f>
        <v>0</v>
      </c>
    </row>
    <row r="223" spans="2:3" ht="13.5" hidden="1" thickBot="1" x14ac:dyDescent="0.25">
      <c r="B223" s="119">
        <f t="shared" si="1"/>
        <v>2100</v>
      </c>
      <c r="C223" s="120">
        <f>[8]С2.5!$CG$11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3" r:id="rId3" name="Button 1">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[9]И1!D13</f>
        <v>Субъект Российской Федерации</v>
      </c>
      <c r="C4" s="11" t="str">
        <f>[9]И1!E13</f>
        <v>Новосибирская область</v>
      </c>
    </row>
    <row r="5" spans="1:3" ht="38.25" x14ac:dyDescent="0.2">
      <c r="A5" s="9"/>
      <c r="B5" s="10" t="str">
        <f>[9]И1!D14</f>
        <v>Тип муниципального образования (выберите из списка)</v>
      </c>
      <c r="C5" s="11" t="str">
        <f>[9]И1!E14</f>
        <v xml:space="preserve">село Маюрово, Сузунский муниципальный район </v>
      </c>
    </row>
    <row r="6" spans="1:3" x14ac:dyDescent="0.2">
      <c r="A6" s="9"/>
      <c r="B6" s="10" t="str">
        <f>IF([9]И1!E15="","",[9]И1!D15)</f>
        <v/>
      </c>
      <c r="C6" s="11" t="str">
        <f>IF([9]И1!E15="","",[9]И1!E15)</f>
        <v/>
      </c>
    </row>
    <row r="7" spans="1:3" x14ac:dyDescent="0.2">
      <c r="A7" s="9"/>
      <c r="B7" s="10" t="str">
        <f>[9]И1!D16</f>
        <v>Код ОКТМО</v>
      </c>
      <c r="C7" s="12" t="str">
        <f>[9]И1!E16</f>
        <v>(50648428101)</v>
      </c>
    </row>
    <row r="8" spans="1:3" x14ac:dyDescent="0.2">
      <c r="A8" s="9"/>
      <c r="B8" s="13" t="str">
        <f>[9]И1!D17</f>
        <v>Система теплоснабжения</v>
      </c>
      <c r="C8" s="14">
        <f>[9]И1!E17</f>
        <v>0</v>
      </c>
    </row>
    <row r="9" spans="1:3" x14ac:dyDescent="0.2">
      <c r="A9" s="9"/>
      <c r="B9" s="10" t="str">
        <f>[9]И1!D8</f>
        <v>Период регулирования (i)-й</v>
      </c>
      <c r="C9" s="15">
        <f>[9]И1!E8</f>
        <v>2023</v>
      </c>
    </row>
    <row r="10" spans="1:3" x14ac:dyDescent="0.2">
      <c r="A10" s="9"/>
      <c r="B10" s="10" t="str">
        <f>[9]И1!D9</f>
        <v>Период регулирования (i-1)-й</v>
      </c>
      <c r="C10" s="15">
        <f>[9]И1!E9</f>
        <v>2022</v>
      </c>
    </row>
    <row r="11" spans="1:3" x14ac:dyDescent="0.2">
      <c r="A11" s="9"/>
      <c r="B11" s="10" t="str">
        <f>[9]И1!D10</f>
        <v>Период регулирования (i-2)-й</v>
      </c>
      <c r="C11" s="15">
        <f>[9]И1!E10</f>
        <v>2021</v>
      </c>
    </row>
    <row r="12" spans="1:3" x14ac:dyDescent="0.2">
      <c r="A12" s="9"/>
      <c r="B12" s="10" t="str">
        <f>[9]И1!D11</f>
        <v>Базовый год (б)</v>
      </c>
      <c r="C12" s="15">
        <f>[9]И1!E11</f>
        <v>2019</v>
      </c>
    </row>
    <row r="13" spans="1:3" ht="38.25" x14ac:dyDescent="0.2">
      <c r="A13" s="9"/>
      <c r="B13" s="10" t="str">
        <f>[9]И1!D18</f>
        <v>Вид топлива, использование которого преобладает в системе теплоснабжения</v>
      </c>
      <c r="C13" s="16" t="str">
        <f>[9]С1.1!E13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3899.9831284755664</v>
      </c>
    </row>
    <row r="18" spans="1:3" ht="42.75" x14ac:dyDescent="0.2">
      <c r="A18" s="24" t="s">
        <v>8</v>
      </c>
      <c r="B18" s="27" t="s">
        <v>9</v>
      </c>
      <c r="C18" s="28">
        <f>[9]С1!F12</f>
        <v>804.92390358480577</v>
      </c>
    </row>
    <row r="19" spans="1:3" ht="42.75" x14ac:dyDescent="0.2">
      <c r="A19" s="24" t="s">
        <v>10</v>
      </c>
      <c r="B19" s="27" t="s">
        <v>11</v>
      </c>
      <c r="C19" s="28">
        <f>[9]С2!F12</f>
        <v>2108.7102251987935</v>
      </c>
    </row>
    <row r="20" spans="1:3" ht="30" x14ac:dyDescent="0.2">
      <c r="A20" s="24" t="s">
        <v>12</v>
      </c>
      <c r="B20" s="27" t="s">
        <v>13</v>
      </c>
      <c r="C20" s="28">
        <f>[9]С3!F12</f>
        <v>504.54115631660852</v>
      </c>
    </row>
    <row r="21" spans="1:3" ht="42.75" x14ac:dyDescent="0.2">
      <c r="A21" s="24" t="s">
        <v>14</v>
      </c>
      <c r="B21" s="27" t="s">
        <v>15</v>
      </c>
      <c r="C21" s="28">
        <f>[9]С4!F12</f>
        <v>405.33758595426866</v>
      </c>
    </row>
    <row r="22" spans="1:3" ht="30" x14ac:dyDescent="0.2">
      <c r="A22" s="24" t="s">
        <v>16</v>
      </c>
      <c r="B22" s="27" t="s">
        <v>17</v>
      </c>
      <c r="C22" s="28">
        <f>[9]С5!F12</f>
        <v>76.470257421089542</v>
      </c>
    </row>
    <row r="23" spans="1:3" ht="43.5" thickBot="1" x14ac:dyDescent="0.25">
      <c r="A23" s="29" t="s">
        <v>18</v>
      </c>
      <c r="B23" s="30" t="s">
        <v>19</v>
      </c>
      <c r="C23" s="31" t="str">
        <f>[9]С6!F12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[9]С1.1!E16</f>
        <v>5100</v>
      </c>
    </row>
    <row r="29" spans="1:3" ht="42.75" x14ac:dyDescent="0.2">
      <c r="A29" s="24" t="s">
        <v>10</v>
      </c>
      <c r="B29" s="37" t="s">
        <v>22</v>
      </c>
      <c r="C29" s="38">
        <f>[9]С1.1!E27</f>
        <v>2164.3058568329716</v>
      </c>
    </row>
    <row r="30" spans="1:3" ht="17.25" x14ac:dyDescent="0.2">
      <c r="A30" s="24" t="s">
        <v>12</v>
      </c>
      <c r="B30" s="37" t="s">
        <v>23</v>
      </c>
      <c r="C30" s="39">
        <f>[9]С1.1!E19</f>
        <v>0.59499999999999997</v>
      </c>
    </row>
    <row r="31" spans="1:3" ht="17.25" x14ac:dyDescent="0.2">
      <c r="A31" s="24" t="s">
        <v>14</v>
      </c>
      <c r="B31" s="37" t="s">
        <v>24</v>
      </c>
      <c r="C31" s="39">
        <f>[9]С1.1!E20</f>
        <v>-0.113</v>
      </c>
    </row>
    <row r="32" spans="1:3" ht="30" x14ac:dyDescent="0.2">
      <c r="A32" s="24" t="s">
        <v>16</v>
      </c>
      <c r="B32" s="40" t="s">
        <v>25</v>
      </c>
      <c r="C32" s="41">
        <f>[9]С1!F13</f>
        <v>176.4</v>
      </c>
    </row>
    <row r="33" spans="1:3" x14ac:dyDescent="0.2">
      <c r="A33" s="24" t="s">
        <v>18</v>
      </c>
      <c r="B33" s="40" t="s">
        <v>26</v>
      </c>
      <c r="C33" s="42">
        <f>[9]С1!F16</f>
        <v>7000</v>
      </c>
    </row>
    <row r="34" spans="1:3" ht="14.25" x14ac:dyDescent="0.2">
      <c r="A34" s="24" t="s">
        <v>27</v>
      </c>
      <c r="B34" s="43" t="s">
        <v>28</v>
      </c>
      <c r="C34" s="44">
        <f>[9]С1!F17</f>
        <v>0.72857142857142854</v>
      </c>
    </row>
    <row r="35" spans="1:3" ht="15.75" x14ac:dyDescent="0.2">
      <c r="A35" s="45" t="s">
        <v>29</v>
      </c>
      <c r="B35" s="46" t="s">
        <v>30</v>
      </c>
      <c r="C35" s="44">
        <f>[9]С1!F20</f>
        <v>21.588411179999994</v>
      </c>
    </row>
    <row r="36" spans="1:3" ht="15.75" x14ac:dyDescent="0.2">
      <c r="A36" s="45" t="s">
        <v>31</v>
      </c>
      <c r="B36" s="47" t="s">
        <v>32</v>
      </c>
      <c r="C36" s="44">
        <f>[9]С1!F21</f>
        <v>20.818139999999996</v>
      </c>
    </row>
    <row r="37" spans="1:3" ht="14.25" x14ac:dyDescent="0.2">
      <c r="A37" s="45" t="s">
        <v>33</v>
      </c>
      <c r="B37" s="48" t="s">
        <v>34</v>
      </c>
      <c r="C37" s="44">
        <f>[9]С1!F22</f>
        <v>1.0369999999999999</v>
      </c>
    </row>
    <row r="38" spans="1:3" ht="53.25" thickBot="1" x14ac:dyDescent="0.25">
      <c r="A38" s="29" t="s">
        <v>35</v>
      </c>
      <c r="B38" s="49" t="s">
        <v>36</v>
      </c>
      <c r="C38" s="50">
        <f>[9]С1!F23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[9]С2.1!E12</f>
        <v>V</v>
      </c>
    </row>
    <row r="42" spans="1:3" ht="25.5" x14ac:dyDescent="0.2">
      <c r="A42" s="24" t="s">
        <v>41</v>
      </c>
      <c r="B42" s="37" t="s">
        <v>42</v>
      </c>
      <c r="C42" s="56" t="str">
        <f>[9]С2.1!E13</f>
        <v>6 и менее баллов</v>
      </c>
    </row>
    <row r="43" spans="1:3" ht="25.5" x14ac:dyDescent="0.2">
      <c r="A43" s="24" t="s">
        <v>43</v>
      </c>
      <c r="B43" s="37" t="s">
        <v>44</v>
      </c>
      <c r="C43" s="56" t="str">
        <f>[9]С2.1!E14</f>
        <v>от 200 до 500</v>
      </c>
    </row>
    <row r="44" spans="1:3" ht="25.5" x14ac:dyDescent="0.2">
      <c r="A44" s="24" t="s">
        <v>45</v>
      </c>
      <c r="B44" s="37" t="s">
        <v>46</v>
      </c>
      <c r="C44" s="57" t="str">
        <f>[9]С2.1!E15</f>
        <v>нет</v>
      </c>
    </row>
    <row r="45" spans="1:3" ht="30" x14ac:dyDescent="0.2">
      <c r="A45" s="24" t="s">
        <v>47</v>
      </c>
      <c r="B45" s="37" t="s">
        <v>48</v>
      </c>
      <c r="C45" s="38">
        <f>[9]С2!F18</f>
        <v>32402.627334033532</v>
      </c>
    </row>
    <row r="46" spans="1:3" ht="30" x14ac:dyDescent="0.2">
      <c r="A46" s="24" t="s">
        <v>49</v>
      </c>
      <c r="B46" s="58" t="s">
        <v>50</v>
      </c>
      <c r="C46" s="38">
        <f>IF([9]С2!F19&gt;0,[9]С2!F19,[9]С2!F20)</f>
        <v>23441.524932855718</v>
      </c>
    </row>
    <row r="47" spans="1:3" ht="25.5" x14ac:dyDescent="0.2">
      <c r="A47" s="24" t="s">
        <v>51</v>
      </c>
      <c r="B47" s="59" t="s">
        <v>52</v>
      </c>
      <c r="C47" s="38">
        <f>[9]С2.1!E19</f>
        <v>-37</v>
      </c>
    </row>
    <row r="48" spans="1:3" ht="25.5" x14ac:dyDescent="0.2">
      <c r="A48" s="24" t="s">
        <v>53</v>
      </c>
      <c r="B48" s="59" t="s">
        <v>54</v>
      </c>
      <c r="C48" s="38" t="str">
        <f>[9]С2.1!E22</f>
        <v>нет</v>
      </c>
    </row>
    <row r="49" spans="1:3" ht="38.25" x14ac:dyDescent="0.2">
      <c r="A49" s="24" t="s">
        <v>55</v>
      </c>
      <c r="B49" s="60" t="s">
        <v>56</v>
      </c>
      <c r="C49" s="38">
        <f>[9]С2.2!E10</f>
        <v>1287</v>
      </c>
    </row>
    <row r="50" spans="1:3" ht="25.5" x14ac:dyDescent="0.2">
      <c r="A50" s="24" t="s">
        <v>57</v>
      </c>
      <c r="B50" s="61" t="s">
        <v>58</v>
      </c>
      <c r="C50" s="38">
        <f>[9]С2.2!E12</f>
        <v>5.97</v>
      </c>
    </row>
    <row r="51" spans="1:3" ht="52.5" x14ac:dyDescent="0.2">
      <c r="A51" s="24" t="s">
        <v>59</v>
      </c>
      <c r="B51" s="62" t="s">
        <v>60</v>
      </c>
      <c r="C51" s="38">
        <f>[9]С2.2!E13</f>
        <v>1</v>
      </c>
    </row>
    <row r="52" spans="1:3" ht="27.75" x14ac:dyDescent="0.2">
      <c r="A52" s="24" t="s">
        <v>61</v>
      </c>
      <c r="B52" s="61" t="s">
        <v>62</v>
      </c>
      <c r="C52" s="38">
        <f>[9]С2.2!E14</f>
        <v>12104</v>
      </c>
    </row>
    <row r="53" spans="1:3" ht="25.5" x14ac:dyDescent="0.2">
      <c r="A53" s="24" t="s">
        <v>63</v>
      </c>
      <c r="B53" s="62" t="s">
        <v>64</v>
      </c>
      <c r="C53" s="39">
        <f>[9]С2.2!E15</f>
        <v>4.8000000000000001E-2</v>
      </c>
    </row>
    <row r="54" spans="1:3" x14ac:dyDescent="0.2">
      <c r="A54" s="24" t="s">
        <v>65</v>
      </c>
      <c r="B54" s="62" t="s">
        <v>66</v>
      </c>
      <c r="C54" s="38">
        <f>[9]С2.2!E16</f>
        <v>1</v>
      </c>
    </row>
    <row r="55" spans="1:3" ht="15.75" x14ac:dyDescent="0.2">
      <c r="A55" s="24" t="s">
        <v>67</v>
      </c>
      <c r="B55" s="63" t="s">
        <v>68</v>
      </c>
      <c r="C55" s="38">
        <f>[9]С2!F21</f>
        <v>1</v>
      </c>
    </row>
    <row r="56" spans="1:3" ht="30" x14ac:dyDescent="0.2">
      <c r="A56" s="64" t="s">
        <v>69</v>
      </c>
      <c r="B56" s="37" t="s">
        <v>70</v>
      </c>
      <c r="C56" s="38">
        <f>[9]С2!F13</f>
        <v>169640.22915965237</v>
      </c>
    </row>
    <row r="57" spans="1:3" ht="30" x14ac:dyDescent="0.2">
      <c r="A57" s="64" t="s">
        <v>71</v>
      </c>
      <c r="B57" s="63" t="s">
        <v>72</v>
      </c>
      <c r="C57" s="38">
        <f>[9]С2!F14</f>
        <v>113455</v>
      </c>
    </row>
    <row r="58" spans="1:3" ht="15.75" x14ac:dyDescent="0.2">
      <c r="A58" s="64" t="s">
        <v>73</v>
      </c>
      <c r="B58" s="65" t="s">
        <v>74</v>
      </c>
      <c r="C58" s="44">
        <f>[9]С2!F15</f>
        <v>1.071</v>
      </c>
    </row>
    <row r="59" spans="1:3" ht="15.75" x14ac:dyDescent="0.2">
      <c r="A59" s="64" t="s">
        <v>75</v>
      </c>
      <c r="B59" s="65" t="s">
        <v>76</v>
      </c>
      <c r="C59" s="44">
        <f>[9]С2!F16</f>
        <v>1</v>
      </c>
    </row>
    <row r="60" spans="1:3" ht="17.25" x14ac:dyDescent="0.2">
      <c r="A60" s="64" t="s">
        <v>77</v>
      </c>
      <c r="B60" s="63" t="s">
        <v>78</v>
      </c>
      <c r="C60" s="38">
        <f>[9]С2!F17</f>
        <v>1.01</v>
      </c>
    </row>
    <row r="61" spans="1:3" s="68" customFormat="1" ht="14.25" x14ac:dyDescent="0.2">
      <c r="A61" s="64" t="s">
        <v>79</v>
      </c>
      <c r="B61" s="66" t="s">
        <v>80</v>
      </c>
      <c r="C61" s="67">
        <f>[9]С2!F33</f>
        <v>10</v>
      </c>
    </row>
    <row r="62" spans="1:3" ht="30" x14ac:dyDescent="0.2">
      <c r="A62" s="64" t="s">
        <v>81</v>
      </c>
      <c r="B62" s="69" t="s">
        <v>82</v>
      </c>
      <c r="C62" s="38">
        <f>[9]С2!F26</f>
        <v>1424.4887832283189</v>
      </c>
    </row>
    <row r="63" spans="1:3" ht="17.25" x14ac:dyDescent="0.2">
      <c r="A63" s="64" t="s">
        <v>83</v>
      </c>
      <c r="B63" s="58" t="s">
        <v>84</v>
      </c>
      <c r="C63" s="38">
        <f>[9]С2!F27</f>
        <v>0.24536656199999998</v>
      </c>
    </row>
    <row r="64" spans="1:3" ht="17.25" x14ac:dyDescent="0.2">
      <c r="A64" s="64" t="s">
        <v>85</v>
      </c>
      <c r="B64" s="63" t="s">
        <v>86</v>
      </c>
      <c r="C64" s="67">
        <f>[9]С2!F28</f>
        <v>4200</v>
      </c>
    </row>
    <row r="65" spans="1:3" ht="42.75" x14ac:dyDescent="0.2">
      <c r="A65" s="64" t="s">
        <v>87</v>
      </c>
      <c r="B65" s="37" t="s">
        <v>88</v>
      </c>
      <c r="C65" s="38">
        <f>[9]С2!F22</f>
        <v>35717.748653137714</v>
      </c>
    </row>
    <row r="66" spans="1:3" ht="30" x14ac:dyDescent="0.2">
      <c r="A66" s="64" t="s">
        <v>89</v>
      </c>
      <c r="B66" s="65" t="s">
        <v>90</v>
      </c>
      <c r="C66" s="38">
        <f>[9]С2!F23</f>
        <v>1990</v>
      </c>
    </row>
    <row r="67" spans="1:3" ht="30" x14ac:dyDescent="0.2">
      <c r="A67" s="64" t="s">
        <v>91</v>
      </c>
      <c r="B67" s="58" t="s">
        <v>92</v>
      </c>
      <c r="C67" s="38">
        <f>[9]С2.1!E27</f>
        <v>14307.876789999998</v>
      </c>
    </row>
    <row r="68" spans="1:3" ht="38.25" x14ac:dyDescent="0.2">
      <c r="A68" s="64" t="s">
        <v>93</v>
      </c>
      <c r="B68" s="70" t="s">
        <v>94</v>
      </c>
      <c r="C68" s="57">
        <f>[9]С2.3!E21</f>
        <v>0</v>
      </c>
    </row>
    <row r="69" spans="1:3" ht="25.5" x14ac:dyDescent="0.2">
      <c r="A69" s="64" t="s">
        <v>95</v>
      </c>
      <c r="B69" s="71" t="s">
        <v>96</v>
      </c>
      <c r="C69" s="72">
        <f>[9]С2.3!E11</f>
        <v>9.89</v>
      </c>
    </row>
    <row r="70" spans="1:3" ht="25.5" x14ac:dyDescent="0.2">
      <c r="A70" s="64" t="s">
        <v>97</v>
      </c>
      <c r="B70" s="71" t="s">
        <v>98</v>
      </c>
      <c r="C70" s="67">
        <f>[9]С2.3!E13</f>
        <v>300</v>
      </c>
    </row>
    <row r="71" spans="1:3" ht="25.5" x14ac:dyDescent="0.2">
      <c r="A71" s="64" t="s">
        <v>99</v>
      </c>
      <c r="B71" s="70" t="s">
        <v>100</v>
      </c>
      <c r="C71" s="73">
        <f>IF([9]С2.3!E22&gt;0,[9]С2.3!E22,[9]С2.3!E14)</f>
        <v>61211</v>
      </c>
    </row>
    <row r="72" spans="1:3" ht="38.25" x14ac:dyDescent="0.2">
      <c r="A72" s="64" t="s">
        <v>101</v>
      </c>
      <c r="B72" s="70" t="s">
        <v>102</v>
      </c>
      <c r="C72" s="73">
        <f>IF([9]С2.3!E23&gt;0,[9]С2.3!E23,[9]С2.3!E15)</f>
        <v>45675</v>
      </c>
    </row>
    <row r="73" spans="1:3" ht="30" x14ac:dyDescent="0.2">
      <c r="A73" s="64" t="s">
        <v>103</v>
      </c>
      <c r="B73" s="58" t="s">
        <v>104</v>
      </c>
      <c r="C73" s="38">
        <f>[9]С2.1!E28</f>
        <v>9541.9567200000001</v>
      </c>
    </row>
    <row r="74" spans="1:3" ht="38.25" x14ac:dyDescent="0.2">
      <c r="A74" s="64" t="s">
        <v>105</v>
      </c>
      <c r="B74" s="70" t="s">
        <v>106</v>
      </c>
      <c r="C74" s="57">
        <f>[9]С2.3!E25</f>
        <v>0</v>
      </c>
    </row>
    <row r="75" spans="1:3" ht="25.5" x14ac:dyDescent="0.2">
      <c r="A75" s="64" t="s">
        <v>107</v>
      </c>
      <c r="B75" s="71" t="s">
        <v>108</v>
      </c>
      <c r="C75" s="72">
        <f>[9]С2.3!E12</f>
        <v>0.56000000000000005</v>
      </c>
    </row>
    <row r="76" spans="1:3" ht="25.5" x14ac:dyDescent="0.2">
      <c r="A76" s="64" t="s">
        <v>109</v>
      </c>
      <c r="B76" s="71" t="s">
        <v>98</v>
      </c>
      <c r="C76" s="67">
        <f>[9]С2.3!E13</f>
        <v>300</v>
      </c>
    </row>
    <row r="77" spans="1:3" ht="25.5" x14ac:dyDescent="0.2">
      <c r="A77" s="64" t="s">
        <v>110</v>
      </c>
      <c r="B77" s="74" t="s">
        <v>111</v>
      </c>
      <c r="C77" s="73">
        <f>IF([9]С2.3!E26&gt;0,[9]С2.3!E26,[9]С2.3!E16)</f>
        <v>65637</v>
      </c>
    </row>
    <row r="78" spans="1:3" ht="38.25" x14ac:dyDescent="0.2">
      <c r="A78" s="64" t="s">
        <v>112</v>
      </c>
      <c r="B78" s="74" t="s">
        <v>113</v>
      </c>
      <c r="C78" s="73">
        <f>IF([9]С2.3!E27&gt;0,[9]С2.3!E27,[9]С2.3!E17)</f>
        <v>31684</v>
      </c>
    </row>
    <row r="79" spans="1:3" ht="17.25" x14ac:dyDescent="0.2">
      <c r="A79" s="64" t="s">
        <v>114</v>
      </c>
      <c r="B79" s="37" t="s">
        <v>115</v>
      </c>
      <c r="C79" s="39">
        <f>[9]С2!F29</f>
        <v>0.128978033685065</v>
      </c>
    </row>
    <row r="80" spans="1:3" ht="30" x14ac:dyDescent="0.2">
      <c r="A80" s="64" t="s">
        <v>116</v>
      </c>
      <c r="B80" s="58" t="s">
        <v>117</v>
      </c>
      <c r="C80" s="75">
        <f>[9]С2!F30</f>
        <v>0.11668498168498169</v>
      </c>
    </row>
    <row r="81" spans="1:3" ht="17.25" x14ac:dyDescent="0.2">
      <c r="A81" s="64" t="s">
        <v>118</v>
      </c>
      <c r="B81" s="76" t="s">
        <v>119</v>
      </c>
      <c r="C81" s="39">
        <f>[9]С2!F31</f>
        <v>0.13880000000000001</v>
      </c>
    </row>
    <row r="82" spans="1:3" s="68" customFormat="1" ht="18" thickBot="1" x14ac:dyDescent="0.25">
      <c r="A82" s="77" t="s">
        <v>120</v>
      </c>
      <c r="B82" s="78" t="s">
        <v>121</v>
      </c>
      <c r="C82" s="79">
        <f>[9]С2!F32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[9]С3!F14</f>
        <v>7012.1794194579406</v>
      </c>
    </row>
    <row r="86" spans="1:3" s="68" customFormat="1" ht="42.75" x14ac:dyDescent="0.2">
      <c r="A86" s="82" t="s">
        <v>126</v>
      </c>
      <c r="B86" s="58" t="s">
        <v>127</v>
      </c>
      <c r="C86" s="83">
        <f>[9]С3!F15</f>
        <v>0.2</v>
      </c>
    </row>
    <row r="87" spans="1:3" s="68" customFormat="1" ht="14.25" x14ac:dyDescent="0.2">
      <c r="A87" s="82" t="s">
        <v>128</v>
      </c>
      <c r="B87" s="84" t="s">
        <v>129</v>
      </c>
      <c r="C87" s="67">
        <f>[9]С3!F18</f>
        <v>15</v>
      </c>
    </row>
    <row r="88" spans="1:3" s="68" customFormat="1" ht="17.25" x14ac:dyDescent="0.2">
      <c r="A88" s="82" t="s">
        <v>130</v>
      </c>
      <c r="B88" s="37" t="s">
        <v>131</v>
      </c>
      <c r="C88" s="38">
        <f>[9]С3!F19</f>
        <v>3487.1555421534131</v>
      </c>
    </row>
    <row r="89" spans="1:3" s="68" customFormat="1" ht="55.5" x14ac:dyDescent="0.2">
      <c r="A89" s="82" t="s">
        <v>132</v>
      </c>
      <c r="B89" s="58" t="s">
        <v>133</v>
      </c>
      <c r="C89" s="85">
        <f>[9]С3!F20</f>
        <v>2.1999999999999999E-2</v>
      </c>
    </row>
    <row r="90" spans="1:3" s="68" customFormat="1" ht="14.25" x14ac:dyDescent="0.2">
      <c r="A90" s="82" t="s">
        <v>134</v>
      </c>
      <c r="B90" s="63" t="s">
        <v>80</v>
      </c>
      <c r="C90" s="67">
        <f>[9]С3!F21</f>
        <v>10</v>
      </c>
    </row>
    <row r="91" spans="1:3" s="68" customFormat="1" ht="17.25" x14ac:dyDescent="0.2">
      <c r="A91" s="82" t="s">
        <v>135</v>
      </c>
      <c r="B91" s="37" t="s">
        <v>136</v>
      </c>
      <c r="C91" s="38">
        <f>[9]С3!F22</f>
        <v>4.2734663496849565</v>
      </c>
    </row>
    <row r="92" spans="1:3" s="68" customFormat="1" ht="55.5" x14ac:dyDescent="0.2">
      <c r="A92" s="82" t="s">
        <v>137</v>
      </c>
      <c r="B92" s="58" t="s">
        <v>138</v>
      </c>
      <c r="C92" s="85">
        <f>[9]С3!F23</f>
        <v>3.0000000000000001E-3</v>
      </c>
    </row>
    <row r="93" spans="1:3" s="68" customFormat="1" ht="27.75" thickBot="1" x14ac:dyDescent="0.25">
      <c r="A93" s="86" t="s">
        <v>139</v>
      </c>
      <c r="B93" s="87" t="s">
        <v>140</v>
      </c>
      <c r="C93" s="88">
        <f>[9]С3!F24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[9]С4!F16</f>
        <v>1652.5</v>
      </c>
    </row>
    <row r="97" spans="1:3" ht="30" x14ac:dyDescent="0.2">
      <c r="A97" s="64" t="s">
        <v>145</v>
      </c>
      <c r="B97" s="63" t="s">
        <v>146</v>
      </c>
      <c r="C97" s="38">
        <f>[9]С4!F17</f>
        <v>73547</v>
      </c>
    </row>
    <row r="98" spans="1:3" ht="17.25" x14ac:dyDescent="0.2">
      <c r="A98" s="64" t="s">
        <v>147</v>
      </c>
      <c r="B98" s="63" t="s">
        <v>148</v>
      </c>
      <c r="C98" s="44">
        <f>[9]С4!F18</f>
        <v>0.02</v>
      </c>
    </row>
    <row r="99" spans="1:3" ht="30" x14ac:dyDescent="0.2">
      <c r="A99" s="64" t="s">
        <v>149</v>
      </c>
      <c r="B99" s="63" t="s">
        <v>150</v>
      </c>
      <c r="C99" s="38">
        <f>[9]С4!F19</f>
        <v>12104</v>
      </c>
    </row>
    <row r="100" spans="1:3" ht="31.5" x14ac:dyDescent="0.2">
      <c r="A100" s="64" t="s">
        <v>151</v>
      </c>
      <c r="B100" s="63" t="s">
        <v>152</v>
      </c>
      <c r="C100" s="44">
        <f>[9]С4!F20</f>
        <v>1.4999999999999999E-2</v>
      </c>
    </row>
    <row r="101" spans="1:3" ht="30" x14ac:dyDescent="0.2">
      <c r="A101" s="64" t="s">
        <v>153</v>
      </c>
      <c r="B101" s="37" t="s">
        <v>154</v>
      </c>
      <c r="C101" s="38">
        <f>[9]С4!F21</f>
        <v>1933.1949342509995</v>
      </c>
    </row>
    <row r="102" spans="1:3" ht="24" customHeight="1" x14ac:dyDescent="0.2">
      <c r="A102" s="64" t="s">
        <v>155</v>
      </c>
      <c r="B102" s="58" t="s">
        <v>156</v>
      </c>
      <c r="C102" s="90">
        <f>IF([9]С4.2!F8="да",[9]С4.2!D21,[9]С4.2!D15)</f>
        <v>0</v>
      </c>
    </row>
    <row r="103" spans="1:3" ht="68.25" x14ac:dyDescent="0.2">
      <c r="A103" s="64" t="s">
        <v>157</v>
      </c>
      <c r="B103" s="58" t="s">
        <v>158</v>
      </c>
      <c r="C103" s="38">
        <f>[9]С4!F22</f>
        <v>3.6112641666666665</v>
      </c>
    </row>
    <row r="104" spans="1:3" ht="30" x14ac:dyDescent="0.2">
      <c r="A104" s="64" t="s">
        <v>159</v>
      </c>
      <c r="B104" s="63" t="s">
        <v>160</v>
      </c>
      <c r="C104" s="38">
        <f>[9]С4!F23</f>
        <v>180</v>
      </c>
    </row>
    <row r="105" spans="1:3" ht="14.25" x14ac:dyDescent="0.2">
      <c r="A105" s="64" t="s">
        <v>161</v>
      </c>
      <c r="B105" s="58" t="s">
        <v>162</v>
      </c>
      <c r="C105" s="38">
        <f>[9]С4!F24</f>
        <v>8497.1999999999989</v>
      </c>
    </row>
    <row r="106" spans="1:3" ht="14.25" x14ac:dyDescent="0.2">
      <c r="A106" s="64" t="s">
        <v>163</v>
      </c>
      <c r="B106" s="63" t="s">
        <v>164</v>
      </c>
      <c r="C106" s="44">
        <f>[9]С4!F25</f>
        <v>0.35</v>
      </c>
    </row>
    <row r="107" spans="1:3" ht="17.25" x14ac:dyDescent="0.2">
      <c r="A107" s="64" t="s">
        <v>165</v>
      </c>
      <c r="B107" s="37" t="s">
        <v>166</v>
      </c>
      <c r="C107" s="38">
        <f>[9]С4!F26</f>
        <v>91.43235</v>
      </c>
    </row>
    <row r="108" spans="1:3" ht="25.5" x14ac:dyDescent="0.2">
      <c r="A108" s="64" t="s">
        <v>167</v>
      </c>
      <c r="B108" s="58" t="s">
        <v>94</v>
      </c>
      <c r="C108" s="90">
        <f>[9]С4.3!E16</f>
        <v>0</v>
      </c>
    </row>
    <row r="109" spans="1:3" ht="25.5" x14ac:dyDescent="0.2">
      <c r="A109" s="64" t="s">
        <v>168</v>
      </c>
      <c r="B109" s="58" t="s">
        <v>169</v>
      </c>
      <c r="C109" s="38">
        <f>[9]С4.3!E17</f>
        <v>22.01</v>
      </c>
    </row>
    <row r="110" spans="1:3" ht="38.25" x14ac:dyDescent="0.2">
      <c r="A110" s="64" t="s">
        <v>170</v>
      </c>
      <c r="B110" s="58" t="s">
        <v>106</v>
      </c>
      <c r="C110" s="90">
        <f>[9]С4.3!E18</f>
        <v>0</v>
      </c>
    </row>
    <row r="111" spans="1:3" x14ac:dyDescent="0.2">
      <c r="A111" s="64" t="s">
        <v>171</v>
      </c>
      <c r="B111" s="58" t="s">
        <v>172</v>
      </c>
      <c r="C111" s="38">
        <f>[9]С4.3!E19</f>
        <v>69.819999999999993</v>
      </c>
    </row>
    <row r="112" spans="1:3" x14ac:dyDescent="0.2">
      <c r="A112" s="64" t="s">
        <v>173</v>
      </c>
      <c r="B112" s="63" t="s">
        <v>174</v>
      </c>
      <c r="C112" s="38">
        <f>[9]С4.3!E11</f>
        <v>1871</v>
      </c>
    </row>
    <row r="113" spans="1:3" x14ac:dyDescent="0.2">
      <c r="A113" s="64" t="s">
        <v>175</v>
      </c>
      <c r="B113" s="63" t="s">
        <v>176</v>
      </c>
      <c r="C113" s="57">
        <f>[9]С4.3!E12</f>
        <v>1636</v>
      </c>
    </row>
    <row r="114" spans="1:3" x14ac:dyDescent="0.2">
      <c r="A114" s="64" t="s">
        <v>177</v>
      </c>
      <c r="B114" s="63" t="s">
        <v>178</v>
      </c>
      <c r="C114" s="57">
        <f>[9]С4.3!E13</f>
        <v>204</v>
      </c>
    </row>
    <row r="115" spans="1:3" ht="30" x14ac:dyDescent="0.2">
      <c r="A115" s="64" t="s">
        <v>179</v>
      </c>
      <c r="B115" s="37" t="s">
        <v>180</v>
      </c>
      <c r="C115" s="38">
        <f>[9]С4!F27</f>
        <v>1047.1575926659227</v>
      </c>
    </row>
    <row r="116" spans="1:3" ht="25.5" x14ac:dyDescent="0.2">
      <c r="A116" s="64" t="s">
        <v>181</v>
      </c>
      <c r="B116" s="58" t="s">
        <v>182</v>
      </c>
      <c r="C116" s="38">
        <f>[9]С4!F28</f>
        <v>804.26850435170718</v>
      </c>
    </row>
    <row r="117" spans="1:3" ht="42.75" x14ac:dyDescent="0.2">
      <c r="A117" s="64" t="s">
        <v>183</v>
      </c>
      <c r="B117" s="58" t="s">
        <v>184</v>
      </c>
      <c r="C117" s="38">
        <f>[9]С4!F29</f>
        <v>242.8890883142156</v>
      </c>
    </row>
    <row r="118" spans="1:3" ht="30" x14ac:dyDescent="0.2">
      <c r="A118" s="64" t="s">
        <v>185</v>
      </c>
      <c r="B118" s="43" t="s">
        <v>186</v>
      </c>
      <c r="C118" s="38">
        <f>[9]С4!F30</f>
        <v>1908.1150519655675</v>
      </c>
    </row>
    <row r="119" spans="1:3" ht="42.75" x14ac:dyDescent="0.2">
      <c r="A119" s="64" t="s">
        <v>187</v>
      </c>
      <c r="B119" s="91" t="s">
        <v>188</v>
      </c>
      <c r="C119" s="38">
        <f>[9]С4!F33</f>
        <v>1190.0319769922489</v>
      </c>
    </row>
    <row r="120" spans="1:3" ht="30" x14ac:dyDescent="0.2">
      <c r="A120" s="64" t="s">
        <v>189</v>
      </c>
      <c r="B120" s="92" t="s">
        <v>190</v>
      </c>
      <c r="C120" s="38">
        <f>[9]С4!F35</f>
        <v>17.040680999999999</v>
      </c>
    </row>
    <row r="121" spans="1:3" ht="14.25" x14ac:dyDescent="0.2">
      <c r="A121" s="64" t="s">
        <v>191</v>
      </c>
      <c r="B121" s="61" t="s">
        <v>192</v>
      </c>
      <c r="C121" s="38">
        <f>[9]С4!F36</f>
        <v>14319.9</v>
      </c>
    </row>
    <row r="122" spans="1:3" ht="28.5" thickBot="1" x14ac:dyDescent="0.25">
      <c r="A122" s="77" t="s">
        <v>193</v>
      </c>
      <c r="B122" s="93" t="s">
        <v>194</v>
      </c>
      <c r="C122" s="88">
        <f>[9]С4!F37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[9]С5!F17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[9]С2!F37</f>
        <v>20.818139999999996</v>
      </c>
    </row>
    <row r="136" spans="1:4" ht="14.25" x14ac:dyDescent="0.2">
      <c r="A136" s="64" t="s">
        <v>216</v>
      </c>
      <c r="B136" s="107" t="s">
        <v>217</v>
      </c>
      <c r="C136" s="38">
        <f>[9]С2!F38</f>
        <v>7</v>
      </c>
    </row>
    <row r="137" spans="1:4" ht="17.25" x14ac:dyDescent="0.2">
      <c r="A137" s="64" t="s">
        <v>218</v>
      </c>
      <c r="B137" s="107" t="s">
        <v>219</v>
      </c>
      <c r="C137" s="38">
        <f>[9]С2!F40</f>
        <v>0.97</v>
      </c>
    </row>
    <row r="138" spans="1:4" ht="15" thickBot="1" x14ac:dyDescent="0.25">
      <c r="A138" s="77" t="s">
        <v>220</v>
      </c>
      <c r="B138" s="108" t="s">
        <v>221</v>
      </c>
      <c r="C138" s="50">
        <f>[9]С2!F42</f>
        <v>0.35</v>
      </c>
    </row>
    <row r="139" spans="1:4" s="94" customFormat="1" ht="13.5" thickBot="1" x14ac:dyDescent="0.25">
      <c r="A139" s="51"/>
      <c r="B139" s="80"/>
      <c r="C139" s="16"/>
    </row>
    <row r="140" spans="1:4" ht="30" x14ac:dyDescent="0.2">
      <c r="A140" s="89" t="s">
        <v>222</v>
      </c>
      <c r="B140" s="109" t="s">
        <v>223</v>
      </c>
      <c r="C140" s="110">
        <f>[9]С2!F35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[9]С2.5!$E$11</f>
        <v>-2.9000000000000026E-2</v>
      </c>
      <c r="D143" s="94"/>
    </row>
    <row r="144" spans="1:4" x14ac:dyDescent="0.2">
      <c r="A144" s="112"/>
      <c r="B144" s="117">
        <f>B143+1</f>
        <v>2021</v>
      </c>
      <c r="C144" s="118">
        <f>[9]С2.5!$F$11</f>
        <v>0.245</v>
      </c>
      <c r="D144" s="94"/>
    </row>
    <row r="145" spans="1:4" x14ac:dyDescent="0.2">
      <c r="A145" s="112"/>
      <c r="B145" s="117">
        <f t="shared" ref="B145:B208" si="0">B144+1</f>
        <v>2022</v>
      </c>
      <c r="C145" s="118">
        <f>[9]С2.5!$G$11</f>
        <v>0.121</v>
      </c>
      <c r="D145" s="94"/>
    </row>
    <row r="146" spans="1:4" ht="13.5" thickBot="1" x14ac:dyDescent="0.25">
      <c r="A146" s="112"/>
      <c r="B146" s="119">
        <f t="shared" si="0"/>
        <v>2023</v>
      </c>
      <c r="C146" s="120">
        <f>[9]С2.5!$H$11</f>
        <v>0.02</v>
      </c>
      <c r="D146" s="94"/>
    </row>
    <row r="147" spans="1:4" hidden="1" x14ac:dyDescent="0.2">
      <c r="A147" s="112"/>
      <c r="B147" s="121">
        <f t="shared" si="0"/>
        <v>2024</v>
      </c>
      <c r="C147" s="122">
        <f>[9]С2.5!$I$11</f>
        <v>-2.93E-2</v>
      </c>
      <c r="D147" s="94"/>
    </row>
    <row r="148" spans="1:4" hidden="1" x14ac:dyDescent="0.2">
      <c r="A148" s="112"/>
      <c r="B148" s="117">
        <f t="shared" si="0"/>
        <v>2025</v>
      </c>
      <c r="C148" s="118">
        <f>[9]С2.5!$J$11</f>
        <v>0.21215960863291</v>
      </c>
      <c r="D148" s="94"/>
    </row>
    <row r="149" spans="1:4" hidden="1" x14ac:dyDescent="0.2">
      <c r="A149" s="112"/>
      <c r="B149" s="117">
        <f t="shared" si="0"/>
        <v>2026</v>
      </c>
      <c r="C149" s="118">
        <f>[9]С2.5!$K$11</f>
        <v>3.5813361771260002E-2</v>
      </c>
      <c r="D149" s="94"/>
    </row>
    <row r="150" spans="1:4" hidden="1" x14ac:dyDescent="0.2">
      <c r="A150" s="112"/>
      <c r="B150" s="117">
        <f t="shared" si="0"/>
        <v>2027</v>
      </c>
      <c r="C150" s="118">
        <f>[9]С2.5!$L$11</f>
        <v>3.2682303599220003E-2</v>
      </c>
      <c r="D150" s="94"/>
    </row>
    <row r="151" spans="1:4" hidden="1" x14ac:dyDescent="0.2">
      <c r="A151" s="112"/>
      <c r="B151" s="117">
        <f t="shared" si="0"/>
        <v>2028</v>
      </c>
      <c r="C151" s="118">
        <f>[9]С2.5!$M$11</f>
        <v>0</v>
      </c>
      <c r="D151" s="94"/>
    </row>
    <row r="152" spans="1:4" hidden="1" x14ac:dyDescent="0.2">
      <c r="A152" s="112"/>
      <c r="B152" s="117">
        <f t="shared" si="0"/>
        <v>2029</v>
      </c>
      <c r="C152" s="118">
        <f>[9]С2.5!$N$11</f>
        <v>0</v>
      </c>
      <c r="D152" s="94"/>
    </row>
    <row r="153" spans="1:4" hidden="1" x14ac:dyDescent="0.2">
      <c r="A153" s="112"/>
      <c r="B153" s="117">
        <f t="shared" si="0"/>
        <v>2030</v>
      </c>
      <c r="C153" s="118">
        <f>[9]С2.5!$O$11</f>
        <v>0</v>
      </c>
      <c r="D153" s="94"/>
    </row>
    <row r="154" spans="1:4" hidden="1" x14ac:dyDescent="0.2">
      <c r="A154" s="112"/>
      <c r="B154" s="117">
        <f t="shared" si="0"/>
        <v>2031</v>
      </c>
      <c r="C154" s="118">
        <f>[9]С2.5!$P$11</f>
        <v>0</v>
      </c>
      <c r="D154" s="94"/>
    </row>
    <row r="155" spans="1:4" hidden="1" x14ac:dyDescent="0.2">
      <c r="A155" s="94"/>
      <c r="B155" s="117">
        <f t="shared" si="0"/>
        <v>2032</v>
      </c>
      <c r="C155" s="118">
        <f>[9]С2.5!$Q$11</f>
        <v>0</v>
      </c>
      <c r="D155" s="94"/>
    </row>
    <row r="156" spans="1:4" hidden="1" x14ac:dyDescent="0.2">
      <c r="A156" s="94"/>
      <c r="B156" s="117">
        <f t="shared" si="0"/>
        <v>2033</v>
      </c>
      <c r="C156" s="118">
        <f>[9]С2.5!$R$11</f>
        <v>0</v>
      </c>
      <c r="D156" s="94"/>
    </row>
    <row r="157" spans="1:4" hidden="1" x14ac:dyDescent="0.2">
      <c r="B157" s="117">
        <f t="shared" si="0"/>
        <v>2034</v>
      </c>
      <c r="C157" s="118">
        <f>[9]С2.5!$S$11</f>
        <v>0</v>
      </c>
    </row>
    <row r="158" spans="1:4" hidden="1" x14ac:dyDescent="0.2">
      <c r="B158" s="117">
        <f t="shared" si="0"/>
        <v>2035</v>
      </c>
      <c r="C158" s="118">
        <f>[9]С2.5!$T$11</f>
        <v>0</v>
      </c>
    </row>
    <row r="159" spans="1:4" hidden="1" x14ac:dyDescent="0.2">
      <c r="B159" s="117">
        <f t="shared" si="0"/>
        <v>2036</v>
      </c>
      <c r="C159" s="118">
        <f>[9]С2.5!$U$11</f>
        <v>0</v>
      </c>
    </row>
    <row r="160" spans="1:4" hidden="1" x14ac:dyDescent="0.2">
      <c r="B160" s="117">
        <f t="shared" si="0"/>
        <v>2037</v>
      </c>
      <c r="C160" s="118">
        <f>[9]С2.5!$V$11</f>
        <v>0</v>
      </c>
    </row>
    <row r="161" spans="2:3" hidden="1" x14ac:dyDescent="0.2">
      <c r="B161" s="117">
        <f t="shared" si="0"/>
        <v>2038</v>
      </c>
      <c r="C161" s="118">
        <f>[9]С2.5!$W$11</f>
        <v>0</v>
      </c>
    </row>
    <row r="162" spans="2:3" hidden="1" x14ac:dyDescent="0.2">
      <c r="B162" s="117">
        <f t="shared" si="0"/>
        <v>2039</v>
      </c>
      <c r="C162" s="118">
        <f>[9]С2.5!$X$11</f>
        <v>0</v>
      </c>
    </row>
    <row r="163" spans="2:3" hidden="1" x14ac:dyDescent="0.2">
      <c r="B163" s="117">
        <f t="shared" si="0"/>
        <v>2040</v>
      </c>
      <c r="C163" s="118">
        <f>[9]С2.5!$Y$11</f>
        <v>0</v>
      </c>
    </row>
    <row r="164" spans="2:3" hidden="1" x14ac:dyDescent="0.2">
      <c r="B164" s="117">
        <f t="shared" si="0"/>
        <v>2041</v>
      </c>
      <c r="C164" s="118">
        <f>[9]С2.5!$Z$11</f>
        <v>0</v>
      </c>
    </row>
    <row r="165" spans="2:3" hidden="1" x14ac:dyDescent="0.2">
      <c r="B165" s="117">
        <f t="shared" si="0"/>
        <v>2042</v>
      </c>
      <c r="C165" s="118">
        <f>[9]С2.5!$AA$11</f>
        <v>0</v>
      </c>
    </row>
    <row r="166" spans="2:3" hidden="1" x14ac:dyDescent="0.2">
      <c r="B166" s="117">
        <f t="shared" si="0"/>
        <v>2043</v>
      </c>
      <c r="C166" s="118">
        <f>[9]С2.5!$AB$11</f>
        <v>0</v>
      </c>
    </row>
    <row r="167" spans="2:3" hidden="1" x14ac:dyDescent="0.2">
      <c r="B167" s="117">
        <f t="shared" si="0"/>
        <v>2044</v>
      </c>
      <c r="C167" s="118">
        <f>[9]С2.5!$AC$11</f>
        <v>0</v>
      </c>
    </row>
    <row r="168" spans="2:3" hidden="1" x14ac:dyDescent="0.2">
      <c r="B168" s="117">
        <f t="shared" si="0"/>
        <v>2045</v>
      </c>
      <c r="C168" s="118">
        <f>[9]С2.5!$AD$11</f>
        <v>0</v>
      </c>
    </row>
    <row r="169" spans="2:3" hidden="1" x14ac:dyDescent="0.2">
      <c r="B169" s="117">
        <f t="shared" si="0"/>
        <v>2046</v>
      </c>
      <c r="C169" s="118">
        <f>[9]С2.5!$AE$11</f>
        <v>0</v>
      </c>
    </row>
    <row r="170" spans="2:3" hidden="1" x14ac:dyDescent="0.2">
      <c r="B170" s="117">
        <f t="shared" si="0"/>
        <v>2047</v>
      </c>
      <c r="C170" s="118">
        <f>[9]С2.5!$AF$11</f>
        <v>0</v>
      </c>
    </row>
    <row r="171" spans="2:3" hidden="1" x14ac:dyDescent="0.2">
      <c r="B171" s="117">
        <f t="shared" si="0"/>
        <v>2048</v>
      </c>
      <c r="C171" s="118">
        <f>[9]С2.5!$AG$11</f>
        <v>0</v>
      </c>
    </row>
    <row r="172" spans="2:3" hidden="1" x14ac:dyDescent="0.2">
      <c r="B172" s="117">
        <f t="shared" si="0"/>
        <v>2049</v>
      </c>
      <c r="C172" s="118">
        <f>[9]С2.5!$AH$11</f>
        <v>0</v>
      </c>
    </row>
    <row r="173" spans="2:3" hidden="1" x14ac:dyDescent="0.2">
      <c r="B173" s="117">
        <f t="shared" si="0"/>
        <v>2050</v>
      </c>
      <c r="C173" s="118">
        <f>[9]С2.5!$AI$11</f>
        <v>0</v>
      </c>
    </row>
    <row r="174" spans="2:3" hidden="1" x14ac:dyDescent="0.2">
      <c r="B174" s="117">
        <f t="shared" si="0"/>
        <v>2051</v>
      </c>
      <c r="C174" s="118">
        <f>[9]С2.5!$AJ$11</f>
        <v>0</v>
      </c>
    </row>
    <row r="175" spans="2:3" hidden="1" x14ac:dyDescent="0.2">
      <c r="B175" s="117">
        <f t="shared" si="0"/>
        <v>2052</v>
      </c>
      <c r="C175" s="118">
        <f>[9]С2.5!$AK$11</f>
        <v>0</v>
      </c>
    </row>
    <row r="176" spans="2:3" hidden="1" x14ac:dyDescent="0.2">
      <c r="B176" s="117">
        <f t="shared" si="0"/>
        <v>2053</v>
      </c>
      <c r="C176" s="118">
        <f>[9]С2.5!$AL$11</f>
        <v>0</v>
      </c>
    </row>
    <row r="177" spans="2:3" hidden="1" x14ac:dyDescent="0.2">
      <c r="B177" s="117">
        <f t="shared" si="0"/>
        <v>2054</v>
      </c>
      <c r="C177" s="118">
        <f>[9]С2.5!$AM$11</f>
        <v>0</v>
      </c>
    </row>
    <row r="178" spans="2:3" hidden="1" x14ac:dyDescent="0.2">
      <c r="B178" s="117">
        <f t="shared" si="0"/>
        <v>2055</v>
      </c>
      <c r="C178" s="118">
        <f>[9]С2.5!$AN$11</f>
        <v>0</v>
      </c>
    </row>
    <row r="179" spans="2:3" hidden="1" x14ac:dyDescent="0.2">
      <c r="B179" s="117">
        <f t="shared" si="0"/>
        <v>2056</v>
      </c>
      <c r="C179" s="118">
        <f>[9]С2.5!$AO$11</f>
        <v>0</v>
      </c>
    </row>
    <row r="180" spans="2:3" hidden="1" x14ac:dyDescent="0.2">
      <c r="B180" s="117">
        <f t="shared" si="0"/>
        <v>2057</v>
      </c>
      <c r="C180" s="118">
        <f>[9]С2.5!$AP$11</f>
        <v>0</v>
      </c>
    </row>
    <row r="181" spans="2:3" hidden="1" x14ac:dyDescent="0.2">
      <c r="B181" s="117">
        <f t="shared" si="0"/>
        <v>2058</v>
      </c>
      <c r="C181" s="118">
        <f>[9]С2.5!$AQ$11</f>
        <v>0</v>
      </c>
    </row>
    <row r="182" spans="2:3" hidden="1" x14ac:dyDescent="0.2">
      <c r="B182" s="117">
        <f t="shared" si="0"/>
        <v>2059</v>
      </c>
      <c r="C182" s="118">
        <f>[9]С2.5!$AR$11</f>
        <v>0</v>
      </c>
    </row>
    <row r="183" spans="2:3" hidden="1" x14ac:dyDescent="0.2">
      <c r="B183" s="117">
        <f t="shared" si="0"/>
        <v>2060</v>
      </c>
      <c r="C183" s="118">
        <f>[9]С2.5!$AS$11</f>
        <v>0</v>
      </c>
    </row>
    <row r="184" spans="2:3" hidden="1" x14ac:dyDescent="0.2">
      <c r="B184" s="117">
        <f t="shared" si="0"/>
        <v>2061</v>
      </c>
      <c r="C184" s="118">
        <f>[9]С2.5!$AT$11</f>
        <v>0</v>
      </c>
    </row>
    <row r="185" spans="2:3" hidden="1" x14ac:dyDescent="0.2">
      <c r="B185" s="117">
        <f t="shared" si="0"/>
        <v>2062</v>
      </c>
      <c r="C185" s="118">
        <f>[9]С2.5!$AU$11</f>
        <v>0</v>
      </c>
    </row>
    <row r="186" spans="2:3" hidden="1" x14ac:dyDescent="0.2">
      <c r="B186" s="117">
        <f t="shared" si="0"/>
        <v>2063</v>
      </c>
      <c r="C186" s="118">
        <f>[9]С2.5!$AV$11</f>
        <v>0</v>
      </c>
    </row>
    <row r="187" spans="2:3" hidden="1" x14ac:dyDescent="0.2">
      <c r="B187" s="117">
        <f t="shared" si="0"/>
        <v>2064</v>
      </c>
      <c r="C187" s="118">
        <f>[9]С2.5!$AW$11</f>
        <v>0</v>
      </c>
    </row>
    <row r="188" spans="2:3" hidden="1" x14ac:dyDescent="0.2">
      <c r="B188" s="117">
        <f t="shared" si="0"/>
        <v>2065</v>
      </c>
      <c r="C188" s="118">
        <f>[9]С2.5!$AX$11</f>
        <v>0</v>
      </c>
    </row>
    <row r="189" spans="2:3" hidden="1" x14ac:dyDescent="0.2">
      <c r="B189" s="117">
        <f t="shared" si="0"/>
        <v>2066</v>
      </c>
      <c r="C189" s="118">
        <f>[9]С2.5!$AY$11</f>
        <v>0</v>
      </c>
    </row>
    <row r="190" spans="2:3" hidden="1" x14ac:dyDescent="0.2">
      <c r="B190" s="117">
        <f t="shared" si="0"/>
        <v>2067</v>
      </c>
      <c r="C190" s="118">
        <f>[9]С2.5!$AZ$11</f>
        <v>0</v>
      </c>
    </row>
    <row r="191" spans="2:3" hidden="1" x14ac:dyDescent="0.2">
      <c r="B191" s="117">
        <f t="shared" si="0"/>
        <v>2068</v>
      </c>
      <c r="C191" s="118">
        <f>[9]С2.5!$BA$11</f>
        <v>0</v>
      </c>
    </row>
    <row r="192" spans="2:3" hidden="1" x14ac:dyDescent="0.2">
      <c r="B192" s="117">
        <f t="shared" si="0"/>
        <v>2069</v>
      </c>
      <c r="C192" s="118">
        <f>[9]С2.5!$BB$11</f>
        <v>0</v>
      </c>
    </row>
    <row r="193" spans="2:3" hidden="1" x14ac:dyDescent="0.2">
      <c r="B193" s="117">
        <f t="shared" si="0"/>
        <v>2070</v>
      </c>
      <c r="C193" s="118">
        <f>[9]С2.5!$BC$11</f>
        <v>0</v>
      </c>
    </row>
    <row r="194" spans="2:3" hidden="1" x14ac:dyDescent="0.2">
      <c r="B194" s="117">
        <f t="shared" si="0"/>
        <v>2071</v>
      </c>
      <c r="C194" s="118">
        <f>[9]С2.5!$BD$11</f>
        <v>0</v>
      </c>
    </row>
    <row r="195" spans="2:3" hidden="1" x14ac:dyDescent="0.2">
      <c r="B195" s="117">
        <f t="shared" si="0"/>
        <v>2072</v>
      </c>
      <c r="C195" s="118">
        <f>[9]С2.5!$BE$11</f>
        <v>0</v>
      </c>
    </row>
    <row r="196" spans="2:3" hidden="1" x14ac:dyDescent="0.2">
      <c r="B196" s="117">
        <f t="shared" si="0"/>
        <v>2073</v>
      </c>
      <c r="C196" s="118">
        <f>[9]С2.5!$BF$11</f>
        <v>0</v>
      </c>
    </row>
    <row r="197" spans="2:3" hidden="1" x14ac:dyDescent="0.2">
      <c r="B197" s="117">
        <f t="shared" si="0"/>
        <v>2074</v>
      </c>
      <c r="C197" s="118">
        <f>[9]С2.5!$BG$11</f>
        <v>0</v>
      </c>
    </row>
    <row r="198" spans="2:3" hidden="1" x14ac:dyDescent="0.2">
      <c r="B198" s="117">
        <f t="shared" si="0"/>
        <v>2075</v>
      </c>
      <c r="C198" s="118">
        <f>[9]С2.5!$BH$11</f>
        <v>0</v>
      </c>
    </row>
    <row r="199" spans="2:3" hidden="1" x14ac:dyDescent="0.2">
      <c r="B199" s="117">
        <f t="shared" si="0"/>
        <v>2076</v>
      </c>
      <c r="C199" s="118">
        <f>[9]С2.5!$BI$11</f>
        <v>0</v>
      </c>
    </row>
    <row r="200" spans="2:3" hidden="1" x14ac:dyDescent="0.2">
      <c r="B200" s="117">
        <f t="shared" si="0"/>
        <v>2077</v>
      </c>
      <c r="C200" s="118">
        <f>[9]С2.5!$BJ$11</f>
        <v>0</v>
      </c>
    </row>
    <row r="201" spans="2:3" hidden="1" x14ac:dyDescent="0.2">
      <c r="B201" s="117">
        <f t="shared" si="0"/>
        <v>2078</v>
      </c>
      <c r="C201" s="118">
        <f>[9]С2.5!$BK$11</f>
        <v>0</v>
      </c>
    </row>
    <row r="202" spans="2:3" hidden="1" x14ac:dyDescent="0.2">
      <c r="B202" s="117">
        <f t="shared" si="0"/>
        <v>2079</v>
      </c>
      <c r="C202" s="118">
        <f>[9]С2.5!$BL$11</f>
        <v>0</v>
      </c>
    </row>
    <row r="203" spans="2:3" hidden="1" x14ac:dyDescent="0.2">
      <c r="B203" s="117">
        <f t="shared" si="0"/>
        <v>2080</v>
      </c>
      <c r="C203" s="118">
        <f>[9]С2.5!$BM$11</f>
        <v>0</v>
      </c>
    </row>
    <row r="204" spans="2:3" hidden="1" x14ac:dyDescent="0.2">
      <c r="B204" s="117">
        <f t="shared" si="0"/>
        <v>2081</v>
      </c>
      <c r="C204" s="118">
        <f>[9]С2.5!$BN$11</f>
        <v>0</v>
      </c>
    </row>
    <row r="205" spans="2:3" hidden="1" x14ac:dyDescent="0.2">
      <c r="B205" s="117">
        <f t="shared" si="0"/>
        <v>2082</v>
      </c>
      <c r="C205" s="118">
        <f>[9]С2.5!$BO$11</f>
        <v>0</v>
      </c>
    </row>
    <row r="206" spans="2:3" hidden="1" x14ac:dyDescent="0.2">
      <c r="B206" s="117">
        <f t="shared" si="0"/>
        <v>2083</v>
      </c>
      <c r="C206" s="118">
        <f>[9]С2.5!$BP$11</f>
        <v>0</v>
      </c>
    </row>
    <row r="207" spans="2:3" hidden="1" x14ac:dyDescent="0.2">
      <c r="B207" s="117">
        <f t="shared" si="0"/>
        <v>2084</v>
      </c>
      <c r="C207" s="118">
        <f>[9]С2.5!$BQ$11</f>
        <v>0</v>
      </c>
    </row>
    <row r="208" spans="2:3" hidden="1" x14ac:dyDescent="0.2">
      <c r="B208" s="117">
        <f t="shared" si="0"/>
        <v>2085</v>
      </c>
      <c r="C208" s="118">
        <f>[9]С2.5!$BR$11</f>
        <v>0</v>
      </c>
    </row>
    <row r="209" spans="2:3" hidden="1" x14ac:dyDescent="0.2">
      <c r="B209" s="117">
        <f t="shared" ref="B209:B223" si="1">B208+1</f>
        <v>2086</v>
      </c>
      <c r="C209" s="118">
        <f>[9]С2.5!$BS$11</f>
        <v>0</v>
      </c>
    </row>
    <row r="210" spans="2:3" hidden="1" x14ac:dyDescent="0.2">
      <c r="B210" s="117">
        <f t="shared" si="1"/>
        <v>2087</v>
      </c>
      <c r="C210" s="118">
        <f>[9]С2.5!$BT$11</f>
        <v>0</v>
      </c>
    </row>
    <row r="211" spans="2:3" hidden="1" x14ac:dyDescent="0.2">
      <c r="B211" s="117">
        <f t="shared" si="1"/>
        <v>2088</v>
      </c>
      <c r="C211" s="118">
        <f>[9]С2.5!$BU$11</f>
        <v>0</v>
      </c>
    </row>
    <row r="212" spans="2:3" hidden="1" x14ac:dyDescent="0.2">
      <c r="B212" s="117">
        <f t="shared" si="1"/>
        <v>2089</v>
      </c>
      <c r="C212" s="118">
        <f>[9]С2.5!$BV$11</f>
        <v>0</v>
      </c>
    </row>
    <row r="213" spans="2:3" hidden="1" x14ac:dyDescent="0.2">
      <c r="B213" s="117">
        <f t="shared" si="1"/>
        <v>2090</v>
      </c>
      <c r="C213" s="118">
        <f>[9]С2.5!$BW$11</f>
        <v>0</v>
      </c>
    </row>
    <row r="214" spans="2:3" hidden="1" x14ac:dyDescent="0.2">
      <c r="B214" s="117">
        <f t="shared" si="1"/>
        <v>2091</v>
      </c>
      <c r="C214" s="118">
        <f>[9]С2.5!$BX$11</f>
        <v>0</v>
      </c>
    </row>
    <row r="215" spans="2:3" hidden="1" x14ac:dyDescent="0.2">
      <c r="B215" s="117">
        <f t="shared" si="1"/>
        <v>2092</v>
      </c>
      <c r="C215" s="118">
        <f>[9]С2.5!$BY$11</f>
        <v>0</v>
      </c>
    </row>
    <row r="216" spans="2:3" hidden="1" x14ac:dyDescent="0.2">
      <c r="B216" s="117">
        <f t="shared" si="1"/>
        <v>2093</v>
      </c>
      <c r="C216" s="118">
        <f>[9]С2.5!$BZ$11</f>
        <v>0</v>
      </c>
    </row>
    <row r="217" spans="2:3" hidden="1" x14ac:dyDescent="0.2">
      <c r="B217" s="117">
        <f t="shared" si="1"/>
        <v>2094</v>
      </c>
      <c r="C217" s="118">
        <f>[9]С2.5!$CA$11</f>
        <v>0</v>
      </c>
    </row>
    <row r="218" spans="2:3" hidden="1" x14ac:dyDescent="0.2">
      <c r="B218" s="117">
        <f t="shared" si="1"/>
        <v>2095</v>
      </c>
      <c r="C218" s="118">
        <f>[9]С2.5!$CB$11</f>
        <v>0</v>
      </c>
    </row>
    <row r="219" spans="2:3" hidden="1" x14ac:dyDescent="0.2">
      <c r="B219" s="117">
        <f t="shared" si="1"/>
        <v>2096</v>
      </c>
      <c r="C219" s="118">
        <f>[9]С2.5!$CC$11</f>
        <v>0</v>
      </c>
    </row>
    <row r="220" spans="2:3" hidden="1" x14ac:dyDescent="0.2">
      <c r="B220" s="117">
        <f t="shared" si="1"/>
        <v>2097</v>
      </c>
      <c r="C220" s="118">
        <f>[9]С2.5!$CD$11</f>
        <v>0</v>
      </c>
    </row>
    <row r="221" spans="2:3" hidden="1" x14ac:dyDescent="0.2">
      <c r="B221" s="117">
        <f t="shared" si="1"/>
        <v>2098</v>
      </c>
      <c r="C221" s="118">
        <f>[9]С2.5!$CE$11</f>
        <v>0</v>
      </c>
    </row>
    <row r="222" spans="2:3" hidden="1" x14ac:dyDescent="0.2">
      <c r="B222" s="117">
        <f t="shared" si="1"/>
        <v>2099</v>
      </c>
      <c r="C222" s="118">
        <f>[9]С2.5!$CF$11</f>
        <v>0</v>
      </c>
    </row>
    <row r="223" spans="2:3" ht="13.5" hidden="1" thickBot="1" x14ac:dyDescent="0.25">
      <c r="B223" s="119">
        <f t="shared" si="1"/>
        <v>2100</v>
      </c>
      <c r="C223" s="120">
        <f>[9]С2.5!$CG$11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7" r:id="rId3" name="Button 1">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[10]И1!D13</f>
        <v>Субъект Российской Федерации</v>
      </c>
      <c r="C4" s="11" t="str">
        <f>[10]И1!E13</f>
        <v>Новосибирская область</v>
      </c>
    </row>
    <row r="5" spans="1:3" ht="38.25" x14ac:dyDescent="0.2">
      <c r="A5" s="9"/>
      <c r="B5" s="10" t="str">
        <f>[10]И1!D14</f>
        <v>Тип муниципального образования (выберите из списка)</v>
      </c>
      <c r="C5" s="11" t="str">
        <f>[10]И1!E14</f>
        <v xml:space="preserve">село Малышево, Сузунский муниципальный район </v>
      </c>
    </row>
    <row r="6" spans="1:3" x14ac:dyDescent="0.2">
      <c r="A6" s="9"/>
      <c r="B6" s="10" t="str">
        <f>IF([10]И1!E15="","",[10]И1!D15)</f>
        <v/>
      </c>
      <c r="C6" s="11" t="str">
        <f>IF([10]И1!E15="","",[10]И1!E15)</f>
        <v/>
      </c>
    </row>
    <row r="7" spans="1:3" x14ac:dyDescent="0.2">
      <c r="A7" s="9"/>
      <c r="B7" s="10" t="str">
        <f>[10]И1!D16</f>
        <v>Код ОКТМО</v>
      </c>
      <c r="C7" s="12" t="str">
        <f>[10]И1!E16</f>
        <v>(50648425101)</v>
      </c>
    </row>
    <row r="8" spans="1:3" x14ac:dyDescent="0.2">
      <c r="A8" s="9"/>
      <c r="B8" s="13" t="str">
        <f>[10]И1!D17</f>
        <v>Система теплоснабжения</v>
      </c>
      <c r="C8" s="14">
        <f>[10]И1!E17</f>
        <v>0</v>
      </c>
    </row>
    <row r="9" spans="1:3" x14ac:dyDescent="0.2">
      <c r="A9" s="9"/>
      <c r="B9" s="10" t="str">
        <f>[10]И1!D8</f>
        <v>Период регулирования (i)-й</v>
      </c>
      <c r="C9" s="15">
        <f>[10]И1!E8</f>
        <v>2023</v>
      </c>
    </row>
    <row r="10" spans="1:3" x14ac:dyDescent="0.2">
      <c r="A10" s="9"/>
      <c r="B10" s="10" t="str">
        <f>[10]И1!D9</f>
        <v>Период регулирования (i-1)-й</v>
      </c>
      <c r="C10" s="15">
        <f>[10]И1!E9</f>
        <v>2022</v>
      </c>
    </row>
    <row r="11" spans="1:3" x14ac:dyDescent="0.2">
      <c r="A11" s="9"/>
      <c r="B11" s="10" t="str">
        <f>[10]И1!D10</f>
        <v>Период регулирования (i-2)-й</v>
      </c>
      <c r="C11" s="15">
        <f>[10]И1!E10</f>
        <v>2021</v>
      </c>
    </row>
    <row r="12" spans="1:3" x14ac:dyDescent="0.2">
      <c r="A12" s="9"/>
      <c r="B12" s="10" t="str">
        <f>[10]И1!D11</f>
        <v>Базовый год (б)</v>
      </c>
      <c r="C12" s="15">
        <f>[10]И1!E11</f>
        <v>2019</v>
      </c>
    </row>
    <row r="13" spans="1:3" ht="38.25" x14ac:dyDescent="0.2">
      <c r="A13" s="9"/>
      <c r="B13" s="10" t="str">
        <f>[10]И1!D18</f>
        <v>Вид топлива, использование которого преобладает в системе теплоснабжения</v>
      </c>
      <c r="C13" s="16" t="str">
        <f>[10]С1.1!E13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3899.6514408124276</v>
      </c>
    </row>
    <row r="18" spans="1:3" ht="42.75" x14ac:dyDescent="0.2">
      <c r="A18" s="24" t="s">
        <v>8</v>
      </c>
      <c r="B18" s="27" t="s">
        <v>9</v>
      </c>
      <c r="C18" s="28">
        <f>[10]С1!F12</f>
        <v>804.92390358480577</v>
      </c>
    </row>
    <row r="19" spans="1:3" ht="42.75" x14ac:dyDescent="0.2">
      <c r="A19" s="24" t="s">
        <v>10</v>
      </c>
      <c r="B19" s="27" t="s">
        <v>11</v>
      </c>
      <c r="C19" s="28">
        <f>[10]С2!F12</f>
        <v>2108.7102251987935</v>
      </c>
    </row>
    <row r="20" spans="1:3" ht="30" x14ac:dyDescent="0.2">
      <c r="A20" s="24" t="s">
        <v>12</v>
      </c>
      <c r="B20" s="27" t="s">
        <v>13</v>
      </c>
      <c r="C20" s="28">
        <f>[10]С3!F12</f>
        <v>504.54115631660852</v>
      </c>
    </row>
    <row r="21" spans="1:3" ht="42.75" x14ac:dyDescent="0.2">
      <c r="A21" s="24" t="s">
        <v>14</v>
      </c>
      <c r="B21" s="27" t="s">
        <v>15</v>
      </c>
      <c r="C21" s="28">
        <f>[10]С4!F12</f>
        <v>405.01240197079983</v>
      </c>
    </row>
    <row r="22" spans="1:3" ht="30" x14ac:dyDescent="0.2">
      <c r="A22" s="24" t="s">
        <v>16</v>
      </c>
      <c r="B22" s="27" t="s">
        <v>17</v>
      </c>
      <c r="C22" s="28">
        <f>[10]С5!F12</f>
        <v>76.463753741420149</v>
      </c>
    </row>
    <row r="23" spans="1:3" ht="43.5" thickBot="1" x14ac:dyDescent="0.25">
      <c r="A23" s="29" t="s">
        <v>18</v>
      </c>
      <c r="B23" s="30" t="s">
        <v>19</v>
      </c>
      <c r="C23" s="31" t="str">
        <f>[10]С6!F12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[10]С1.1!E16</f>
        <v>5100</v>
      </c>
    </row>
    <row r="29" spans="1:3" ht="42.75" x14ac:dyDescent="0.2">
      <c r="A29" s="24" t="s">
        <v>10</v>
      </c>
      <c r="B29" s="37" t="s">
        <v>22</v>
      </c>
      <c r="C29" s="38">
        <f>[10]С1.1!E27</f>
        <v>2164.3058568329716</v>
      </c>
    </row>
    <row r="30" spans="1:3" ht="17.25" x14ac:dyDescent="0.2">
      <c r="A30" s="24" t="s">
        <v>12</v>
      </c>
      <c r="B30" s="37" t="s">
        <v>23</v>
      </c>
      <c r="C30" s="39">
        <f>[10]С1.1!E19</f>
        <v>0.59499999999999997</v>
      </c>
    </row>
    <row r="31" spans="1:3" ht="17.25" x14ac:dyDescent="0.2">
      <c r="A31" s="24" t="s">
        <v>14</v>
      </c>
      <c r="B31" s="37" t="s">
        <v>24</v>
      </c>
      <c r="C31" s="39">
        <f>[10]С1.1!E20</f>
        <v>-0.113</v>
      </c>
    </row>
    <row r="32" spans="1:3" ht="30" x14ac:dyDescent="0.2">
      <c r="A32" s="24" t="s">
        <v>16</v>
      </c>
      <c r="B32" s="40" t="s">
        <v>25</v>
      </c>
      <c r="C32" s="41">
        <f>[10]С1!F13</f>
        <v>176.4</v>
      </c>
    </row>
    <row r="33" spans="1:3" x14ac:dyDescent="0.2">
      <c r="A33" s="24" t="s">
        <v>18</v>
      </c>
      <c r="B33" s="40" t="s">
        <v>26</v>
      </c>
      <c r="C33" s="42">
        <f>[10]С1!F16</f>
        <v>7000</v>
      </c>
    </row>
    <row r="34" spans="1:3" ht="14.25" x14ac:dyDescent="0.2">
      <c r="A34" s="24" t="s">
        <v>27</v>
      </c>
      <c r="B34" s="43" t="s">
        <v>28</v>
      </c>
      <c r="C34" s="44">
        <f>[10]С1!F17</f>
        <v>0.72857142857142854</v>
      </c>
    </row>
    <row r="35" spans="1:3" ht="15.75" x14ac:dyDescent="0.2">
      <c r="A35" s="45" t="s">
        <v>29</v>
      </c>
      <c r="B35" s="46" t="s">
        <v>30</v>
      </c>
      <c r="C35" s="44">
        <f>[10]С1!F20</f>
        <v>21.588411179999994</v>
      </c>
    </row>
    <row r="36" spans="1:3" ht="15.75" x14ac:dyDescent="0.2">
      <c r="A36" s="45" t="s">
        <v>31</v>
      </c>
      <c r="B36" s="47" t="s">
        <v>32</v>
      </c>
      <c r="C36" s="44">
        <f>[10]С1!F21</f>
        <v>20.818139999999996</v>
      </c>
    </row>
    <row r="37" spans="1:3" ht="14.25" x14ac:dyDescent="0.2">
      <c r="A37" s="45" t="s">
        <v>33</v>
      </c>
      <c r="B37" s="48" t="s">
        <v>34</v>
      </c>
      <c r="C37" s="44">
        <f>[10]С1!F22</f>
        <v>1.0369999999999999</v>
      </c>
    </row>
    <row r="38" spans="1:3" ht="53.25" thickBot="1" x14ac:dyDescent="0.25">
      <c r="A38" s="29" t="s">
        <v>35</v>
      </c>
      <c r="B38" s="49" t="s">
        <v>36</v>
      </c>
      <c r="C38" s="50">
        <f>[10]С1!F23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[10]С2.1!E12</f>
        <v>V</v>
      </c>
    </row>
    <row r="42" spans="1:3" ht="25.5" x14ac:dyDescent="0.2">
      <c r="A42" s="24" t="s">
        <v>41</v>
      </c>
      <c r="B42" s="37" t="s">
        <v>42</v>
      </c>
      <c r="C42" s="56" t="str">
        <f>[10]С2.1!E13</f>
        <v>6 и менее баллов</v>
      </c>
    </row>
    <row r="43" spans="1:3" ht="25.5" x14ac:dyDescent="0.2">
      <c r="A43" s="24" t="s">
        <v>43</v>
      </c>
      <c r="B43" s="37" t="s">
        <v>44</v>
      </c>
      <c r="C43" s="56" t="str">
        <f>[10]С2.1!E14</f>
        <v>от 200 до 500</v>
      </c>
    </row>
    <row r="44" spans="1:3" ht="25.5" x14ac:dyDescent="0.2">
      <c r="A44" s="24" t="s">
        <v>45</v>
      </c>
      <c r="B44" s="37" t="s">
        <v>46</v>
      </c>
      <c r="C44" s="57" t="str">
        <f>[10]С2.1!E15</f>
        <v>нет</v>
      </c>
    </row>
    <row r="45" spans="1:3" ht="30" x14ac:dyDescent="0.2">
      <c r="A45" s="24" t="s">
        <v>47</v>
      </c>
      <c r="B45" s="37" t="s">
        <v>48</v>
      </c>
      <c r="C45" s="38">
        <f>[10]С2!F18</f>
        <v>32402.627334033532</v>
      </c>
    </row>
    <row r="46" spans="1:3" ht="30" x14ac:dyDescent="0.2">
      <c r="A46" s="24" t="s">
        <v>49</v>
      </c>
      <c r="B46" s="58" t="s">
        <v>50</v>
      </c>
      <c r="C46" s="38">
        <f>IF([10]С2!F19&gt;0,[10]С2!F19,[10]С2!F20)</f>
        <v>23441.524932855718</v>
      </c>
    </row>
    <row r="47" spans="1:3" ht="25.5" x14ac:dyDescent="0.2">
      <c r="A47" s="24" t="s">
        <v>51</v>
      </c>
      <c r="B47" s="59" t="s">
        <v>52</v>
      </c>
      <c r="C47" s="38">
        <f>[10]С2.1!E19</f>
        <v>-38</v>
      </c>
    </row>
    <row r="48" spans="1:3" ht="25.5" x14ac:dyDescent="0.2">
      <c r="A48" s="24" t="s">
        <v>53</v>
      </c>
      <c r="B48" s="59" t="s">
        <v>54</v>
      </c>
      <c r="C48" s="38" t="str">
        <f>[10]С2.1!E22</f>
        <v>нет</v>
      </c>
    </row>
    <row r="49" spans="1:3" ht="38.25" x14ac:dyDescent="0.2">
      <c r="A49" s="24" t="s">
        <v>55</v>
      </c>
      <c r="B49" s="60" t="s">
        <v>56</v>
      </c>
      <c r="C49" s="38">
        <f>[10]С2.2!E10</f>
        <v>1287</v>
      </c>
    </row>
    <row r="50" spans="1:3" ht="25.5" x14ac:dyDescent="0.2">
      <c r="A50" s="24" t="s">
        <v>57</v>
      </c>
      <c r="B50" s="61" t="s">
        <v>58</v>
      </c>
      <c r="C50" s="38">
        <f>[10]С2.2!E12</f>
        <v>5.97</v>
      </c>
    </row>
    <row r="51" spans="1:3" ht="52.5" x14ac:dyDescent="0.2">
      <c r="A51" s="24" t="s">
        <v>59</v>
      </c>
      <c r="B51" s="62" t="s">
        <v>60</v>
      </c>
      <c r="C51" s="38">
        <f>[10]С2.2!E13</f>
        <v>1</v>
      </c>
    </row>
    <row r="52" spans="1:3" ht="27.75" x14ac:dyDescent="0.2">
      <c r="A52" s="24" t="s">
        <v>61</v>
      </c>
      <c r="B52" s="61" t="s">
        <v>62</v>
      </c>
      <c r="C52" s="38">
        <f>[10]С2.2!E14</f>
        <v>12104</v>
      </c>
    </row>
    <row r="53" spans="1:3" ht="25.5" x14ac:dyDescent="0.2">
      <c r="A53" s="24" t="s">
        <v>63</v>
      </c>
      <c r="B53" s="62" t="s">
        <v>64</v>
      </c>
      <c r="C53" s="39">
        <f>[10]С2.2!E15</f>
        <v>4.8000000000000001E-2</v>
      </c>
    </row>
    <row r="54" spans="1:3" x14ac:dyDescent="0.2">
      <c r="A54" s="24" t="s">
        <v>65</v>
      </c>
      <c r="B54" s="62" t="s">
        <v>66</v>
      </c>
      <c r="C54" s="38">
        <f>[10]С2.2!E16</f>
        <v>1</v>
      </c>
    </row>
    <row r="55" spans="1:3" ht="15.75" x14ac:dyDescent="0.2">
      <c r="A55" s="24" t="s">
        <v>67</v>
      </c>
      <c r="B55" s="63" t="s">
        <v>68</v>
      </c>
      <c r="C55" s="38">
        <f>[10]С2!F21</f>
        <v>1</v>
      </c>
    </row>
    <row r="56" spans="1:3" ht="30" x14ac:dyDescent="0.2">
      <c r="A56" s="64" t="s">
        <v>69</v>
      </c>
      <c r="B56" s="37" t="s">
        <v>70</v>
      </c>
      <c r="C56" s="38">
        <f>[10]С2!F13</f>
        <v>169640.22915965237</v>
      </c>
    </row>
    <row r="57" spans="1:3" ht="30" x14ac:dyDescent="0.2">
      <c r="A57" s="64" t="s">
        <v>71</v>
      </c>
      <c r="B57" s="63" t="s">
        <v>72</v>
      </c>
      <c r="C57" s="38">
        <f>[10]С2!F14</f>
        <v>113455</v>
      </c>
    </row>
    <row r="58" spans="1:3" ht="15.75" x14ac:dyDescent="0.2">
      <c r="A58" s="64" t="s">
        <v>73</v>
      </c>
      <c r="B58" s="65" t="s">
        <v>74</v>
      </c>
      <c r="C58" s="44">
        <f>[10]С2!F15</f>
        <v>1.071</v>
      </c>
    </row>
    <row r="59" spans="1:3" ht="15.75" x14ac:dyDescent="0.2">
      <c r="A59" s="64" t="s">
        <v>75</v>
      </c>
      <c r="B59" s="65" t="s">
        <v>76</v>
      </c>
      <c r="C59" s="44">
        <f>[10]С2!F16</f>
        <v>1</v>
      </c>
    </row>
    <row r="60" spans="1:3" ht="17.25" x14ac:dyDescent="0.2">
      <c r="A60" s="64" t="s">
        <v>77</v>
      </c>
      <c r="B60" s="63" t="s">
        <v>78</v>
      </c>
      <c r="C60" s="38">
        <f>[10]С2!F17</f>
        <v>1.01</v>
      </c>
    </row>
    <row r="61" spans="1:3" s="68" customFormat="1" ht="14.25" x14ac:dyDescent="0.2">
      <c r="A61" s="64" t="s">
        <v>79</v>
      </c>
      <c r="B61" s="66" t="s">
        <v>80</v>
      </c>
      <c r="C61" s="67">
        <f>[10]С2!F33</f>
        <v>10</v>
      </c>
    </row>
    <row r="62" spans="1:3" ht="30" x14ac:dyDescent="0.2">
      <c r="A62" s="64" t="s">
        <v>81</v>
      </c>
      <c r="B62" s="69" t="s">
        <v>82</v>
      </c>
      <c r="C62" s="38">
        <f>[10]С2!F26</f>
        <v>1424.4887832283189</v>
      </c>
    </row>
    <row r="63" spans="1:3" ht="17.25" x14ac:dyDescent="0.2">
      <c r="A63" s="64" t="s">
        <v>83</v>
      </c>
      <c r="B63" s="58" t="s">
        <v>84</v>
      </c>
      <c r="C63" s="38">
        <f>[10]С2!F27</f>
        <v>0.24536656199999998</v>
      </c>
    </row>
    <row r="64" spans="1:3" ht="17.25" x14ac:dyDescent="0.2">
      <c r="A64" s="64" t="s">
        <v>85</v>
      </c>
      <c r="B64" s="63" t="s">
        <v>86</v>
      </c>
      <c r="C64" s="67">
        <f>[10]С2!F28</f>
        <v>4200</v>
      </c>
    </row>
    <row r="65" spans="1:3" ht="42.75" x14ac:dyDescent="0.2">
      <c r="A65" s="64" t="s">
        <v>87</v>
      </c>
      <c r="B65" s="37" t="s">
        <v>88</v>
      </c>
      <c r="C65" s="38">
        <f>[10]С2!F22</f>
        <v>35717.748653137714</v>
      </c>
    </row>
    <row r="66" spans="1:3" ht="30" x14ac:dyDescent="0.2">
      <c r="A66" s="64" t="s">
        <v>89</v>
      </c>
      <c r="B66" s="65" t="s">
        <v>90</v>
      </c>
      <c r="C66" s="38">
        <f>[10]С2!F23</f>
        <v>1990</v>
      </c>
    </row>
    <row r="67" spans="1:3" ht="30" x14ac:dyDescent="0.2">
      <c r="A67" s="64" t="s">
        <v>91</v>
      </c>
      <c r="B67" s="58" t="s">
        <v>92</v>
      </c>
      <c r="C67" s="38">
        <f>[10]С2.1!E27</f>
        <v>14307.876789999998</v>
      </c>
    </row>
    <row r="68" spans="1:3" ht="38.25" x14ac:dyDescent="0.2">
      <c r="A68" s="64" t="s">
        <v>93</v>
      </c>
      <c r="B68" s="70" t="s">
        <v>94</v>
      </c>
      <c r="C68" s="57">
        <f>[10]С2.3!E21</f>
        <v>0</v>
      </c>
    </row>
    <row r="69" spans="1:3" ht="25.5" x14ac:dyDescent="0.2">
      <c r="A69" s="64" t="s">
        <v>95</v>
      </c>
      <c r="B69" s="71" t="s">
        <v>96</v>
      </c>
      <c r="C69" s="72">
        <f>[10]С2.3!E11</f>
        <v>9.89</v>
      </c>
    </row>
    <row r="70" spans="1:3" ht="25.5" x14ac:dyDescent="0.2">
      <c r="A70" s="64" t="s">
        <v>97</v>
      </c>
      <c r="B70" s="71" t="s">
        <v>98</v>
      </c>
      <c r="C70" s="67">
        <f>[10]С2.3!E13</f>
        <v>300</v>
      </c>
    </row>
    <row r="71" spans="1:3" ht="25.5" x14ac:dyDescent="0.2">
      <c r="A71" s="64" t="s">
        <v>99</v>
      </c>
      <c r="B71" s="70" t="s">
        <v>100</v>
      </c>
      <c r="C71" s="73">
        <f>IF([10]С2.3!E22&gt;0,[10]С2.3!E22,[10]С2.3!E14)</f>
        <v>61211</v>
      </c>
    </row>
    <row r="72" spans="1:3" ht="38.25" x14ac:dyDescent="0.2">
      <c r="A72" s="64" t="s">
        <v>101</v>
      </c>
      <c r="B72" s="70" t="s">
        <v>102</v>
      </c>
      <c r="C72" s="73">
        <f>IF([10]С2.3!E23&gt;0,[10]С2.3!E23,[10]С2.3!E15)</f>
        <v>45675</v>
      </c>
    </row>
    <row r="73" spans="1:3" ht="30" x14ac:dyDescent="0.2">
      <c r="A73" s="64" t="s">
        <v>103</v>
      </c>
      <c r="B73" s="58" t="s">
        <v>104</v>
      </c>
      <c r="C73" s="38">
        <f>[10]С2.1!E28</f>
        <v>9541.9567200000001</v>
      </c>
    </row>
    <row r="74" spans="1:3" ht="38.25" x14ac:dyDescent="0.2">
      <c r="A74" s="64" t="s">
        <v>105</v>
      </c>
      <c r="B74" s="70" t="s">
        <v>106</v>
      </c>
      <c r="C74" s="57">
        <f>[10]С2.3!E25</f>
        <v>0</v>
      </c>
    </row>
    <row r="75" spans="1:3" ht="25.5" x14ac:dyDescent="0.2">
      <c r="A75" s="64" t="s">
        <v>107</v>
      </c>
      <c r="B75" s="71" t="s">
        <v>108</v>
      </c>
      <c r="C75" s="72">
        <f>[10]С2.3!E12</f>
        <v>0.56000000000000005</v>
      </c>
    </row>
    <row r="76" spans="1:3" ht="25.5" x14ac:dyDescent="0.2">
      <c r="A76" s="64" t="s">
        <v>109</v>
      </c>
      <c r="B76" s="71" t="s">
        <v>98</v>
      </c>
      <c r="C76" s="67">
        <f>[10]С2.3!E13</f>
        <v>300</v>
      </c>
    </row>
    <row r="77" spans="1:3" ht="25.5" x14ac:dyDescent="0.2">
      <c r="A77" s="64" t="s">
        <v>110</v>
      </c>
      <c r="B77" s="74" t="s">
        <v>111</v>
      </c>
      <c r="C77" s="73">
        <f>IF([10]С2.3!E26&gt;0,[10]С2.3!E26,[10]С2.3!E16)</f>
        <v>65637</v>
      </c>
    </row>
    <row r="78" spans="1:3" ht="38.25" x14ac:dyDescent="0.2">
      <c r="A78" s="64" t="s">
        <v>112</v>
      </c>
      <c r="B78" s="74" t="s">
        <v>113</v>
      </c>
      <c r="C78" s="73">
        <f>IF([10]С2.3!E27&gt;0,[10]С2.3!E27,[10]С2.3!E17)</f>
        <v>31684</v>
      </c>
    </row>
    <row r="79" spans="1:3" ht="17.25" x14ac:dyDescent="0.2">
      <c r="A79" s="64" t="s">
        <v>114</v>
      </c>
      <c r="B79" s="37" t="s">
        <v>115</v>
      </c>
      <c r="C79" s="39">
        <f>[10]С2!F29</f>
        <v>0.128978033685065</v>
      </c>
    </row>
    <row r="80" spans="1:3" ht="30" x14ac:dyDescent="0.2">
      <c r="A80" s="64" t="s">
        <v>116</v>
      </c>
      <c r="B80" s="58" t="s">
        <v>117</v>
      </c>
      <c r="C80" s="75">
        <f>[10]С2!F30</f>
        <v>0.11668498168498169</v>
      </c>
    </row>
    <row r="81" spans="1:3" ht="17.25" x14ac:dyDescent="0.2">
      <c r="A81" s="64" t="s">
        <v>118</v>
      </c>
      <c r="B81" s="76" t="s">
        <v>119</v>
      </c>
      <c r="C81" s="39">
        <f>[10]С2!F31</f>
        <v>0.13880000000000001</v>
      </c>
    </row>
    <row r="82" spans="1:3" s="68" customFormat="1" ht="18" thickBot="1" x14ac:dyDescent="0.25">
      <c r="A82" s="77" t="s">
        <v>120</v>
      </c>
      <c r="B82" s="78" t="s">
        <v>121</v>
      </c>
      <c r="C82" s="79">
        <f>[10]С2!F32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[10]С3!F14</f>
        <v>7012.1794194579406</v>
      </c>
    </row>
    <row r="86" spans="1:3" s="68" customFormat="1" ht="42.75" x14ac:dyDescent="0.2">
      <c r="A86" s="82" t="s">
        <v>126</v>
      </c>
      <c r="B86" s="58" t="s">
        <v>127</v>
      </c>
      <c r="C86" s="83">
        <f>[10]С3!F15</f>
        <v>0.2</v>
      </c>
    </row>
    <row r="87" spans="1:3" s="68" customFormat="1" ht="14.25" x14ac:dyDescent="0.2">
      <c r="A87" s="82" t="s">
        <v>128</v>
      </c>
      <c r="B87" s="84" t="s">
        <v>129</v>
      </c>
      <c r="C87" s="67">
        <f>[10]С3!F18</f>
        <v>15</v>
      </c>
    </row>
    <row r="88" spans="1:3" s="68" customFormat="1" ht="17.25" x14ac:dyDescent="0.2">
      <c r="A88" s="82" t="s">
        <v>130</v>
      </c>
      <c r="B88" s="37" t="s">
        <v>131</v>
      </c>
      <c r="C88" s="38">
        <f>[10]С3!F19</f>
        <v>3487.1555421534131</v>
      </c>
    </row>
    <row r="89" spans="1:3" s="68" customFormat="1" ht="55.5" x14ac:dyDescent="0.2">
      <c r="A89" s="82" t="s">
        <v>132</v>
      </c>
      <c r="B89" s="58" t="s">
        <v>133</v>
      </c>
      <c r="C89" s="85">
        <f>[10]С3!F20</f>
        <v>2.1999999999999999E-2</v>
      </c>
    </row>
    <row r="90" spans="1:3" s="68" customFormat="1" ht="14.25" x14ac:dyDescent="0.2">
      <c r="A90" s="82" t="s">
        <v>134</v>
      </c>
      <c r="B90" s="63" t="s">
        <v>80</v>
      </c>
      <c r="C90" s="67">
        <f>[10]С3!F21</f>
        <v>10</v>
      </c>
    </row>
    <row r="91" spans="1:3" s="68" customFormat="1" ht="17.25" x14ac:dyDescent="0.2">
      <c r="A91" s="82" t="s">
        <v>135</v>
      </c>
      <c r="B91" s="37" t="s">
        <v>136</v>
      </c>
      <c r="C91" s="38">
        <f>[10]С3!F22</f>
        <v>4.2734663496849565</v>
      </c>
    </row>
    <row r="92" spans="1:3" s="68" customFormat="1" ht="55.5" x14ac:dyDescent="0.2">
      <c r="A92" s="82" t="s">
        <v>137</v>
      </c>
      <c r="B92" s="58" t="s">
        <v>138</v>
      </c>
      <c r="C92" s="85">
        <f>[10]С3!F23</f>
        <v>3.0000000000000001E-3</v>
      </c>
    </row>
    <row r="93" spans="1:3" s="68" customFormat="1" ht="27.75" thickBot="1" x14ac:dyDescent="0.25">
      <c r="A93" s="86" t="s">
        <v>139</v>
      </c>
      <c r="B93" s="87" t="s">
        <v>140</v>
      </c>
      <c r="C93" s="88">
        <f>[10]С3!F24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[10]С4!F16</f>
        <v>1652.5</v>
      </c>
    </row>
    <row r="97" spans="1:3" ht="30" x14ac:dyDescent="0.2">
      <c r="A97" s="64" t="s">
        <v>145</v>
      </c>
      <c r="B97" s="63" t="s">
        <v>146</v>
      </c>
      <c r="C97" s="38">
        <f>[10]С4!F17</f>
        <v>73547</v>
      </c>
    </row>
    <row r="98" spans="1:3" ht="17.25" x14ac:dyDescent="0.2">
      <c r="A98" s="64" t="s">
        <v>147</v>
      </c>
      <c r="B98" s="63" t="s">
        <v>148</v>
      </c>
      <c r="C98" s="44">
        <f>[10]С4!F18</f>
        <v>0.02</v>
      </c>
    </row>
    <row r="99" spans="1:3" ht="30" x14ac:dyDescent="0.2">
      <c r="A99" s="64" t="s">
        <v>149</v>
      </c>
      <c r="B99" s="63" t="s">
        <v>150</v>
      </c>
      <c r="C99" s="38">
        <f>[10]С4!F19</f>
        <v>12104</v>
      </c>
    </row>
    <row r="100" spans="1:3" ht="31.5" x14ac:dyDescent="0.2">
      <c r="A100" s="64" t="s">
        <v>151</v>
      </c>
      <c r="B100" s="63" t="s">
        <v>152</v>
      </c>
      <c r="C100" s="44">
        <f>[10]С4!F20</f>
        <v>1.4999999999999999E-2</v>
      </c>
    </row>
    <row r="101" spans="1:3" ht="30" x14ac:dyDescent="0.2">
      <c r="A101" s="64" t="s">
        <v>153</v>
      </c>
      <c r="B101" s="37" t="s">
        <v>154</v>
      </c>
      <c r="C101" s="38">
        <f>[10]С4!F21</f>
        <v>1933.1949342509995</v>
      </c>
    </row>
    <row r="102" spans="1:3" ht="24" customHeight="1" x14ac:dyDescent="0.2">
      <c r="A102" s="64" t="s">
        <v>155</v>
      </c>
      <c r="B102" s="58" t="s">
        <v>156</v>
      </c>
      <c r="C102" s="90">
        <f>IF([10]С4.2!F8="да",[10]С4.2!D21,[10]С4.2!D15)</f>
        <v>0</v>
      </c>
    </row>
    <row r="103" spans="1:3" ht="68.25" x14ac:dyDescent="0.2">
      <c r="A103" s="64" t="s">
        <v>157</v>
      </c>
      <c r="B103" s="58" t="s">
        <v>158</v>
      </c>
      <c r="C103" s="38">
        <f>[10]С4!F22</f>
        <v>3.6112641666666665</v>
      </c>
    </row>
    <row r="104" spans="1:3" ht="30" x14ac:dyDescent="0.2">
      <c r="A104" s="64" t="s">
        <v>159</v>
      </c>
      <c r="B104" s="63" t="s">
        <v>160</v>
      </c>
      <c r="C104" s="38">
        <f>[10]С4!F23</f>
        <v>180</v>
      </c>
    </row>
    <row r="105" spans="1:3" ht="14.25" x14ac:dyDescent="0.2">
      <c r="A105" s="64" t="s">
        <v>161</v>
      </c>
      <c r="B105" s="58" t="s">
        <v>162</v>
      </c>
      <c r="C105" s="38">
        <f>[10]С4!F24</f>
        <v>8497.1999999999989</v>
      </c>
    </row>
    <row r="106" spans="1:3" ht="14.25" x14ac:dyDescent="0.2">
      <c r="A106" s="64" t="s">
        <v>163</v>
      </c>
      <c r="B106" s="63" t="s">
        <v>164</v>
      </c>
      <c r="C106" s="44">
        <f>[10]С4!F25</f>
        <v>0.35</v>
      </c>
    </row>
    <row r="107" spans="1:3" ht="17.25" x14ac:dyDescent="0.2">
      <c r="A107" s="64" t="s">
        <v>165</v>
      </c>
      <c r="B107" s="37" t="s">
        <v>166</v>
      </c>
      <c r="C107" s="38">
        <f>[10]С4!F26</f>
        <v>86.768039999999999</v>
      </c>
    </row>
    <row r="108" spans="1:3" ht="25.5" x14ac:dyDescent="0.2">
      <c r="A108" s="64" t="s">
        <v>167</v>
      </c>
      <c r="B108" s="58" t="s">
        <v>94</v>
      </c>
      <c r="C108" s="90">
        <f>[10]С4.3!E16</f>
        <v>0</v>
      </c>
    </row>
    <row r="109" spans="1:3" ht="25.5" x14ac:dyDescent="0.2">
      <c r="A109" s="64" t="s">
        <v>168</v>
      </c>
      <c r="B109" s="58" t="s">
        <v>169</v>
      </c>
      <c r="C109" s="38">
        <f>[10]С4.3!E17</f>
        <v>20.68</v>
      </c>
    </row>
    <row r="110" spans="1:3" ht="38.25" x14ac:dyDescent="0.2">
      <c r="A110" s="64" t="s">
        <v>170</v>
      </c>
      <c r="B110" s="58" t="s">
        <v>106</v>
      </c>
      <c r="C110" s="90">
        <f>[10]С4.3!E18</f>
        <v>0</v>
      </c>
    </row>
    <row r="111" spans="1:3" x14ac:dyDescent="0.2">
      <c r="A111" s="64" t="s">
        <v>171</v>
      </c>
      <c r="B111" s="58" t="s">
        <v>172</v>
      </c>
      <c r="C111" s="38">
        <f>[10]С4.3!E19</f>
        <v>69.819999999999993</v>
      </c>
    </row>
    <row r="112" spans="1:3" x14ac:dyDescent="0.2">
      <c r="A112" s="64" t="s">
        <v>173</v>
      </c>
      <c r="B112" s="63" t="s">
        <v>174</v>
      </c>
      <c r="C112" s="38">
        <f>[10]С4.3!E11</f>
        <v>1871</v>
      </c>
    </row>
    <row r="113" spans="1:3" x14ac:dyDescent="0.2">
      <c r="A113" s="64" t="s">
        <v>175</v>
      </c>
      <c r="B113" s="63" t="s">
        <v>176</v>
      </c>
      <c r="C113" s="57">
        <f>[10]С4.3!E12</f>
        <v>1636</v>
      </c>
    </row>
    <row r="114" spans="1:3" x14ac:dyDescent="0.2">
      <c r="A114" s="64" t="s">
        <v>177</v>
      </c>
      <c r="B114" s="63" t="s">
        <v>178</v>
      </c>
      <c r="C114" s="57">
        <f>[10]С4.3!E13</f>
        <v>204</v>
      </c>
    </row>
    <row r="115" spans="1:3" ht="30" x14ac:dyDescent="0.2">
      <c r="A115" s="64" t="s">
        <v>179</v>
      </c>
      <c r="B115" s="37" t="s">
        <v>180</v>
      </c>
      <c r="C115" s="38">
        <f>[10]С4!F27</f>
        <v>1047.1575926659227</v>
      </c>
    </row>
    <row r="116" spans="1:3" ht="25.5" x14ac:dyDescent="0.2">
      <c r="A116" s="64" t="s">
        <v>181</v>
      </c>
      <c r="B116" s="58" t="s">
        <v>182</v>
      </c>
      <c r="C116" s="38">
        <f>[10]С4!F28</f>
        <v>804.26850435170718</v>
      </c>
    </row>
    <row r="117" spans="1:3" ht="42.75" x14ac:dyDescent="0.2">
      <c r="A117" s="64" t="s">
        <v>183</v>
      </c>
      <c r="B117" s="58" t="s">
        <v>184</v>
      </c>
      <c r="C117" s="38">
        <f>[10]С4!F29</f>
        <v>242.8890883142156</v>
      </c>
    </row>
    <row r="118" spans="1:3" ht="30" x14ac:dyDescent="0.2">
      <c r="A118" s="64" t="s">
        <v>185</v>
      </c>
      <c r="B118" s="43" t="s">
        <v>186</v>
      </c>
      <c r="C118" s="38">
        <f>[10]С4!F30</f>
        <v>1907.7926840753958</v>
      </c>
    </row>
    <row r="119" spans="1:3" ht="42.75" x14ac:dyDescent="0.2">
      <c r="A119" s="64" t="s">
        <v>187</v>
      </c>
      <c r="B119" s="91" t="s">
        <v>188</v>
      </c>
      <c r="C119" s="38">
        <f>[10]С4!F33</f>
        <v>1190.0319769922489</v>
      </c>
    </row>
    <row r="120" spans="1:3" ht="30" x14ac:dyDescent="0.2">
      <c r="A120" s="64" t="s">
        <v>189</v>
      </c>
      <c r="B120" s="92" t="s">
        <v>190</v>
      </c>
      <c r="C120" s="38">
        <f>[10]С4!F35</f>
        <v>17.040680999999999</v>
      </c>
    </row>
    <row r="121" spans="1:3" ht="14.25" x14ac:dyDescent="0.2">
      <c r="A121" s="64" t="s">
        <v>191</v>
      </c>
      <c r="B121" s="61" t="s">
        <v>192</v>
      </c>
      <c r="C121" s="38">
        <f>[10]С4!F36</f>
        <v>14319.9</v>
      </c>
    </row>
    <row r="122" spans="1:3" ht="28.5" thickBot="1" x14ac:dyDescent="0.25">
      <c r="A122" s="77" t="s">
        <v>193</v>
      </c>
      <c r="B122" s="93" t="s">
        <v>194</v>
      </c>
      <c r="C122" s="88">
        <f>[10]С4!F37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[10]С5!F17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[10]С2!F37</f>
        <v>20.818139999999996</v>
      </c>
    </row>
    <row r="136" spans="1:4" ht="14.25" x14ac:dyDescent="0.2">
      <c r="A136" s="64" t="s">
        <v>216</v>
      </c>
      <c r="B136" s="107" t="s">
        <v>217</v>
      </c>
      <c r="C136" s="38">
        <f>[10]С2!F38</f>
        <v>7</v>
      </c>
    </row>
    <row r="137" spans="1:4" ht="17.25" x14ac:dyDescent="0.2">
      <c r="A137" s="64" t="s">
        <v>218</v>
      </c>
      <c r="B137" s="107" t="s">
        <v>219</v>
      </c>
      <c r="C137" s="38">
        <f>[10]С2!F40</f>
        <v>0.97</v>
      </c>
    </row>
    <row r="138" spans="1:4" ht="15" thickBot="1" x14ac:dyDescent="0.25">
      <c r="A138" s="77" t="s">
        <v>220</v>
      </c>
      <c r="B138" s="108" t="s">
        <v>221</v>
      </c>
      <c r="C138" s="50">
        <f>[10]С2!F42</f>
        <v>0.35</v>
      </c>
    </row>
    <row r="139" spans="1:4" s="94" customFormat="1" ht="13.5" thickBot="1" x14ac:dyDescent="0.25">
      <c r="A139" s="51"/>
      <c r="B139" s="80"/>
      <c r="C139" s="16"/>
    </row>
    <row r="140" spans="1:4" ht="30" x14ac:dyDescent="0.2">
      <c r="A140" s="89" t="s">
        <v>222</v>
      </c>
      <c r="B140" s="109" t="s">
        <v>223</v>
      </c>
      <c r="C140" s="110">
        <f>[10]С2!F35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[10]С2.5!$E$11</f>
        <v>-2.9000000000000026E-2</v>
      </c>
      <c r="D143" s="94"/>
    </row>
    <row r="144" spans="1:4" x14ac:dyDescent="0.2">
      <c r="A144" s="112"/>
      <c r="B144" s="117">
        <f>B143+1</f>
        <v>2021</v>
      </c>
      <c r="C144" s="118">
        <f>[10]С2.5!$F$11</f>
        <v>0.245</v>
      </c>
      <c r="D144" s="94"/>
    </row>
    <row r="145" spans="1:4" x14ac:dyDescent="0.2">
      <c r="A145" s="112"/>
      <c r="B145" s="117">
        <f t="shared" ref="B145:B208" si="0">B144+1</f>
        <v>2022</v>
      </c>
      <c r="C145" s="118">
        <f>[10]С2.5!$G$11</f>
        <v>0.121</v>
      </c>
      <c r="D145" s="94"/>
    </row>
    <row r="146" spans="1:4" ht="13.5" thickBot="1" x14ac:dyDescent="0.25">
      <c r="A146" s="112"/>
      <c r="B146" s="119">
        <f t="shared" si="0"/>
        <v>2023</v>
      </c>
      <c r="C146" s="120">
        <f>[10]С2.5!$H$11</f>
        <v>0.02</v>
      </c>
      <c r="D146" s="94"/>
    </row>
    <row r="147" spans="1:4" hidden="1" x14ac:dyDescent="0.2">
      <c r="A147" s="112"/>
      <c r="B147" s="121">
        <f t="shared" si="0"/>
        <v>2024</v>
      </c>
      <c r="C147" s="122">
        <f>[10]С2.5!$I$11</f>
        <v>-2.93E-2</v>
      </c>
      <c r="D147" s="94"/>
    </row>
    <row r="148" spans="1:4" hidden="1" x14ac:dyDescent="0.2">
      <c r="A148" s="112"/>
      <c r="B148" s="117">
        <f t="shared" si="0"/>
        <v>2025</v>
      </c>
      <c r="C148" s="118">
        <f>[10]С2.5!$J$11</f>
        <v>0.21215960863291</v>
      </c>
      <c r="D148" s="94"/>
    </row>
    <row r="149" spans="1:4" hidden="1" x14ac:dyDescent="0.2">
      <c r="A149" s="112"/>
      <c r="B149" s="117">
        <f t="shared" si="0"/>
        <v>2026</v>
      </c>
      <c r="C149" s="118">
        <f>[10]С2.5!$K$11</f>
        <v>3.5813361771260002E-2</v>
      </c>
      <c r="D149" s="94"/>
    </row>
    <row r="150" spans="1:4" hidden="1" x14ac:dyDescent="0.2">
      <c r="A150" s="112"/>
      <c r="B150" s="117">
        <f t="shared" si="0"/>
        <v>2027</v>
      </c>
      <c r="C150" s="118">
        <f>[10]С2.5!$L$11</f>
        <v>3.2682303599220003E-2</v>
      </c>
      <c r="D150" s="94"/>
    </row>
    <row r="151" spans="1:4" hidden="1" x14ac:dyDescent="0.2">
      <c r="A151" s="112"/>
      <c r="B151" s="117">
        <f t="shared" si="0"/>
        <v>2028</v>
      </c>
      <c r="C151" s="118">
        <f>[10]С2.5!$M$11</f>
        <v>0</v>
      </c>
      <c r="D151" s="94"/>
    </row>
    <row r="152" spans="1:4" hidden="1" x14ac:dyDescent="0.2">
      <c r="A152" s="112"/>
      <c r="B152" s="117">
        <f t="shared" si="0"/>
        <v>2029</v>
      </c>
      <c r="C152" s="118">
        <f>[10]С2.5!$N$11</f>
        <v>0</v>
      </c>
      <c r="D152" s="94"/>
    </row>
    <row r="153" spans="1:4" hidden="1" x14ac:dyDescent="0.2">
      <c r="A153" s="112"/>
      <c r="B153" s="117">
        <f t="shared" si="0"/>
        <v>2030</v>
      </c>
      <c r="C153" s="118">
        <f>[10]С2.5!$O$11</f>
        <v>0</v>
      </c>
      <c r="D153" s="94"/>
    </row>
    <row r="154" spans="1:4" hidden="1" x14ac:dyDescent="0.2">
      <c r="A154" s="112"/>
      <c r="B154" s="117">
        <f t="shared" si="0"/>
        <v>2031</v>
      </c>
      <c r="C154" s="118">
        <f>[10]С2.5!$P$11</f>
        <v>0</v>
      </c>
      <c r="D154" s="94"/>
    </row>
    <row r="155" spans="1:4" hidden="1" x14ac:dyDescent="0.2">
      <c r="A155" s="94"/>
      <c r="B155" s="117">
        <f t="shared" si="0"/>
        <v>2032</v>
      </c>
      <c r="C155" s="118">
        <f>[10]С2.5!$Q$11</f>
        <v>0</v>
      </c>
      <c r="D155" s="94"/>
    </row>
    <row r="156" spans="1:4" hidden="1" x14ac:dyDescent="0.2">
      <c r="A156" s="94"/>
      <c r="B156" s="117">
        <f t="shared" si="0"/>
        <v>2033</v>
      </c>
      <c r="C156" s="118">
        <f>[10]С2.5!$R$11</f>
        <v>0</v>
      </c>
      <c r="D156" s="94"/>
    </row>
    <row r="157" spans="1:4" hidden="1" x14ac:dyDescent="0.2">
      <c r="B157" s="117">
        <f t="shared" si="0"/>
        <v>2034</v>
      </c>
      <c r="C157" s="118">
        <f>[10]С2.5!$S$11</f>
        <v>0</v>
      </c>
    </row>
    <row r="158" spans="1:4" hidden="1" x14ac:dyDescent="0.2">
      <c r="B158" s="117">
        <f t="shared" si="0"/>
        <v>2035</v>
      </c>
      <c r="C158" s="118">
        <f>[10]С2.5!$T$11</f>
        <v>0</v>
      </c>
    </row>
    <row r="159" spans="1:4" hidden="1" x14ac:dyDescent="0.2">
      <c r="B159" s="117">
        <f t="shared" si="0"/>
        <v>2036</v>
      </c>
      <c r="C159" s="118">
        <f>[10]С2.5!$U$11</f>
        <v>0</v>
      </c>
    </row>
    <row r="160" spans="1:4" hidden="1" x14ac:dyDescent="0.2">
      <c r="B160" s="117">
        <f t="shared" si="0"/>
        <v>2037</v>
      </c>
      <c r="C160" s="118">
        <f>[10]С2.5!$V$11</f>
        <v>0</v>
      </c>
    </row>
    <row r="161" spans="2:3" hidden="1" x14ac:dyDescent="0.2">
      <c r="B161" s="117">
        <f t="shared" si="0"/>
        <v>2038</v>
      </c>
      <c r="C161" s="118">
        <f>[10]С2.5!$W$11</f>
        <v>0</v>
      </c>
    </row>
    <row r="162" spans="2:3" hidden="1" x14ac:dyDescent="0.2">
      <c r="B162" s="117">
        <f t="shared" si="0"/>
        <v>2039</v>
      </c>
      <c r="C162" s="118">
        <f>[10]С2.5!$X$11</f>
        <v>0</v>
      </c>
    </row>
    <row r="163" spans="2:3" hidden="1" x14ac:dyDescent="0.2">
      <c r="B163" s="117">
        <f t="shared" si="0"/>
        <v>2040</v>
      </c>
      <c r="C163" s="118">
        <f>[10]С2.5!$Y$11</f>
        <v>0</v>
      </c>
    </row>
    <row r="164" spans="2:3" hidden="1" x14ac:dyDescent="0.2">
      <c r="B164" s="117">
        <f t="shared" si="0"/>
        <v>2041</v>
      </c>
      <c r="C164" s="118">
        <f>[10]С2.5!$Z$11</f>
        <v>0</v>
      </c>
    </row>
    <row r="165" spans="2:3" hidden="1" x14ac:dyDescent="0.2">
      <c r="B165" s="117">
        <f t="shared" si="0"/>
        <v>2042</v>
      </c>
      <c r="C165" s="118">
        <f>[10]С2.5!$AA$11</f>
        <v>0</v>
      </c>
    </row>
    <row r="166" spans="2:3" hidden="1" x14ac:dyDescent="0.2">
      <c r="B166" s="117">
        <f t="shared" si="0"/>
        <v>2043</v>
      </c>
      <c r="C166" s="118">
        <f>[10]С2.5!$AB$11</f>
        <v>0</v>
      </c>
    </row>
    <row r="167" spans="2:3" hidden="1" x14ac:dyDescent="0.2">
      <c r="B167" s="117">
        <f t="shared" si="0"/>
        <v>2044</v>
      </c>
      <c r="C167" s="118">
        <f>[10]С2.5!$AC$11</f>
        <v>0</v>
      </c>
    </row>
    <row r="168" spans="2:3" hidden="1" x14ac:dyDescent="0.2">
      <c r="B168" s="117">
        <f t="shared" si="0"/>
        <v>2045</v>
      </c>
      <c r="C168" s="118">
        <f>[10]С2.5!$AD$11</f>
        <v>0</v>
      </c>
    </row>
    <row r="169" spans="2:3" hidden="1" x14ac:dyDescent="0.2">
      <c r="B169" s="117">
        <f t="shared" si="0"/>
        <v>2046</v>
      </c>
      <c r="C169" s="118">
        <f>[10]С2.5!$AE$11</f>
        <v>0</v>
      </c>
    </row>
    <row r="170" spans="2:3" hidden="1" x14ac:dyDescent="0.2">
      <c r="B170" s="117">
        <f t="shared" si="0"/>
        <v>2047</v>
      </c>
      <c r="C170" s="118">
        <f>[10]С2.5!$AF$11</f>
        <v>0</v>
      </c>
    </row>
    <row r="171" spans="2:3" hidden="1" x14ac:dyDescent="0.2">
      <c r="B171" s="117">
        <f t="shared" si="0"/>
        <v>2048</v>
      </c>
      <c r="C171" s="118">
        <f>[10]С2.5!$AG$11</f>
        <v>0</v>
      </c>
    </row>
    <row r="172" spans="2:3" hidden="1" x14ac:dyDescent="0.2">
      <c r="B172" s="117">
        <f t="shared" si="0"/>
        <v>2049</v>
      </c>
      <c r="C172" s="118">
        <f>[10]С2.5!$AH$11</f>
        <v>0</v>
      </c>
    </row>
    <row r="173" spans="2:3" hidden="1" x14ac:dyDescent="0.2">
      <c r="B173" s="117">
        <f t="shared" si="0"/>
        <v>2050</v>
      </c>
      <c r="C173" s="118">
        <f>[10]С2.5!$AI$11</f>
        <v>0</v>
      </c>
    </row>
    <row r="174" spans="2:3" hidden="1" x14ac:dyDescent="0.2">
      <c r="B174" s="117">
        <f t="shared" si="0"/>
        <v>2051</v>
      </c>
      <c r="C174" s="118">
        <f>[10]С2.5!$AJ$11</f>
        <v>0</v>
      </c>
    </row>
    <row r="175" spans="2:3" hidden="1" x14ac:dyDescent="0.2">
      <c r="B175" s="117">
        <f t="shared" si="0"/>
        <v>2052</v>
      </c>
      <c r="C175" s="118">
        <f>[10]С2.5!$AK$11</f>
        <v>0</v>
      </c>
    </row>
    <row r="176" spans="2:3" hidden="1" x14ac:dyDescent="0.2">
      <c r="B176" s="117">
        <f t="shared" si="0"/>
        <v>2053</v>
      </c>
      <c r="C176" s="118">
        <f>[10]С2.5!$AL$11</f>
        <v>0</v>
      </c>
    </row>
    <row r="177" spans="2:3" hidden="1" x14ac:dyDescent="0.2">
      <c r="B177" s="117">
        <f t="shared" si="0"/>
        <v>2054</v>
      </c>
      <c r="C177" s="118">
        <f>[10]С2.5!$AM$11</f>
        <v>0</v>
      </c>
    </row>
    <row r="178" spans="2:3" hidden="1" x14ac:dyDescent="0.2">
      <c r="B178" s="117">
        <f t="shared" si="0"/>
        <v>2055</v>
      </c>
      <c r="C178" s="118">
        <f>[10]С2.5!$AN$11</f>
        <v>0</v>
      </c>
    </row>
    <row r="179" spans="2:3" hidden="1" x14ac:dyDescent="0.2">
      <c r="B179" s="117">
        <f t="shared" si="0"/>
        <v>2056</v>
      </c>
      <c r="C179" s="118">
        <f>[10]С2.5!$AO$11</f>
        <v>0</v>
      </c>
    </row>
    <row r="180" spans="2:3" hidden="1" x14ac:dyDescent="0.2">
      <c r="B180" s="117">
        <f t="shared" si="0"/>
        <v>2057</v>
      </c>
      <c r="C180" s="118">
        <f>[10]С2.5!$AP$11</f>
        <v>0</v>
      </c>
    </row>
    <row r="181" spans="2:3" hidden="1" x14ac:dyDescent="0.2">
      <c r="B181" s="117">
        <f t="shared" si="0"/>
        <v>2058</v>
      </c>
      <c r="C181" s="118">
        <f>[10]С2.5!$AQ$11</f>
        <v>0</v>
      </c>
    </row>
    <row r="182" spans="2:3" hidden="1" x14ac:dyDescent="0.2">
      <c r="B182" s="117">
        <f t="shared" si="0"/>
        <v>2059</v>
      </c>
      <c r="C182" s="118">
        <f>[10]С2.5!$AR$11</f>
        <v>0</v>
      </c>
    </row>
    <row r="183" spans="2:3" hidden="1" x14ac:dyDescent="0.2">
      <c r="B183" s="117">
        <f t="shared" si="0"/>
        <v>2060</v>
      </c>
      <c r="C183" s="118">
        <f>[10]С2.5!$AS$11</f>
        <v>0</v>
      </c>
    </row>
    <row r="184" spans="2:3" hidden="1" x14ac:dyDescent="0.2">
      <c r="B184" s="117">
        <f t="shared" si="0"/>
        <v>2061</v>
      </c>
      <c r="C184" s="118">
        <f>[10]С2.5!$AT$11</f>
        <v>0</v>
      </c>
    </row>
    <row r="185" spans="2:3" hidden="1" x14ac:dyDescent="0.2">
      <c r="B185" s="117">
        <f t="shared" si="0"/>
        <v>2062</v>
      </c>
      <c r="C185" s="118">
        <f>[10]С2.5!$AU$11</f>
        <v>0</v>
      </c>
    </row>
    <row r="186" spans="2:3" hidden="1" x14ac:dyDescent="0.2">
      <c r="B186" s="117">
        <f t="shared" si="0"/>
        <v>2063</v>
      </c>
      <c r="C186" s="118">
        <f>[10]С2.5!$AV$11</f>
        <v>0</v>
      </c>
    </row>
    <row r="187" spans="2:3" hidden="1" x14ac:dyDescent="0.2">
      <c r="B187" s="117">
        <f t="shared" si="0"/>
        <v>2064</v>
      </c>
      <c r="C187" s="118">
        <f>[10]С2.5!$AW$11</f>
        <v>0</v>
      </c>
    </row>
    <row r="188" spans="2:3" hidden="1" x14ac:dyDescent="0.2">
      <c r="B188" s="117">
        <f t="shared" si="0"/>
        <v>2065</v>
      </c>
      <c r="C188" s="118">
        <f>[10]С2.5!$AX$11</f>
        <v>0</v>
      </c>
    </row>
    <row r="189" spans="2:3" hidden="1" x14ac:dyDescent="0.2">
      <c r="B189" s="117">
        <f t="shared" si="0"/>
        <v>2066</v>
      </c>
      <c r="C189" s="118">
        <f>[10]С2.5!$AY$11</f>
        <v>0</v>
      </c>
    </row>
    <row r="190" spans="2:3" hidden="1" x14ac:dyDescent="0.2">
      <c r="B190" s="117">
        <f t="shared" si="0"/>
        <v>2067</v>
      </c>
      <c r="C190" s="118">
        <f>[10]С2.5!$AZ$11</f>
        <v>0</v>
      </c>
    </row>
    <row r="191" spans="2:3" hidden="1" x14ac:dyDescent="0.2">
      <c r="B191" s="117">
        <f t="shared" si="0"/>
        <v>2068</v>
      </c>
      <c r="C191" s="118">
        <f>[10]С2.5!$BA$11</f>
        <v>0</v>
      </c>
    </row>
    <row r="192" spans="2:3" hidden="1" x14ac:dyDescent="0.2">
      <c r="B192" s="117">
        <f t="shared" si="0"/>
        <v>2069</v>
      </c>
      <c r="C192" s="118">
        <f>[10]С2.5!$BB$11</f>
        <v>0</v>
      </c>
    </row>
    <row r="193" spans="2:3" hidden="1" x14ac:dyDescent="0.2">
      <c r="B193" s="117">
        <f t="shared" si="0"/>
        <v>2070</v>
      </c>
      <c r="C193" s="118">
        <f>[10]С2.5!$BC$11</f>
        <v>0</v>
      </c>
    </row>
    <row r="194" spans="2:3" hidden="1" x14ac:dyDescent="0.2">
      <c r="B194" s="117">
        <f t="shared" si="0"/>
        <v>2071</v>
      </c>
      <c r="C194" s="118">
        <f>[10]С2.5!$BD$11</f>
        <v>0</v>
      </c>
    </row>
    <row r="195" spans="2:3" hidden="1" x14ac:dyDescent="0.2">
      <c r="B195" s="117">
        <f t="shared" si="0"/>
        <v>2072</v>
      </c>
      <c r="C195" s="118">
        <f>[10]С2.5!$BE$11</f>
        <v>0</v>
      </c>
    </row>
    <row r="196" spans="2:3" hidden="1" x14ac:dyDescent="0.2">
      <c r="B196" s="117">
        <f t="shared" si="0"/>
        <v>2073</v>
      </c>
      <c r="C196" s="118">
        <f>[10]С2.5!$BF$11</f>
        <v>0</v>
      </c>
    </row>
    <row r="197" spans="2:3" hidden="1" x14ac:dyDescent="0.2">
      <c r="B197" s="117">
        <f t="shared" si="0"/>
        <v>2074</v>
      </c>
      <c r="C197" s="118">
        <f>[10]С2.5!$BG$11</f>
        <v>0</v>
      </c>
    </row>
    <row r="198" spans="2:3" hidden="1" x14ac:dyDescent="0.2">
      <c r="B198" s="117">
        <f t="shared" si="0"/>
        <v>2075</v>
      </c>
      <c r="C198" s="118">
        <f>[10]С2.5!$BH$11</f>
        <v>0</v>
      </c>
    </row>
    <row r="199" spans="2:3" hidden="1" x14ac:dyDescent="0.2">
      <c r="B199" s="117">
        <f t="shared" si="0"/>
        <v>2076</v>
      </c>
      <c r="C199" s="118">
        <f>[10]С2.5!$BI$11</f>
        <v>0</v>
      </c>
    </row>
    <row r="200" spans="2:3" hidden="1" x14ac:dyDescent="0.2">
      <c r="B200" s="117">
        <f t="shared" si="0"/>
        <v>2077</v>
      </c>
      <c r="C200" s="118">
        <f>[10]С2.5!$BJ$11</f>
        <v>0</v>
      </c>
    </row>
    <row r="201" spans="2:3" hidden="1" x14ac:dyDescent="0.2">
      <c r="B201" s="117">
        <f t="shared" si="0"/>
        <v>2078</v>
      </c>
      <c r="C201" s="118">
        <f>[10]С2.5!$BK$11</f>
        <v>0</v>
      </c>
    </row>
    <row r="202" spans="2:3" hidden="1" x14ac:dyDescent="0.2">
      <c r="B202" s="117">
        <f t="shared" si="0"/>
        <v>2079</v>
      </c>
      <c r="C202" s="118">
        <f>[10]С2.5!$BL$11</f>
        <v>0</v>
      </c>
    </row>
    <row r="203" spans="2:3" hidden="1" x14ac:dyDescent="0.2">
      <c r="B203" s="117">
        <f t="shared" si="0"/>
        <v>2080</v>
      </c>
      <c r="C203" s="118">
        <f>[10]С2.5!$BM$11</f>
        <v>0</v>
      </c>
    </row>
    <row r="204" spans="2:3" hidden="1" x14ac:dyDescent="0.2">
      <c r="B204" s="117">
        <f t="shared" si="0"/>
        <v>2081</v>
      </c>
      <c r="C204" s="118">
        <f>[10]С2.5!$BN$11</f>
        <v>0</v>
      </c>
    </row>
    <row r="205" spans="2:3" hidden="1" x14ac:dyDescent="0.2">
      <c r="B205" s="117">
        <f t="shared" si="0"/>
        <v>2082</v>
      </c>
      <c r="C205" s="118">
        <f>[10]С2.5!$BO$11</f>
        <v>0</v>
      </c>
    </row>
    <row r="206" spans="2:3" hidden="1" x14ac:dyDescent="0.2">
      <c r="B206" s="117">
        <f t="shared" si="0"/>
        <v>2083</v>
      </c>
      <c r="C206" s="118">
        <f>[10]С2.5!$BP$11</f>
        <v>0</v>
      </c>
    </row>
    <row r="207" spans="2:3" hidden="1" x14ac:dyDescent="0.2">
      <c r="B207" s="117">
        <f t="shared" si="0"/>
        <v>2084</v>
      </c>
      <c r="C207" s="118">
        <f>[10]С2.5!$BQ$11</f>
        <v>0</v>
      </c>
    </row>
    <row r="208" spans="2:3" hidden="1" x14ac:dyDescent="0.2">
      <c r="B208" s="117">
        <f t="shared" si="0"/>
        <v>2085</v>
      </c>
      <c r="C208" s="118">
        <f>[10]С2.5!$BR$11</f>
        <v>0</v>
      </c>
    </row>
    <row r="209" spans="2:3" hidden="1" x14ac:dyDescent="0.2">
      <c r="B209" s="117">
        <f t="shared" ref="B209:B223" si="1">B208+1</f>
        <v>2086</v>
      </c>
      <c r="C209" s="118">
        <f>[10]С2.5!$BS$11</f>
        <v>0</v>
      </c>
    </row>
    <row r="210" spans="2:3" hidden="1" x14ac:dyDescent="0.2">
      <c r="B210" s="117">
        <f t="shared" si="1"/>
        <v>2087</v>
      </c>
      <c r="C210" s="118">
        <f>[10]С2.5!$BT$11</f>
        <v>0</v>
      </c>
    </row>
    <row r="211" spans="2:3" hidden="1" x14ac:dyDescent="0.2">
      <c r="B211" s="117">
        <f t="shared" si="1"/>
        <v>2088</v>
      </c>
      <c r="C211" s="118">
        <f>[10]С2.5!$BU$11</f>
        <v>0</v>
      </c>
    </row>
    <row r="212" spans="2:3" hidden="1" x14ac:dyDescent="0.2">
      <c r="B212" s="117">
        <f t="shared" si="1"/>
        <v>2089</v>
      </c>
      <c r="C212" s="118">
        <f>[10]С2.5!$BV$11</f>
        <v>0</v>
      </c>
    </row>
    <row r="213" spans="2:3" hidden="1" x14ac:dyDescent="0.2">
      <c r="B213" s="117">
        <f t="shared" si="1"/>
        <v>2090</v>
      </c>
      <c r="C213" s="118">
        <f>[10]С2.5!$BW$11</f>
        <v>0</v>
      </c>
    </row>
    <row r="214" spans="2:3" hidden="1" x14ac:dyDescent="0.2">
      <c r="B214" s="117">
        <f t="shared" si="1"/>
        <v>2091</v>
      </c>
      <c r="C214" s="118">
        <f>[10]С2.5!$BX$11</f>
        <v>0</v>
      </c>
    </row>
    <row r="215" spans="2:3" hidden="1" x14ac:dyDescent="0.2">
      <c r="B215" s="117">
        <f t="shared" si="1"/>
        <v>2092</v>
      </c>
      <c r="C215" s="118">
        <f>[10]С2.5!$BY$11</f>
        <v>0</v>
      </c>
    </row>
    <row r="216" spans="2:3" hidden="1" x14ac:dyDescent="0.2">
      <c r="B216" s="117">
        <f t="shared" si="1"/>
        <v>2093</v>
      </c>
      <c r="C216" s="118">
        <f>[10]С2.5!$BZ$11</f>
        <v>0</v>
      </c>
    </row>
    <row r="217" spans="2:3" hidden="1" x14ac:dyDescent="0.2">
      <c r="B217" s="117">
        <f t="shared" si="1"/>
        <v>2094</v>
      </c>
      <c r="C217" s="118">
        <f>[10]С2.5!$CA$11</f>
        <v>0</v>
      </c>
    </row>
    <row r="218" spans="2:3" hidden="1" x14ac:dyDescent="0.2">
      <c r="B218" s="117">
        <f t="shared" si="1"/>
        <v>2095</v>
      </c>
      <c r="C218" s="118">
        <f>[10]С2.5!$CB$11</f>
        <v>0</v>
      </c>
    </row>
    <row r="219" spans="2:3" hidden="1" x14ac:dyDescent="0.2">
      <c r="B219" s="117">
        <f t="shared" si="1"/>
        <v>2096</v>
      </c>
      <c r="C219" s="118">
        <f>[10]С2.5!$CC$11</f>
        <v>0</v>
      </c>
    </row>
    <row r="220" spans="2:3" hidden="1" x14ac:dyDescent="0.2">
      <c r="B220" s="117">
        <f t="shared" si="1"/>
        <v>2097</v>
      </c>
      <c r="C220" s="118">
        <f>[10]С2.5!$CD$11</f>
        <v>0</v>
      </c>
    </row>
    <row r="221" spans="2:3" hidden="1" x14ac:dyDescent="0.2">
      <c r="B221" s="117">
        <f t="shared" si="1"/>
        <v>2098</v>
      </c>
      <c r="C221" s="118">
        <f>[10]С2.5!$CE$11</f>
        <v>0</v>
      </c>
    </row>
    <row r="222" spans="2:3" hidden="1" x14ac:dyDescent="0.2">
      <c r="B222" s="117">
        <f t="shared" si="1"/>
        <v>2099</v>
      </c>
      <c r="C222" s="118">
        <f>[10]С2.5!$CF$11</f>
        <v>0</v>
      </c>
    </row>
    <row r="223" spans="2:3" ht="13.5" hidden="1" thickBot="1" x14ac:dyDescent="0.25">
      <c r="B223" s="119">
        <f t="shared" si="1"/>
        <v>2100</v>
      </c>
      <c r="C223" s="120">
        <f>[10]С2.5!$CG$11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1" r:id="rId3" name="Button 1">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G29" sqref="G29"/>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[11]И1!D13</f>
        <v>Субъект Российской Федерации</v>
      </c>
      <c r="C4" s="11" t="str">
        <f>[11]И1!E13</f>
        <v>Новосибирская область</v>
      </c>
    </row>
    <row r="5" spans="1:3" ht="38.25" x14ac:dyDescent="0.2">
      <c r="A5" s="9"/>
      <c r="B5" s="10" t="str">
        <f>[11]И1!D14</f>
        <v>Тип муниципального образования (выберите из списка)</v>
      </c>
      <c r="C5" s="11" t="str">
        <f>[11]И1!E14</f>
        <v>село Мереть, Сузунский муниципальный район</v>
      </c>
    </row>
    <row r="6" spans="1:3" x14ac:dyDescent="0.2">
      <c r="A6" s="9"/>
      <c r="B6" s="10" t="str">
        <f>IF([11]И1!E15="","",[11]И1!D15)</f>
        <v/>
      </c>
      <c r="C6" s="11" t="str">
        <f>IF([11]И1!E15="","",[11]И1!E15)</f>
        <v/>
      </c>
    </row>
    <row r="7" spans="1:3" x14ac:dyDescent="0.2">
      <c r="A7" s="9"/>
      <c r="B7" s="10" t="str">
        <f>[11]И1!D16</f>
        <v>Код ОКТМО</v>
      </c>
      <c r="C7" s="12" t="str">
        <f>[11]И1!E16</f>
        <v xml:space="preserve"> (50648430101)</v>
      </c>
    </row>
    <row r="8" spans="1:3" x14ac:dyDescent="0.2">
      <c r="A8" s="9"/>
      <c r="B8" s="13" t="str">
        <f>[11]И1!D17</f>
        <v>Система теплоснабжения</v>
      </c>
      <c r="C8" s="14">
        <f>[11]И1!E17</f>
        <v>0</v>
      </c>
    </row>
    <row r="9" spans="1:3" x14ac:dyDescent="0.2">
      <c r="A9" s="9"/>
      <c r="B9" s="10" t="str">
        <f>[11]И1!D8</f>
        <v>Период регулирования (i)-й</v>
      </c>
      <c r="C9" s="15">
        <f>[11]И1!E8</f>
        <v>2023</v>
      </c>
    </row>
    <row r="10" spans="1:3" x14ac:dyDescent="0.2">
      <c r="A10" s="9"/>
      <c r="B10" s="10" t="str">
        <f>[11]И1!D9</f>
        <v>Период регулирования (i-1)-й</v>
      </c>
      <c r="C10" s="15">
        <f>[11]И1!E9</f>
        <v>2022</v>
      </c>
    </row>
    <row r="11" spans="1:3" x14ac:dyDescent="0.2">
      <c r="A11" s="9"/>
      <c r="B11" s="10" t="str">
        <f>[11]И1!D10</f>
        <v>Период регулирования (i-2)-й</v>
      </c>
      <c r="C11" s="15">
        <f>[11]И1!E10</f>
        <v>2021</v>
      </c>
    </row>
    <row r="12" spans="1:3" x14ac:dyDescent="0.2">
      <c r="A12" s="9"/>
      <c r="B12" s="10" t="str">
        <f>[11]И1!D11</f>
        <v>Базовый год (б)</v>
      </c>
      <c r="C12" s="15">
        <f>[11]И1!E11</f>
        <v>2019</v>
      </c>
    </row>
    <row r="13" spans="1:3" ht="38.25" x14ac:dyDescent="0.2">
      <c r="A13" s="9"/>
      <c r="B13" s="10" t="str">
        <f>[11]И1!D18</f>
        <v>Вид топлива, использование которого преобладает в системе теплоснабжения</v>
      </c>
      <c r="C13" s="16" t="str">
        <f>[11]С1.1!E13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3899.7935926680584</v>
      </c>
    </row>
    <row r="18" spans="1:3" ht="42.75" x14ac:dyDescent="0.2">
      <c r="A18" s="24" t="s">
        <v>8</v>
      </c>
      <c r="B18" s="27" t="s">
        <v>9</v>
      </c>
      <c r="C18" s="28">
        <f>[11]С1!F12</f>
        <v>804.92390358480577</v>
      </c>
    </row>
    <row r="19" spans="1:3" ht="42.75" x14ac:dyDescent="0.2">
      <c r="A19" s="24" t="s">
        <v>10</v>
      </c>
      <c r="B19" s="27" t="s">
        <v>11</v>
      </c>
      <c r="C19" s="28">
        <f>[11]С2!F12</f>
        <v>2108.7102251987935</v>
      </c>
    </row>
    <row r="20" spans="1:3" ht="30" x14ac:dyDescent="0.2">
      <c r="A20" s="24" t="s">
        <v>12</v>
      </c>
      <c r="B20" s="27" t="s">
        <v>13</v>
      </c>
      <c r="C20" s="28">
        <f>[11]С3!F12</f>
        <v>504.54115631660852</v>
      </c>
    </row>
    <row r="21" spans="1:3" ht="42.75" x14ac:dyDescent="0.2">
      <c r="A21" s="24" t="s">
        <v>14</v>
      </c>
      <c r="B21" s="27" t="s">
        <v>15</v>
      </c>
      <c r="C21" s="28">
        <f>[11]С4!F12</f>
        <v>405.15176653514362</v>
      </c>
    </row>
    <row r="22" spans="1:3" ht="30" x14ac:dyDescent="0.2">
      <c r="A22" s="24" t="s">
        <v>16</v>
      </c>
      <c r="B22" s="27" t="s">
        <v>17</v>
      </c>
      <c r="C22" s="28">
        <f>[11]С5!F12</f>
        <v>76.466541032707028</v>
      </c>
    </row>
    <row r="23" spans="1:3" ht="43.5" thickBot="1" x14ac:dyDescent="0.25">
      <c r="A23" s="29" t="s">
        <v>18</v>
      </c>
      <c r="B23" s="30" t="s">
        <v>19</v>
      </c>
      <c r="C23" s="31" t="str">
        <f>[11]С6!F12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[11]С1.1!E16</f>
        <v>5100</v>
      </c>
    </row>
    <row r="29" spans="1:3" ht="42.75" x14ac:dyDescent="0.2">
      <c r="A29" s="24" t="s">
        <v>10</v>
      </c>
      <c r="B29" s="37" t="s">
        <v>22</v>
      </c>
      <c r="C29" s="38">
        <f>[11]С1.1!E27</f>
        <v>2164.3058568329716</v>
      </c>
    </row>
    <row r="30" spans="1:3" ht="17.25" x14ac:dyDescent="0.2">
      <c r="A30" s="24" t="s">
        <v>12</v>
      </c>
      <c r="B30" s="37" t="s">
        <v>23</v>
      </c>
      <c r="C30" s="39">
        <f>[11]С1.1!E19</f>
        <v>0.59499999999999997</v>
      </c>
    </row>
    <row r="31" spans="1:3" ht="17.25" x14ac:dyDescent="0.2">
      <c r="A31" s="24" t="s">
        <v>14</v>
      </c>
      <c r="B31" s="37" t="s">
        <v>24</v>
      </c>
      <c r="C31" s="39">
        <f>[11]С1.1!E20</f>
        <v>-0.113</v>
      </c>
    </row>
    <row r="32" spans="1:3" ht="30" x14ac:dyDescent="0.2">
      <c r="A32" s="24" t="s">
        <v>16</v>
      </c>
      <c r="B32" s="40" t="s">
        <v>25</v>
      </c>
      <c r="C32" s="41">
        <f>[11]С1!F13</f>
        <v>176.4</v>
      </c>
    </row>
    <row r="33" spans="1:3" x14ac:dyDescent="0.2">
      <c r="A33" s="24" t="s">
        <v>18</v>
      </c>
      <c r="B33" s="40" t="s">
        <v>26</v>
      </c>
      <c r="C33" s="42">
        <f>[11]С1!F16</f>
        <v>7000</v>
      </c>
    </row>
    <row r="34" spans="1:3" ht="14.25" x14ac:dyDescent="0.2">
      <c r="A34" s="24" t="s">
        <v>27</v>
      </c>
      <c r="B34" s="43" t="s">
        <v>28</v>
      </c>
      <c r="C34" s="44">
        <f>[11]С1!F17</f>
        <v>0.72857142857142854</v>
      </c>
    </row>
    <row r="35" spans="1:3" ht="15.75" x14ac:dyDescent="0.2">
      <c r="A35" s="45" t="s">
        <v>29</v>
      </c>
      <c r="B35" s="46" t="s">
        <v>30</v>
      </c>
      <c r="C35" s="44">
        <f>[11]С1!F20</f>
        <v>21.588411179999994</v>
      </c>
    </row>
    <row r="36" spans="1:3" ht="15.75" x14ac:dyDescent="0.2">
      <c r="A36" s="45" t="s">
        <v>31</v>
      </c>
      <c r="B36" s="47" t="s">
        <v>32</v>
      </c>
      <c r="C36" s="44">
        <f>[11]С1!F21</f>
        <v>20.818139999999996</v>
      </c>
    </row>
    <row r="37" spans="1:3" ht="14.25" x14ac:dyDescent="0.2">
      <c r="A37" s="45" t="s">
        <v>33</v>
      </c>
      <c r="B37" s="48" t="s">
        <v>34</v>
      </c>
      <c r="C37" s="44">
        <f>[11]С1!F22</f>
        <v>1.0369999999999999</v>
      </c>
    </row>
    <row r="38" spans="1:3" ht="53.25" thickBot="1" x14ac:dyDescent="0.25">
      <c r="A38" s="29" t="s">
        <v>35</v>
      </c>
      <c r="B38" s="49" t="s">
        <v>36</v>
      </c>
      <c r="C38" s="50">
        <f>[11]С1!F23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[11]С2.1!E12</f>
        <v>V</v>
      </c>
    </row>
    <row r="42" spans="1:3" ht="25.5" x14ac:dyDescent="0.2">
      <c r="A42" s="24" t="s">
        <v>41</v>
      </c>
      <c r="B42" s="37" t="s">
        <v>42</v>
      </c>
      <c r="C42" s="56" t="str">
        <f>[11]С2.1!E13</f>
        <v>6 и менее баллов</v>
      </c>
    </row>
    <row r="43" spans="1:3" ht="25.5" x14ac:dyDescent="0.2">
      <c r="A43" s="24" t="s">
        <v>43</v>
      </c>
      <c r="B43" s="37" t="s">
        <v>44</v>
      </c>
      <c r="C43" s="56" t="str">
        <f>[11]С2.1!E14</f>
        <v>от 200 до 500</v>
      </c>
    </row>
    <row r="44" spans="1:3" ht="25.5" x14ac:dyDescent="0.2">
      <c r="A44" s="24" t="s">
        <v>45</v>
      </c>
      <c r="B44" s="37" t="s">
        <v>46</v>
      </c>
      <c r="C44" s="57" t="str">
        <f>[11]С2.1!E15</f>
        <v>нет</v>
      </c>
    </row>
    <row r="45" spans="1:3" ht="30" x14ac:dyDescent="0.2">
      <c r="A45" s="24" t="s">
        <v>47</v>
      </c>
      <c r="B45" s="37" t="s">
        <v>48</v>
      </c>
      <c r="C45" s="38">
        <f>[11]С2!F18</f>
        <v>32402.627334033532</v>
      </c>
    </row>
    <row r="46" spans="1:3" ht="30" x14ac:dyDescent="0.2">
      <c r="A46" s="24" t="s">
        <v>49</v>
      </c>
      <c r="B46" s="58" t="s">
        <v>50</v>
      </c>
      <c r="C46" s="38">
        <f>IF([11]С2!F19&gt;0,[11]С2!F19,[11]С2!F20)</f>
        <v>23441.524932855718</v>
      </c>
    </row>
    <row r="47" spans="1:3" ht="25.5" x14ac:dyDescent="0.2">
      <c r="A47" s="24" t="s">
        <v>51</v>
      </c>
      <c r="B47" s="59" t="s">
        <v>52</v>
      </c>
      <c r="C47" s="38">
        <f>[11]С2.1!E19</f>
        <v>-37</v>
      </c>
    </row>
    <row r="48" spans="1:3" ht="25.5" x14ac:dyDescent="0.2">
      <c r="A48" s="24" t="s">
        <v>53</v>
      </c>
      <c r="B48" s="59" t="s">
        <v>54</v>
      </c>
      <c r="C48" s="38" t="str">
        <f>[11]С2.1!E22</f>
        <v>нет</v>
      </c>
    </row>
    <row r="49" spans="1:3" ht="38.25" x14ac:dyDescent="0.2">
      <c r="A49" s="24" t="s">
        <v>55</v>
      </c>
      <c r="B49" s="60" t="s">
        <v>56</v>
      </c>
      <c r="C49" s="38">
        <f>[11]С2.2!E10</f>
        <v>1287</v>
      </c>
    </row>
    <row r="50" spans="1:3" ht="25.5" x14ac:dyDescent="0.2">
      <c r="A50" s="24" t="s">
        <v>57</v>
      </c>
      <c r="B50" s="61" t="s">
        <v>58</v>
      </c>
      <c r="C50" s="38">
        <f>[11]С2.2!E12</f>
        <v>5.97</v>
      </c>
    </row>
    <row r="51" spans="1:3" ht="52.5" x14ac:dyDescent="0.2">
      <c r="A51" s="24" t="s">
        <v>59</v>
      </c>
      <c r="B51" s="62" t="s">
        <v>60</v>
      </c>
      <c r="C51" s="38">
        <f>[11]С2.2!E13</f>
        <v>1</v>
      </c>
    </row>
    <row r="52" spans="1:3" ht="27.75" x14ac:dyDescent="0.2">
      <c r="A52" s="24" t="s">
        <v>61</v>
      </c>
      <c r="B52" s="61" t="s">
        <v>62</v>
      </c>
      <c r="C52" s="38">
        <f>[11]С2.2!E14</f>
        <v>12104</v>
      </c>
    </row>
    <row r="53" spans="1:3" ht="25.5" x14ac:dyDescent="0.2">
      <c r="A53" s="24" t="s">
        <v>63</v>
      </c>
      <c r="B53" s="62" t="s">
        <v>64</v>
      </c>
      <c r="C53" s="39">
        <f>[11]С2.2!E15</f>
        <v>4.8000000000000001E-2</v>
      </c>
    </row>
    <row r="54" spans="1:3" x14ac:dyDescent="0.2">
      <c r="A54" s="24" t="s">
        <v>65</v>
      </c>
      <c r="B54" s="62" t="s">
        <v>66</v>
      </c>
      <c r="C54" s="38">
        <f>[11]С2.2!E16</f>
        <v>1</v>
      </c>
    </row>
    <row r="55" spans="1:3" ht="15.75" x14ac:dyDescent="0.2">
      <c r="A55" s="24" t="s">
        <v>67</v>
      </c>
      <c r="B55" s="63" t="s">
        <v>68</v>
      </c>
      <c r="C55" s="38">
        <f>[11]С2!F21</f>
        <v>1</v>
      </c>
    </row>
    <row r="56" spans="1:3" ht="30" x14ac:dyDescent="0.2">
      <c r="A56" s="64" t="s">
        <v>69</v>
      </c>
      <c r="B56" s="37" t="s">
        <v>70</v>
      </c>
      <c r="C56" s="38">
        <f>[11]С2!F13</f>
        <v>169640.22915965237</v>
      </c>
    </row>
    <row r="57" spans="1:3" ht="30" x14ac:dyDescent="0.2">
      <c r="A57" s="64" t="s">
        <v>71</v>
      </c>
      <c r="B57" s="63" t="s">
        <v>72</v>
      </c>
      <c r="C57" s="38">
        <f>[11]С2!F14</f>
        <v>113455</v>
      </c>
    </row>
    <row r="58" spans="1:3" ht="15.75" x14ac:dyDescent="0.2">
      <c r="A58" s="64" t="s">
        <v>73</v>
      </c>
      <c r="B58" s="65" t="s">
        <v>74</v>
      </c>
      <c r="C58" s="44">
        <f>[11]С2!F15</f>
        <v>1.071</v>
      </c>
    </row>
    <row r="59" spans="1:3" ht="15.75" x14ac:dyDescent="0.2">
      <c r="A59" s="64" t="s">
        <v>75</v>
      </c>
      <c r="B59" s="65" t="s">
        <v>76</v>
      </c>
      <c r="C59" s="44">
        <f>[11]С2!F16</f>
        <v>1</v>
      </c>
    </row>
    <row r="60" spans="1:3" ht="17.25" x14ac:dyDescent="0.2">
      <c r="A60" s="64" t="s">
        <v>77</v>
      </c>
      <c r="B60" s="63" t="s">
        <v>78</v>
      </c>
      <c r="C60" s="38">
        <f>[11]С2!F17</f>
        <v>1.01</v>
      </c>
    </row>
    <row r="61" spans="1:3" s="68" customFormat="1" ht="14.25" x14ac:dyDescent="0.2">
      <c r="A61" s="64" t="s">
        <v>79</v>
      </c>
      <c r="B61" s="66" t="s">
        <v>80</v>
      </c>
      <c r="C61" s="67">
        <f>[11]С2!F33</f>
        <v>10</v>
      </c>
    </row>
    <row r="62" spans="1:3" ht="30" x14ac:dyDescent="0.2">
      <c r="A62" s="64" t="s">
        <v>81</v>
      </c>
      <c r="B62" s="69" t="s">
        <v>82</v>
      </c>
      <c r="C62" s="38">
        <f>[11]С2!F26</f>
        <v>1424.4887832283189</v>
      </c>
    </row>
    <row r="63" spans="1:3" ht="17.25" x14ac:dyDescent="0.2">
      <c r="A63" s="64" t="s">
        <v>83</v>
      </c>
      <c r="B63" s="58" t="s">
        <v>84</v>
      </c>
      <c r="C63" s="38">
        <f>[11]С2!F27</f>
        <v>0.24536656199999998</v>
      </c>
    </row>
    <row r="64" spans="1:3" ht="17.25" x14ac:dyDescent="0.2">
      <c r="A64" s="64" t="s">
        <v>85</v>
      </c>
      <c r="B64" s="63" t="s">
        <v>86</v>
      </c>
      <c r="C64" s="67">
        <f>[11]С2!F28</f>
        <v>4200</v>
      </c>
    </row>
    <row r="65" spans="1:3" ht="42.75" x14ac:dyDescent="0.2">
      <c r="A65" s="64" t="s">
        <v>87</v>
      </c>
      <c r="B65" s="37" t="s">
        <v>88</v>
      </c>
      <c r="C65" s="38">
        <f>[11]С2!F22</f>
        <v>35717.748653137714</v>
      </c>
    </row>
    <row r="66" spans="1:3" ht="30" x14ac:dyDescent="0.2">
      <c r="A66" s="64" t="s">
        <v>89</v>
      </c>
      <c r="B66" s="65" t="s">
        <v>90</v>
      </c>
      <c r="C66" s="38">
        <f>[11]С2!F23</f>
        <v>1990</v>
      </c>
    </row>
    <row r="67" spans="1:3" ht="30" x14ac:dyDescent="0.2">
      <c r="A67" s="64" t="s">
        <v>91</v>
      </c>
      <c r="B67" s="58" t="s">
        <v>92</v>
      </c>
      <c r="C67" s="38">
        <f>[11]С2.1!E27</f>
        <v>14307.876789999998</v>
      </c>
    </row>
    <row r="68" spans="1:3" ht="38.25" x14ac:dyDescent="0.2">
      <c r="A68" s="64" t="s">
        <v>93</v>
      </c>
      <c r="B68" s="70" t="s">
        <v>94</v>
      </c>
      <c r="C68" s="57">
        <f>[11]С2.3!E21</f>
        <v>0</v>
      </c>
    </row>
    <row r="69" spans="1:3" ht="25.5" x14ac:dyDescent="0.2">
      <c r="A69" s="64" t="s">
        <v>95</v>
      </c>
      <c r="B69" s="71" t="s">
        <v>96</v>
      </c>
      <c r="C69" s="72">
        <f>[11]С2.3!E11</f>
        <v>9.89</v>
      </c>
    </row>
    <row r="70" spans="1:3" ht="25.5" x14ac:dyDescent="0.2">
      <c r="A70" s="64" t="s">
        <v>97</v>
      </c>
      <c r="B70" s="71" t="s">
        <v>98</v>
      </c>
      <c r="C70" s="67">
        <f>[11]С2.3!E13</f>
        <v>300</v>
      </c>
    </row>
    <row r="71" spans="1:3" ht="25.5" x14ac:dyDescent="0.2">
      <c r="A71" s="64" t="s">
        <v>99</v>
      </c>
      <c r="B71" s="70" t="s">
        <v>100</v>
      </c>
      <c r="C71" s="73">
        <f>IF([11]С2.3!E22&gt;0,[11]С2.3!E22,[11]С2.3!E14)</f>
        <v>61211</v>
      </c>
    </row>
    <row r="72" spans="1:3" ht="38.25" x14ac:dyDescent="0.2">
      <c r="A72" s="64" t="s">
        <v>101</v>
      </c>
      <c r="B72" s="70" t="s">
        <v>102</v>
      </c>
      <c r="C72" s="73">
        <f>IF([11]С2.3!E23&gt;0,[11]С2.3!E23,[11]С2.3!E15)</f>
        <v>45675</v>
      </c>
    </row>
    <row r="73" spans="1:3" ht="30" x14ac:dyDescent="0.2">
      <c r="A73" s="64" t="s">
        <v>103</v>
      </c>
      <c r="B73" s="58" t="s">
        <v>104</v>
      </c>
      <c r="C73" s="38">
        <f>[11]С2.1!E28</f>
        <v>9541.9567200000001</v>
      </c>
    </row>
    <row r="74" spans="1:3" ht="38.25" x14ac:dyDescent="0.2">
      <c r="A74" s="64" t="s">
        <v>105</v>
      </c>
      <c r="B74" s="70" t="s">
        <v>106</v>
      </c>
      <c r="C74" s="57">
        <f>[11]С2.3!E25</f>
        <v>0</v>
      </c>
    </row>
    <row r="75" spans="1:3" ht="25.5" x14ac:dyDescent="0.2">
      <c r="A75" s="64" t="s">
        <v>107</v>
      </c>
      <c r="B75" s="71" t="s">
        <v>108</v>
      </c>
      <c r="C75" s="72">
        <f>[11]С2.3!E12</f>
        <v>0.56000000000000005</v>
      </c>
    </row>
    <row r="76" spans="1:3" ht="25.5" x14ac:dyDescent="0.2">
      <c r="A76" s="64" t="s">
        <v>109</v>
      </c>
      <c r="B76" s="71" t="s">
        <v>98</v>
      </c>
      <c r="C76" s="67">
        <f>[11]С2.3!E13</f>
        <v>300</v>
      </c>
    </row>
    <row r="77" spans="1:3" ht="25.5" x14ac:dyDescent="0.2">
      <c r="A77" s="64" t="s">
        <v>110</v>
      </c>
      <c r="B77" s="74" t="s">
        <v>111</v>
      </c>
      <c r="C77" s="73">
        <f>IF([11]С2.3!E26&gt;0,[11]С2.3!E26,[11]С2.3!E16)</f>
        <v>65637</v>
      </c>
    </row>
    <row r="78" spans="1:3" ht="38.25" x14ac:dyDescent="0.2">
      <c r="A78" s="64" t="s">
        <v>112</v>
      </c>
      <c r="B78" s="74" t="s">
        <v>113</v>
      </c>
      <c r="C78" s="73">
        <f>IF([11]С2.3!E27&gt;0,[11]С2.3!E27,[11]С2.3!E17)</f>
        <v>31684</v>
      </c>
    </row>
    <row r="79" spans="1:3" ht="17.25" x14ac:dyDescent="0.2">
      <c r="A79" s="64" t="s">
        <v>114</v>
      </c>
      <c r="B79" s="37" t="s">
        <v>115</v>
      </c>
      <c r="C79" s="39">
        <f>[11]С2!F29</f>
        <v>0.128978033685065</v>
      </c>
    </row>
    <row r="80" spans="1:3" ht="30" x14ac:dyDescent="0.2">
      <c r="A80" s="64" t="s">
        <v>116</v>
      </c>
      <c r="B80" s="58" t="s">
        <v>117</v>
      </c>
      <c r="C80" s="75">
        <f>[11]С2!F30</f>
        <v>0.11668498168498169</v>
      </c>
    </row>
    <row r="81" spans="1:3" ht="17.25" x14ac:dyDescent="0.2">
      <c r="A81" s="64" t="s">
        <v>118</v>
      </c>
      <c r="B81" s="76" t="s">
        <v>119</v>
      </c>
      <c r="C81" s="39">
        <f>[11]С2!F31</f>
        <v>0.13880000000000001</v>
      </c>
    </row>
    <row r="82" spans="1:3" s="68" customFormat="1" ht="18" thickBot="1" x14ac:dyDescent="0.25">
      <c r="A82" s="77" t="s">
        <v>120</v>
      </c>
      <c r="B82" s="78" t="s">
        <v>121</v>
      </c>
      <c r="C82" s="79">
        <f>[11]С2!F32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[11]С3!F14</f>
        <v>7012.1794194579406</v>
      </c>
    </row>
    <row r="86" spans="1:3" s="68" customFormat="1" ht="42.75" x14ac:dyDescent="0.2">
      <c r="A86" s="82" t="s">
        <v>126</v>
      </c>
      <c r="B86" s="58" t="s">
        <v>127</v>
      </c>
      <c r="C86" s="83">
        <f>[11]С3!F15</f>
        <v>0.2</v>
      </c>
    </row>
    <row r="87" spans="1:3" s="68" customFormat="1" ht="14.25" x14ac:dyDescent="0.2">
      <c r="A87" s="82" t="s">
        <v>128</v>
      </c>
      <c r="B87" s="84" t="s">
        <v>129</v>
      </c>
      <c r="C87" s="67">
        <f>[11]С3!F18</f>
        <v>15</v>
      </c>
    </row>
    <row r="88" spans="1:3" s="68" customFormat="1" ht="17.25" x14ac:dyDescent="0.2">
      <c r="A88" s="82" t="s">
        <v>130</v>
      </c>
      <c r="B88" s="37" t="s">
        <v>131</v>
      </c>
      <c r="C88" s="38">
        <f>[11]С3!F19</f>
        <v>3487.1555421534131</v>
      </c>
    </row>
    <row r="89" spans="1:3" s="68" customFormat="1" ht="55.5" x14ac:dyDescent="0.2">
      <c r="A89" s="82" t="s">
        <v>132</v>
      </c>
      <c r="B89" s="58" t="s">
        <v>133</v>
      </c>
      <c r="C89" s="85">
        <f>[11]С3!F20</f>
        <v>2.1999999999999999E-2</v>
      </c>
    </row>
    <row r="90" spans="1:3" s="68" customFormat="1" ht="14.25" x14ac:dyDescent="0.2">
      <c r="A90" s="82" t="s">
        <v>134</v>
      </c>
      <c r="B90" s="63" t="s">
        <v>80</v>
      </c>
      <c r="C90" s="67">
        <f>[11]С3!F21</f>
        <v>10</v>
      </c>
    </row>
    <row r="91" spans="1:3" s="68" customFormat="1" ht="17.25" x14ac:dyDescent="0.2">
      <c r="A91" s="82" t="s">
        <v>135</v>
      </c>
      <c r="B91" s="37" t="s">
        <v>136</v>
      </c>
      <c r="C91" s="38">
        <f>[11]С3!F22</f>
        <v>4.2734663496849565</v>
      </c>
    </row>
    <row r="92" spans="1:3" s="68" customFormat="1" ht="55.5" x14ac:dyDescent="0.2">
      <c r="A92" s="82" t="s">
        <v>137</v>
      </c>
      <c r="B92" s="58" t="s">
        <v>138</v>
      </c>
      <c r="C92" s="85">
        <f>[11]С3!F23</f>
        <v>3.0000000000000001E-3</v>
      </c>
    </row>
    <row r="93" spans="1:3" s="68" customFormat="1" ht="27.75" thickBot="1" x14ac:dyDescent="0.25">
      <c r="A93" s="86" t="s">
        <v>139</v>
      </c>
      <c r="B93" s="87" t="s">
        <v>140</v>
      </c>
      <c r="C93" s="88">
        <f>[11]С3!F24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[11]С4!F16</f>
        <v>1652.5</v>
      </c>
    </row>
    <row r="97" spans="1:3" ht="30" x14ac:dyDescent="0.2">
      <c r="A97" s="64" t="s">
        <v>145</v>
      </c>
      <c r="B97" s="63" t="s">
        <v>146</v>
      </c>
      <c r="C97" s="38">
        <f>[11]С4!F17</f>
        <v>73547</v>
      </c>
    </row>
    <row r="98" spans="1:3" ht="17.25" x14ac:dyDescent="0.2">
      <c r="A98" s="64" t="s">
        <v>147</v>
      </c>
      <c r="B98" s="63" t="s">
        <v>148</v>
      </c>
      <c r="C98" s="44">
        <f>[11]С4!F18</f>
        <v>0.02</v>
      </c>
    </row>
    <row r="99" spans="1:3" ht="30" x14ac:dyDescent="0.2">
      <c r="A99" s="64" t="s">
        <v>149</v>
      </c>
      <c r="B99" s="63" t="s">
        <v>150</v>
      </c>
      <c r="C99" s="38">
        <f>[11]С4!F19</f>
        <v>12104</v>
      </c>
    </row>
    <row r="100" spans="1:3" ht="31.5" x14ac:dyDescent="0.2">
      <c r="A100" s="64" t="s">
        <v>151</v>
      </c>
      <c r="B100" s="63" t="s">
        <v>152</v>
      </c>
      <c r="C100" s="44">
        <f>[11]С4!F20</f>
        <v>1.4999999999999999E-2</v>
      </c>
    </row>
    <row r="101" spans="1:3" ht="30" x14ac:dyDescent="0.2">
      <c r="A101" s="64" t="s">
        <v>153</v>
      </c>
      <c r="B101" s="37" t="s">
        <v>154</v>
      </c>
      <c r="C101" s="38">
        <f>[11]С4!F21</f>
        <v>1933.1949342509995</v>
      </c>
    </row>
    <row r="102" spans="1:3" ht="24" customHeight="1" x14ac:dyDescent="0.2">
      <c r="A102" s="64" t="s">
        <v>155</v>
      </c>
      <c r="B102" s="58" t="s">
        <v>156</v>
      </c>
      <c r="C102" s="90">
        <f>IF([11]С4.2!F8="да",[11]С4.2!D21,[11]С4.2!D15)</f>
        <v>0</v>
      </c>
    </row>
    <row r="103" spans="1:3" ht="68.25" x14ac:dyDescent="0.2">
      <c r="A103" s="64" t="s">
        <v>157</v>
      </c>
      <c r="B103" s="58" t="s">
        <v>158</v>
      </c>
      <c r="C103" s="38">
        <f>[11]С4!F22</f>
        <v>3.6112641666666665</v>
      </c>
    </row>
    <row r="104" spans="1:3" ht="30" x14ac:dyDescent="0.2">
      <c r="A104" s="64" t="s">
        <v>159</v>
      </c>
      <c r="B104" s="63" t="s">
        <v>160</v>
      </c>
      <c r="C104" s="38">
        <f>[11]С4!F23</f>
        <v>180</v>
      </c>
    </row>
    <row r="105" spans="1:3" ht="14.25" x14ac:dyDescent="0.2">
      <c r="A105" s="64" t="s">
        <v>161</v>
      </c>
      <c r="B105" s="58" t="s">
        <v>162</v>
      </c>
      <c r="C105" s="38">
        <f>[11]С4!F24</f>
        <v>8497.1999999999989</v>
      </c>
    </row>
    <row r="106" spans="1:3" ht="14.25" x14ac:dyDescent="0.2">
      <c r="A106" s="64" t="s">
        <v>163</v>
      </c>
      <c r="B106" s="63" t="s">
        <v>164</v>
      </c>
      <c r="C106" s="44">
        <f>[11]С4!F25</f>
        <v>0.35</v>
      </c>
    </row>
    <row r="107" spans="1:3" ht="17.25" x14ac:dyDescent="0.2">
      <c r="A107" s="64" t="s">
        <v>165</v>
      </c>
      <c r="B107" s="37" t="s">
        <v>166</v>
      </c>
      <c r="C107" s="38">
        <f>[11]С4!F26</f>
        <v>88.767030000000005</v>
      </c>
    </row>
    <row r="108" spans="1:3" ht="25.5" x14ac:dyDescent="0.2">
      <c r="A108" s="64" t="s">
        <v>167</v>
      </c>
      <c r="B108" s="58" t="s">
        <v>94</v>
      </c>
      <c r="C108" s="90">
        <f>[11]С4.3!E16</f>
        <v>0</v>
      </c>
    </row>
    <row r="109" spans="1:3" ht="25.5" x14ac:dyDescent="0.2">
      <c r="A109" s="64" t="s">
        <v>168</v>
      </c>
      <c r="B109" s="58" t="s">
        <v>169</v>
      </c>
      <c r="C109" s="38">
        <f>[11]С4.3!E17</f>
        <v>21.25</v>
      </c>
    </row>
    <row r="110" spans="1:3" ht="38.25" x14ac:dyDescent="0.2">
      <c r="A110" s="64" t="s">
        <v>170</v>
      </c>
      <c r="B110" s="58" t="s">
        <v>106</v>
      </c>
      <c r="C110" s="90">
        <f>[11]С4.3!E18</f>
        <v>0</v>
      </c>
    </row>
    <row r="111" spans="1:3" x14ac:dyDescent="0.2">
      <c r="A111" s="64" t="s">
        <v>171</v>
      </c>
      <c r="B111" s="58" t="s">
        <v>172</v>
      </c>
      <c r="C111" s="38">
        <f>[11]С4.3!E19</f>
        <v>69.819999999999993</v>
      </c>
    </row>
    <row r="112" spans="1:3" x14ac:dyDescent="0.2">
      <c r="A112" s="64" t="s">
        <v>173</v>
      </c>
      <c r="B112" s="63" t="s">
        <v>174</v>
      </c>
      <c r="C112" s="38">
        <f>[11]С4.3!E11</f>
        <v>1871</v>
      </c>
    </row>
    <row r="113" spans="1:3" x14ac:dyDescent="0.2">
      <c r="A113" s="64" t="s">
        <v>175</v>
      </c>
      <c r="B113" s="63" t="s">
        <v>176</v>
      </c>
      <c r="C113" s="57">
        <f>[11]С4.3!E12</f>
        <v>1636</v>
      </c>
    </row>
    <row r="114" spans="1:3" x14ac:dyDescent="0.2">
      <c r="A114" s="64" t="s">
        <v>177</v>
      </c>
      <c r="B114" s="63" t="s">
        <v>178</v>
      </c>
      <c r="C114" s="57">
        <f>[11]С4.3!E13</f>
        <v>204</v>
      </c>
    </row>
    <row r="115" spans="1:3" ht="30" x14ac:dyDescent="0.2">
      <c r="A115" s="64" t="s">
        <v>179</v>
      </c>
      <c r="B115" s="37" t="s">
        <v>180</v>
      </c>
      <c r="C115" s="38">
        <f>[11]С4!F27</f>
        <v>1047.1575926659227</v>
      </c>
    </row>
    <row r="116" spans="1:3" ht="25.5" x14ac:dyDescent="0.2">
      <c r="A116" s="64" t="s">
        <v>181</v>
      </c>
      <c r="B116" s="58" t="s">
        <v>182</v>
      </c>
      <c r="C116" s="38">
        <f>[11]С4!F28</f>
        <v>804.26850435170718</v>
      </c>
    </row>
    <row r="117" spans="1:3" ht="42.75" x14ac:dyDescent="0.2">
      <c r="A117" s="64" t="s">
        <v>183</v>
      </c>
      <c r="B117" s="58" t="s">
        <v>184</v>
      </c>
      <c r="C117" s="38">
        <f>[11]С4!F29</f>
        <v>242.8890883142156</v>
      </c>
    </row>
    <row r="118" spans="1:3" ht="30" x14ac:dyDescent="0.2">
      <c r="A118" s="64" t="s">
        <v>185</v>
      </c>
      <c r="B118" s="43" t="s">
        <v>186</v>
      </c>
      <c r="C118" s="38">
        <f>[11]С4!F30</f>
        <v>1907.9308417426123</v>
      </c>
    </row>
    <row r="119" spans="1:3" ht="42.75" x14ac:dyDescent="0.2">
      <c r="A119" s="64" t="s">
        <v>187</v>
      </c>
      <c r="B119" s="91" t="s">
        <v>188</v>
      </c>
      <c r="C119" s="38">
        <f>[11]С4!F33</f>
        <v>1190.0319769922489</v>
      </c>
    </row>
    <row r="120" spans="1:3" ht="30" x14ac:dyDescent="0.2">
      <c r="A120" s="64" t="s">
        <v>189</v>
      </c>
      <c r="B120" s="92" t="s">
        <v>190</v>
      </c>
      <c r="C120" s="38">
        <f>[11]С4!F35</f>
        <v>17.040680999999999</v>
      </c>
    </row>
    <row r="121" spans="1:3" ht="14.25" x14ac:dyDescent="0.2">
      <c r="A121" s="64" t="s">
        <v>191</v>
      </c>
      <c r="B121" s="61" t="s">
        <v>192</v>
      </c>
      <c r="C121" s="38">
        <f>[11]С4!F36</f>
        <v>14319.9</v>
      </c>
    </row>
    <row r="122" spans="1:3" ht="28.5" thickBot="1" x14ac:dyDescent="0.25">
      <c r="A122" s="77" t="s">
        <v>193</v>
      </c>
      <c r="B122" s="93" t="s">
        <v>194</v>
      </c>
      <c r="C122" s="88">
        <f>[11]С4!F37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[11]С5!F17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[11]С2!F37</f>
        <v>20.818139999999996</v>
      </c>
    </row>
    <row r="136" spans="1:4" ht="14.25" x14ac:dyDescent="0.2">
      <c r="A136" s="64" t="s">
        <v>216</v>
      </c>
      <c r="B136" s="107" t="s">
        <v>217</v>
      </c>
      <c r="C136" s="38">
        <f>[11]С2!F38</f>
        <v>7</v>
      </c>
    </row>
    <row r="137" spans="1:4" ht="17.25" x14ac:dyDescent="0.2">
      <c r="A137" s="64" t="s">
        <v>218</v>
      </c>
      <c r="B137" s="107" t="s">
        <v>219</v>
      </c>
      <c r="C137" s="38">
        <f>[11]С2!F40</f>
        <v>0.97</v>
      </c>
    </row>
    <row r="138" spans="1:4" ht="15" thickBot="1" x14ac:dyDescent="0.25">
      <c r="A138" s="77" t="s">
        <v>220</v>
      </c>
      <c r="B138" s="108" t="s">
        <v>221</v>
      </c>
      <c r="C138" s="50">
        <f>[11]С2!F42</f>
        <v>0.35</v>
      </c>
    </row>
    <row r="139" spans="1:4" s="94" customFormat="1" ht="13.5" thickBot="1" x14ac:dyDescent="0.25">
      <c r="A139" s="51"/>
      <c r="B139" s="80"/>
      <c r="C139" s="16"/>
    </row>
    <row r="140" spans="1:4" ht="30" x14ac:dyDescent="0.2">
      <c r="A140" s="89" t="s">
        <v>222</v>
      </c>
      <c r="B140" s="109" t="s">
        <v>223</v>
      </c>
      <c r="C140" s="110">
        <f>[11]С2!F35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[11]С2.5!$E$11</f>
        <v>-2.9000000000000026E-2</v>
      </c>
      <c r="D143" s="94"/>
    </row>
    <row r="144" spans="1:4" x14ac:dyDescent="0.2">
      <c r="A144" s="112"/>
      <c r="B144" s="117">
        <f>B143+1</f>
        <v>2021</v>
      </c>
      <c r="C144" s="118">
        <f>[11]С2.5!$F$11</f>
        <v>0.245</v>
      </c>
      <c r="D144" s="94"/>
    </row>
    <row r="145" spans="1:4" x14ac:dyDescent="0.2">
      <c r="A145" s="112"/>
      <c r="B145" s="117">
        <f t="shared" ref="B145:B208" si="0">B144+1</f>
        <v>2022</v>
      </c>
      <c r="C145" s="118">
        <f>[11]С2.5!$G$11</f>
        <v>0.121</v>
      </c>
      <c r="D145" s="94"/>
    </row>
    <row r="146" spans="1:4" ht="13.5" thickBot="1" x14ac:dyDescent="0.25">
      <c r="A146" s="112"/>
      <c r="B146" s="119">
        <f t="shared" si="0"/>
        <v>2023</v>
      </c>
      <c r="C146" s="120">
        <f>[11]С2.5!$H$11</f>
        <v>0.02</v>
      </c>
      <c r="D146" s="94"/>
    </row>
    <row r="147" spans="1:4" hidden="1" x14ac:dyDescent="0.2">
      <c r="A147" s="112"/>
      <c r="B147" s="121">
        <f t="shared" si="0"/>
        <v>2024</v>
      </c>
      <c r="C147" s="122">
        <f>[11]С2.5!$I$11</f>
        <v>-2.93E-2</v>
      </c>
      <c r="D147" s="94"/>
    </row>
    <row r="148" spans="1:4" hidden="1" x14ac:dyDescent="0.2">
      <c r="A148" s="112"/>
      <c r="B148" s="117">
        <f t="shared" si="0"/>
        <v>2025</v>
      </c>
      <c r="C148" s="118">
        <f>[11]С2.5!$J$11</f>
        <v>0.21215960863291</v>
      </c>
      <c r="D148" s="94"/>
    </row>
    <row r="149" spans="1:4" hidden="1" x14ac:dyDescent="0.2">
      <c r="A149" s="112"/>
      <c r="B149" s="117">
        <f t="shared" si="0"/>
        <v>2026</v>
      </c>
      <c r="C149" s="118">
        <f>[11]С2.5!$K$11</f>
        <v>3.5813361771260002E-2</v>
      </c>
      <c r="D149" s="94"/>
    </row>
    <row r="150" spans="1:4" hidden="1" x14ac:dyDescent="0.2">
      <c r="A150" s="112"/>
      <c r="B150" s="117">
        <f t="shared" si="0"/>
        <v>2027</v>
      </c>
      <c r="C150" s="118">
        <f>[11]С2.5!$L$11</f>
        <v>3.2682303599220003E-2</v>
      </c>
      <c r="D150" s="94"/>
    </row>
    <row r="151" spans="1:4" hidden="1" x14ac:dyDescent="0.2">
      <c r="A151" s="112"/>
      <c r="B151" s="117">
        <f t="shared" si="0"/>
        <v>2028</v>
      </c>
      <c r="C151" s="118">
        <f>[11]С2.5!$M$11</f>
        <v>0</v>
      </c>
      <c r="D151" s="94"/>
    </row>
    <row r="152" spans="1:4" hidden="1" x14ac:dyDescent="0.2">
      <c r="A152" s="112"/>
      <c r="B152" s="117">
        <f t="shared" si="0"/>
        <v>2029</v>
      </c>
      <c r="C152" s="118">
        <f>[11]С2.5!$N$11</f>
        <v>0</v>
      </c>
      <c r="D152" s="94"/>
    </row>
    <row r="153" spans="1:4" hidden="1" x14ac:dyDescent="0.2">
      <c r="A153" s="112"/>
      <c r="B153" s="117">
        <f t="shared" si="0"/>
        <v>2030</v>
      </c>
      <c r="C153" s="118">
        <f>[11]С2.5!$O$11</f>
        <v>0</v>
      </c>
      <c r="D153" s="94"/>
    </row>
    <row r="154" spans="1:4" hidden="1" x14ac:dyDescent="0.2">
      <c r="A154" s="112"/>
      <c r="B154" s="117">
        <f t="shared" si="0"/>
        <v>2031</v>
      </c>
      <c r="C154" s="118">
        <f>[11]С2.5!$P$11</f>
        <v>0</v>
      </c>
      <c r="D154" s="94"/>
    </row>
    <row r="155" spans="1:4" hidden="1" x14ac:dyDescent="0.2">
      <c r="A155" s="94"/>
      <c r="B155" s="117">
        <f t="shared" si="0"/>
        <v>2032</v>
      </c>
      <c r="C155" s="118">
        <f>[11]С2.5!$Q$11</f>
        <v>0</v>
      </c>
      <c r="D155" s="94"/>
    </row>
    <row r="156" spans="1:4" hidden="1" x14ac:dyDescent="0.2">
      <c r="A156" s="94"/>
      <c r="B156" s="117">
        <f t="shared" si="0"/>
        <v>2033</v>
      </c>
      <c r="C156" s="118">
        <f>[11]С2.5!$R$11</f>
        <v>0</v>
      </c>
      <c r="D156" s="94"/>
    </row>
    <row r="157" spans="1:4" hidden="1" x14ac:dyDescent="0.2">
      <c r="B157" s="117">
        <f t="shared" si="0"/>
        <v>2034</v>
      </c>
      <c r="C157" s="118">
        <f>[11]С2.5!$S$11</f>
        <v>0</v>
      </c>
    </row>
    <row r="158" spans="1:4" hidden="1" x14ac:dyDescent="0.2">
      <c r="B158" s="117">
        <f t="shared" si="0"/>
        <v>2035</v>
      </c>
      <c r="C158" s="118">
        <f>[11]С2.5!$T$11</f>
        <v>0</v>
      </c>
    </row>
    <row r="159" spans="1:4" hidden="1" x14ac:dyDescent="0.2">
      <c r="B159" s="117">
        <f t="shared" si="0"/>
        <v>2036</v>
      </c>
      <c r="C159" s="118">
        <f>[11]С2.5!$U$11</f>
        <v>0</v>
      </c>
    </row>
    <row r="160" spans="1:4" hidden="1" x14ac:dyDescent="0.2">
      <c r="B160" s="117">
        <f t="shared" si="0"/>
        <v>2037</v>
      </c>
      <c r="C160" s="118">
        <f>[11]С2.5!$V$11</f>
        <v>0</v>
      </c>
    </row>
    <row r="161" spans="2:3" hidden="1" x14ac:dyDescent="0.2">
      <c r="B161" s="117">
        <f t="shared" si="0"/>
        <v>2038</v>
      </c>
      <c r="C161" s="118">
        <f>[11]С2.5!$W$11</f>
        <v>0</v>
      </c>
    </row>
    <row r="162" spans="2:3" hidden="1" x14ac:dyDescent="0.2">
      <c r="B162" s="117">
        <f t="shared" si="0"/>
        <v>2039</v>
      </c>
      <c r="C162" s="118">
        <f>[11]С2.5!$X$11</f>
        <v>0</v>
      </c>
    </row>
    <row r="163" spans="2:3" hidden="1" x14ac:dyDescent="0.2">
      <c r="B163" s="117">
        <f t="shared" si="0"/>
        <v>2040</v>
      </c>
      <c r="C163" s="118">
        <f>[11]С2.5!$Y$11</f>
        <v>0</v>
      </c>
    </row>
    <row r="164" spans="2:3" hidden="1" x14ac:dyDescent="0.2">
      <c r="B164" s="117">
        <f t="shared" si="0"/>
        <v>2041</v>
      </c>
      <c r="C164" s="118">
        <f>[11]С2.5!$Z$11</f>
        <v>0</v>
      </c>
    </row>
    <row r="165" spans="2:3" hidden="1" x14ac:dyDescent="0.2">
      <c r="B165" s="117">
        <f t="shared" si="0"/>
        <v>2042</v>
      </c>
      <c r="C165" s="118">
        <f>[11]С2.5!$AA$11</f>
        <v>0</v>
      </c>
    </row>
    <row r="166" spans="2:3" hidden="1" x14ac:dyDescent="0.2">
      <c r="B166" s="117">
        <f t="shared" si="0"/>
        <v>2043</v>
      </c>
      <c r="C166" s="118">
        <f>[11]С2.5!$AB$11</f>
        <v>0</v>
      </c>
    </row>
    <row r="167" spans="2:3" hidden="1" x14ac:dyDescent="0.2">
      <c r="B167" s="117">
        <f t="shared" si="0"/>
        <v>2044</v>
      </c>
      <c r="C167" s="118">
        <f>[11]С2.5!$AC$11</f>
        <v>0</v>
      </c>
    </row>
    <row r="168" spans="2:3" hidden="1" x14ac:dyDescent="0.2">
      <c r="B168" s="117">
        <f t="shared" si="0"/>
        <v>2045</v>
      </c>
      <c r="C168" s="118">
        <f>[11]С2.5!$AD$11</f>
        <v>0</v>
      </c>
    </row>
    <row r="169" spans="2:3" hidden="1" x14ac:dyDescent="0.2">
      <c r="B169" s="117">
        <f t="shared" si="0"/>
        <v>2046</v>
      </c>
      <c r="C169" s="118">
        <f>[11]С2.5!$AE$11</f>
        <v>0</v>
      </c>
    </row>
    <row r="170" spans="2:3" hidden="1" x14ac:dyDescent="0.2">
      <c r="B170" s="117">
        <f t="shared" si="0"/>
        <v>2047</v>
      </c>
      <c r="C170" s="118">
        <f>[11]С2.5!$AF$11</f>
        <v>0</v>
      </c>
    </row>
    <row r="171" spans="2:3" hidden="1" x14ac:dyDescent="0.2">
      <c r="B171" s="117">
        <f t="shared" si="0"/>
        <v>2048</v>
      </c>
      <c r="C171" s="118">
        <f>[11]С2.5!$AG$11</f>
        <v>0</v>
      </c>
    </row>
    <row r="172" spans="2:3" hidden="1" x14ac:dyDescent="0.2">
      <c r="B172" s="117">
        <f t="shared" si="0"/>
        <v>2049</v>
      </c>
      <c r="C172" s="118">
        <f>[11]С2.5!$AH$11</f>
        <v>0</v>
      </c>
    </row>
    <row r="173" spans="2:3" hidden="1" x14ac:dyDescent="0.2">
      <c r="B173" s="117">
        <f t="shared" si="0"/>
        <v>2050</v>
      </c>
      <c r="C173" s="118">
        <f>[11]С2.5!$AI$11</f>
        <v>0</v>
      </c>
    </row>
    <row r="174" spans="2:3" hidden="1" x14ac:dyDescent="0.2">
      <c r="B174" s="117">
        <f t="shared" si="0"/>
        <v>2051</v>
      </c>
      <c r="C174" s="118">
        <f>[11]С2.5!$AJ$11</f>
        <v>0</v>
      </c>
    </row>
    <row r="175" spans="2:3" hidden="1" x14ac:dyDescent="0.2">
      <c r="B175" s="117">
        <f t="shared" si="0"/>
        <v>2052</v>
      </c>
      <c r="C175" s="118">
        <f>[11]С2.5!$AK$11</f>
        <v>0</v>
      </c>
    </row>
    <row r="176" spans="2:3" hidden="1" x14ac:dyDescent="0.2">
      <c r="B176" s="117">
        <f t="shared" si="0"/>
        <v>2053</v>
      </c>
      <c r="C176" s="118">
        <f>[11]С2.5!$AL$11</f>
        <v>0</v>
      </c>
    </row>
    <row r="177" spans="2:3" hidden="1" x14ac:dyDescent="0.2">
      <c r="B177" s="117">
        <f t="shared" si="0"/>
        <v>2054</v>
      </c>
      <c r="C177" s="118">
        <f>[11]С2.5!$AM$11</f>
        <v>0</v>
      </c>
    </row>
    <row r="178" spans="2:3" hidden="1" x14ac:dyDescent="0.2">
      <c r="B178" s="117">
        <f t="shared" si="0"/>
        <v>2055</v>
      </c>
      <c r="C178" s="118">
        <f>[11]С2.5!$AN$11</f>
        <v>0</v>
      </c>
    </row>
    <row r="179" spans="2:3" hidden="1" x14ac:dyDescent="0.2">
      <c r="B179" s="117">
        <f t="shared" si="0"/>
        <v>2056</v>
      </c>
      <c r="C179" s="118">
        <f>[11]С2.5!$AO$11</f>
        <v>0</v>
      </c>
    </row>
    <row r="180" spans="2:3" hidden="1" x14ac:dyDescent="0.2">
      <c r="B180" s="117">
        <f t="shared" si="0"/>
        <v>2057</v>
      </c>
      <c r="C180" s="118">
        <f>[11]С2.5!$AP$11</f>
        <v>0</v>
      </c>
    </row>
    <row r="181" spans="2:3" hidden="1" x14ac:dyDescent="0.2">
      <c r="B181" s="117">
        <f t="shared" si="0"/>
        <v>2058</v>
      </c>
      <c r="C181" s="118">
        <f>[11]С2.5!$AQ$11</f>
        <v>0</v>
      </c>
    </row>
    <row r="182" spans="2:3" hidden="1" x14ac:dyDescent="0.2">
      <c r="B182" s="117">
        <f t="shared" si="0"/>
        <v>2059</v>
      </c>
      <c r="C182" s="118">
        <f>[11]С2.5!$AR$11</f>
        <v>0</v>
      </c>
    </row>
    <row r="183" spans="2:3" hidden="1" x14ac:dyDescent="0.2">
      <c r="B183" s="117">
        <f t="shared" si="0"/>
        <v>2060</v>
      </c>
      <c r="C183" s="118">
        <f>[11]С2.5!$AS$11</f>
        <v>0</v>
      </c>
    </row>
    <row r="184" spans="2:3" hidden="1" x14ac:dyDescent="0.2">
      <c r="B184" s="117">
        <f t="shared" si="0"/>
        <v>2061</v>
      </c>
      <c r="C184" s="118">
        <f>[11]С2.5!$AT$11</f>
        <v>0</v>
      </c>
    </row>
    <row r="185" spans="2:3" hidden="1" x14ac:dyDescent="0.2">
      <c r="B185" s="117">
        <f t="shared" si="0"/>
        <v>2062</v>
      </c>
      <c r="C185" s="118">
        <f>[11]С2.5!$AU$11</f>
        <v>0</v>
      </c>
    </row>
    <row r="186" spans="2:3" hidden="1" x14ac:dyDescent="0.2">
      <c r="B186" s="117">
        <f t="shared" si="0"/>
        <v>2063</v>
      </c>
      <c r="C186" s="118">
        <f>[11]С2.5!$AV$11</f>
        <v>0</v>
      </c>
    </row>
    <row r="187" spans="2:3" hidden="1" x14ac:dyDescent="0.2">
      <c r="B187" s="117">
        <f t="shared" si="0"/>
        <v>2064</v>
      </c>
      <c r="C187" s="118">
        <f>[11]С2.5!$AW$11</f>
        <v>0</v>
      </c>
    </row>
    <row r="188" spans="2:3" hidden="1" x14ac:dyDescent="0.2">
      <c r="B188" s="117">
        <f t="shared" si="0"/>
        <v>2065</v>
      </c>
      <c r="C188" s="118">
        <f>[11]С2.5!$AX$11</f>
        <v>0</v>
      </c>
    </row>
    <row r="189" spans="2:3" hidden="1" x14ac:dyDescent="0.2">
      <c r="B189" s="117">
        <f t="shared" si="0"/>
        <v>2066</v>
      </c>
      <c r="C189" s="118">
        <f>[11]С2.5!$AY$11</f>
        <v>0</v>
      </c>
    </row>
    <row r="190" spans="2:3" hidden="1" x14ac:dyDescent="0.2">
      <c r="B190" s="117">
        <f t="shared" si="0"/>
        <v>2067</v>
      </c>
      <c r="C190" s="118">
        <f>[11]С2.5!$AZ$11</f>
        <v>0</v>
      </c>
    </row>
    <row r="191" spans="2:3" hidden="1" x14ac:dyDescent="0.2">
      <c r="B191" s="117">
        <f t="shared" si="0"/>
        <v>2068</v>
      </c>
      <c r="C191" s="118">
        <f>[11]С2.5!$BA$11</f>
        <v>0</v>
      </c>
    </row>
    <row r="192" spans="2:3" hidden="1" x14ac:dyDescent="0.2">
      <c r="B192" s="117">
        <f t="shared" si="0"/>
        <v>2069</v>
      </c>
      <c r="C192" s="118">
        <f>[11]С2.5!$BB$11</f>
        <v>0</v>
      </c>
    </row>
    <row r="193" spans="2:3" hidden="1" x14ac:dyDescent="0.2">
      <c r="B193" s="117">
        <f t="shared" si="0"/>
        <v>2070</v>
      </c>
      <c r="C193" s="118">
        <f>[11]С2.5!$BC$11</f>
        <v>0</v>
      </c>
    </row>
    <row r="194" spans="2:3" hidden="1" x14ac:dyDescent="0.2">
      <c r="B194" s="117">
        <f t="shared" si="0"/>
        <v>2071</v>
      </c>
      <c r="C194" s="118">
        <f>[11]С2.5!$BD$11</f>
        <v>0</v>
      </c>
    </row>
    <row r="195" spans="2:3" hidden="1" x14ac:dyDescent="0.2">
      <c r="B195" s="117">
        <f t="shared" si="0"/>
        <v>2072</v>
      </c>
      <c r="C195" s="118">
        <f>[11]С2.5!$BE$11</f>
        <v>0</v>
      </c>
    </row>
    <row r="196" spans="2:3" hidden="1" x14ac:dyDescent="0.2">
      <c r="B196" s="117">
        <f t="shared" si="0"/>
        <v>2073</v>
      </c>
      <c r="C196" s="118">
        <f>[11]С2.5!$BF$11</f>
        <v>0</v>
      </c>
    </row>
    <row r="197" spans="2:3" hidden="1" x14ac:dyDescent="0.2">
      <c r="B197" s="117">
        <f t="shared" si="0"/>
        <v>2074</v>
      </c>
      <c r="C197" s="118">
        <f>[11]С2.5!$BG$11</f>
        <v>0</v>
      </c>
    </row>
    <row r="198" spans="2:3" hidden="1" x14ac:dyDescent="0.2">
      <c r="B198" s="117">
        <f t="shared" si="0"/>
        <v>2075</v>
      </c>
      <c r="C198" s="118">
        <f>[11]С2.5!$BH$11</f>
        <v>0</v>
      </c>
    </row>
    <row r="199" spans="2:3" hidden="1" x14ac:dyDescent="0.2">
      <c r="B199" s="117">
        <f t="shared" si="0"/>
        <v>2076</v>
      </c>
      <c r="C199" s="118">
        <f>[11]С2.5!$BI$11</f>
        <v>0</v>
      </c>
    </row>
    <row r="200" spans="2:3" hidden="1" x14ac:dyDescent="0.2">
      <c r="B200" s="117">
        <f t="shared" si="0"/>
        <v>2077</v>
      </c>
      <c r="C200" s="118">
        <f>[11]С2.5!$BJ$11</f>
        <v>0</v>
      </c>
    </row>
    <row r="201" spans="2:3" hidden="1" x14ac:dyDescent="0.2">
      <c r="B201" s="117">
        <f t="shared" si="0"/>
        <v>2078</v>
      </c>
      <c r="C201" s="118">
        <f>[11]С2.5!$BK$11</f>
        <v>0</v>
      </c>
    </row>
    <row r="202" spans="2:3" hidden="1" x14ac:dyDescent="0.2">
      <c r="B202" s="117">
        <f t="shared" si="0"/>
        <v>2079</v>
      </c>
      <c r="C202" s="118">
        <f>[11]С2.5!$BL$11</f>
        <v>0</v>
      </c>
    </row>
    <row r="203" spans="2:3" hidden="1" x14ac:dyDescent="0.2">
      <c r="B203" s="117">
        <f t="shared" si="0"/>
        <v>2080</v>
      </c>
      <c r="C203" s="118">
        <f>[11]С2.5!$BM$11</f>
        <v>0</v>
      </c>
    </row>
    <row r="204" spans="2:3" hidden="1" x14ac:dyDescent="0.2">
      <c r="B204" s="117">
        <f t="shared" si="0"/>
        <v>2081</v>
      </c>
      <c r="C204" s="118">
        <f>[11]С2.5!$BN$11</f>
        <v>0</v>
      </c>
    </row>
    <row r="205" spans="2:3" hidden="1" x14ac:dyDescent="0.2">
      <c r="B205" s="117">
        <f t="shared" si="0"/>
        <v>2082</v>
      </c>
      <c r="C205" s="118">
        <f>[11]С2.5!$BO$11</f>
        <v>0</v>
      </c>
    </row>
    <row r="206" spans="2:3" hidden="1" x14ac:dyDescent="0.2">
      <c r="B206" s="117">
        <f t="shared" si="0"/>
        <v>2083</v>
      </c>
      <c r="C206" s="118">
        <f>[11]С2.5!$BP$11</f>
        <v>0</v>
      </c>
    </row>
    <row r="207" spans="2:3" hidden="1" x14ac:dyDescent="0.2">
      <c r="B207" s="117">
        <f t="shared" si="0"/>
        <v>2084</v>
      </c>
      <c r="C207" s="118">
        <f>[11]С2.5!$BQ$11</f>
        <v>0</v>
      </c>
    </row>
    <row r="208" spans="2:3" hidden="1" x14ac:dyDescent="0.2">
      <c r="B208" s="117">
        <f t="shared" si="0"/>
        <v>2085</v>
      </c>
      <c r="C208" s="118">
        <f>[11]С2.5!$BR$11</f>
        <v>0</v>
      </c>
    </row>
    <row r="209" spans="2:3" hidden="1" x14ac:dyDescent="0.2">
      <c r="B209" s="117">
        <f t="shared" ref="B209:B223" si="1">B208+1</f>
        <v>2086</v>
      </c>
      <c r="C209" s="118">
        <f>[11]С2.5!$BS$11</f>
        <v>0</v>
      </c>
    </row>
    <row r="210" spans="2:3" hidden="1" x14ac:dyDescent="0.2">
      <c r="B210" s="117">
        <f t="shared" si="1"/>
        <v>2087</v>
      </c>
      <c r="C210" s="118">
        <f>[11]С2.5!$BT$11</f>
        <v>0</v>
      </c>
    </row>
    <row r="211" spans="2:3" hidden="1" x14ac:dyDescent="0.2">
      <c r="B211" s="117">
        <f t="shared" si="1"/>
        <v>2088</v>
      </c>
      <c r="C211" s="118">
        <f>[11]С2.5!$BU$11</f>
        <v>0</v>
      </c>
    </row>
    <row r="212" spans="2:3" hidden="1" x14ac:dyDescent="0.2">
      <c r="B212" s="117">
        <f t="shared" si="1"/>
        <v>2089</v>
      </c>
      <c r="C212" s="118">
        <f>[11]С2.5!$BV$11</f>
        <v>0</v>
      </c>
    </row>
    <row r="213" spans="2:3" hidden="1" x14ac:dyDescent="0.2">
      <c r="B213" s="117">
        <f t="shared" si="1"/>
        <v>2090</v>
      </c>
      <c r="C213" s="118">
        <f>[11]С2.5!$BW$11</f>
        <v>0</v>
      </c>
    </row>
    <row r="214" spans="2:3" hidden="1" x14ac:dyDescent="0.2">
      <c r="B214" s="117">
        <f t="shared" si="1"/>
        <v>2091</v>
      </c>
      <c r="C214" s="118">
        <f>[11]С2.5!$BX$11</f>
        <v>0</v>
      </c>
    </row>
    <row r="215" spans="2:3" hidden="1" x14ac:dyDescent="0.2">
      <c r="B215" s="117">
        <f t="shared" si="1"/>
        <v>2092</v>
      </c>
      <c r="C215" s="118">
        <f>[11]С2.5!$BY$11</f>
        <v>0</v>
      </c>
    </row>
    <row r="216" spans="2:3" hidden="1" x14ac:dyDescent="0.2">
      <c r="B216" s="117">
        <f t="shared" si="1"/>
        <v>2093</v>
      </c>
      <c r="C216" s="118">
        <f>[11]С2.5!$BZ$11</f>
        <v>0</v>
      </c>
    </row>
    <row r="217" spans="2:3" hidden="1" x14ac:dyDescent="0.2">
      <c r="B217" s="117">
        <f t="shared" si="1"/>
        <v>2094</v>
      </c>
      <c r="C217" s="118">
        <f>[11]С2.5!$CA$11</f>
        <v>0</v>
      </c>
    </row>
    <row r="218" spans="2:3" hidden="1" x14ac:dyDescent="0.2">
      <c r="B218" s="117">
        <f t="shared" si="1"/>
        <v>2095</v>
      </c>
      <c r="C218" s="118">
        <f>[11]С2.5!$CB$11</f>
        <v>0</v>
      </c>
    </row>
    <row r="219" spans="2:3" hidden="1" x14ac:dyDescent="0.2">
      <c r="B219" s="117">
        <f t="shared" si="1"/>
        <v>2096</v>
      </c>
      <c r="C219" s="118">
        <f>[11]С2.5!$CC$11</f>
        <v>0</v>
      </c>
    </row>
    <row r="220" spans="2:3" hidden="1" x14ac:dyDescent="0.2">
      <c r="B220" s="117">
        <f t="shared" si="1"/>
        <v>2097</v>
      </c>
      <c r="C220" s="118">
        <f>[11]С2.5!$CD$11</f>
        <v>0</v>
      </c>
    </row>
    <row r="221" spans="2:3" hidden="1" x14ac:dyDescent="0.2">
      <c r="B221" s="117">
        <f t="shared" si="1"/>
        <v>2098</v>
      </c>
      <c r="C221" s="118">
        <f>[11]С2.5!$CE$11</f>
        <v>0</v>
      </c>
    </row>
    <row r="222" spans="2:3" hidden="1" x14ac:dyDescent="0.2">
      <c r="B222" s="117">
        <f t="shared" si="1"/>
        <v>2099</v>
      </c>
      <c r="C222" s="118">
        <f>[11]С2.5!$CF$11</f>
        <v>0</v>
      </c>
    </row>
    <row r="223" spans="2:3" ht="13.5" hidden="1" thickBot="1" x14ac:dyDescent="0.25">
      <c r="B223" s="119">
        <f t="shared" si="1"/>
        <v>2100</v>
      </c>
      <c r="C223" s="120">
        <f>[11]С2.5!$CG$11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1265" r:id="rId3" name="Button 1">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[12]И1!D13</f>
        <v>Субъект Российской Федерации</v>
      </c>
      <c r="C4" s="11" t="str">
        <f>[12]И1!E13</f>
        <v>Новосибирская область</v>
      </c>
    </row>
    <row r="5" spans="1:3" ht="38.25" x14ac:dyDescent="0.2">
      <c r="A5" s="9"/>
      <c r="B5" s="10" t="str">
        <f>[12]И1!D14</f>
        <v>Тип муниципального образования (выберите из списка)</v>
      </c>
      <c r="C5" s="11" t="str">
        <f>[12]И1!E14</f>
        <v>село Мышланка, Сузунский муниципальный район</v>
      </c>
    </row>
    <row r="6" spans="1:3" x14ac:dyDescent="0.2">
      <c r="A6" s="9"/>
      <c r="B6" s="10" t="str">
        <f>IF([12]И1!E15="","",[12]И1!D15)</f>
        <v/>
      </c>
      <c r="C6" s="11" t="str">
        <f>IF([12]И1!E15="","",[12]И1!E15)</f>
        <v/>
      </c>
    </row>
    <row r="7" spans="1:3" x14ac:dyDescent="0.2">
      <c r="A7" s="9"/>
      <c r="B7" s="10" t="str">
        <f>[12]И1!D16</f>
        <v>Код ОКТМО</v>
      </c>
      <c r="C7" s="12" t="str">
        <f>[12]И1!E16</f>
        <v xml:space="preserve"> (50648432101)</v>
      </c>
    </row>
    <row r="8" spans="1:3" x14ac:dyDescent="0.2">
      <c r="A8" s="9"/>
      <c r="B8" s="13" t="str">
        <f>[12]И1!D17</f>
        <v>Система теплоснабжения</v>
      </c>
      <c r="C8" s="14">
        <f>[12]И1!E17</f>
        <v>0</v>
      </c>
    </row>
    <row r="9" spans="1:3" x14ac:dyDescent="0.2">
      <c r="A9" s="9"/>
      <c r="B9" s="10" t="str">
        <f>[12]И1!D8</f>
        <v>Период регулирования (i)-й</v>
      </c>
      <c r="C9" s="15">
        <f>[12]И1!E8</f>
        <v>2023</v>
      </c>
    </row>
    <row r="10" spans="1:3" x14ac:dyDescent="0.2">
      <c r="A10" s="9"/>
      <c r="B10" s="10" t="str">
        <f>[12]И1!D9</f>
        <v>Период регулирования (i-1)-й</v>
      </c>
      <c r="C10" s="15">
        <f>[12]И1!E9</f>
        <v>2022</v>
      </c>
    </row>
    <row r="11" spans="1:3" x14ac:dyDescent="0.2">
      <c r="A11" s="9"/>
      <c r="B11" s="10" t="str">
        <f>[12]И1!D10</f>
        <v>Период регулирования (i-2)-й</v>
      </c>
      <c r="C11" s="15">
        <f>[12]И1!E10</f>
        <v>2021</v>
      </c>
    </row>
    <row r="12" spans="1:3" x14ac:dyDescent="0.2">
      <c r="A12" s="9"/>
      <c r="B12" s="10" t="str">
        <f>[12]И1!D11</f>
        <v>Базовый год (б)</v>
      </c>
      <c r="C12" s="15">
        <f>[12]И1!E11</f>
        <v>2019</v>
      </c>
    </row>
    <row r="13" spans="1:3" ht="38.25" x14ac:dyDescent="0.2">
      <c r="A13" s="9"/>
      <c r="B13" s="10" t="str">
        <f>[12]И1!D18</f>
        <v>Вид топлива, использование которого преобладает в системе теплоснабжения</v>
      </c>
      <c r="C13" s="16" t="str">
        <f>[12]С1.1!E13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3955.2147091971042</v>
      </c>
    </row>
    <row r="18" spans="1:3" ht="42.75" x14ac:dyDescent="0.2">
      <c r="A18" s="24" t="s">
        <v>8</v>
      </c>
      <c r="B18" s="27" t="s">
        <v>9</v>
      </c>
      <c r="C18" s="28">
        <f>[12]С1!F12</f>
        <v>856.36411924910419</v>
      </c>
    </row>
    <row r="19" spans="1:3" ht="42.75" x14ac:dyDescent="0.2">
      <c r="A19" s="24" t="s">
        <v>10</v>
      </c>
      <c r="B19" s="27" t="s">
        <v>11</v>
      </c>
      <c r="C19" s="28">
        <f>[12]С2!F12</f>
        <v>2108.7102251987935</v>
      </c>
    </row>
    <row r="20" spans="1:3" ht="30" x14ac:dyDescent="0.2">
      <c r="A20" s="24" t="s">
        <v>12</v>
      </c>
      <c r="B20" s="27" t="s">
        <v>13</v>
      </c>
      <c r="C20" s="28">
        <f>[12]С3!F12</f>
        <v>504.54115631660852</v>
      </c>
    </row>
    <row r="21" spans="1:3" ht="42.75" x14ac:dyDescent="0.2">
      <c r="A21" s="24" t="s">
        <v>14</v>
      </c>
      <c r="B21" s="27" t="s">
        <v>15</v>
      </c>
      <c r="C21" s="28">
        <f>[12]С4!F12</f>
        <v>408.04597884049787</v>
      </c>
    </row>
    <row r="22" spans="1:3" ht="30" x14ac:dyDescent="0.2">
      <c r="A22" s="24" t="s">
        <v>16</v>
      </c>
      <c r="B22" s="27" t="s">
        <v>17</v>
      </c>
      <c r="C22" s="28">
        <f>[12]С5!F12</f>
        <v>77.553229592100081</v>
      </c>
    </row>
    <row r="23" spans="1:3" ht="43.5" thickBot="1" x14ac:dyDescent="0.25">
      <c r="A23" s="29" t="s">
        <v>18</v>
      </c>
      <c r="B23" s="30" t="s">
        <v>19</v>
      </c>
      <c r="C23" s="31" t="str">
        <f>[12]С6!F12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[12]С1.1!E16</f>
        <v>5100</v>
      </c>
    </row>
    <row r="29" spans="1:3" ht="42.75" x14ac:dyDescent="0.2">
      <c r="A29" s="24" t="s">
        <v>10</v>
      </c>
      <c r="B29" s="37" t="s">
        <v>22</v>
      </c>
      <c r="C29" s="38">
        <f>[12]С1.1!E27</f>
        <v>2302.62</v>
      </c>
    </row>
    <row r="30" spans="1:3" ht="17.25" x14ac:dyDescent="0.2">
      <c r="A30" s="24" t="s">
        <v>12</v>
      </c>
      <c r="B30" s="37" t="s">
        <v>23</v>
      </c>
      <c r="C30" s="39">
        <f>[12]С1.1!E19</f>
        <v>0.59499999999999997</v>
      </c>
    </row>
    <row r="31" spans="1:3" ht="17.25" x14ac:dyDescent="0.2">
      <c r="A31" s="24" t="s">
        <v>14</v>
      </c>
      <c r="B31" s="37" t="s">
        <v>24</v>
      </c>
      <c r="C31" s="39">
        <f>[12]С1.1!E20</f>
        <v>-0.113</v>
      </c>
    </row>
    <row r="32" spans="1:3" ht="30" x14ac:dyDescent="0.2">
      <c r="A32" s="24" t="s">
        <v>16</v>
      </c>
      <c r="B32" s="40" t="s">
        <v>25</v>
      </c>
      <c r="C32" s="41">
        <f>[12]С1!F13</f>
        <v>176.4</v>
      </c>
    </row>
    <row r="33" spans="1:3" x14ac:dyDescent="0.2">
      <c r="A33" s="24" t="s">
        <v>18</v>
      </c>
      <c r="B33" s="40" t="s">
        <v>26</v>
      </c>
      <c r="C33" s="42">
        <f>[12]С1!F16</f>
        <v>7000</v>
      </c>
    </row>
    <row r="34" spans="1:3" ht="14.25" x14ac:dyDescent="0.2">
      <c r="A34" s="24" t="s">
        <v>27</v>
      </c>
      <c r="B34" s="43" t="s">
        <v>28</v>
      </c>
      <c r="C34" s="44">
        <f>[12]С1!F17</f>
        <v>0.72857142857142854</v>
      </c>
    </row>
    <row r="35" spans="1:3" ht="15.75" x14ac:dyDescent="0.2">
      <c r="A35" s="45" t="s">
        <v>29</v>
      </c>
      <c r="B35" s="46" t="s">
        <v>30</v>
      </c>
      <c r="C35" s="44">
        <f>[12]С1!F20</f>
        <v>21.588411179999994</v>
      </c>
    </row>
    <row r="36" spans="1:3" ht="15.75" x14ac:dyDescent="0.2">
      <c r="A36" s="45" t="s">
        <v>31</v>
      </c>
      <c r="B36" s="47" t="s">
        <v>32</v>
      </c>
      <c r="C36" s="44">
        <f>[12]С1!F21</f>
        <v>20.818139999999996</v>
      </c>
    </row>
    <row r="37" spans="1:3" ht="14.25" x14ac:dyDescent="0.2">
      <c r="A37" s="45" t="s">
        <v>33</v>
      </c>
      <c r="B37" s="48" t="s">
        <v>34</v>
      </c>
      <c r="C37" s="44">
        <f>[12]С1!F22</f>
        <v>1.0369999999999999</v>
      </c>
    </row>
    <row r="38" spans="1:3" ht="53.25" thickBot="1" x14ac:dyDescent="0.25">
      <c r="A38" s="29" t="s">
        <v>35</v>
      </c>
      <c r="B38" s="49" t="s">
        <v>36</v>
      </c>
      <c r="C38" s="50">
        <f>[12]С1!F23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[12]С2.1!E12</f>
        <v>V</v>
      </c>
    </row>
    <row r="42" spans="1:3" ht="25.5" x14ac:dyDescent="0.2">
      <c r="A42" s="24" t="s">
        <v>41</v>
      </c>
      <c r="B42" s="37" t="s">
        <v>42</v>
      </c>
      <c r="C42" s="56" t="str">
        <f>[12]С2.1!E13</f>
        <v>6 и менее баллов</v>
      </c>
    </row>
    <row r="43" spans="1:3" ht="25.5" x14ac:dyDescent="0.2">
      <c r="A43" s="24" t="s">
        <v>43</v>
      </c>
      <c r="B43" s="37" t="s">
        <v>44</v>
      </c>
      <c r="C43" s="56" t="str">
        <f>[12]С2.1!E14</f>
        <v>от 200 до 500</v>
      </c>
    </row>
    <row r="44" spans="1:3" ht="25.5" x14ac:dyDescent="0.2">
      <c r="A44" s="24" t="s">
        <v>45</v>
      </c>
      <c r="B44" s="37" t="s">
        <v>46</v>
      </c>
      <c r="C44" s="57" t="str">
        <f>[12]С2.1!E15</f>
        <v>нет</v>
      </c>
    </row>
    <row r="45" spans="1:3" ht="30" x14ac:dyDescent="0.2">
      <c r="A45" s="24" t="s">
        <v>47</v>
      </c>
      <c r="B45" s="37" t="s">
        <v>48</v>
      </c>
      <c r="C45" s="38">
        <f>[12]С2!F18</f>
        <v>32402.627334033532</v>
      </c>
    </row>
    <row r="46" spans="1:3" ht="30" x14ac:dyDescent="0.2">
      <c r="A46" s="24" t="s">
        <v>49</v>
      </c>
      <c r="B46" s="58" t="s">
        <v>50</v>
      </c>
      <c r="C46" s="38">
        <f>IF([12]С2!F19&gt;0,[12]С2!F19,[12]С2!F20)</f>
        <v>23441.524932855718</v>
      </c>
    </row>
    <row r="47" spans="1:3" ht="25.5" x14ac:dyDescent="0.2">
      <c r="A47" s="24" t="s">
        <v>51</v>
      </c>
      <c r="B47" s="59" t="s">
        <v>52</v>
      </c>
      <c r="C47" s="38">
        <f>[12]С2.1!E19</f>
        <v>-38</v>
      </c>
    </row>
    <row r="48" spans="1:3" ht="25.5" x14ac:dyDescent="0.2">
      <c r="A48" s="24" t="s">
        <v>53</v>
      </c>
      <c r="B48" s="59" t="s">
        <v>54</v>
      </c>
      <c r="C48" s="38" t="str">
        <f>[12]С2.1!E22</f>
        <v>нет</v>
      </c>
    </row>
    <row r="49" spans="1:3" ht="38.25" x14ac:dyDescent="0.2">
      <c r="A49" s="24" t="s">
        <v>55</v>
      </c>
      <c r="B49" s="60" t="s">
        <v>56</v>
      </c>
      <c r="C49" s="38">
        <f>[12]С2.2!E10</f>
        <v>1287</v>
      </c>
    </row>
    <row r="50" spans="1:3" ht="25.5" x14ac:dyDescent="0.2">
      <c r="A50" s="24" t="s">
        <v>57</v>
      </c>
      <c r="B50" s="61" t="s">
        <v>58</v>
      </c>
      <c r="C50" s="38">
        <f>[12]С2.2!E12</f>
        <v>5.97</v>
      </c>
    </row>
    <row r="51" spans="1:3" ht="52.5" x14ac:dyDescent="0.2">
      <c r="A51" s="24" t="s">
        <v>59</v>
      </c>
      <c r="B51" s="62" t="s">
        <v>60</v>
      </c>
      <c r="C51" s="38">
        <f>[12]С2.2!E13</f>
        <v>1</v>
      </c>
    </row>
    <row r="52" spans="1:3" ht="27.75" x14ac:dyDescent="0.2">
      <c r="A52" s="24" t="s">
        <v>61</v>
      </c>
      <c r="B52" s="61" t="s">
        <v>62</v>
      </c>
      <c r="C52" s="38">
        <f>[12]С2.2!E14</f>
        <v>12104</v>
      </c>
    </row>
    <row r="53" spans="1:3" ht="25.5" x14ac:dyDescent="0.2">
      <c r="A53" s="24" t="s">
        <v>63</v>
      </c>
      <c r="B53" s="62" t="s">
        <v>64</v>
      </c>
      <c r="C53" s="39">
        <f>[12]С2.2!E15</f>
        <v>4.8000000000000001E-2</v>
      </c>
    </row>
    <row r="54" spans="1:3" x14ac:dyDescent="0.2">
      <c r="A54" s="24" t="s">
        <v>65</v>
      </c>
      <c r="B54" s="62" t="s">
        <v>66</v>
      </c>
      <c r="C54" s="38">
        <f>[12]С2.2!E16</f>
        <v>1</v>
      </c>
    </row>
    <row r="55" spans="1:3" ht="15.75" x14ac:dyDescent="0.2">
      <c r="A55" s="24" t="s">
        <v>67</v>
      </c>
      <c r="B55" s="63" t="s">
        <v>68</v>
      </c>
      <c r="C55" s="38">
        <f>[12]С2!F21</f>
        <v>1</v>
      </c>
    </row>
    <row r="56" spans="1:3" ht="30" x14ac:dyDescent="0.2">
      <c r="A56" s="64" t="s">
        <v>69</v>
      </c>
      <c r="B56" s="37" t="s">
        <v>70</v>
      </c>
      <c r="C56" s="38">
        <f>[12]С2!F13</f>
        <v>169640.22915965237</v>
      </c>
    </row>
    <row r="57" spans="1:3" ht="30" x14ac:dyDescent="0.2">
      <c r="A57" s="64" t="s">
        <v>71</v>
      </c>
      <c r="B57" s="63" t="s">
        <v>72</v>
      </c>
      <c r="C57" s="38">
        <f>[12]С2!F14</f>
        <v>113455</v>
      </c>
    </row>
    <row r="58" spans="1:3" ht="15.75" x14ac:dyDescent="0.2">
      <c r="A58" s="64" t="s">
        <v>73</v>
      </c>
      <c r="B58" s="65" t="s">
        <v>74</v>
      </c>
      <c r="C58" s="44">
        <f>[12]С2!F15</f>
        <v>1.071</v>
      </c>
    </row>
    <row r="59" spans="1:3" ht="15.75" x14ac:dyDescent="0.2">
      <c r="A59" s="64" t="s">
        <v>75</v>
      </c>
      <c r="B59" s="65" t="s">
        <v>76</v>
      </c>
      <c r="C59" s="44">
        <f>[12]С2!F16</f>
        <v>1</v>
      </c>
    </row>
    <row r="60" spans="1:3" ht="17.25" x14ac:dyDescent="0.2">
      <c r="A60" s="64" t="s">
        <v>77</v>
      </c>
      <c r="B60" s="63" t="s">
        <v>78</v>
      </c>
      <c r="C60" s="38">
        <f>[12]С2!F17</f>
        <v>1.01</v>
      </c>
    </row>
    <row r="61" spans="1:3" s="68" customFormat="1" ht="14.25" x14ac:dyDescent="0.2">
      <c r="A61" s="64" t="s">
        <v>79</v>
      </c>
      <c r="B61" s="66" t="s">
        <v>80</v>
      </c>
      <c r="C61" s="67">
        <f>[12]С2!F33</f>
        <v>10</v>
      </c>
    </row>
    <row r="62" spans="1:3" ht="30" x14ac:dyDescent="0.2">
      <c r="A62" s="64" t="s">
        <v>81</v>
      </c>
      <c r="B62" s="69" t="s">
        <v>82</v>
      </c>
      <c r="C62" s="38">
        <f>[12]С2!F26</f>
        <v>1424.4887832283189</v>
      </c>
    </row>
    <row r="63" spans="1:3" ht="17.25" x14ac:dyDescent="0.2">
      <c r="A63" s="64" t="s">
        <v>83</v>
      </c>
      <c r="B63" s="58" t="s">
        <v>84</v>
      </c>
      <c r="C63" s="38">
        <f>[12]С2!F27</f>
        <v>0.24536656199999998</v>
      </c>
    </row>
    <row r="64" spans="1:3" ht="17.25" x14ac:dyDescent="0.2">
      <c r="A64" s="64" t="s">
        <v>85</v>
      </c>
      <c r="B64" s="63" t="s">
        <v>86</v>
      </c>
      <c r="C64" s="67">
        <f>[12]С2!F28</f>
        <v>4200</v>
      </c>
    </row>
    <row r="65" spans="1:3" ht="42.75" x14ac:dyDescent="0.2">
      <c r="A65" s="64" t="s">
        <v>87</v>
      </c>
      <c r="B65" s="37" t="s">
        <v>88</v>
      </c>
      <c r="C65" s="38">
        <f>[12]С2!F22</f>
        <v>35717.748653137714</v>
      </c>
    </row>
    <row r="66" spans="1:3" ht="30" x14ac:dyDescent="0.2">
      <c r="A66" s="64" t="s">
        <v>89</v>
      </c>
      <c r="B66" s="65" t="s">
        <v>90</v>
      </c>
      <c r="C66" s="38">
        <f>[12]С2!F23</f>
        <v>1990</v>
      </c>
    </row>
    <row r="67" spans="1:3" ht="30" x14ac:dyDescent="0.2">
      <c r="A67" s="64" t="s">
        <v>91</v>
      </c>
      <c r="B67" s="58" t="s">
        <v>92</v>
      </c>
      <c r="C67" s="38">
        <f>[12]С2.1!E27</f>
        <v>14307.876789999998</v>
      </c>
    </row>
    <row r="68" spans="1:3" ht="38.25" x14ac:dyDescent="0.2">
      <c r="A68" s="64" t="s">
        <v>93</v>
      </c>
      <c r="B68" s="70" t="s">
        <v>94</v>
      </c>
      <c r="C68" s="57">
        <f>[12]С2.3!E21</f>
        <v>0</v>
      </c>
    </row>
    <row r="69" spans="1:3" ht="25.5" x14ac:dyDescent="0.2">
      <c r="A69" s="64" t="s">
        <v>95</v>
      </c>
      <c r="B69" s="71" t="s">
        <v>96</v>
      </c>
      <c r="C69" s="72">
        <f>[12]С2.3!E11</f>
        <v>9.89</v>
      </c>
    </row>
    <row r="70" spans="1:3" ht="25.5" x14ac:dyDescent="0.2">
      <c r="A70" s="64" t="s">
        <v>97</v>
      </c>
      <c r="B70" s="71" t="s">
        <v>98</v>
      </c>
      <c r="C70" s="67">
        <f>[12]С2.3!E13</f>
        <v>300</v>
      </c>
    </row>
    <row r="71" spans="1:3" ht="25.5" x14ac:dyDescent="0.2">
      <c r="A71" s="64" t="s">
        <v>99</v>
      </c>
      <c r="B71" s="70" t="s">
        <v>100</v>
      </c>
      <c r="C71" s="73">
        <f>IF([12]С2.3!E22&gt;0,[12]С2.3!E22,[12]С2.3!E14)</f>
        <v>61211</v>
      </c>
    </row>
    <row r="72" spans="1:3" ht="38.25" x14ac:dyDescent="0.2">
      <c r="A72" s="64" t="s">
        <v>101</v>
      </c>
      <c r="B72" s="70" t="s">
        <v>102</v>
      </c>
      <c r="C72" s="73">
        <f>IF([12]С2.3!E23&gt;0,[12]С2.3!E23,[12]С2.3!E15)</f>
        <v>45675</v>
      </c>
    </row>
    <row r="73" spans="1:3" ht="30" x14ac:dyDescent="0.2">
      <c r="A73" s="64" t="s">
        <v>103</v>
      </c>
      <c r="B73" s="58" t="s">
        <v>104</v>
      </c>
      <c r="C73" s="38">
        <f>[12]С2.1!E28</f>
        <v>9541.9567200000001</v>
      </c>
    </row>
    <row r="74" spans="1:3" ht="38.25" x14ac:dyDescent="0.2">
      <c r="A74" s="64" t="s">
        <v>105</v>
      </c>
      <c r="B74" s="70" t="s">
        <v>106</v>
      </c>
      <c r="C74" s="57">
        <f>[12]С2.3!E25</f>
        <v>0</v>
      </c>
    </row>
    <row r="75" spans="1:3" ht="25.5" x14ac:dyDescent="0.2">
      <c r="A75" s="64" t="s">
        <v>107</v>
      </c>
      <c r="B75" s="71" t="s">
        <v>108</v>
      </c>
      <c r="C75" s="72">
        <f>[12]С2.3!E12</f>
        <v>0.56000000000000005</v>
      </c>
    </row>
    <row r="76" spans="1:3" ht="25.5" x14ac:dyDescent="0.2">
      <c r="A76" s="64" t="s">
        <v>109</v>
      </c>
      <c r="B76" s="71" t="s">
        <v>98</v>
      </c>
      <c r="C76" s="67">
        <f>[12]С2.3!E13</f>
        <v>300</v>
      </c>
    </row>
    <row r="77" spans="1:3" ht="25.5" x14ac:dyDescent="0.2">
      <c r="A77" s="64" t="s">
        <v>110</v>
      </c>
      <c r="B77" s="74" t="s">
        <v>111</v>
      </c>
      <c r="C77" s="73">
        <f>IF([12]С2.3!E26&gt;0,[12]С2.3!E26,[12]С2.3!E16)</f>
        <v>65637</v>
      </c>
    </row>
    <row r="78" spans="1:3" ht="38.25" x14ac:dyDescent="0.2">
      <c r="A78" s="64" t="s">
        <v>112</v>
      </c>
      <c r="B78" s="74" t="s">
        <v>113</v>
      </c>
      <c r="C78" s="73">
        <f>IF([12]С2.3!E27&gt;0,[12]С2.3!E27,[12]С2.3!E17)</f>
        <v>31684</v>
      </c>
    </row>
    <row r="79" spans="1:3" ht="17.25" x14ac:dyDescent="0.2">
      <c r="A79" s="64" t="s">
        <v>114</v>
      </c>
      <c r="B79" s="37" t="s">
        <v>115</v>
      </c>
      <c r="C79" s="39">
        <f>[12]С2!F29</f>
        <v>0.128978033685065</v>
      </c>
    </row>
    <row r="80" spans="1:3" ht="30" x14ac:dyDescent="0.2">
      <c r="A80" s="64" t="s">
        <v>116</v>
      </c>
      <c r="B80" s="58" t="s">
        <v>117</v>
      </c>
      <c r="C80" s="75">
        <f>[12]С2!F30</f>
        <v>0.11668498168498169</v>
      </c>
    </row>
    <row r="81" spans="1:3" ht="17.25" x14ac:dyDescent="0.2">
      <c r="A81" s="64" t="s">
        <v>118</v>
      </c>
      <c r="B81" s="76" t="s">
        <v>119</v>
      </c>
      <c r="C81" s="39">
        <f>[12]С2!F31</f>
        <v>0.13880000000000001</v>
      </c>
    </row>
    <row r="82" spans="1:3" s="68" customFormat="1" ht="18" thickBot="1" x14ac:dyDescent="0.25">
      <c r="A82" s="77" t="s">
        <v>120</v>
      </c>
      <c r="B82" s="78" t="s">
        <v>121</v>
      </c>
      <c r="C82" s="79">
        <f>[12]С2!F32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[12]С3!F14</f>
        <v>7012.1794194579406</v>
      </c>
    </row>
    <row r="86" spans="1:3" s="68" customFormat="1" ht="42.75" x14ac:dyDescent="0.2">
      <c r="A86" s="82" t="s">
        <v>126</v>
      </c>
      <c r="B86" s="58" t="s">
        <v>127</v>
      </c>
      <c r="C86" s="83">
        <f>[12]С3!F15</f>
        <v>0.2</v>
      </c>
    </row>
    <row r="87" spans="1:3" s="68" customFormat="1" ht="14.25" x14ac:dyDescent="0.2">
      <c r="A87" s="82" t="s">
        <v>128</v>
      </c>
      <c r="B87" s="84" t="s">
        <v>129</v>
      </c>
      <c r="C87" s="67">
        <f>[12]С3!F18</f>
        <v>15</v>
      </c>
    </row>
    <row r="88" spans="1:3" s="68" customFormat="1" ht="17.25" x14ac:dyDescent="0.2">
      <c r="A88" s="82" t="s">
        <v>130</v>
      </c>
      <c r="B88" s="37" t="s">
        <v>131</v>
      </c>
      <c r="C88" s="38">
        <f>[12]С3!F19</f>
        <v>3487.1555421534131</v>
      </c>
    </row>
    <row r="89" spans="1:3" s="68" customFormat="1" ht="55.5" x14ac:dyDescent="0.2">
      <c r="A89" s="82" t="s">
        <v>132</v>
      </c>
      <c r="B89" s="58" t="s">
        <v>133</v>
      </c>
      <c r="C89" s="85">
        <f>[12]С3!F20</f>
        <v>2.1999999999999999E-2</v>
      </c>
    </row>
    <row r="90" spans="1:3" s="68" customFormat="1" ht="14.25" x14ac:dyDescent="0.2">
      <c r="A90" s="82" t="s">
        <v>134</v>
      </c>
      <c r="B90" s="63" t="s">
        <v>80</v>
      </c>
      <c r="C90" s="67">
        <f>[12]С3!F21</f>
        <v>10</v>
      </c>
    </row>
    <row r="91" spans="1:3" s="68" customFormat="1" ht="17.25" x14ac:dyDescent="0.2">
      <c r="A91" s="82" t="s">
        <v>135</v>
      </c>
      <c r="B91" s="37" t="s">
        <v>136</v>
      </c>
      <c r="C91" s="38">
        <f>[12]С3!F22</f>
        <v>4.2734663496849565</v>
      </c>
    </row>
    <row r="92" spans="1:3" s="68" customFormat="1" ht="55.5" x14ac:dyDescent="0.2">
      <c r="A92" s="82" t="s">
        <v>137</v>
      </c>
      <c r="B92" s="58" t="s">
        <v>138</v>
      </c>
      <c r="C92" s="85">
        <f>[12]С3!F23</f>
        <v>3.0000000000000001E-3</v>
      </c>
    </row>
    <row r="93" spans="1:3" s="68" customFormat="1" ht="27.75" thickBot="1" x14ac:dyDescent="0.25">
      <c r="A93" s="86" t="s">
        <v>139</v>
      </c>
      <c r="B93" s="87" t="s">
        <v>140</v>
      </c>
      <c r="C93" s="88">
        <f>[12]С3!F24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[12]С4!F16</f>
        <v>1652.5</v>
      </c>
    </row>
    <row r="97" spans="1:3" ht="30" x14ac:dyDescent="0.2">
      <c r="A97" s="64" t="s">
        <v>145</v>
      </c>
      <c r="B97" s="63" t="s">
        <v>146</v>
      </c>
      <c r="C97" s="38">
        <f>[12]С4!F17</f>
        <v>73547</v>
      </c>
    </row>
    <row r="98" spans="1:3" ht="17.25" x14ac:dyDescent="0.2">
      <c r="A98" s="64" t="s">
        <v>147</v>
      </c>
      <c r="B98" s="63" t="s">
        <v>148</v>
      </c>
      <c r="C98" s="44">
        <f>[12]С4!F18</f>
        <v>0.02</v>
      </c>
    </row>
    <row r="99" spans="1:3" ht="30" x14ac:dyDescent="0.2">
      <c r="A99" s="64" t="s">
        <v>149</v>
      </c>
      <c r="B99" s="63" t="s">
        <v>150</v>
      </c>
      <c r="C99" s="38">
        <f>[12]С4!F19</f>
        <v>12104</v>
      </c>
    </row>
    <row r="100" spans="1:3" ht="31.5" x14ac:dyDescent="0.2">
      <c r="A100" s="64" t="s">
        <v>151</v>
      </c>
      <c r="B100" s="63" t="s">
        <v>152</v>
      </c>
      <c r="C100" s="44">
        <f>[12]С4!F20</f>
        <v>1.4999999999999999E-2</v>
      </c>
    </row>
    <row r="101" spans="1:3" ht="30" x14ac:dyDescent="0.2">
      <c r="A101" s="64" t="s">
        <v>153</v>
      </c>
      <c r="B101" s="37" t="s">
        <v>154</v>
      </c>
      <c r="C101" s="38">
        <f>[12]С4!F21</f>
        <v>1933.1949342509995</v>
      </c>
    </row>
    <row r="102" spans="1:3" ht="24" customHeight="1" x14ac:dyDescent="0.2">
      <c r="A102" s="64" t="s">
        <v>155</v>
      </c>
      <c r="B102" s="58" t="s">
        <v>156</v>
      </c>
      <c r="C102" s="90">
        <f>IF([12]С4.2!F8="да",[12]С4.2!D21,[12]С4.2!D15)</f>
        <v>0</v>
      </c>
    </row>
    <row r="103" spans="1:3" ht="68.25" x14ac:dyDescent="0.2">
      <c r="A103" s="64" t="s">
        <v>157</v>
      </c>
      <c r="B103" s="58" t="s">
        <v>158</v>
      </c>
      <c r="C103" s="38">
        <f>[12]С4!F22</f>
        <v>3.6112641666666665</v>
      </c>
    </row>
    <row r="104" spans="1:3" ht="30" x14ac:dyDescent="0.2">
      <c r="A104" s="64" t="s">
        <v>159</v>
      </c>
      <c r="B104" s="63" t="s">
        <v>160</v>
      </c>
      <c r="C104" s="38">
        <f>[12]С4!F23</f>
        <v>180</v>
      </c>
    </row>
    <row r="105" spans="1:3" ht="14.25" x14ac:dyDescent="0.2">
      <c r="A105" s="64" t="s">
        <v>161</v>
      </c>
      <c r="B105" s="58" t="s">
        <v>162</v>
      </c>
      <c r="C105" s="38">
        <f>[12]С4!F24</f>
        <v>8497.1999999999989</v>
      </c>
    </row>
    <row r="106" spans="1:3" ht="14.25" x14ac:dyDescent="0.2">
      <c r="A106" s="64" t="s">
        <v>163</v>
      </c>
      <c r="B106" s="63" t="s">
        <v>164</v>
      </c>
      <c r="C106" s="44">
        <f>[12]С4!F25</f>
        <v>0.35</v>
      </c>
    </row>
    <row r="107" spans="1:3" ht="17.25" x14ac:dyDescent="0.2">
      <c r="A107" s="64" t="s">
        <v>165</v>
      </c>
      <c r="B107" s="37" t="s">
        <v>166</v>
      </c>
      <c r="C107" s="38">
        <f>[12]С4!F26</f>
        <v>78.631799999999984</v>
      </c>
    </row>
    <row r="108" spans="1:3" ht="25.5" x14ac:dyDescent="0.2">
      <c r="A108" s="64" t="s">
        <v>167</v>
      </c>
      <c r="B108" s="58" t="s">
        <v>94</v>
      </c>
      <c r="C108" s="90">
        <f>[12]С4.3!E16</f>
        <v>0</v>
      </c>
    </row>
    <row r="109" spans="1:3" ht="25.5" x14ac:dyDescent="0.2">
      <c r="A109" s="64" t="s">
        <v>168</v>
      </c>
      <c r="B109" s="58" t="s">
        <v>169</v>
      </c>
      <c r="C109" s="38">
        <f>[12]С4.3!E17</f>
        <v>18.36</v>
      </c>
    </row>
    <row r="110" spans="1:3" ht="38.25" x14ac:dyDescent="0.2">
      <c r="A110" s="64" t="s">
        <v>170</v>
      </c>
      <c r="B110" s="58" t="s">
        <v>106</v>
      </c>
      <c r="C110" s="90">
        <f>[12]С4.3!E18</f>
        <v>0</v>
      </c>
    </row>
    <row r="111" spans="1:3" x14ac:dyDescent="0.2">
      <c r="A111" s="64" t="s">
        <v>171</v>
      </c>
      <c r="B111" s="58" t="s">
        <v>172</v>
      </c>
      <c r="C111" s="38">
        <f>[12]С4.3!E19</f>
        <v>69.819999999999993</v>
      </c>
    </row>
    <row r="112" spans="1:3" x14ac:dyDescent="0.2">
      <c r="A112" s="64" t="s">
        <v>173</v>
      </c>
      <c r="B112" s="63" t="s">
        <v>174</v>
      </c>
      <c r="C112" s="38">
        <f>[12]С4.3!E11</f>
        <v>1871</v>
      </c>
    </row>
    <row r="113" spans="1:3" x14ac:dyDescent="0.2">
      <c r="A113" s="64" t="s">
        <v>175</v>
      </c>
      <c r="B113" s="63" t="s">
        <v>176</v>
      </c>
      <c r="C113" s="57">
        <f>[12]С4.3!E12</f>
        <v>1636</v>
      </c>
    </row>
    <row r="114" spans="1:3" x14ac:dyDescent="0.2">
      <c r="A114" s="64" t="s">
        <v>177</v>
      </c>
      <c r="B114" s="63" t="s">
        <v>178</v>
      </c>
      <c r="C114" s="57">
        <f>[12]С4.3!E13</f>
        <v>204</v>
      </c>
    </row>
    <row r="115" spans="1:3" ht="30" x14ac:dyDescent="0.2">
      <c r="A115" s="64" t="s">
        <v>179</v>
      </c>
      <c r="B115" s="37" t="s">
        <v>180</v>
      </c>
      <c r="C115" s="38">
        <f>[12]С4!F27</f>
        <v>1047.1575926659227</v>
      </c>
    </row>
    <row r="116" spans="1:3" ht="25.5" x14ac:dyDescent="0.2">
      <c r="A116" s="64" t="s">
        <v>181</v>
      </c>
      <c r="B116" s="58" t="s">
        <v>182</v>
      </c>
      <c r="C116" s="38">
        <f>[12]С4!F28</f>
        <v>804.26850435170718</v>
      </c>
    </row>
    <row r="117" spans="1:3" ht="42.75" x14ac:dyDescent="0.2">
      <c r="A117" s="64" t="s">
        <v>183</v>
      </c>
      <c r="B117" s="58" t="s">
        <v>184</v>
      </c>
      <c r="C117" s="38">
        <f>[12]С4!F29</f>
        <v>242.8890883142156</v>
      </c>
    </row>
    <row r="118" spans="1:3" ht="30" x14ac:dyDescent="0.2">
      <c r="A118" s="64" t="s">
        <v>185</v>
      </c>
      <c r="B118" s="43" t="s">
        <v>186</v>
      </c>
      <c r="C118" s="38">
        <f>[12]С4!F30</f>
        <v>1982.192630924706</v>
      </c>
    </row>
    <row r="119" spans="1:3" ht="42.75" x14ac:dyDescent="0.2">
      <c r="A119" s="64" t="s">
        <v>187</v>
      </c>
      <c r="B119" s="91" t="s">
        <v>188</v>
      </c>
      <c r="C119" s="38">
        <f>[12]С4!F33</f>
        <v>1264.9942497853181</v>
      </c>
    </row>
    <row r="120" spans="1:3" ht="30" x14ac:dyDescent="0.2">
      <c r="A120" s="64" t="s">
        <v>189</v>
      </c>
      <c r="B120" s="92" t="s">
        <v>190</v>
      </c>
      <c r="C120" s="38">
        <f>[12]С4!F35</f>
        <v>17.040680999999999</v>
      </c>
    </row>
    <row r="121" spans="1:3" ht="14.25" x14ac:dyDescent="0.2">
      <c r="A121" s="64" t="s">
        <v>191</v>
      </c>
      <c r="B121" s="61" t="s">
        <v>192</v>
      </c>
      <c r="C121" s="38">
        <f>[12]С4!F36</f>
        <v>14319.9</v>
      </c>
    </row>
    <row r="122" spans="1:3" ht="28.5" thickBot="1" x14ac:dyDescent="0.25">
      <c r="A122" s="77" t="s">
        <v>193</v>
      </c>
      <c r="B122" s="93" t="s">
        <v>194</v>
      </c>
      <c r="C122" s="88">
        <f>[12]С4!F37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[12]С5!F17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[12]С2!F37</f>
        <v>20.818139999999996</v>
      </c>
    </row>
    <row r="136" spans="1:4" ht="14.25" x14ac:dyDescent="0.2">
      <c r="A136" s="64" t="s">
        <v>216</v>
      </c>
      <c r="B136" s="107" t="s">
        <v>217</v>
      </c>
      <c r="C136" s="38">
        <f>[12]С2!F38</f>
        <v>7</v>
      </c>
    </row>
    <row r="137" spans="1:4" ht="17.25" x14ac:dyDescent="0.2">
      <c r="A137" s="64" t="s">
        <v>218</v>
      </c>
      <c r="B137" s="107" t="s">
        <v>219</v>
      </c>
      <c r="C137" s="38">
        <f>[12]С2!F40</f>
        <v>0.97</v>
      </c>
    </row>
    <row r="138" spans="1:4" ht="15" thickBot="1" x14ac:dyDescent="0.25">
      <c r="A138" s="77" t="s">
        <v>220</v>
      </c>
      <c r="B138" s="108" t="s">
        <v>221</v>
      </c>
      <c r="C138" s="50">
        <f>[12]С2!F42</f>
        <v>0.35</v>
      </c>
    </row>
    <row r="139" spans="1:4" s="94" customFormat="1" ht="13.5" thickBot="1" x14ac:dyDescent="0.25">
      <c r="A139" s="51"/>
      <c r="B139" s="80"/>
      <c r="C139" s="16"/>
    </row>
    <row r="140" spans="1:4" ht="30" x14ac:dyDescent="0.2">
      <c r="A140" s="89" t="s">
        <v>222</v>
      </c>
      <c r="B140" s="109" t="s">
        <v>223</v>
      </c>
      <c r="C140" s="110">
        <f>[12]С2!F35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[12]С2.5!$E$11</f>
        <v>-2.9000000000000026E-2</v>
      </c>
      <c r="D143" s="94"/>
    </row>
    <row r="144" spans="1:4" x14ac:dyDescent="0.2">
      <c r="A144" s="112"/>
      <c r="B144" s="117">
        <f>B143+1</f>
        <v>2021</v>
      </c>
      <c r="C144" s="118">
        <f>[12]С2.5!$F$11</f>
        <v>0.245</v>
      </c>
      <c r="D144" s="94"/>
    </row>
    <row r="145" spans="1:4" x14ac:dyDescent="0.2">
      <c r="A145" s="112"/>
      <c r="B145" s="117">
        <f t="shared" ref="B145:B208" si="0">B144+1</f>
        <v>2022</v>
      </c>
      <c r="C145" s="118">
        <f>[12]С2.5!$G$11</f>
        <v>0.121</v>
      </c>
      <c r="D145" s="94"/>
    </row>
    <row r="146" spans="1:4" ht="13.5" thickBot="1" x14ac:dyDescent="0.25">
      <c r="A146" s="112"/>
      <c r="B146" s="119">
        <f t="shared" si="0"/>
        <v>2023</v>
      </c>
      <c r="C146" s="120">
        <f>[12]С2.5!$H$11</f>
        <v>0.02</v>
      </c>
      <c r="D146" s="94"/>
    </row>
    <row r="147" spans="1:4" hidden="1" x14ac:dyDescent="0.2">
      <c r="A147" s="112"/>
      <c r="B147" s="121">
        <f t="shared" si="0"/>
        <v>2024</v>
      </c>
      <c r="C147" s="122">
        <f>[12]С2.5!$I$11</f>
        <v>-2.93E-2</v>
      </c>
      <c r="D147" s="94"/>
    </row>
    <row r="148" spans="1:4" hidden="1" x14ac:dyDescent="0.2">
      <c r="A148" s="112"/>
      <c r="B148" s="117">
        <f t="shared" si="0"/>
        <v>2025</v>
      </c>
      <c r="C148" s="118">
        <f>[12]С2.5!$J$11</f>
        <v>0.21215960863291</v>
      </c>
      <c r="D148" s="94"/>
    </row>
    <row r="149" spans="1:4" hidden="1" x14ac:dyDescent="0.2">
      <c r="A149" s="112"/>
      <c r="B149" s="117">
        <f t="shared" si="0"/>
        <v>2026</v>
      </c>
      <c r="C149" s="118">
        <f>[12]С2.5!$K$11</f>
        <v>3.5813361771260002E-2</v>
      </c>
      <c r="D149" s="94"/>
    </row>
    <row r="150" spans="1:4" hidden="1" x14ac:dyDescent="0.2">
      <c r="A150" s="112"/>
      <c r="B150" s="117">
        <f t="shared" si="0"/>
        <v>2027</v>
      </c>
      <c r="C150" s="118">
        <f>[12]С2.5!$L$11</f>
        <v>3.2682303599220003E-2</v>
      </c>
      <c r="D150" s="94"/>
    </row>
    <row r="151" spans="1:4" hidden="1" x14ac:dyDescent="0.2">
      <c r="A151" s="112"/>
      <c r="B151" s="117">
        <f t="shared" si="0"/>
        <v>2028</v>
      </c>
      <c r="C151" s="118">
        <f>[12]С2.5!$M$11</f>
        <v>0</v>
      </c>
      <c r="D151" s="94"/>
    </row>
    <row r="152" spans="1:4" hidden="1" x14ac:dyDescent="0.2">
      <c r="A152" s="112"/>
      <c r="B152" s="117">
        <f t="shared" si="0"/>
        <v>2029</v>
      </c>
      <c r="C152" s="118">
        <f>[12]С2.5!$N$11</f>
        <v>0</v>
      </c>
      <c r="D152" s="94"/>
    </row>
    <row r="153" spans="1:4" hidden="1" x14ac:dyDescent="0.2">
      <c r="A153" s="112"/>
      <c r="B153" s="117">
        <f t="shared" si="0"/>
        <v>2030</v>
      </c>
      <c r="C153" s="118">
        <f>[12]С2.5!$O$11</f>
        <v>0</v>
      </c>
      <c r="D153" s="94"/>
    </row>
    <row r="154" spans="1:4" hidden="1" x14ac:dyDescent="0.2">
      <c r="A154" s="112"/>
      <c r="B154" s="117">
        <f t="shared" si="0"/>
        <v>2031</v>
      </c>
      <c r="C154" s="118">
        <f>[12]С2.5!$P$11</f>
        <v>0</v>
      </c>
      <c r="D154" s="94"/>
    </row>
    <row r="155" spans="1:4" hidden="1" x14ac:dyDescent="0.2">
      <c r="A155" s="94"/>
      <c r="B155" s="117">
        <f t="shared" si="0"/>
        <v>2032</v>
      </c>
      <c r="C155" s="118">
        <f>[12]С2.5!$Q$11</f>
        <v>0</v>
      </c>
      <c r="D155" s="94"/>
    </row>
    <row r="156" spans="1:4" hidden="1" x14ac:dyDescent="0.2">
      <c r="A156" s="94"/>
      <c r="B156" s="117">
        <f t="shared" si="0"/>
        <v>2033</v>
      </c>
      <c r="C156" s="118">
        <f>[12]С2.5!$R$11</f>
        <v>0</v>
      </c>
      <c r="D156" s="94"/>
    </row>
    <row r="157" spans="1:4" hidden="1" x14ac:dyDescent="0.2">
      <c r="B157" s="117">
        <f t="shared" si="0"/>
        <v>2034</v>
      </c>
      <c r="C157" s="118">
        <f>[12]С2.5!$S$11</f>
        <v>0</v>
      </c>
    </row>
    <row r="158" spans="1:4" hidden="1" x14ac:dyDescent="0.2">
      <c r="B158" s="117">
        <f t="shared" si="0"/>
        <v>2035</v>
      </c>
      <c r="C158" s="118">
        <f>[12]С2.5!$T$11</f>
        <v>0</v>
      </c>
    </row>
    <row r="159" spans="1:4" hidden="1" x14ac:dyDescent="0.2">
      <c r="B159" s="117">
        <f t="shared" si="0"/>
        <v>2036</v>
      </c>
      <c r="C159" s="118">
        <f>[12]С2.5!$U$11</f>
        <v>0</v>
      </c>
    </row>
    <row r="160" spans="1:4" hidden="1" x14ac:dyDescent="0.2">
      <c r="B160" s="117">
        <f t="shared" si="0"/>
        <v>2037</v>
      </c>
      <c r="C160" s="118">
        <f>[12]С2.5!$V$11</f>
        <v>0</v>
      </c>
    </row>
    <row r="161" spans="2:3" hidden="1" x14ac:dyDescent="0.2">
      <c r="B161" s="117">
        <f t="shared" si="0"/>
        <v>2038</v>
      </c>
      <c r="C161" s="118">
        <f>[12]С2.5!$W$11</f>
        <v>0</v>
      </c>
    </row>
    <row r="162" spans="2:3" hidden="1" x14ac:dyDescent="0.2">
      <c r="B162" s="117">
        <f t="shared" si="0"/>
        <v>2039</v>
      </c>
      <c r="C162" s="118">
        <f>[12]С2.5!$X$11</f>
        <v>0</v>
      </c>
    </row>
    <row r="163" spans="2:3" hidden="1" x14ac:dyDescent="0.2">
      <c r="B163" s="117">
        <f t="shared" si="0"/>
        <v>2040</v>
      </c>
      <c r="C163" s="118">
        <f>[12]С2.5!$Y$11</f>
        <v>0</v>
      </c>
    </row>
    <row r="164" spans="2:3" hidden="1" x14ac:dyDescent="0.2">
      <c r="B164" s="117">
        <f t="shared" si="0"/>
        <v>2041</v>
      </c>
      <c r="C164" s="118">
        <f>[12]С2.5!$Z$11</f>
        <v>0</v>
      </c>
    </row>
    <row r="165" spans="2:3" hidden="1" x14ac:dyDescent="0.2">
      <c r="B165" s="117">
        <f t="shared" si="0"/>
        <v>2042</v>
      </c>
      <c r="C165" s="118">
        <f>[12]С2.5!$AA$11</f>
        <v>0</v>
      </c>
    </row>
    <row r="166" spans="2:3" hidden="1" x14ac:dyDescent="0.2">
      <c r="B166" s="117">
        <f t="shared" si="0"/>
        <v>2043</v>
      </c>
      <c r="C166" s="118">
        <f>[12]С2.5!$AB$11</f>
        <v>0</v>
      </c>
    </row>
    <row r="167" spans="2:3" hidden="1" x14ac:dyDescent="0.2">
      <c r="B167" s="117">
        <f t="shared" si="0"/>
        <v>2044</v>
      </c>
      <c r="C167" s="118">
        <f>[12]С2.5!$AC$11</f>
        <v>0</v>
      </c>
    </row>
    <row r="168" spans="2:3" hidden="1" x14ac:dyDescent="0.2">
      <c r="B168" s="117">
        <f t="shared" si="0"/>
        <v>2045</v>
      </c>
      <c r="C168" s="118">
        <f>[12]С2.5!$AD$11</f>
        <v>0</v>
      </c>
    </row>
    <row r="169" spans="2:3" hidden="1" x14ac:dyDescent="0.2">
      <c r="B169" s="117">
        <f t="shared" si="0"/>
        <v>2046</v>
      </c>
      <c r="C169" s="118">
        <f>[12]С2.5!$AE$11</f>
        <v>0</v>
      </c>
    </row>
    <row r="170" spans="2:3" hidden="1" x14ac:dyDescent="0.2">
      <c r="B170" s="117">
        <f t="shared" si="0"/>
        <v>2047</v>
      </c>
      <c r="C170" s="118">
        <f>[12]С2.5!$AF$11</f>
        <v>0</v>
      </c>
    </row>
    <row r="171" spans="2:3" hidden="1" x14ac:dyDescent="0.2">
      <c r="B171" s="117">
        <f t="shared" si="0"/>
        <v>2048</v>
      </c>
      <c r="C171" s="118">
        <f>[12]С2.5!$AG$11</f>
        <v>0</v>
      </c>
    </row>
    <row r="172" spans="2:3" hidden="1" x14ac:dyDescent="0.2">
      <c r="B172" s="117">
        <f t="shared" si="0"/>
        <v>2049</v>
      </c>
      <c r="C172" s="118">
        <f>[12]С2.5!$AH$11</f>
        <v>0</v>
      </c>
    </row>
    <row r="173" spans="2:3" hidden="1" x14ac:dyDescent="0.2">
      <c r="B173" s="117">
        <f t="shared" si="0"/>
        <v>2050</v>
      </c>
      <c r="C173" s="118">
        <f>[12]С2.5!$AI$11</f>
        <v>0</v>
      </c>
    </row>
    <row r="174" spans="2:3" hidden="1" x14ac:dyDescent="0.2">
      <c r="B174" s="117">
        <f t="shared" si="0"/>
        <v>2051</v>
      </c>
      <c r="C174" s="118">
        <f>[12]С2.5!$AJ$11</f>
        <v>0</v>
      </c>
    </row>
    <row r="175" spans="2:3" hidden="1" x14ac:dyDescent="0.2">
      <c r="B175" s="117">
        <f t="shared" si="0"/>
        <v>2052</v>
      </c>
      <c r="C175" s="118">
        <f>[12]С2.5!$AK$11</f>
        <v>0</v>
      </c>
    </row>
    <row r="176" spans="2:3" hidden="1" x14ac:dyDescent="0.2">
      <c r="B176" s="117">
        <f t="shared" si="0"/>
        <v>2053</v>
      </c>
      <c r="C176" s="118">
        <f>[12]С2.5!$AL$11</f>
        <v>0</v>
      </c>
    </row>
    <row r="177" spans="2:3" hidden="1" x14ac:dyDescent="0.2">
      <c r="B177" s="117">
        <f t="shared" si="0"/>
        <v>2054</v>
      </c>
      <c r="C177" s="118">
        <f>[12]С2.5!$AM$11</f>
        <v>0</v>
      </c>
    </row>
    <row r="178" spans="2:3" hidden="1" x14ac:dyDescent="0.2">
      <c r="B178" s="117">
        <f t="shared" si="0"/>
        <v>2055</v>
      </c>
      <c r="C178" s="118">
        <f>[12]С2.5!$AN$11</f>
        <v>0</v>
      </c>
    </row>
    <row r="179" spans="2:3" hidden="1" x14ac:dyDescent="0.2">
      <c r="B179" s="117">
        <f t="shared" si="0"/>
        <v>2056</v>
      </c>
      <c r="C179" s="118">
        <f>[12]С2.5!$AO$11</f>
        <v>0</v>
      </c>
    </row>
    <row r="180" spans="2:3" hidden="1" x14ac:dyDescent="0.2">
      <c r="B180" s="117">
        <f t="shared" si="0"/>
        <v>2057</v>
      </c>
      <c r="C180" s="118">
        <f>[12]С2.5!$AP$11</f>
        <v>0</v>
      </c>
    </row>
    <row r="181" spans="2:3" hidden="1" x14ac:dyDescent="0.2">
      <c r="B181" s="117">
        <f t="shared" si="0"/>
        <v>2058</v>
      </c>
      <c r="C181" s="118">
        <f>[12]С2.5!$AQ$11</f>
        <v>0</v>
      </c>
    </row>
    <row r="182" spans="2:3" hidden="1" x14ac:dyDescent="0.2">
      <c r="B182" s="117">
        <f t="shared" si="0"/>
        <v>2059</v>
      </c>
      <c r="C182" s="118">
        <f>[12]С2.5!$AR$11</f>
        <v>0</v>
      </c>
    </row>
    <row r="183" spans="2:3" hidden="1" x14ac:dyDescent="0.2">
      <c r="B183" s="117">
        <f t="shared" si="0"/>
        <v>2060</v>
      </c>
      <c r="C183" s="118">
        <f>[12]С2.5!$AS$11</f>
        <v>0</v>
      </c>
    </row>
    <row r="184" spans="2:3" hidden="1" x14ac:dyDescent="0.2">
      <c r="B184" s="117">
        <f t="shared" si="0"/>
        <v>2061</v>
      </c>
      <c r="C184" s="118">
        <f>[12]С2.5!$AT$11</f>
        <v>0</v>
      </c>
    </row>
    <row r="185" spans="2:3" hidden="1" x14ac:dyDescent="0.2">
      <c r="B185" s="117">
        <f t="shared" si="0"/>
        <v>2062</v>
      </c>
      <c r="C185" s="118">
        <f>[12]С2.5!$AU$11</f>
        <v>0</v>
      </c>
    </row>
    <row r="186" spans="2:3" hidden="1" x14ac:dyDescent="0.2">
      <c r="B186" s="117">
        <f t="shared" si="0"/>
        <v>2063</v>
      </c>
      <c r="C186" s="118">
        <f>[12]С2.5!$AV$11</f>
        <v>0</v>
      </c>
    </row>
    <row r="187" spans="2:3" hidden="1" x14ac:dyDescent="0.2">
      <c r="B187" s="117">
        <f t="shared" si="0"/>
        <v>2064</v>
      </c>
      <c r="C187" s="118">
        <f>[12]С2.5!$AW$11</f>
        <v>0</v>
      </c>
    </row>
    <row r="188" spans="2:3" hidden="1" x14ac:dyDescent="0.2">
      <c r="B188" s="117">
        <f t="shared" si="0"/>
        <v>2065</v>
      </c>
      <c r="C188" s="118">
        <f>[12]С2.5!$AX$11</f>
        <v>0</v>
      </c>
    </row>
    <row r="189" spans="2:3" hidden="1" x14ac:dyDescent="0.2">
      <c r="B189" s="117">
        <f t="shared" si="0"/>
        <v>2066</v>
      </c>
      <c r="C189" s="118">
        <f>[12]С2.5!$AY$11</f>
        <v>0</v>
      </c>
    </row>
    <row r="190" spans="2:3" hidden="1" x14ac:dyDescent="0.2">
      <c r="B190" s="117">
        <f t="shared" si="0"/>
        <v>2067</v>
      </c>
      <c r="C190" s="118">
        <f>[12]С2.5!$AZ$11</f>
        <v>0</v>
      </c>
    </row>
    <row r="191" spans="2:3" hidden="1" x14ac:dyDescent="0.2">
      <c r="B191" s="117">
        <f t="shared" si="0"/>
        <v>2068</v>
      </c>
      <c r="C191" s="118">
        <f>[12]С2.5!$BA$11</f>
        <v>0</v>
      </c>
    </row>
    <row r="192" spans="2:3" hidden="1" x14ac:dyDescent="0.2">
      <c r="B192" s="117">
        <f t="shared" si="0"/>
        <v>2069</v>
      </c>
      <c r="C192" s="118">
        <f>[12]С2.5!$BB$11</f>
        <v>0</v>
      </c>
    </row>
    <row r="193" spans="2:3" hidden="1" x14ac:dyDescent="0.2">
      <c r="B193" s="117">
        <f t="shared" si="0"/>
        <v>2070</v>
      </c>
      <c r="C193" s="118">
        <f>[12]С2.5!$BC$11</f>
        <v>0</v>
      </c>
    </row>
    <row r="194" spans="2:3" hidden="1" x14ac:dyDescent="0.2">
      <c r="B194" s="117">
        <f t="shared" si="0"/>
        <v>2071</v>
      </c>
      <c r="C194" s="118">
        <f>[12]С2.5!$BD$11</f>
        <v>0</v>
      </c>
    </row>
    <row r="195" spans="2:3" hidden="1" x14ac:dyDescent="0.2">
      <c r="B195" s="117">
        <f t="shared" si="0"/>
        <v>2072</v>
      </c>
      <c r="C195" s="118">
        <f>[12]С2.5!$BE$11</f>
        <v>0</v>
      </c>
    </row>
    <row r="196" spans="2:3" hidden="1" x14ac:dyDescent="0.2">
      <c r="B196" s="117">
        <f t="shared" si="0"/>
        <v>2073</v>
      </c>
      <c r="C196" s="118">
        <f>[12]С2.5!$BF$11</f>
        <v>0</v>
      </c>
    </row>
    <row r="197" spans="2:3" hidden="1" x14ac:dyDescent="0.2">
      <c r="B197" s="117">
        <f t="shared" si="0"/>
        <v>2074</v>
      </c>
      <c r="C197" s="118">
        <f>[12]С2.5!$BG$11</f>
        <v>0</v>
      </c>
    </row>
    <row r="198" spans="2:3" hidden="1" x14ac:dyDescent="0.2">
      <c r="B198" s="117">
        <f t="shared" si="0"/>
        <v>2075</v>
      </c>
      <c r="C198" s="118">
        <f>[12]С2.5!$BH$11</f>
        <v>0</v>
      </c>
    </row>
    <row r="199" spans="2:3" hidden="1" x14ac:dyDescent="0.2">
      <c r="B199" s="117">
        <f t="shared" si="0"/>
        <v>2076</v>
      </c>
      <c r="C199" s="118">
        <f>[12]С2.5!$BI$11</f>
        <v>0</v>
      </c>
    </row>
    <row r="200" spans="2:3" hidden="1" x14ac:dyDescent="0.2">
      <c r="B200" s="117">
        <f t="shared" si="0"/>
        <v>2077</v>
      </c>
      <c r="C200" s="118">
        <f>[12]С2.5!$BJ$11</f>
        <v>0</v>
      </c>
    </row>
    <row r="201" spans="2:3" hidden="1" x14ac:dyDescent="0.2">
      <c r="B201" s="117">
        <f t="shared" si="0"/>
        <v>2078</v>
      </c>
      <c r="C201" s="118">
        <f>[12]С2.5!$BK$11</f>
        <v>0</v>
      </c>
    </row>
    <row r="202" spans="2:3" hidden="1" x14ac:dyDescent="0.2">
      <c r="B202" s="117">
        <f t="shared" si="0"/>
        <v>2079</v>
      </c>
      <c r="C202" s="118">
        <f>[12]С2.5!$BL$11</f>
        <v>0</v>
      </c>
    </row>
    <row r="203" spans="2:3" hidden="1" x14ac:dyDescent="0.2">
      <c r="B203" s="117">
        <f t="shared" si="0"/>
        <v>2080</v>
      </c>
      <c r="C203" s="118">
        <f>[12]С2.5!$BM$11</f>
        <v>0</v>
      </c>
    </row>
    <row r="204" spans="2:3" hidden="1" x14ac:dyDescent="0.2">
      <c r="B204" s="117">
        <f t="shared" si="0"/>
        <v>2081</v>
      </c>
      <c r="C204" s="118">
        <f>[12]С2.5!$BN$11</f>
        <v>0</v>
      </c>
    </row>
    <row r="205" spans="2:3" hidden="1" x14ac:dyDescent="0.2">
      <c r="B205" s="117">
        <f t="shared" si="0"/>
        <v>2082</v>
      </c>
      <c r="C205" s="118">
        <f>[12]С2.5!$BO$11</f>
        <v>0</v>
      </c>
    </row>
    <row r="206" spans="2:3" hidden="1" x14ac:dyDescent="0.2">
      <c r="B206" s="117">
        <f t="shared" si="0"/>
        <v>2083</v>
      </c>
      <c r="C206" s="118">
        <f>[12]С2.5!$BP$11</f>
        <v>0</v>
      </c>
    </row>
    <row r="207" spans="2:3" hidden="1" x14ac:dyDescent="0.2">
      <c r="B207" s="117">
        <f t="shared" si="0"/>
        <v>2084</v>
      </c>
      <c r="C207" s="118">
        <f>[12]С2.5!$BQ$11</f>
        <v>0</v>
      </c>
    </row>
    <row r="208" spans="2:3" hidden="1" x14ac:dyDescent="0.2">
      <c r="B208" s="117">
        <f t="shared" si="0"/>
        <v>2085</v>
      </c>
      <c r="C208" s="118">
        <f>[12]С2.5!$BR$11</f>
        <v>0</v>
      </c>
    </row>
    <row r="209" spans="2:3" hidden="1" x14ac:dyDescent="0.2">
      <c r="B209" s="117">
        <f t="shared" ref="B209:B223" si="1">B208+1</f>
        <v>2086</v>
      </c>
      <c r="C209" s="118">
        <f>[12]С2.5!$BS$11</f>
        <v>0</v>
      </c>
    </row>
    <row r="210" spans="2:3" hidden="1" x14ac:dyDescent="0.2">
      <c r="B210" s="117">
        <f t="shared" si="1"/>
        <v>2087</v>
      </c>
      <c r="C210" s="118">
        <f>[12]С2.5!$BT$11</f>
        <v>0</v>
      </c>
    </row>
    <row r="211" spans="2:3" hidden="1" x14ac:dyDescent="0.2">
      <c r="B211" s="117">
        <f t="shared" si="1"/>
        <v>2088</v>
      </c>
      <c r="C211" s="118">
        <f>[12]С2.5!$BU$11</f>
        <v>0</v>
      </c>
    </row>
    <row r="212" spans="2:3" hidden="1" x14ac:dyDescent="0.2">
      <c r="B212" s="117">
        <f t="shared" si="1"/>
        <v>2089</v>
      </c>
      <c r="C212" s="118">
        <f>[12]С2.5!$BV$11</f>
        <v>0</v>
      </c>
    </row>
    <row r="213" spans="2:3" hidden="1" x14ac:dyDescent="0.2">
      <c r="B213" s="117">
        <f t="shared" si="1"/>
        <v>2090</v>
      </c>
      <c r="C213" s="118">
        <f>[12]С2.5!$BW$11</f>
        <v>0</v>
      </c>
    </row>
    <row r="214" spans="2:3" hidden="1" x14ac:dyDescent="0.2">
      <c r="B214" s="117">
        <f t="shared" si="1"/>
        <v>2091</v>
      </c>
      <c r="C214" s="118">
        <f>[12]С2.5!$BX$11</f>
        <v>0</v>
      </c>
    </row>
    <row r="215" spans="2:3" hidden="1" x14ac:dyDescent="0.2">
      <c r="B215" s="117">
        <f t="shared" si="1"/>
        <v>2092</v>
      </c>
      <c r="C215" s="118">
        <f>[12]С2.5!$BY$11</f>
        <v>0</v>
      </c>
    </row>
    <row r="216" spans="2:3" hidden="1" x14ac:dyDescent="0.2">
      <c r="B216" s="117">
        <f t="shared" si="1"/>
        <v>2093</v>
      </c>
      <c r="C216" s="118">
        <f>[12]С2.5!$BZ$11</f>
        <v>0</v>
      </c>
    </row>
    <row r="217" spans="2:3" hidden="1" x14ac:dyDescent="0.2">
      <c r="B217" s="117">
        <f t="shared" si="1"/>
        <v>2094</v>
      </c>
      <c r="C217" s="118">
        <f>[12]С2.5!$CA$11</f>
        <v>0</v>
      </c>
    </row>
    <row r="218" spans="2:3" hidden="1" x14ac:dyDescent="0.2">
      <c r="B218" s="117">
        <f t="shared" si="1"/>
        <v>2095</v>
      </c>
      <c r="C218" s="118">
        <f>[12]С2.5!$CB$11</f>
        <v>0</v>
      </c>
    </row>
    <row r="219" spans="2:3" hidden="1" x14ac:dyDescent="0.2">
      <c r="B219" s="117">
        <f t="shared" si="1"/>
        <v>2096</v>
      </c>
      <c r="C219" s="118">
        <f>[12]С2.5!$CC$11</f>
        <v>0</v>
      </c>
    </row>
    <row r="220" spans="2:3" hidden="1" x14ac:dyDescent="0.2">
      <c r="B220" s="117">
        <f t="shared" si="1"/>
        <v>2097</v>
      </c>
      <c r="C220" s="118">
        <f>[12]С2.5!$CD$11</f>
        <v>0</v>
      </c>
    </row>
    <row r="221" spans="2:3" hidden="1" x14ac:dyDescent="0.2">
      <c r="B221" s="117">
        <f t="shared" si="1"/>
        <v>2098</v>
      </c>
      <c r="C221" s="118">
        <f>[12]С2.5!$CE$11</f>
        <v>0</v>
      </c>
    </row>
    <row r="222" spans="2:3" hidden="1" x14ac:dyDescent="0.2">
      <c r="B222" s="117">
        <f t="shared" si="1"/>
        <v>2099</v>
      </c>
      <c r="C222" s="118">
        <f>[12]С2.5!$CF$11</f>
        <v>0</v>
      </c>
    </row>
    <row r="223" spans="2:3" ht="13.5" hidden="1" thickBot="1" x14ac:dyDescent="0.25">
      <c r="B223" s="119">
        <f t="shared" si="1"/>
        <v>2100</v>
      </c>
      <c r="C223" s="120">
        <f>[12]С2.5!$CG$11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2289" r:id="rId3" name="Button 1">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[13]И1!D13</f>
        <v>Субъект Российской Федерации</v>
      </c>
      <c r="C4" s="11" t="str">
        <f>[13]И1!E13</f>
        <v>Новосибирская область</v>
      </c>
    </row>
    <row r="5" spans="1:3" ht="38.25" x14ac:dyDescent="0.2">
      <c r="A5" s="9"/>
      <c r="B5" s="10" t="str">
        <f>[13]И1!D14</f>
        <v>Тип муниципального образования (выберите из списка)</v>
      </c>
      <c r="C5" s="11" t="str">
        <f>[13]И1!E14</f>
        <v xml:space="preserve">село Шайдурово, Сузунский муниципальный район </v>
      </c>
    </row>
    <row r="6" spans="1:3" x14ac:dyDescent="0.2">
      <c r="A6" s="9"/>
      <c r="B6" s="10" t="str">
        <f>IF([13]И1!E15="","",[13]И1!D15)</f>
        <v/>
      </c>
      <c r="C6" s="11" t="str">
        <f>IF([13]И1!E15="","",[13]И1!E15)</f>
        <v/>
      </c>
    </row>
    <row r="7" spans="1:3" x14ac:dyDescent="0.2">
      <c r="A7" s="9"/>
      <c r="B7" s="10" t="str">
        <f>[13]И1!D16</f>
        <v>Код ОКТМО</v>
      </c>
      <c r="C7" s="12" t="str">
        <f>[13]И1!E16</f>
        <v>(50648434101)</v>
      </c>
    </row>
    <row r="8" spans="1:3" x14ac:dyDescent="0.2">
      <c r="A8" s="9"/>
      <c r="B8" s="13" t="str">
        <f>[13]И1!D17</f>
        <v>Система теплоснабжения</v>
      </c>
      <c r="C8" s="14">
        <f>[13]И1!E17</f>
        <v>0</v>
      </c>
    </row>
    <row r="9" spans="1:3" x14ac:dyDescent="0.2">
      <c r="A9" s="9"/>
      <c r="B9" s="10" t="str">
        <f>[13]И1!D8</f>
        <v>Период регулирования (i)-й</v>
      </c>
      <c r="C9" s="15">
        <f>[13]И1!E8</f>
        <v>2023</v>
      </c>
    </row>
    <row r="10" spans="1:3" x14ac:dyDescent="0.2">
      <c r="A10" s="9"/>
      <c r="B10" s="10" t="str">
        <f>[13]И1!D9</f>
        <v>Период регулирования (i-1)-й</v>
      </c>
      <c r="C10" s="15">
        <f>[13]И1!E9</f>
        <v>2022</v>
      </c>
    </row>
    <row r="11" spans="1:3" x14ac:dyDescent="0.2">
      <c r="A11" s="9"/>
      <c r="B11" s="10" t="str">
        <f>[13]И1!D10</f>
        <v>Период регулирования (i-2)-й</v>
      </c>
      <c r="C11" s="15">
        <f>[13]И1!E10</f>
        <v>2021</v>
      </c>
    </row>
    <row r="12" spans="1:3" x14ac:dyDescent="0.2">
      <c r="A12" s="9"/>
      <c r="B12" s="10" t="str">
        <f>[13]И1!D11</f>
        <v>Базовый год (б)</v>
      </c>
      <c r="C12" s="15">
        <f>[13]И1!E11</f>
        <v>2019</v>
      </c>
    </row>
    <row r="13" spans="1:3" ht="38.25" x14ac:dyDescent="0.2">
      <c r="A13" s="9"/>
      <c r="B13" s="10" t="str">
        <f>[13]И1!D18</f>
        <v>Вид топлива, использование которого преобладает в системе теплоснабжения</v>
      </c>
      <c r="C13" s="16" t="str">
        <f>[13]С1.1!E13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3963.5444344095285</v>
      </c>
    </row>
    <row r="18" spans="1:3" ht="42.75" x14ac:dyDescent="0.2">
      <c r="A18" s="24" t="s">
        <v>8</v>
      </c>
      <c r="B18" s="27" t="s">
        <v>9</v>
      </c>
      <c r="C18" s="28">
        <f>[13]С1!F12</f>
        <v>864.00312134644389</v>
      </c>
    </row>
    <row r="19" spans="1:3" ht="42.75" x14ac:dyDescent="0.2">
      <c r="A19" s="24" t="s">
        <v>10</v>
      </c>
      <c r="B19" s="27" t="s">
        <v>11</v>
      </c>
      <c r="C19" s="28">
        <f>[13]С2!F12</f>
        <v>2108.7102251987935</v>
      </c>
    </row>
    <row r="20" spans="1:3" ht="30" x14ac:dyDescent="0.2">
      <c r="A20" s="24" t="s">
        <v>12</v>
      </c>
      <c r="B20" s="27" t="s">
        <v>13</v>
      </c>
      <c r="C20" s="28">
        <f>[13]С3!F12</f>
        <v>504.54115631660852</v>
      </c>
    </row>
    <row r="21" spans="1:3" ht="42.75" x14ac:dyDescent="0.2">
      <c r="A21" s="24" t="s">
        <v>14</v>
      </c>
      <c r="B21" s="27" t="s">
        <v>15</v>
      </c>
      <c r="C21" s="28">
        <f>[13]С4!F12</f>
        <v>408.57337401024085</v>
      </c>
    </row>
    <row r="22" spans="1:3" ht="30" x14ac:dyDescent="0.2">
      <c r="A22" s="24" t="s">
        <v>16</v>
      </c>
      <c r="B22" s="27" t="s">
        <v>17</v>
      </c>
      <c r="C22" s="28">
        <f>[13]С5!F12</f>
        <v>77.716557537441744</v>
      </c>
    </row>
    <row r="23" spans="1:3" ht="43.5" thickBot="1" x14ac:dyDescent="0.25">
      <c r="A23" s="29" t="s">
        <v>18</v>
      </c>
      <c r="B23" s="30" t="s">
        <v>19</v>
      </c>
      <c r="C23" s="31" t="str">
        <f>[13]С6!F12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[13]С1.1!E16</f>
        <v>5100</v>
      </c>
    </row>
    <row r="29" spans="1:3" ht="42.75" x14ac:dyDescent="0.2">
      <c r="A29" s="24" t="s">
        <v>10</v>
      </c>
      <c r="B29" s="37" t="s">
        <v>22</v>
      </c>
      <c r="C29" s="38">
        <f>[13]С1.1!E27</f>
        <v>2323.16</v>
      </c>
    </row>
    <row r="30" spans="1:3" ht="17.25" x14ac:dyDescent="0.2">
      <c r="A30" s="24" t="s">
        <v>12</v>
      </c>
      <c r="B30" s="37" t="s">
        <v>23</v>
      </c>
      <c r="C30" s="39">
        <f>[13]С1.1!E19</f>
        <v>0.59499999999999997</v>
      </c>
    </row>
    <row r="31" spans="1:3" ht="17.25" x14ac:dyDescent="0.2">
      <c r="A31" s="24" t="s">
        <v>14</v>
      </c>
      <c r="B31" s="37" t="s">
        <v>24</v>
      </c>
      <c r="C31" s="39">
        <f>[13]С1.1!E20</f>
        <v>-0.113</v>
      </c>
    </row>
    <row r="32" spans="1:3" ht="30" x14ac:dyDescent="0.2">
      <c r="A32" s="24" t="s">
        <v>16</v>
      </c>
      <c r="B32" s="40" t="s">
        <v>25</v>
      </c>
      <c r="C32" s="41">
        <f>[13]С1!F13</f>
        <v>176.4</v>
      </c>
    </row>
    <row r="33" spans="1:3" x14ac:dyDescent="0.2">
      <c r="A33" s="24" t="s">
        <v>18</v>
      </c>
      <c r="B33" s="40" t="s">
        <v>26</v>
      </c>
      <c r="C33" s="42">
        <f>[13]С1!F16</f>
        <v>7000</v>
      </c>
    </row>
    <row r="34" spans="1:3" ht="14.25" x14ac:dyDescent="0.2">
      <c r="A34" s="24" t="s">
        <v>27</v>
      </c>
      <c r="B34" s="43" t="s">
        <v>28</v>
      </c>
      <c r="C34" s="44">
        <f>[13]С1!F17</f>
        <v>0.72857142857142854</v>
      </c>
    </row>
    <row r="35" spans="1:3" ht="15.75" x14ac:dyDescent="0.2">
      <c r="A35" s="45" t="s">
        <v>29</v>
      </c>
      <c r="B35" s="46" t="s">
        <v>30</v>
      </c>
      <c r="C35" s="44">
        <f>[13]С1!F20</f>
        <v>21.588411179999994</v>
      </c>
    </row>
    <row r="36" spans="1:3" ht="15.75" x14ac:dyDescent="0.2">
      <c r="A36" s="45" t="s">
        <v>31</v>
      </c>
      <c r="B36" s="47" t="s">
        <v>32</v>
      </c>
      <c r="C36" s="44">
        <f>[13]С1!F21</f>
        <v>20.818139999999996</v>
      </c>
    </row>
    <row r="37" spans="1:3" ht="14.25" x14ac:dyDescent="0.2">
      <c r="A37" s="45" t="s">
        <v>33</v>
      </c>
      <c r="B37" s="48" t="s">
        <v>34</v>
      </c>
      <c r="C37" s="44">
        <f>[13]С1!F22</f>
        <v>1.0369999999999999</v>
      </c>
    </row>
    <row r="38" spans="1:3" ht="53.25" thickBot="1" x14ac:dyDescent="0.25">
      <c r="A38" s="29" t="s">
        <v>35</v>
      </c>
      <c r="B38" s="49" t="s">
        <v>36</v>
      </c>
      <c r="C38" s="50">
        <f>[13]С1!F23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[13]С2.1!E12</f>
        <v>V</v>
      </c>
    </row>
    <row r="42" spans="1:3" ht="25.5" x14ac:dyDescent="0.2">
      <c r="A42" s="24" t="s">
        <v>41</v>
      </c>
      <c r="B42" s="37" t="s">
        <v>42</v>
      </c>
      <c r="C42" s="56" t="str">
        <f>[13]С2.1!E13</f>
        <v>6 и менее баллов</v>
      </c>
    </row>
    <row r="43" spans="1:3" ht="25.5" x14ac:dyDescent="0.2">
      <c r="A43" s="24" t="s">
        <v>43</v>
      </c>
      <c r="B43" s="37" t="s">
        <v>44</v>
      </c>
      <c r="C43" s="56" t="str">
        <f>[13]С2.1!E14</f>
        <v>от 200 до 500</v>
      </c>
    </row>
    <row r="44" spans="1:3" ht="25.5" x14ac:dyDescent="0.2">
      <c r="A44" s="24" t="s">
        <v>45</v>
      </c>
      <c r="B44" s="37" t="s">
        <v>46</v>
      </c>
      <c r="C44" s="57" t="str">
        <f>[13]С2.1!E15</f>
        <v>нет</v>
      </c>
    </row>
    <row r="45" spans="1:3" ht="30" x14ac:dyDescent="0.2">
      <c r="A45" s="24" t="s">
        <v>47</v>
      </c>
      <c r="B45" s="37" t="s">
        <v>48</v>
      </c>
      <c r="C45" s="38">
        <f>[13]С2!F18</f>
        <v>32402.627334033532</v>
      </c>
    </row>
    <row r="46" spans="1:3" ht="30" x14ac:dyDescent="0.2">
      <c r="A46" s="24" t="s">
        <v>49</v>
      </c>
      <c r="B46" s="58" t="s">
        <v>50</v>
      </c>
      <c r="C46" s="38">
        <f>IF([13]С2!F19&gt;0,[13]С2!F19,[13]С2!F20)</f>
        <v>23441.524932855718</v>
      </c>
    </row>
    <row r="47" spans="1:3" ht="25.5" x14ac:dyDescent="0.2">
      <c r="A47" s="24" t="s">
        <v>51</v>
      </c>
      <c r="B47" s="59" t="s">
        <v>52</v>
      </c>
      <c r="C47" s="38">
        <f>[13]С2.1!E19</f>
        <v>-37</v>
      </c>
    </row>
    <row r="48" spans="1:3" ht="25.5" x14ac:dyDescent="0.2">
      <c r="A48" s="24" t="s">
        <v>53</v>
      </c>
      <c r="B48" s="59" t="s">
        <v>54</v>
      </c>
      <c r="C48" s="38" t="str">
        <f>[13]С2.1!E22</f>
        <v>нет</v>
      </c>
    </row>
    <row r="49" spans="1:3" ht="38.25" x14ac:dyDescent="0.2">
      <c r="A49" s="24" t="s">
        <v>55</v>
      </c>
      <c r="B49" s="60" t="s">
        <v>56</v>
      </c>
      <c r="C49" s="38">
        <f>[13]С2.2!E10</f>
        <v>1287</v>
      </c>
    </row>
    <row r="50" spans="1:3" ht="25.5" x14ac:dyDescent="0.2">
      <c r="A50" s="24" t="s">
        <v>57</v>
      </c>
      <c r="B50" s="61" t="s">
        <v>58</v>
      </c>
      <c r="C50" s="38">
        <f>[13]С2.2!E12</f>
        <v>5.97</v>
      </c>
    </row>
    <row r="51" spans="1:3" ht="52.5" x14ac:dyDescent="0.2">
      <c r="A51" s="24" t="s">
        <v>59</v>
      </c>
      <c r="B51" s="62" t="s">
        <v>60</v>
      </c>
      <c r="C51" s="38">
        <f>[13]С2.2!E13</f>
        <v>1</v>
      </c>
    </row>
    <row r="52" spans="1:3" ht="27.75" x14ac:dyDescent="0.2">
      <c r="A52" s="24" t="s">
        <v>61</v>
      </c>
      <c r="B52" s="61" t="s">
        <v>62</v>
      </c>
      <c r="C52" s="38">
        <f>[13]С2.2!E14</f>
        <v>12104</v>
      </c>
    </row>
    <row r="53" spans="1:3" ht="25.5" x14ac:dyDescent="0.2">
      <c r="A53" s="24" t="s">
        <v>63</v>
      </c>
      <c r="B53" s="62" t="s">
        <v>64</v>
      </c>
      <c r="C53" s="39">
        <f>[13]С2.2!E15</f>
        <v>4.8000000000000001E-2</v>
      </c>
    </row>
    <row r="54" spans="1:3" x14ac:dyDescent="0.2">
      <c r="A54" s="24" t="s">
        <v>65</v>
      </c>
      <c r="B54" s="62" t="s">
        <v>66</v>
      </c>
      <c r="C54" s="38">
        <f>[13]С2.2!E16</f>
        <v>1</v>
      </c>
    </row>
    <row r="55" spans="1:3" ht="15.75" x14ac:dyDescent="0.2">
      <c r="A55" s="24" t="s">
        <v>67</v>
      </c>
      <c r="B55" s="63" t="s">
        <v>68</v>
      </c>
      <c r="C55" s="38">
        <f>[13]С2!F21</f>
        <v>1</v>
      </c>
    </row>
    <row r="56" spans="1:3" ht="30" x14ac:dyDescent="0.2">
      <c r="A56" s="64" t="s">
        <v>69</v>
      </c>
      <c r="B56" s="37" t="s">
        <v>70</v>
      </c>
      <c r="C56" s="38">
        <f>[13]С2!F13</f>
        <v>169640.22915965237</v>
      </c>
    </row>
    <row r="57" spans="1:3" ht="30" x14ac:dyDescent="0.2">
      <c r="A57" s="64" t="s">
        <v>71</v>
      </c>
      <c r="B57" s="63" t="s">
        <v>72</v>
      </c>
      <c r="C57" s="38">
        <f>[13]С2!F14</f>
        <v>113455</v>
      </c>
    </row>
    <row r="58" spans="1:3" ht="15.75" x14ac:dyDescent="0.2">
      <c r="A58" s="64" t="s">
        <v>73</v>
      </c>
      <c r="B58" s="65" t="s">
        <v>74</v>
      </c>
      <c r="C58" s="44">
        <f>[13]С2!F15</f>
        <v>1.071</v>
      </c>
    </row>
    <row r="59" spans="1:3" ht="15.75" x14ac:dyDescent="0.2">
      <c r="A59" s="64" t="s">
        <v>75</v>
      </c>
      <c r="B59" s="65" t="s">
        <v>76</v>
      </c>
      <c r="C59" s="44">
        <f>[13]С2!F16</f>
        <v>1</v>
      </c>
    </row>
    <row r="60" spans="1:3" ht="17.25" x14ac:dyDescent="0.2">
      <c r="A60" s="64" t="s">
        <v>77</v>
      </c>
      <c r="B60" s="63" t="s">
        <v>78</v>
      </c>
      <c r="C60" s="38">
        <f>[13]С2!F17</f>
        <v>1.01</v>
      </c>
    </row>
    <row r="61" spans="1:3" s="68" customFormat="1" ht="14.25" x14ac:dyDescent="0.2">
      <c r="A61" s="64" t="s">
        <v>79</v>
      </c>
      <c r="B61" s="66" t="s">
        <v>80</v>
      </c>
      <c r="C61" s="67">
        <f>[13]С2!F33</f>
        <v>10</v>
      </c>
    </row>
    <row r="62" spans="1:3" ht="30" x14ac:dyDescent="0.2">
      <c r="A62" s="64" t="s">
        <v>81</v>
      </c>
      <c r="B62" s="69" t="s">
        <v>82</v>
      </c>
      <c r="C62" s="38">
        <f>[13]С2!F26</f>
        <v>1424.4887832283189</v>
      </c>
    </row>
    <row r="63" spans="1:3" ht="17.25" x14ac:dyDescent="0.2">
      <c r="A63" s="64" t="s">
        <v>83</v>
      </c>
      <c r="B63" s="58" t="s">
        <v>84</v>
      </c>
      <c r="C63" s="38">
        <f>[13]С2!F27</f>
        <v>0.24536656199999998</v>
      </c>
    </row>
    <row r="64" spans="1:3" ht="17.25" x14ac:dyDescent="0.2">
      <c r="A64" s="64" t="s">
        <v>85</v>
      </c>
      <c r="B64" s="63" t="s">
        <v>86</v>
      </c>
      <c r="C64" s="67">
        <f>[13]С2!F28</f>
        <v>4200</v>
      </c>
    </row>
    <row r="65" spans="1:3" ht="42.75" x14ac:dyDescent="0.2">
      <c r="A65" s="64" t="s">
        <v>87</v>
      </c>
      <c r="B65" s="37" t="s">
        <v>88</v>
      </c>
      <c r="C65" s="38">
        <f>[13]С2!F22</f>
        <v>35717.748653137714</v>
      </c>
    </row>
    <row r="66" spans="1:3" ht="30" x14ac:dyDescent="0.2">
      <c r="A66" s="64" t="s">
        <v>89</v>
      </c>
      <c r="B66" s="65" t="s">
        <v>90</v>
      </c>
      <c r="C66" s="38">
        <f>[13]С2!F23</f>
        <v>1990</v>
      </c>
    </row>
    <row r="67" spans="1:3" ht="30" x14ac:dyDescent="0.2">
      <c r="A67" s="64" t="s">
        <v>91</v>
      </c>
      <c r="B67" s="58" t="s">
        <v>92</v>
      </c>
      <c r="C67" s="38">
        <f>[13]С2.1!E27</f>
        <v>14307.876789999998</v>
      </c>
    </row>
    <row r="68" spans="1:3" ht="38.25" x14ac:dyDescent="0.2">
      <c r="A68" s="64" t="s">
        <v>93</v>
      </c>
      <c r="B68" s="70" t="s">
        <v>94</v>
      </c>
      <c r="C68" s="57">
        <f>[13]С2.3!E21</f>
        <v>0</v>
      </c>
    </row>
    <row r="69" spans="1:3" ht="25.5" x14ac:dyDescent="0.2">
      <c r="A69" s="64" t="s">
        <v>95</v>
      </c>
      <c r="B69" s="71" t="s">
        <v>96</v>
      </c>
      <c r="C69" s="72">
        <f>[13]С2.3!E11</f>
        <v>9.89</v>
      </c>
    </row>
    <row r="70" spans="1:3" ht="25.5" x14ac:dyDescent="0.2">
      <c r="A70" s="64" t="s">
        <v>97</v>
      </c>
      <c r="B70" s="71" t="s">
        <v>98</v>
      </c>
      <c r="C70" s="67">
        <f>[13]С2.3!E13</f>
        <v>300</v>
      </c>
    </row>
    <row r="71" spans="1:3" ht="25.5" x14ac:dyDescent="0.2">
      <c r="A71" s="64" t="s">
        <v>99</v>
      </c>
      <c r="B71" s="70" t="s">
        <v>100</v>
      </c>
      <c r="C71" s="73">
        <f>IF([13]С2.3!E22&gt;0,[13]С2.3!E22,[13]С2.3!E14)</f>
        <v>61211</v>
      </c>
    </row>
    <row r="72" spans="1:3" ht="38.25" x14ac:dyDescent="0.2">
      <c r="A72" s="64" t="s">
        <v>101</v>
      </c>
      <c r="B72" s="70" t="s">
        <v>102</v>
      </c>
      <c r="C72" s="73">
        <f>IF([13]С2.3!E23&gt;0,[13]С2.3!E23,[13]С2.3!E15)</f>
        <v>45675</v>
      </c>
    </row>
    <row r="73" spans="1:3" ht="30" x14ac:dyDescent="0.2">
      <c r="A73" s="64" t="s">
        <v>103</v>
      </c>
      <c r="B73" s="58" t="s">
        <v>104</v>
      </c>
      <c r="C73" s="38">
        <f>[13]С2.1!E28</f>
        <v>9541.9567200000001</v>
      </c>
    </row>
    <row r="74" spans="1:3" ht="38.25" x14ac:dyDescent="0.2">
      <c r="A74" s="64" t="s">
        <v>105</v>
      </c>
      <c r="B74" s="70" t="s">
        <v>106</v>
      </c>
      <c r="C74" s="57">
        <f>[13]С2.3!E25</f>
        <v>0</v>
      </c>
    </row>
    <row r="75" spans="1:3" ht="25.5" x14ac:dyDescent="0.2">
      <c r="A75" s="64" t="s">
        <v>107</v>
      </c>
      <c r="B75" s="71" t="s">
        <v>108</v>
      </c>
      <c r="C75" s="72">
        <f>[13]С2.3!E12</f>
        <v>0.56000000000000005</v>
      </c>
    </row>
    <row r="76" spans="1:3" ht="25.5" x14ac:dyDescent="0.2">
      <c r="A76" s="64" t="s">
        <v>109</v>
      </c>
      <c r="B76" s="71" t="s">
        <v>98</v>
      </c>
      <c r="C76" s="67">
        <f>[13]С2.3!E13</f>
        <v>300</v>
      </c>
    </row>
    <row r="77" spans="1:3" ht="25.5" x14ac:dyDescent="0.2">
      <c r="A77" s="64" t="s">
        <v>110</v>
      </c>
      <c r="B77" s="74" t="s">
        <v>111</v>
      </c>
      <c r="C77" s="73">
        <f>IF([13]С2.3!E26&gt;0,[13]С2.3!E26,[13]С2.3!E16)</f>
        <v>65637</v>
      </c>
    </row>
    <row r="78" spans="1:3" ht="38.25" x14ac:dyDescent="0.2">
      <c r="A78" s="64" t="s">
        <v>112</v>
      </c>
      <c r="B78" s="74" t="s">
        <v>113</v>
      </c>
      <c r="C78" s="73">
        <f>IF([13]С2.3!E27&gt;0,[13]С2.3!E27,[13]С2.3!E17)</f>
        <v>31684</v>
      </c>
    </row>
    <row r="79" spans="1:3" ht="17.25" x14ac:dyDescent="0.2">
      <c r="A79" s="64" t="s">
        <v>114</v>
      </c>
      <c r="B79" s="37" t="s">
        <v>115</v>
      </c>
      <c r="C79" s="39">
        <f>[13]С2!F29</f>
        <v>0.128978033685065</v>
      </c>
    </row>
    <row r="80" spans="1:3" ht="30" x14ac:dyDescent="0.2">
      <c r="A80" s="64" t="s">
        <v>116</v>
      </c>
      <c r="B80" s="58" t="s">
        <v>117</v>
      </c>
      <c r="C80" s="75">
        <f>[13]С2!F30</f>
        <v>0.11668498168498169</v>
      </c>
    </row>
    <row r="81" spans="1:3" ht="17.25" x14ac:dyDescent="0.2">
      <c r="A81" s="64" t="s">
        <v>118</v>
      </c>
      <c r="B81" s="76" t="s">
        <v>119</v>
      </c>
      <c r="C81" s="39">
        <f>[13]С2!F31</f>
        <v>0.13880000000000001</v>
      </c>
    </row>
    <row r="82" spans="1:3" s="68" customFormat="1" ht="18" thickBot="1" x14ac:dyDescent="0.25">
      <c r="A82" s="77" t="s">
        <v>120</v>
      </c>
      <c r="B82" s="78" t="s">
        <v>121</v>
      </c>
      <c r="C82" s="79">
        <f>[13]С2!F32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[13]С3!F14</f>
        <v>7012.1794194579406</v>
      </c>
    </row>
    <row r="86" spans="1:3" s="68" customFormat="1" ht="42.75" x14ac:dyDescent="0.2">
      <c r="A86" s="82" t="s">
        <v>126</v>
      </c>
      <c r="B86" s="58" t="s">
        <v>127</v>
      </c>
      <c r="C86" s="83">
        <f>[13]С3!F15</f>
        <v>0.2</v>
      </c>
    </row>
    <row r="87" spans="1:3" s="68" customFormat="1" ht="14.25" x14ac:dyDescent="0.2">
      <c r="A87" s="82" t="s">
        <v>128</v>
      </c>
      <c r="B87" s="84" t="s">
        <v>129</v>
      </c>
      <c r="C87" s="67">
        <f>[13]С3!F18</f>
        <v>15</v>
      </c>
    </row>
    <row r="88" spans="1:3" s="68" customFormat="1" ht="17.25" x14ac:dyDescent="0.2">
      <c r="A88" s="82" t="s">
        <v>130</v>
      </c>
      <c r="B88" s="37" t="s">
        <v>131</v>
      </c>
      <c r="C88" s="38">
        <f>[13]С3!F19</f>
        <v>3487.1555421534131</v>
      </c>
    </row>
    <row r="89" spans="1:3" s="68" customFormat="1" ht="55.5" x14ac:dyDescent="0.2">
      <c r="A89" s="82" t="s">
        <v>132</v>
      </c>
      <c r="B89" s="58" t="s">
        <v>133</v>
      </c>
      <c r="C89" s="85">
        <f>[13]С3!F20</f>
        <v>2.1999999999999999E-2</v>
      </c>
    </row>
    <row r="90" spans="1:3" s="68" customFormat="1" ht="14.25" x14ac:dyDescent="0.2">
      <c r="A90" s="82" t="s">
        <v>134</v>
      </c>
      <c r="B90" s="63" t="s">
        <v>80</v>
      </c>
      <c r="C90" s="67">
        <f>[13]С3!F21</f>
        <v>10</v>
      </c>
    </row>
    <row r="91" spans="1:3" s="68" customFormat="1" ht="17.25" x14ac:dyDescent="0.2">
      <c r="A91" s="82" t="s">
        <v>135</v>
      </c>
      <c r="B91" s="37" t="s">
        <v>136</v>
      </c>
      <c r="C91" s="38">
        <f>[13]С3!F22</f>
        <v>4.2734663496849565</v>
      </c>
    </row>
    <row r="92" spans="1:3" s="68" customFormat="1" ht="55.5" x14ac:dyDescent="0.2">
      <c r="A92" s="82" t="s">
        <v>137</v>
      </c>
      <c r="B92" s="58" t="s">
        <v>138</v>
      </c>
      <c r="C92" s="85">
        <f>[13]С3!F23</f>
        <v>3.0000000000000001E-3</v>
      </c>
    </row>
    <row r="93" spans="1:3" s="68" customFormat="1" ht="27.75" thickBot="1" x14ac:dyDescent="0.25">
      <c r="A93" s="86" t="s">
        <v>139</v>
      </c>
      <c r="B93" s="87" t="s">
        <v>140</v>
      </c>
      <c r="C93" s="88">
        <f>[13]С3!F24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[13]С4!F16</f>
        <v>1652.5</v>
      </c>
    </row>
    <row r="97" spans="1:3" ht="30" x14ac:dyDescent="0.2">
      <c r="A97" s="64" t="s">
        <v>145</v>
      </c>
      <c r="B97" s="63" t="s">
        <v>146</v>
      </c>
      <c r="C97" s="38">
        <f>[13]С4!F17</f>
        <v>73547</v>
      </c>
    </row>
    <row r="98" spans="1:3" ht="17.25" x14ac:dyDescent="0.2">
      <c r="A98" s="64" t="s">
        <v>147</v>
      </c>
      <c r="B98" s="63" t="s">
        <v>148</v>
      </c>
      <c r="C98" s="44">
        <f>[13]С4!F18</f>
        <v>0.02</v>
      </c>
    </row>
    <row r="99" spans="1:3" ht="30" x14ac:dyDescent="0.2">
      <c r="A99" s="64" t="s">
        <v>149</v>
      </c>
      <c r="B99" s="63" t="s">
        <v>150</v>
      </c>
      <c r="C99" s="38">
        <f>[13]С4!F19</f>
        <v>12104</v>
      </c>
    </row>
    <row r="100" spans="1:3" ht="31.5" x14ac:dyDescent="0.2">
      <c r="A100" s="64" t="s">
        <v>151</v>
      </c>
      <c r="B100" s="63" t="s">
        <v>152</v>
      </c>
      <c r="C100" s="44">
        <f>[13]С4!F20</f>
        <v>1.4999999999999999E-2</v>
      </c>
    </row>
    <row r="101" spans="1:3" ht="30" x14ac:dyDescent="0.2">
      <c r="A101" s="64" t="s">
        <v>153</v>
      </c>
      <c r="B101" s="37" t="s">
        <v>154</v>
      </c>
      <c r="C101" s="38">
        <f>[13]С4!F21</f>
        <v>1933.1949342509995</v>
      </c>
    </row>
    <row r="102" spans="1:3" ht="24" customHeight="1" x14ac:dyDescent="0.2">
      <c r="A102" s="64" t="s">
        <v>155</v>
      </c>
      <c r="B102" s="58" t="s">
        <v>156</v>
      </c>
      <c r="C102" s="90">
        <f>IF([13]С4.2!F8="да",[13]С4.2!D21,[13]С4.2!D15)</f>
        <v>0</v>
      </c>
    </row>
    <row r="103" spans="1:3" ht="68.25" x14ac:dyDescent="0.2">
      <c r="A103" s="64" t="s">
        <v>157</v>
      </c>
      <c r="B103" s="58" t="s">
        <v>158</v>
      </c>
      <c r="C103" s="38">
        <f>[13]С4!F22</f>
        <v>3.6112641666666665</v>
      </c>
    </row>
    <row r="104" spans="1:3" ht="30" x14ac:dyDescent="0.2">
      <c r="A104" s="64" t="s">
        <v>159</v>
      </c>
      <c r="B104" s="63" t="s">
        <v>160</v>
      </c>
      <c r="C104" s="38">
        <f>[13]С4!F23</f>
        <v>180</v>
      </c>
    </row>
    <row r="105" spans="1:3" ht="14.25" x14ac:dyDescent="0.2">
      <c r="A105" s="64" t="s">
        <v>161</v>
      </c>
      <c r="B105" s="58" t="s">
        <v>162</v>
      </c>
      <c r="C105" s="38">
        <f>[13]С4!F24</f>
        <v>8497.1999999999989</v>
      </c>
    </row>
    <row r="106" spans="1:3" ht="14.25" x14ac:dyDescent="0.2">
      <c r="A106" s="64" t="s">
        <v>163</v>
      </c>
      <c r="B106" s="63" t="s">
        <v>164</v>
      </c>
      <c r="C106" s="44">
        <f>[13]С4!F25</f>
        <v>0.35</v>
      </c>
    </row>
    <row r="107" spans="1:3" ht="17.25" x14ac:dyDescent="0.2">
      <c r="A107" s="64" t="s">
        <v>165</v>
      </c>
      <c r="B107" s="37" t="s">
        <v>166</v>
      </c>
      <c r="C107" s="38">
        <f>[13]С4!F26</f>
        <v>78.526589999999999</v>
      </c>
    </row>
    <row r="108" spans="1:3" ht="25.5" x14ac:dyDescent="0.2">
      <c r="A108" s="64" t="s">
        <v>167</v>
      </c>
      <c r="B108" s="58" t="s">
        <v>94</v>
      </c>
      <c r="C108" s="90">
        <f>[13]С4.3!E16</f>
        <v>0</v>
      </c>
    </row>
    <row r="109" spans="1:3" ht="25.5" x14ac:dyDescent="0.2">
      <c r="A109" s="64" t="s">
        <v>168</v>
      </c>
      <c r="B109" s="58" t="s">
        <v>169</v>
      </c>
      <c r="C109" s="38">
        <f>[13]С4.3!E17</f>
        <v>18.329999999999998</v>
      </c>
    </row>
    <row r="110" spans="1:3" ht="38.25" x14ac:dyDescent="0.2">
      <c r="A110" s="64" t="s">
        <v>170</v>
      </c>
      <c r="B110" s="58" t="s">
        <v>106</v>
      </c>
      <c r="C110" s="90">
        <f>[13]С4.3!E18</f>
        <v>0</v>
      </c>
    </row>
    <row r="111" spans="1:3" x14ac:dyDescent="0.2">
      <c r="A111" s="64" t="s">
        <v>171</v>
      </c>
      <c r="B111" s="58" t="s">
        <v>172</v>
      </c>
      <c r="C111" s="38">
        <f>[13]С4.3!E19</f>
        <v>69.819999999999993</v>
      </c>
    </row>
    <row r="112" spans="1:3" x14ac:dyDescent="0.2">
      <c r="A112" s="64" t="s">
        <v>173</v>
      </c>
      <c r="B112" s="63" t="s">
        <v>174</v>
      </c>
      <c r="C112" s="38">
        <f>[13]С4.3!E11</f>
        <v>1871</v>
      </c>
    </row>
    <row r="113" spans="1:3" x14ac:dyDescent="0.2">
      <c r="A113" s="64" t="s">
        <v>175</v>
      </c>
      <c r="B113" s="63" t="s">
        <v>176</v>
      </c>
      <c r="C113" s="57">
        <f>[13]С4.3!E12</f>
        <v>1636</v>
      </c>
    </row>
    <row r="114" spans="1:3" x14ac:dyDescent="0.2">
      <c r="A114" s="64" t="s">
        <v>177</v>
      </c>
      <c r="B114" s="63" t="s">
        <v>178</v>
      </c>
      <c r="C114" s="57">
        <f>[13]С4.3!E13</f>
        <v>204</v>
      </c>
    </row>
    <row r="115" spans="1:3" ht="30" x14ac:dyDescent="0.2">
      <c r="A115" s="64" t="s">
        <v>179</v>
      </c>
      <c r="B115" s="37" t="s">
        <v>180</v>
      </c>
      <c r="C115" s="38">
        <f>[13]С4!F27</f>
        <v>1047.1575926659227</v>
      </c>
    </row>
    <row r="116" spans="1:3" ht="25.5" x14ac:dyDescent="0.2">
      <c r="A116" s="64" t="s">
        <v>181</v>
      </c>
      <c r="B116" s="58" t="s">
        <v>182</v>
      </c>
      <c r="C116" s="38">
        <f>[13]С4!F28</f>
        <v>804.26850435170718</v>
      </c>
    </row>
    <row r="117" spans="1:3" ht="42.75" x14ac:dyDescent="0.2">
      <c r="A117" s="64" t="s">
        <v>183</v>
      </c>
      <c r="B117" s="58" t="s">
        <v>184</v>
      </c>
      <c r="C117" s="38">
        <f>[13]С4!F29</f>
        <v>242.8890883142156</v>
      </c>
    </row>
    <row r="118" spans="1:3" ht="30" x14ac:dyDescent="0.2">
      <c r="A118" s="64" t="s">
        <v>185</v>
      </c>
      <c r="B118" s="43" t="s">
        <v>186</v>
      </c>
      <c r="C118" s="38">
        <f>[13]С4!F30</f>
        <v>1993.3174465271265</v>
      </c>
    </row>
    <row r="119" spans="1:3" ht="42.75" x14ac:dyDescent="0.2">
      <c r="A119" s="64" t="s">
        <v>187</v>
      </c>
      <c r="B119" s="91" t="s">
        <v>188</v>
      </c>
      <c r="C119" s="38">
        <f>[13]С4!F33</f>
        <v>1276.1263368439079</v>
      </c>
    </row>
    <row r="120" spans="1:3" ht="30" x14ac:dyDescent="0.2">
      <c r="A120" s="64" t="s">
        <v>189</v>
      </c>
      <c r="B120" s="92" t="s">
        <v>190</v>
      </c>
      <c r="C120" s="38">
        <f>[13]С4!F35</f>
        <v>17.040680999999999</v>
      </c>
    </row>
    <row r="121" spans="1:3" ht="14.25" x14ac:dyDescent="0.2">
      <c r="A121" s="64" t="s">
        <v>191</v>
      </c>
      <c r="B121" s="61" t="s">
        <v>192</v>
      </c>
      <c r="C121" s="38">
        <f>[13]С4!F36</f>
        <v>14319.9</v>
      </c>
    </row>
    <row r="122" spans="1:3" ht="28.5" thickBot="1" x14ac:dyDescent="0.25">
      <c r="A122" s="77" t="s">
        <v>193</v>
      </c>
      <c r="B122" s="93" t="s">
        <v>194</v>
      </c>
      <c r="C122" s="88">
        <f>[13]С4!F37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[13]С5!F17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[13]С2!F37</f>
        <v>20.818139999999996</v>
      </c>
    </row>
    <row r="136" spans="1:4" ht="14.25" x14ac:dyDescent="0.2">
      <c r="A136" s="64" t="s">
        <v>216</v>
      </c>
      <c r="B136" s="107" t="s">
        <v>217</v>
      </c>
      <c r="C136" s="38">
        <f>[13]С2!F38</f>
        <v>7</v>
      </c>
    </row>
    <row r="137" spans="1:4" ht="17.25" x14ac:dyDescent="0.2">
      <c r="A137" s="64" t="s">
        <v>218</v>
      </c>
      <c r="B137" s="107" t="s">
        <v>219</v>
      </c>
      <c r="C137" s="38">
        <f>[13]С2!F40</f>
        <v>0.97</v>
      </c>
    </row>
    <row r="138" spans="1:4" ht="15" thickBot="1" x14ac:dyDescent="0.25">
      <c r="A138" s="77" t="s">
        <v>220</v>
      </c>
      <c r="B138" s="108" t="s">
        <v>221</v>
      </c>
      <c r="C138" s="50">
        <f>[13]С2!F42</f>
        <v>0.35</v>
      </c>
    </row>
    <row r="139" spans="1:4" s="94" customFormat="1" ht="13.5" thickBot="1" x14ac:dyDescent="0.25">
      <c r="A139" s="51"/>
      <c r="B139" s="80"/>
      <c r="C139" s="16"/>
    </row>
    <row r="140" spans="1:4" ht="30" x14ac:dyDescent="0.2">
      <c r="A140" s="89" t="s">
        <v>222</v>
      </c>
      <c r="B140" s="109" t="s">
        <v>223</v>
      </c>
      <c r="C140" s="110">
        <f>[13]С2!F35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[13]С2.5!$E$11</f>
        <v>-2.9000000000000026E-2</v>
      </c>
      <c r="D143" s="94"/>
    </row>
    <row r="144" spans="1:4" x14ac:dyDescent="0.2">
      <c r="A144" s="112"/>
      <c r="B144" s="117">
        <f>B143+1</f>
        <v>2021</v>
      </c>
      <c r="C144" s="118">
        <f>[13]С2.5!$F$11</f>
        <v>0.245</v>
      </c>
      <c r="D144" s="94"/>
    </row>
    <row r="145" spans="1:4" x14ac:dyDescent="0.2">
      <c r="A145" s="112"/>
      <c r="B145" s="117">
        <f t="shared" ref="B145:B208" si="0">B144+1</f>
        <v>2022</v>
      </c>
      <c r="C145" s="118">
        <f>[13]С2.5!$G$11</f>
        <v>0.121</v>
      </c>
      <c r="D145" s="94"/>
    </row>
    <row r="146" spans="1:4" ht="13.5" thickBot="1" x14ac:dyDescent="0.25">
      <c r="A146" s="112"/>
      <c r="B146" s="119">
        <f t="shared" si="0"/>
        <v>2023</v>
      </c>
      <c r="C146" s="120">
        <f>[13]С2.5!$H$11</f>
        <v>0.02</v>
      </c>
      <c r="D146" s="94"/>
    </row>
    <row r="147" spans="1:4" hidden="1" x14ac:dyDescent="0.2">
      <c r="A147" s="112"/>
      <c r="B147" s="121">
        <f t="shared" si="0"/>
        <v>2024</v>
      </c>
      <c r="C147" s="122">
        <f>[13]С2.5!$I$11</f>
        <v>-2.93E-2</v>
      </c>
      <c r="D147" s="94"/>
    </row>
    <row r="148" spans="1:4" hidden="1" x14ac:dyDescent="0.2">
      <c r="A148" s="112"/>
      <c r="B148" s="117">
        <f t="shared" si="0"/>
        <v>2025</v>
      </c>
      <c r="C148" s="118">
        <f>[13]С2.5!$J$11</f>
        <v>0.21215960863291</v>
      </c>
      <c r="D148" s="94"/>
    </row>
    <row r="149" spans="1:4" hidden="1" x14ac:dyDescent="0.2">
      <c r="A149" s="112"/>
      <c r="B149" s="117">
        <f t="shared" si="0"/>
        <v>2026</v>
      </c>
      <c r="C149" s="118">
        <f>[13]С2.5!$K$11</f>
        <v>3.5813361771260002E-2</v>
      </c>
      <c r="D149" s="94"/>
    </row>
    <row r="150" spans="1:4" hidden="1" x14ac:dyDescent="0.2">
      <c r="A150" s="112"/>
      <c r="B150" s="117">
        <f t="shared" si="0"/>
        <v>2027</v>
      </c>
      <c r="C150" s="118">
        <f>[13]С2.5!$L$11</f>
        <v>3.2682303599220003E-2</v>
      </c>
      <c r="D150" s="94"/>
    </row>
    <row r="151" spans="1:4" hidden="1" x14ac:dyDescent="0.2">
      <c r="A151" s="112"/>
      <c r="B151" s="117">
        <f t="shared" si="0"/>
        <v>2028</v>
      </c>
      <c r="C151" s="118">
        <f>[13]С2.5!$M$11</f>
        <v>0</v>
      </c>
      <c r="D151" s="94"/>
    </row>
    <row r="152" spans="1:4" hidden="1" x14ac:dyDescent="0.2">
      <c r="A152" s="112"/>
      <c r="B152" s="117">
        <f t="shared" si="0"/>
        <v>2029</v>
      </c>
      <c r="C152" s="118">
        <f>[13]С2.5!$N$11</f>
        <v>0</v>
      </c>
      <c r="D152" s="94"/>
    </row>
    <row r="153" spans="1:4" hidden="1" x14ac:dyDescent="0.2">
      <c r="A153" s="112"/>
      <c r="B153" s="117">
        <f t="shared" si="0"/>
        <v>2030</v>
      </c>
      <c r="C153" s="118">
        <f>[13]С2.5!$O$11</f>
        <v>0</v>
      </c>
      <c r="D153" s="94"/>
    </row>
    <row r="154" spans="1:4" hidden="1" x14ac:dyDescent="0.2">
      <c r="A154" s="112"/>
      <c r="B154" s="117">
        <f t="shared" si="0"/>
        <v>2031</v>
      </c>
      <c r="C154" s="118">
        <f>[13]С2.5!$P$11</f>
        <v>0</v>
      </c>
      <c r="D154" s="94"/>
    </row>
    <row r="155" spans="1:4" hidden="1" x14ac:dyDescent="0.2">
      <c r="A155" s="94"/>
      <c r="B155" s="117">
        <f t="shared" si="0"/>
        <v>2032</v>
      </c>
      <c r="C155" s="118">
        <f>[13]С2.5!$Q$11</f>
        <v>0</v>
      </c>
      <c r="D155" s="94"/>
    </row>
    <row r="156" spans="1:4" hidden="1" x14ac:dyDescent="0.2">
      <c r="A156" s="94"/>
      <c r="B156" s="117">
        <f t="shared" si="0"/>
        <v>2033</v>
      </c>
      <c r="C156" s="118">
        <f>[13]С2.5!$R$11</f>
        <v>0</v>
      </c>
      <c r="D156" s="94"/>
    </row>
    <row r="157" spans="1:4" hidden="1" x14ac:dyDescent="0.2">
      <c r="B157" s="117">
        <f t="shared" si="0"/>
        <v>2034</v>
      </c>
      <c r="C157" s="118">
        <f>[13]С2.5!$S$11</f>
        <v>0</v>
      </c>
    </row>
    <row r="158" spans="1:4" hidden="1" x14ac:dyDescent="0.2">
      <c r="B158" s="117">
        <f t="shared" si="0"/>
        <v>2035</v>
      </c>
      <c r="C158" s="118">
        <f>[13]С2.5!$T$11</f>
        <v>0</v>
      </c>
    </row>
    <row r="159" spans="1:4" hidden="1" x14ac:dyDescent="0.2">
      <c r="B159" s="117">
        <f t="shared" si="0"/>
        <v>2036</v>
      </c>
      <c r="C159" s="118">
        <f>[13]С2.5!$U$11</f>
        <v>0</v>
      </c>
    </row>
    <row r="160" spans="1:4" hidden="1" x14ac:dyDescent="0.2">
      <c r="B160" s="117">
        <f t="shared" si="0"/>
        <v>2037</v>
      </c>
      <c r="C160" s="118">
        <f>[13]С2.5!$V$11</f>
        <v>0</v>
      </c>
    </row>
    <row r="161" spans="2:3" hidden="1" x14ac:dyDescent="0.2">
      <c r="B161" s="117">
        <f t="shared" si="0"/>
        <v>2038</v>
      </c>
      <c r="C161" s="118">
        <f>[13]С2.5!$W$11</f>
        <v>0</v>
      </c>
    </row>
    <row r="162" spans="2:3" hidden="1" x14ac:dyDescent="0.2">
      <c r="B162" s="117">
        <f t="shared" si="0"/>
        <v>2039</v>
      </c>
      <c r="C162" s="118">
        <f>[13]С2.5!$X$11</f>
        <v>0</v>
      </c>
    </row>
    <row r="163" spans="2:3" hidden="1" x14ac:dyDescent="0.2">
      <c r="B163" s="117">
        <f t="shared" si="0"/>
        <v>2040</v>
      </c>
      <c r="C163" s="118">
        <f>[13]С2.5!$Y$11</f>
        <v>0</v>
      </c>
    </row>
    <row r="164" spans="2:3" hidden="1" x14ac:dyDescent="0.2">
      <c r="B164" s="117">
        <f t="shared" si="0"/>
        <v>2041</v>
      </c>
      <c r="C164" s="118">
        <f>[13]С2.5!$Z$11</f>
        <v>0</v>
      </c>
    </row>
    <row r="165" spans="2:3" hidden="1" x14ac:dyDescent="0.2">
      <c r="B165" s="117">
        <f t="shared" si="0"/>
        <v>2042</v>
      </c>
      <c r="C165" s="118">
        <f>[13]С2.5!$AA$11</f>
        <v>0</v>
      </c>
    </row>
    <row r="166" spans="2:3" hidden="1" x14ac:dyDescent="0.2">
      <c r="B166" s="117">
        <f t="shared" si="0"/>
        <v>2043</v>
      </c>
      <c r="C166" s="118">
        <f>[13]С2.5!$AB$11</f>
        <v>0</v>
      </c>
    </row>
    <row r="167" spans="2:3" hidden="1" x14ac:dyDescent="0.2">
      <c r="B167" s="117">
        <f t="shared" si="0"/>
        <v>2044</v>
      </c>
      <c r="C167" s="118">
        <f>[13]С2.5!$AC$11</f>
        <v>0</v>
      </c>
    </row>
    <row r="168" spans="2:3" hidden="1" x14ac:dyDescent="0.2">
      <c r="B168" s="117">
        <f t="shared" si="0"/>
        <v>2045</v>
      </c>
      <c r="C168" s="118">
        <f>[13]С2.5!$AD$11</f>
        <v>0</v>
      </c>
    </row>
    <row r="169" spans="2:3" hidden="1" x14ac:dyDescent="0.2">
      <c r="B169" s="117">
        <f t="shared" si="0"/>
        <v>2046</v>
      </c>
      <c r="C169" s="118">
        <f>[13]С2.5!$AE$11</f>
        <v>0</v>
      </c>
    </row>
    <row r="170" spans="2:3" hidden="1" x14ac:dyDescent="0.2">
      <c r="B170" s="117">
        <f t="shared" si="0"/>
        <v>2047</v>
      </c>
      <c r="C170" s="118">
        <f>[13]С2.5!$AF$11</f>
        <v>0</v>
      </c>
    </row>
    <row r="171" spans="2:3" hidden="1" x14ac:dyDescent="0.2">
      <c r="B171" s="117">
        <f t="shared" si="0"/>
        <v>2048</v>
      </c>
      <c r="C171" s="118">
        <f>[13]С2.5!$AG$11</f>
        <v>0</v>
      </c>
    </row>
    <row r="172" spans="2:3" hidden="1" x14ac:dyDescent="0.2">
      <c r="B172" s="117">
        <f t="shared" si="0"/>
        <v>2049</v>
      </c>
      <c r="C172" s="118">
        <f>[13]С2.5!$AH$11</f>
        <v>0</v>
      </c>
    </row>
    <row r="173" spans="2:3" hidden="1" x14ac:dyDescent="0.2">
      <c r="B173" s="117">
        <f t="shared" si="0"/>
        <v>2050</v>
      </c>
      <c r="C173" s="118">
        <f>[13]С2.5!$AI$11</f>
        <v>0</v>
      </c>
    </row>
    <row r="174" spans="2:3" hidden="1" x14ac:dyDescent="0.2">
      <c r="B174" s="117">
        <f t="shared" si="0"/>
        <v>2051</v>
      </c>
      <c r="C174" s="118">
        <f>[13]С2.5!$AJ$11</f>
        <v>0</v>
      </c>
    </row>
    <row r="175" spans="2:3" hidden="1" x14ac:dyDescent="0.2">
      <c r="B175" s="117">
        <f t="shared" si="0"/>
        <v>2052</v>
      </c>
      <c r="C175" s="118">
        <f>[13]С2.5!$AK$11</f>
        <v>0</v>
      </c>
    </row>
    <row r="176" spans="2:3" hidden="1" x14ac:dyDescent="0.2">
      <c r="B176" s="117">
        <f t="shared" si="0"/>
        <v>2053</v>
      </c>
      <c r="C176" s="118">
        <f>[13]С2.5!$AL$11</f>
        <v>0</v>
      </c>
    </row>
    <row r="177" spans="2:3" hidden="1" x14ac:dyDescent="0.2">
      <c r="B177" s="117">
        <f t="shared" si="0"/>
        <v>2054</v>
      </c>
      <c r="C177" s="118">
        <f>[13]С2.5!$AM$11</f>
        <v>0</v>
      </c>
    </row>
    <row r="178" spans="2:3" hidden="1" x14ac:dyDescent="0.2">
      <c r="B178" s="117">
        <f t="shared" si="0"/>
        <v>2055</v>
      </c>
      <c r="C178" s="118">
        <f>[13]С2.5!$AN$11</f>
        <v>0</v>
      </c>
    </row>
    <row r="179" spans="2:3" hidden="1" x14ac:dyDescent="0.2">
      <c r="B179" s="117">
        <f t="shared" si="0"/>
        <v>2056</v>
      </c>
      <c r="C179" s="118">
        <f>[13]С2.5!$AO$11</f>
        <v>0</v>
      </c>
    </row>
    <row r="180" spans="2:3" hidden="1" x14ac:dyDescent="0.2">
      <c r="B180" s="117">
        <f t="shared" si="0"/>
        <v>2057</v>
      </c>
      <c r="C180" s="118">
        <f>[13]С2.5!$AP$11</f>
        <v>0</v>
      </c>
    </row>
    <row r="181" spans="2:3" hidden="1" x14ac:dyDescent="0.2">
      <c r="B181" s="117">
        <f t="shared" si="0"/>
        <v>2058</v>
      </c>
      <c r="C181" s="118">
        <f>[13]С2.5!$AQ$11</f>
        <v>0</v>
      </c>
    </row>
    <row r="182" spans="2:3" hidden="1" x14ac:dyDescent="0.2">
      <c r="B182" s="117">
        <f t="shared" si="0"/>
        <v>2059</v>
      </c>
      <c r="C182" s="118">
        <f>[13]С2.5!$AR$11</f>
        <v>0</v>
      </c>
    </row>
    <row r="183" spans="2:3" hidden="1" x14ac:dyDescent="0.2">
      <c r="B183" s="117">
        <f t="shared" si="0"/>
        <v>2060</v>
      </c>
      <c r="C183" s="118">
        <f>[13]С2.5!$AS$11</f>
        <v>0</v>
      </c>
    </row>
    <row r="184" spans="2:3" hidden="1" x14ac:dyDescent="0.2">
      <c r="B184" s="117">
        <f t="shared" si="0"/>
        <v>2061</v>
      </c>
      <c r="C184" s="118">
        <f>[13]С2.5!$AT$11</f>
        <v>0</v>
      </c>
    </row>
    <row r="185" spans="2:3" hidden="1" x14ac:dyDescent="0.2">
      <c r="B185" s="117">
        <f t="shared" si="0"/>
        <v>2062</v>
      </c>
      <c r="C185" s="118">
        <f>[13]С2.5!$AU$11</f>
        <v>0</v>
      </c>
    </row>
    <row r="186" spans="2:3" hidden="1" x14ac:dyDescent="0.2">
      <c r="B186" s="117">
        <f t="shared" si="0"/>
        <v>2063</v>
      </c>
      <c r="C186" s="118">
        <f>[13]С2.5!$AV$11</f>
        <v>0</v>
      </c>
    </row>
    <row r="187" spans="2:3" hidden="1" x14ac:dyDescent="0.2">
      <c r="B187" s="117">
        <f t="shared" si="0"/>
        <v>2064</v>
      </c>
      <c r="C187" s="118">
        <f>[13]С2.5!$AW$11</f>
        <v>0</v>
      </c>
    </row>
    <row r="188" spans="2:3" hidden="1" x14ac:dyDescent="0.2">
      <c r="B188" s="117">
        <f t="shared" si="0"/>
        <v>2065</v>
      </c>
      <c r="C188" s="118">
        <f>[13]С2.5!$AX$11</f>
        <v>0</v>
      </c>
    </row>
    <row r="189" spans="2:3" hidden="1" x14ac:dyDescent="0.2">
      <c r="B189" s="117">
        <f t="shared" si="0"/>
        <v>2066</v>
      </c>
      <c r="C189" s="118">
        <f>[13]С2.5!$AY$11</f>
        <v>0</v>
      </c>
    </row>
    <row r="190" spans="2:3" hidden="1" x14ac:dyDescent="0.2">
      <c r="B190" s="117">
        <f t="shared" si="0"/>
        <v>2067</v>
      </c>
      <c r="C190" s="118">
        <f>[13]С2.5!$AZ$11</f>
        <v>0</v>
      </c>
    </row>
    <row r="191" spans="2:3" hidden="1" x14ac:dyDescent="0.2">
      <c r="B191" s="117">
        <f t="shared" si="0"/>
        <v>2068</v>
      </c>
      <c r="C191" s="118">
        <f>[13]С2.5!$BA$11</f>
        <v>0</v>
      </c>
    </row>
    <row r="192" spans="2:3" hidden="1" x14ac:dyDescent="0.2">
      <c r="B192" s="117">
        <f t="shared" si="0"/>
        <v>2069</v>
      </c>
      <c r="C192" s="118">
        <f>[13]С2.5!$BB$11</f>
        <v>0</v>
      </c>
    </row>
    <row r="193" spans="2:3" hidden="1" x14ac:dyDescent="0.2">
      <c r="B193" s="117">
        <f t="shared" si="0"/>
        <v>2070</v>
      </c>
      <c r="C193" s="118">
        <f>[13]С2.5!$BC$11</f>
        <v>0</v>
      </c>
    </row>
    <row r="194" spans="2:3" hidden="1" x14ac:dyDescent="0.2">
      <c r="B194" s="117">
        <f t="shared" si="0"/>
        <v>2071</v>
      </c>
      <c r="C194" s="118">
        <f>[13]С2.5!$BD$11</f>
        <v>0</v>
      </c>
    </row>
    <row r="195" spans="2:3" hidden="1" x14ac:dyDescent="0.2">
      <c r="B195" s="117">
        <f t="shared" si="0"/>
        <v>2072</v>
      </c>
      <c r="C195" s="118">
        <f>[13]С2.5!$BE$11</f>
        <v>0</v>
      </c>
    </row>
    <row r="196" spans="2:3" hidden="1" x14ac:dyDescent="0.2">
      <c r="B196" s="117">
        <f t="shared" si="0"/>
        <v>2073</v>
      </c>
      <c r="C196" s="118">
        <f>[13]С2.5!$BF$11</f>
        <v>0</v>
      </c>
    </row>
    <row r="197" spans="2:3" hidden="1" x14ac:dyDescent="0.2">
      <c r="B197" s="117">
        <f t="shared" si="0"/>
        <v>2074</v>
      </c>
      <c r="C197" s="118">
        <f>[13]С2.5!$BG$11</f>
        <v>0</v>
      </c>
    </row>
    <row r="198" spans="2:3" hidden="1" x14ac:dyDescent="0.2">
      <c r="B198" s="117">
        <f t="shared" si="0"/>
        <v>2075</v>
      </c>
      <c r="C198" s="118">
        <f>[13]С2.5!$BH$11</f>
        <v>0</v>
      </c>
    </row>
    <row r="199" spans="2:3" hidden="1" x14ac:dyDescent="0.2">
      <c r="B199" s="117">
        <f t="shared" si="0"/>
        <v>2076</v>
      </c>
      <c r="C199" s="118">
        <f>[13]С2.5!$BI$11</f>
        <v>0</v>
      </c>
    </row>
    <row r="200" spans="2:3" hidden="1" x14ac:dyDescent="0.2">
      <c r="B200" s="117">
        <f t="shared" si="0"/>
        <v>2077</v>
      </c>
      <c r="C200" s="118">
        <f>[13]С2.5!$BJ$11</f>
        <v>0</v>
      </c>
    </row>
    <row r="201" spans="2:3" hidden="1" x14ac:dyDescent="0.2">
      <c r="B201" s="117">
        <f t="shared" si="0"/>
        <v>2078</v>
      </c>
      <c r="C201" s="118">
        <f>[13]С2.5!$BK$11</f>
        <v>0</v>
      </c>
    </row>
    <row r="202" spans="2:3" hidden="1" x14ac:dyDescent="0.2">
      <c r="B202" s="117">
        <f t="shared" si="0"/>
        <v>2079</v>
      </c>
      <c r="C202" s="118">
        <f>[13]С2.5!$BL$11</f>
        <v>0</v>
      </c>
    </row>
    <row r="203" spans="2:3" hidden="1" x14ac:dyDescent="0.2">
      <c r="B203" s="117">
        <f t="shared" si="0"/>
        <v>2080</v>
      </c>
      <c r="C203" s="118">
        <f>[13]С2.5!$BM$11</f>
        <v>0</v>
      </c>
    </row>
    <row r="204" spans="2:3" hidden="1" x14ac:dyDescent="0.2">
      <c r="B204" s="117">
        <f t="shared" si="0"/>
        <v>2081</v>
      </c>
      <c r="C204" s="118">
        <f>[13]С2.5!$BN$11</f>
        <v>0</v>
      </c>
    </row>
    <row r="205" spans="2:3" hidden="1" x14ac:dyDescent="0.2">
      <c r="B205" s="117">
        <f t="shared" si="0"/>
        <v>2082</v>
      </c>
      <c r="C205" s="118">
        <f>[13]С2.5!$BO$11</f>
        <v>0</v>
      </c>
    </row>
    <row r="206" spans="2:3" hidden="1" x14ac:dyDescent="0.2">
      <c r="B206" s="117">
        <f t="shared" si="0"/>
        <v>2083</v>
      </c>
      <c r="C206" s="118">
        <f>[13]С2.5!$BP$11</f>
        <v>0</v>
      </c>
    </row>
    <row r="207" spans="2:3" hidden="1" x14ac:dyDescent="0.2">
      <c r="B207" s="117">
        <f t="shared" si="0"/>
        <v>2084</v>
      </c>
      <c r="C207" s="118">
        <f>[13]С2.5!$BQ$11</f>
        <v>0</v>
      </c>
    </row>
    <row r="208" spans="2:3" hidden="1" x14ac:dyDescent="0.2">
      <c r="B208" s="117">
        <f t="shared" si="0"/>
        <v>2085</v>
      </c>
      <c r="C208" s="118">
        <f>[13]С2.5!$BR$11</f>
        <v>0</v>
      </c>
    </row>
    <row r="209" spans="2:3" hidden="1" x14ac:dyDescent="0.2">
      <c r="B209" s="117">
        <f t="shared" ref="B209:B223" si="1">B208+1</f>
        <v>2086</v>
      </c>
      <c r="C209" s="118">
        <f>[13]С2.5!$BS$11</f>
        <v>0</v>
      </c>
    </row>
    <row r="210" spans="2:3" hidden="1" x14ac:dyDescent="0.2">
      <c r="B210" s="117">
        <f t="shared" si="1"/>
        <v>2087</v>
      </c>
      <c r="C210" s="118">
        <f>[13]С2.5!$BT$11</f>
        <v>0</v>
      </c>
    </row>
    <row r="211" spans="2:3" hidden="1" x14ac:dyDescent="0.2">
      <c r="B211" s="117">
        <f t="shared" si="1"/>
        <v>2088</v>
      </c>
      <c r="C211" s="118">
        <f>[13]С2.5!$BU$11</f>
        <v>0</v>
      </c>
    </row>
    <row r="212" spans="2:3" hidden="1" x14ac:dyDescent="0.2">
      <c r="B212" s="117">
        <f t="shared" si="1"/>
        <v>2089</v>
      </c>
      <c r="C212" s="118">
        <f>[13]С2.5!$BV$11</f>
        <v>0</v>
      </c>
    </row>
    <row r="213" spans="2:3" hidden="1" x14ac:dyDescent="0.2">
      <c r="B213" s="117">
        <f t="shared" si="1"/>
        <v>2090</v>
      </c>
      <c r="C213" s="118">
        <f>[13]С2.5!$BW$11</f>
        <v>0</v>
      </c>
    </row>
    <row r="214" spans="2:3" hidden="1" x14ac:dyDescent="0.2">
      <c r="B214" s="117">
        <f t="shared" si="1"/>
        <v>2091</v>
      </c>
      <c r="C214" s="118">
        <f>[13]С2.5!$BX$11</f>
        <v>0</v>
      </c>
    </row>
    <row r="215" spans="2:3" hidden="1" x14ac:dyDescent="0.2">
      <c r="B215" s="117">
        <f t="shared" si="1"/>
        <v>2092</v>
      </c>
      <c r="C215" s="118">
        <f>[13]С2.5!$BY$11</f>
        <v>0</v>
      </c>
    </row>
    <row r="216" spans="2:3" hidden="1" x14ac:dyDescent="0.2">
      <c r="B216" s="117">
        <f t="shared" si="1"/>
        <v>2093</v>
      </c>
      <c r="C216" s="118">
        <f>[13]С2.5!$BZ$11</f>
        <v>0</v>
      </c>
    </row>
    <row r="217" spans="2:3" hidden="1" x14ac:dyDescent="0.2">
      <c r="B217" s="117">
        <f t="shared" si="1"/>
        <v>2094</v>
      </c>
      <c r="C217" s="118">
        <f>[13]С2.5!$CA$11</f>
        <v>0</v>
      </c>
    </row>
    <row r="218" spans="2:3" hidden="1" x14ac:dyDescent="0.2">
      <c r="B218" s="117">
        <f t="shared" si="1"/>
        <v>2095</v>
      </c>
      <c r="C218" s="118">
        <f>[13]С2.5!$CB$11</f>
        <v>0</v>
      </c>
    </row>
    <row r="219" spans="2:3" hidden="1" x14ac:dyDescent="0.2">
      <c r="B219" s="117">
        <f t="shared" si="1"/>
        <v>2096</v>
      </c>
      <c r="C219" s="118">
        <f>[13]С2.5!$CC$11</f>
        <v>0</v>
      </c>
    </row>
    <row r="220" spans="2:3" hidden="1" x14ac:dyDescent="0.2">
      <c r="B220" s="117">
        <f t="shared" si="1"/>
        <v>2097</v>
      </c>
      <c r="C220" s="118">
        <f>[13]С2.5!$CD$11</f>
        <v>0</v>
      </c>
    </row>
    <row r="221" spans="2:3" hidden="1" x14ac:dyDescent="0.2">
      <c r="B221" s="117">
        <f t="shared" si="1"/>
        <v>2098</v>
      </c>
      <c r="C221" s="118">
        <f>[13]С2.5!$CE$11</f>
        <v>0</v>
      </c>
    </row>
    <row r="222" spans="2:3" hidden="1" x14ac:dyDescent="0.2">
      <c r="B222" s="117">
        <f t="shared" si="1"/>
        <v>2099</v>
      </c>
      <c r="C222" s="118">
        <f>[13]С2.5!$CF$11</f>
        <v>0</v>
      </c>
    </row>
    <row r="223" spans="2:3" ht="13.5" hidden="1" thickBot="1" x14ac:dyDescent="0.25">
      <c r="B223" s="119">
        <f t="shared" si="1"/>
        <v>2100</v>
      </c>
      <c r="C223" s="120">
        <f>[13]С2.5!$CG$11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3313" r:id="rId3" name="Button 1">
              <controlPr defaultSize="0" print="0" autoFill="0" autoPict="0" macro="[1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[14]И1!D13</f>
        <v>Субъект Российской Федерации</v>
      </c>
      <c r="C4" s="11" t="str">
        <f>[14]И1!E13</f>
        <v>Новосибирская область</v>
      </c>
    </row>
    <row r="5" spans="1:3" ht="38.25" x14ac:dyDescent="0.2">
      <c r="A5" s="9"/>
      <c r="B5" s="10" t="str">
        <f>[14]И1!D14</f>
        <v>Тип муниципального образования (выберите из списка)</v>
      </c>
      <c r="C5" s="11" t="str">
        <f>[14]И1!E14</f>
        <v>село Шарчино, Сузунский муниципальный район</v>
      </c>
    </row>
    <row r="6" spans="1:3" x14ac:dyDescent="0.2">
      <c r="A6" s="9"/>
      <c r="B6" s="10" t="str">
        <f>IF([14]И1!E15="","",[14]И1!D15)</f>
        <v/>
      </c>
      <c r="C6" s="11" t="str">
        <f>IF([14]И1!E15="","",[14]И1!E15)</f>
        <v/>
      </c>
    </row>
    <row r="7" spans="1:3" x14ac:dyDescent="0.2">
      <c r="A7" s="9"/>
      <c r="B7" s="10" t="str">
        <f>[14]И1!D16</f>
        <v>Код ОКТМО</v>
      </c>
      <c r="C7" s="12" t="str">
        <f>[14]И1!E16</f>
        <v xml:space="preserve"> (50648437101)</v>
      </c>
    </row>
    <row r="8" spans="1:3" x14ac:dyDescent="0.2">
      <c r="A8" s="9"/>
      <c r="B8" s="13" t="str">
        <f>[14]И1!D17</f>
        <v>Система теплоснабжения</v>
      </c>
      <c r="C8" s="14">
        <f>[14]И1!E17</f>
        <v>0</v>
      </c>
    </row>
    <row r="9" spans="1:3" x14ac:dyDescent="0.2">
      <c r="A9" s="9"/>
      <c r="B9" s="10" t="str">
        <f>[14]И1!D8</f>
        <v>Период регулирования (i)-й</v>
      </c>
      <c r="C9" s="15">
        <f>[14]И1!E8</f>
        <v>2023</v>
      </c>
    </row>
    <row r="10" spans="1:3" x14ac:dyDescent="0.2">
      <c r="A10" s="9"/>
      <c r="B10" s="10" t="str">
        <f>[14]И1!D9</f>
        <v>Период регулирования (i-1)-й</v>
      </c>
      <c r="C10" s="15">
        <f>[14]И1!E9</f>
        <v>2022</v>
      </c>
    </row>
    <row r="11" spans="1:3" x14ac:dyDescent="0.2">
      <c r="A11" s="9"/>
      <c r="B11" s="10" t="str">
        <f>[14]И1!D10</f>
        <v>Период регулирования (i-2)-й</v>
      </c>
      <c r="C11" s="15">
        <f>[14]И1!E10</f>
        <v>2021</v>
      </c>
    </row>
    <row r="12" spans="1:3" x14ac:dyDescent="0.2">
      <c r="A12" s="9"/>
      <c r="B12" s="10" t="str">
        <f>[14]И1!D11</f>
        <v>Базовый год (б)</v>
      </c>
      <c r="C12" s="15">
        <f>[14]И1!E11</f>
        <v>2019</v>
      </c>
    </row>
    <row r="13" spans="1:3" ht="38.25" x14ac:dyDescent="0.2">
      <c r="A13" s="9"/>
      <c r="B13" s="10" t="str">
        <f>[14]И1!D18</f>
        <v>Вид топлива, использование которого преобладает в системе теплоснабжения</v>
      </c>
      <c r="C13" s="16" t="str">
        <f>[14]С1.1!E13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3966.7595514798218</v>
      </c>
    </row>
    <row r="18" spans="1:3" ht="42.75" x14ac:dyDescent="0.2">
      <c r="A18" s="24" t="s">
        <v>8</v>
      </c>
      <c r="B18" s="27" t="s">
        <v>9</v>
      </c>
      <c r="C18" s="28">
        <f>[14]С1!F12</f>
        <v>866.26804455836213</v>
      </c>
    </row>
    <row r="19" spans="1:3" ht="42.75" x14ac:dyDescent="0.2">
      <c r="A19" s="24" t="s">
        <v>10</v>
      </c>
      <c r="B19" s="27" t="s">
        <v>11</v>
      </c>
      <c r="C19" s="28">
        <f>[14]С2!F12</f>
        <v>2108.7102251987935</v>
      </c>
    </row>
    <row r="20" spans="1:3" ht="30" x14ac:dyDescent="0.2">
      <c r="A20" s="24" t="s">
        <v>12</v>
      </c>
      <c r="B20" s="27" t="s">
        <v>13</v>
      </c>
      <c r="C20" s="28">
        <f>[14]С3!F12</f>
        <v>504.54115631660852</v>
      </c>
    </row>
    <row r="21" spans="1:3" ht="42.75" x14ac:dyDescent="0.2">
      <c r="A21" s="24" t="s">
        <v>14</v>
      </c>
      <c r="B21" s="27" t="s">
        <v>15</v>
      </c>
      <c r="C21" s="28">
        <f>[14]С4!F12</f>
        <v>409.46052635743399</v>
      </c>
    </row>
    <row r="22" spans="1:3" ht="30" x14ac:dyDescent="0.2">
      <c r="A22" s="24" t="s">
        <v>16</v>
      </c>
      <c r="B22" s="27" t="s">
        <v>17</v>
      </c>
      <c r="C22" s="28">
        <f>[14]С5!F12</f>
        <v>77.779599048623965</v>
      </c>
    </row>
    <row r="23" spans="1:3" ht="43.5" thickBot="1" x14ac:dyDescent="0.25">
      <c r="A23" s="29" t="s">
        <v>18</v>
      </c>
      <c r="B23" s="30" t="s">
        <v>19</v>
      </c>
      <c r="C23" s="31" t="str">
        <f>[14]С6!F12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[14]С1.1!E16</f>
        <v>5100</v>
      </c>
    </row>
    <row r="29" spans="1:3" ht="42.75" x14ac:dyDescent="0.2">
      <c r="A29" s="24" t="s">
        <v>10</v>
      </c>
      <c r="B29" s="37" t="s">
        <v>22</v>
      </c>
      <c r="C29" s="38">
        <f>[14]С1.1!E27</f>
        <v>2329.25</v>
      </c>
    </row>
    <row r="30" spans="1:3" ht="17.25" x14ac:dyDescent="0.2">
      <c r="A30" s="24" t="s">
        <v>12</v>
      </c>
      <c r="B30" s="37" t="s">
        <v>23</v>
      </c>
      <c r="C30" s="39">
        <f>[14]С1.1!E19</f>
        <v>0.59499999999999997</v>
      </c>
    </row>
    <row r="31" spans="1:3" ht="17.25" x14ac:dyDescent="0.2">
      <c r="A31" s="24" t="s">
        <v>14</v>
      </c>
      <c r="B31" s="37" t="s">
        <v>24</v>
      </c>
      <c r="C31" s="39">
        <f>[14]С1.1!E20</f>
        <v>-0.113</v>
      </c>
    </row>
    <row r="32" spans="1:3" ht="30" x14ac:dyDescent="0.2">
      <c r="A32" s="24" t="s">
        <v>16</v>
      </c>
      <c r="B32" s="40" t="s">
        <v>25</v>
      </c>
      <c r="C32" s="41">
        <f>[14]С1!F13</f>
        <v>176.4</v>
      </c>
    </row>
    <row r="33" spans="1:3" x14ac:dyDescent="0.2">
      <c r="A33" s="24" t="s">
        <v>18</v>
      </c>
      <c r="B33" s="40" t="s">
        <v>26</v>
      </c>
      <c r="C33" s="42">
        <f>[14]С1!F16</f>
        <v>7000</v>
      </c>
    </row>
    <row r="34" spans="1:3" ht="14.25" x14ac:dyDescent="0.2">
      <c r="A34" s="24" t="s">
        <v>27</v>
      </c>
      <c r="B34" s="43" t="s">
        <v>28</v>
      </c>
      <c r="C34" s="44">
        <f>[14]С1!F17</f>
        <v>0.72857142857142854</v>
      </c>
    </row>
    <row r="35" spans="1:3" ht="15.75" x14ac:dyDescent="0.2">
      <c r="A35" s="45" t="s">
        <v>29</v>
      </c>
      <c r="B35" s="46" t="s">
        <v>30</v>
      </c>
      <c r="C35" s="44">
        <f>[14]С1!F20</f>
        <v>21.588411179999994</v>
      </c>
    </row>
    <row r="36" spans="1:3" ht="15.75" x14ac:dyDescent="0.2">
      <c r="A36" s="45" t="s">
        <v>31</v>
      </c>
      <c r="B36" s="47" t="s">
        <v>32</v>
      </c>
      <c r="C36" s="44">
        <f>[14]С1!F21</f>
        <v>20.818139999999996</v>
      </c>
    </row>
    <row r="37" spans="1:3" ht="14.25" x14ac:dyDescent="0.2">
      <c r="A37" s="45" t="s">
        <v>33</v>
      </c>
      <c r="B37" s="48" t="s">
        <v>34</v>
      </c>
      <c r="C37" s="44">
        <f>[14]С1!F22</f>
        <v>1.0369999999999999</v>
      </c>
    </row>
    <row r="38" spans="1:3" ht="53.25" thickBot="1" x14ac:dyDescent="0.25">
      <c r="A38" s="29" t="s">
        <v>35</v>
      </c>
      <c r="B38" s="49" t="s">
        <v>36</v>
      </c>
      <c r="C38" s="50">
        <f>[14]С1!F23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[14]С2.1!E12</f>
        <v>V</v>
      </c>
    </row>
    <row r="42" spans="1:3" ht="25.5" x14ac:dyDescent="0.2">
      <c r="A42" s="24" t="s">
        <v>41</v>
      </c>
      <c r="B42" s="37" t="s">
        <v>42</v>
      </c>
      <c r="C42" s="56" t="str">
        <f>[14]С2.1!E13</f>
        <v>6 и менее баллов</v>
      </c>
    </row>
    <row r="43" spans="1:3" ht="25.5" x14ac:dyDescent="0.2">
      <c r="A43" s="24" t="s">
        <v>43</v>
      </c>
      <c r="B43" s="37" t="s">
        <v>44</v>
      </c>
      <c r="C43" s="56" t="str">
        <f>[14]С2.1!E14</f>
        <v>от 200 до 500</v>
      </c>
    </row>
    <row r="44" spans="1:3" ht="25.5" x14ac:dyDescent="0.2">
      <c r="A44" s="24" t="s">
        <v>45</v>
      </c>
      <c r="B44" s="37" t="s">
        <v>46</v>
      </c>
      <c r="C44" s="57" t="str">
        <f>[14]С2.1!E15</f>
        <v>нет</v>
      </c>
    </row>
    <row r="45" spans="1:3" ht="30" x14ac:dyDescent="0.2">
      <c r="A45" s="24" t="s">
        <v>47</v>
      </c>
      <c r="B45" s="37" t="s">
        <v>48</v>
      </c>
      <c r="C45" s="38">
        <f>[14]С2!F18</f>
        <v>32402.627334033532</v>
      </c>
    </row>
    <row r="46" spans="1:3" ht="30" x14ac:dyDescent="0.2">
      <c r="A46" s="24" t="s">
        <v>49</v>
      </c>
      <c r="B46" s="58" t="s">
        <v>50</v>
      </c>
      <c r="C46" s="38">
        <f>IF([14]С2!F19&gt;0,[14]С2!F19,[14]С2!F20)</f>
        <v>23441.524932855718</v>
      </c>
    </row>
    <row r="47" spans="1:3" ht="25.5" x14ac:dyDescent="0.2">
      <c r="A47" s="24" t="s">
        <v>51</v>
      </c>
      <c r="B47" s="59" t="s">
        <v>52</v>
      </c>
      <c r="C47" s="38">
        <f>[14]С2.1!E19</f>
        <v>-37</v>
      </c>
    </row>
    <row r="48" spans="1:3" ht="25.5" x14ac:dyDescent="0.2">
      <c r="A48" s="24" t="s">
        <v>53</v>
      </c>
      <c r="B48" s="59" t="s">
        <v>54</v>
      </c>
      <c r="C48" s="38" t="str">
        <f>[14]С2.1!E22</f>
        <v>нет</v>
      </c>
    </row>
    <row r="49" spans="1:3" ht="38.25" x14ac:dyDescent="0.2">
      <c r="A49" s="24" t="s">
        <v>55</v>
      </c>
      <c r="B49" s="60" t="s">
        <v>56</v>
      </c>
      <c r="C49" s="38">
        <f>[14]С2.2!E10</f>
        <v>1287</v>
      </c>
    </row>
    <row r="50" spans="1:3" ht="25.5" x14ac:dyDescent="0.2">
      <c r="A50" s="24" t="s">
        <v>57</v>
      </c>
      <c r="B50" s="61" t="s">
        <v>58</v>
      </c>
      <c r="C50" s="38">
        <f>[14]С2.2!E12</f>
        <v>5.97</v>
      </c>
    </row>
    <row r="51" spans="1:3" ht="52.5" x14ac:dyDescent="0.2">
      <c r="A51" s="24" t="s">
        <v>59</v>
      </c>
      <c r="B51" s="62" t="s">
        <v>60</v>
      </c>
      <c r="C51" s="38">
        <f>[14]С2.2!E13</f>
        <v>1</v>
      </c>
    </row>
    <row r="52" spans="1:3" ht="27.75" x14ac:dyDescent="0.2">
      <c r="A52" s="24" t="s">
        <v>61</v>
      </c>
      <c r="B52" s="61" t="s">
        <v>62</v>
      </c>
      <c r="C52" s="38">
        <f>[14]С2.2!E14</f>
        <v>12104</v>
      </c>
    </row>
    <row r="53" spans="1:3" ht="25.5" x14ac:dyDescent="0.2">
      <c r="A53" s="24" t="s">
        <v>63</v>
      </c>
      <c r="B53" s="62" t="s">
        <v>64</v>
      </c>
      <c r="C53" s="39">
        <f>[14]С2.2!E15</f>
        <v>4.8000000000000001E-2</v>
      </c>
    </row>
    <row r="54" spans="1:3" x14ac:dyDescent="0.2">
      <c r="A54" s="24" t="s">
        <v>65</v>
      </c>
      <c r="B54" s="62" t="s">
        <v>66</v>
      </c>
      <c r="C54" s="38">
        <f>[14]С2.2!E16</f>
        <v>1</v>
      </c>
    </row>
    <row r="55" spans="1:3" ht="15.75" x14ac:dyDescent="0.2">
      <c r="A55" s="24" t="s">
        <v>67</v>
      </c>
      <c r="B55" s="63" t="s">
        <v>68</v>
      </c>
      <c r="C55" s="38">
        <f>[14]С2!F21</f>
        <v>1</v>
      </c>
    </row>
    <row r="56" spans="1:3" ht="30" x14ac:dyDescent="0.2">
      <c r="A56" s="64" t="s">
        <v>69</v>
      </c>
      <c r="B56" s="37" t="s">
        <v>70</v>
      </c>
      <c r="C56" s="38">
        <f>[14]С2!F13</f>
        <v>169640.22915965237</v>
      </c>
    </row>
    <row r="57" spans="1:3" ht="30" x14ac:dyDescent="0.2">
      <c r="A57" s="64" t="s">
        <v>71</v>
      </c>
      <c r="B57" s="63" t="s">
        <v>72</v>
      </c>
      <c r="C57" s="38">
        <f>[14]С2!F14</f>
        <v>113455</v>
      </c>
    </row>
    <row r="58" spans="1:3" ht="15.75" x14ac:dyDescent="0.2">
      <c r="A58" s="64" t="s">
        <v>73</v>
      </c>
      <c r="B58" s="65" t="s">
        <v>74</v>
      </c>
      <c r="C58" s="44">
        <f>[14]С2!F15</f>
        <v>1.071</v>
      </c>
    </row>
    <row r="59" spans="1:3" ht="15.75" x14ac:dyDescent="0.2">
      <c r="A59" s="64" t="s">
        <v>75</v>
      </c>
      <c r="B59" s="65" t="s">
        <v>76</v>
      </c>
      <c r="C59" s="44">
        <f>[14]С2!F16</f>
        <v>1</v>
      </c>
    </row>
    <row r="60" spans="1:3" ht="17.25" x14ac:dyDescent="0.2">
      <c r="A60" s="64" t="s">
        <v>77</v>
      </c>
      <c r="B60" s="63" t="s">
        <v>78</v>
      </c>
      <c r="C60" s="38">
        <f>[14]С2!F17</f>
        <v>1.01</v>
      </c>
    </row>
    <row r="61" spans="1:3" s="68" customFormat="1" ht="14.25" x14ac:dyDescent="0.2">
      <c r="A61" s="64" t="s">
        <v>79</v>
      </c>
      <c r="B61" s="66" t="s">
        <v>80</v>
      </c>
      <c r="C61" s="67">
        <f>[14]С2!F33</f>
        <v>10</v>
      </c>
    </row>
    <row r="62" spans="1:3" ht="30" x14ac:dyDescent="0.2">
      <c r="A62" s="64" t="s">
        <v>81</v>
      </c>
      <c r="B62" s="69" t="s">
        <v>82</v>
      </c>
      <c r="C62" s="38">
        <f>[14]С2!F26</f>
        <v>1424.4887832283189</v>
      </c>
    </row>
    <row r="63" spans="1:3" ht="17.25" x14ac:dyDescent="0.2">
      <c r="A63" s="64" t="s">
        <v>83</v>
      </c>
      <c r="B63" s="58" t="s">
        <v>84</v>
      </c>
      <c r="C63" s="38">
        <f>[14]С2!F27</f>
        <v>0.24536656199999998</v>
      </c>
    </row>
    <row r="64" spans="1:3" ht="17.25" x14ac:dyDescent="0.2">
      <c r="A64" s="64" t="s">
        <v>85</v>
      </c>
      <c r="B64" s="63" t="s">
        <v>86</v>
      </c>
      <c r="C64" s="67">
        <f>[14]С2!F28</f>
        <v>4200</v>
      </c>
    </row>
    <row r="65" spans="1:3" ht="42.75" x14ac:dyDescent="0.2">
      <c r="A65" s="64" t="s">
        <v>87</v>
      </c>
      <c r="B65" s="37" t="s">
        <v>88</v>
      </c>
      <c r="C65" s="38">
        <f>[14]С2!F22</f>
        <v>35717.748653137714</v>
      </c>
    </row>
    <row r="66" spans="1:3" ht="30" x14ac:dyDescent="0.2">
      <c r="A66" s="64" t="s">
        <v>89</v>
      </c>
      <c r="B66" s="65" t="s">
        <v>90</v>
      </c>
      <c r="C66" s="38">
        <f>[14]С2!F23</f>
        <v>1990</v>
      </c>
    </row>
    <row r="67" spans="1:3" ht="30" x14ac:dyDescent="0.2">
      <c r="A67" s="64" t="s">
        <v>91</v>
      </c>
      <c r="B67" s="58" t="s">
        <v>92</v>
      </c>
      <c r="C67" s="38">
        <f>[14]С2.1!E27</f>
        <v>14307.876789999998</v>
      </c>
    </row>
    <row r="68" spans="1:3" ht="38.25" x14ac:dyDescent="0.2">
      <c r="A68" s="64" t="s">
        <v>93</v>
      </c>
      <c r="B68" s="70" t="s">
        <v>94</v>
      </c>
      <c r="C68" s="57">
        <f>[14]С2.3!E21</f>
        <v>0</v>
      </c>
    </row>
    <row r="69" spans="1:3" ht="25.5" x14ac:dyDescent="0.2">
      <c r="A69" s="64" t="s">
        <v>95</v>
      </c>
      <c r="B69" s="71" t="s">
        <v>96</v>
      </c>
      <c r="C69" s="72">
        <f>[14]С2.3!E11</f>
        <v>9.89</v>
      </c>
    </row>
    <row r="70" spans="1:3" ht="25.5" x14ac:dyDescent="0.2">
      <c r="A70" s="64" t="s">
        <v>97</v>
      </c>
      <c r="B70" s="71" t="s">
        <v>98</v>
      </c>
      <c r="C70" s="67">
        <f>[14]С2.3!E13</f>
        <v>300</v>
      </c>
    </row>
    <row r="71" spans="1:3" ht="25.5" x14ac:dyDescent="0.2">
      <c r="A71" s="64" t="s">
        <v>99</v>
      </c>
      <c r="B71" s="70" t="s">
        <v>100</v>
      </c>
      <c r="C71" s="73">
        <f>IF([14]С2.3!E22&gt;0,[14]С2.3!E22,[14]С2.3!E14)</f>
        <v>61211</v>
      </c>
    </row>
    <row r="72" spans="1:3" ht="38.25" x14ac:dyDescent="0.2">
      <c r="A72" s="64" t="s">
        <v>101</v>
      </c>
      <c r="B72" s="70" t="s">
        <v>102</v>
      </c>
      <c r="C72" s="73">
        <f>IF([14]С2.3!E23&gt;0,[14]С2.3!E23,[14]С2.3!E15)</f>
        <v>45675</v>
      </c>
    </row>
    <row r="73" spans="1:3" ht="30" x14ac:dyDescent="0.2">
      <c r="A73" s="64" t="s">
        <v>103</v>
      </c>
      <c r="B73" s="58" t="s">
        <v>104</v>
      </c>
      <c r="C73" s="38">
        <f>[14]С2.1!E28</f>
        <v>9541.9567200000001</v>
      </c>
    </row>
    <row r="74" spans="1:3" ht="38.25" x14ac:dyDescent="0.2">
      <c r="A74" s="64" t="s">
        <v>105</v>
      </c>
      <c r="B74" s="70" t="s">
        <v>106</v>
      </c>
      <c r="C74" s="57">
        <f>[14]С2.3!E25</f>
        <v>0</v>
      </c>
    </row>
    <row r="75" spans="1:3" ht="25.5" x14ac:dyDescent="0.2">
      <c r="A75" s="64" t="s">
        <v>107</v>
      </c>
      <c r="B75" s="71" t="s">
        <v>108</v>
      </c>
      <c r="C75" s="72">
        <f>[14]С2.3!E12</f>
        <v>0.56000000000000005</v>
      </c>
    </row>
    <row r="76" spans="1:3" ht="25.5" x14ac:dyDescent="0.2">
      <c r="A76" s="64" t="s">
        <v>109</v>
      </c>
      <c r="B76" s="71" t="s">
        <v>98</v>
      </c>
      <c r="C76" s="67">
        <f>[14]С2.3!E13</f>
        <v>300</v>
      </c>
    </row>
    <row r="77" spans="1:3" ht="25.5" x14ac:dyDescent="0.2">
      <c r="A77" s="64" t="s">
        <v>110</v>
      </c>
      <c r="B77" s="74" t="s">
        <v>111</v>
      </c>
      <c r="C77" s="73">
        <f>IF([14]С2.3!E26&gt;0,[14]С2.3!E26,[14]С2.3!E16)</f>
        <v>65637</v>
      </c>
    </row>
    <row r="78" spans="1:3" ht="38.25" x14ac:dyDescent="0.2">
      <c r="A78" s="64" t="s">
        <v>112</v>
      </c>
      <c r="B78" s="74" t="s">
        <v>113</v>
      </c>
      <c r="C78" s="73">
        <f>IF([14]С2.3!E27&gt;0,[14]С2.3!E27,[14]С2.3!E17)</f>
        <v>31684</v>
      </c>
    </row>
    <row r="79" spans="1:3" ht="17.25" x14ac:dyDescent="0.2">
      <c r="A79" s="64" t="s">
        <v>114</v>
      </c>
      <c r="B79" s="37" t="s">
        <v>115</v>
      </c>
      <c r="C79" s="39">
        <f>[14]С2!F29</f>
        <v>0.128978033685065</v>
      </c>
    </row>
    <row r="80" spans="1:3" ht="30" x14ac:dyDescent="0.2">
      <c r="A80" s="64" t="s">
        <v>116</v>
      </c>
      <c r="B80" s="58" t="s">
        <v>117</v>
      </c>
      <c r="C80" s="75">
        <f>[14]С2!F30</f>
        <v>0.11668498168498169</v>
      </c>
    </row>
    <row r="81" spans="1:3" ht="17.25" x14ac:dyDescent="0.2">
      <c r="A81" s="64" t="s">
        <v>118</v>
      </c>
      <c r="B81" s="76" t="s">
        <v>119</v>
      </c>
      <c r="C81" s="39">
        <f>[14]С2!F31</f>
        <v>0.13880000000000001</v>
      </c>
    </row>
    <row r="82" spans="1:3" s="68" customFormat="1" ht="18" thickBot="1" x14ac:dyDescent="0.25">
      <c r="A82" s="77" t="s">
        <v>120</v>
      </c>
      <c r="B82" s="78" t="s">
        <v>121</v>
      </c>
      <c r="C82" s="79">
        <f>[14]С2!F32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[14]С3!F14</f>
        <v>7012.1794194579406</v>
      </c>
    </row>
    <row r="86" spans="1:3" s="68" customFormat="1" ht="42.75" x14ac:dyDescent="0.2">
      <c r="A86" s="82" t="s">
        <v>126</v>
      </c>
      <c r="B86" s="58" t="s">
        <v>127</v>
      </c>
      <c r="C86" s="83">
        <f>[14]С3!F15</f>
        <v>0.2</v>
      </c>
    </row>
    <row r="87" spans="1:3" s="68" customFormat="1" ht="14.25" x14ac:dyDescent="0.2">
      <c r="A87" s="82" t="s">
        <v>128</v>
      </c>
      <c r="B87" s="84" t="s">
        <v>129</v>
      </c>
      <c r="C87" s="67">
        <f>[14]С3!F18</f>
        <v>15</v>
      </c>
    </row>
    <row r="88" spans="1:3" s="68" customFormat="1" ht="17.25" x14ac:dyDescent="0.2">
      <c r="A88" s="82" t="s">
        <v>130</v>
      </c>
      <c r="B88" s="37" t="s">
        <v>131</v>
      </c>
      <c r="C88" s="38">
        <f>[14]С3!F19</f>
        <v>3487.1555421534131</v>
      </c>
    </row>
    <row r="89" spans="1:3" s="68" customFormat="1" ht="55.5" x14ac:dyDescent="0.2">
      <c r="A89" s="82" t="s">
        <v>132</v>
      </c>
      <c r="B89" s="58" t="s">
        <v>133</v>
      </c>
      <c r="C89" s="85">
        <f>[14]С3!F20</f>
        <v>2.1999999999999999E-2</v>
      </c>
    </row>
    <row r="90" spans="1:3" s="68" customFormat="1" ht="14.25" x14ac:dyDescent="0.2">
      <c r="A90" s="82" t="s">
        <v>134</v>
      </c>
      <c r="B90" s="63" t="s">
        <v>80</v>
      </c>
      <c r="C90" s="67">
        <f>[14]С3!F21</f>
        <v>10</v>
      </c>
    </row>
    <row r="91" spans="1:3" s="68" customFormat="1" ht="17.25" x14ac:dyDescent="0.2">
      <c r="A91" s="82" t="s">
        <v>135</v>
      </c>
      <c r="B91" s="37" t="s">
        <v>136</v>
      </c>
      <c r="C91" s="38">
        <f>[14]С3!F22</f>
        <v>4.2734663496849565</v>
      </c>
    </row>
    <row r="92" spans="1:3" s="68" customFormat="1" ht="55.5" x14ac:dyDescent="0.2">
      <c r="A92" s="82" t="s">
        <v>137</v>
      </c>
      <c r="B92" s="58" t="s">
        <v>138</v>
      </c>
      <c r="C92" s="85">
        <f>[14]С3!F23</f>
        <v>3.0000000000000001E-3</v>
      </c>
    </row>
    <row r="93" spans="1:3" s="68" customFormat="1" ht="27.75" thickBot="1" x14ac:dyDescent="0.25">
      <c r="A93" s="86" t="s">
        <v>139</v>
      </c>
      <c r="B93" s="87" t="s">
        <v>140</v>
      </c>
      <c r="C93" s="88">
        <f>[14]С3!F24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[14]С4!F16</f>
        <v>1652.5</v>
      </c>
    </row>
    <row r="97" spans="1:3" ht="30" x14ac:dyDescent="0.2">
      <c r="A97" s="64" t="s">
        <v>145</v>
      </c>
      <c r="B97" s="63" t="s">
        <v>146</v>
      </c>
      <c r="C97" s="38">
        <f>[14]С4!F17</f>
        <v>73547</v>
      </c>
    </row>
    <row r="98" spans="1:3" ht="17.25" x14ac:dyDescent="0.2">
      <c r="A98" s="64" t="s">
        <v>147</v>
      </c>
      <c r="B98" s="63" t="s">
        <v>148</v>
      </c>
      <c r="C98" s="44">
        <f>[14]С4!F18</f>
        <v>0.02</v>
      </c>
    </row>
    <row r="99" spans="1:3" ht="30" x14ac:dyDescent="0.2">
      <c r="A99" s="64" t="s">
        <v>149</v>
      </c>
      <c r="B99" s="63" t="s">
        <v>150</v>
      </c>
      <c r="C99" s="38">
        <f>[14]С4!F19</f>
        <v>12104</v>
      </c>
    </row>
    <row r="100" spans="1:3" ht="31.5" x14ac:dyDescent="0.2">
      <c r="A100" s="64" t="s">
        <v>151</v>
      </c>
      <c r="B100" s="63" t="s">
        <v>152</v>
      </c>
      <c r="C100" s="44">
        <f>[14]С4!F20</f>
        <v>1.4999999999999999E-2</v>
      </c>
    </row>
    <row r="101" spans="1:3" ht="30" x14ac:dyDescent="0.2">
      <c r="A101" s="64" t="s">
        <v>153</v>
      </c>
      <c r="B101" s="37" t="s">
        <v>154</v>
      </c>
      <c r="C101" s="38">
        <f>[14]С4!F21</f>
        <v>1933.1949342509995</v>
      </c>
    </row>
    <row r="102" spans="1:3" ht="24" customHeight="1" x14ac:dyDescent="0.2">
      <c r="A102" s="64" t="s">
        <v>155</v>
      </c>
      <c r="B102" s="58" t="s">
        <v>156</v>
      </c>
      <c r="C102" s="90">
        <f>IF([14]С4.2!F8="да",[14]С4.2!D21,[14]С4.2!D15)</f>
        <v>0</v>
      </c>
    </row>
    <row r="103" spans="1:3" ht="68.25" x14ac:dyDescent="0.2">
      <c r="A103" s="64" t="s">
        <v>157</v>
      </c>
      <c r="B103" s="58" t="s">
        <v>158</v>
      </c>
      <c r="C103" s="38">
        <f>[14]С4!F22</f>
        <v>3.6112641666666665</v>
      </c>
    </row>
    <row r="104" spans="1:3" ht="30" x14ac:dyDescent="0.2">
      <c r="A104" s="64" t="s">
        <v>159</v>
      </c>
      <c r="B104" s="63" t="s">
        <v>160</v>
      </c>
      <c r="C104" s="38">
        <f>[14]С4!F23</f>
        <v>180</v>
      </c>
    </row>
    <row r="105" spans="1:3" ht="14.25" x14ac:dyDescent="0.2">
      <c r="A105" s="64" t="s">
        <v>161</v>
      </c>
      <c r="B105" s="58" t="s">
        <v>162</v>
      </c>
      <c r="C105" s="38">
        <f>[14]С4!F24</f>
        <v>8497.1999999999989</v>
      </c>
    </row>
    <row r="106" spans="1:3" ht="14.25" x14ac:dyDescent="0.2">
      <c r="A106" s="64" t="s">
        <v>163</v>
      </c>
      <c r="B106" s="63" t="s">
        <v>164</v>
      </c>
      <c r="C106" s="44">
        <f>[14]С4!F25</f>
        <v>0.35</v>
      </c>
    </row>
    <row r="107" spans="1:3" ht="17.25" x14ac:dyDescent="0.2">
      <c r="A107" s="64" t="s">
        <v>165</v>
      </c>
      <c r="B107" s="37" t="s">
        <v>166</v>
      </c>
      <c r="C107" s="38">
        <f>[14]С4!F26</f>
        <v>88.97744999999999</v>
      </c>
    </row>
    <row r="108" spans="1:3" ht="25.5" x14ac:dyDescent="0.2">
      <c r="A108" s="64" t="s">
        <v>167</v>
      </c>
      <c r="B108" s="58" t="s">
        <v>94</v>
      </c>
      <c r="C108" s="90">
        <f>[14]С4.3!E16</f>
        <v>0</v>
      </c>
    </row>
    <row r="109" spans="1:3" ht="25.5" x14ac:dyDescent="0.2">
      <c r="A109" s="64" t="s">
        <v>168</v>
      </c>
      <c r="B109" s="58" t="s">
        <v>169</v>
      </c>
      <c r="C109" s="38">
        <f>[14]С4.3!E17</f>
        <v>21.31</v>
      </c>
    </row>
    <row r="110" spans="1:3" ht="38.25" x14ac:dyDescent="0.2">
      <c r="A110" s="64" t="s">
        <v>170</v>
      </c>
      <c r="B110" s="58" t="s">
        <v>106</v>
      </c>
      <c r="C110" s="90">
        <f>[14]С4.3!E18</f>
        <v>0</v>
      </c>
    </row>
    <row r="111" spans="1:3" x14ac:dyDescent="0.2">
      <c r="A111" s="64" t="s">
        <v>171</v>
      </c>
      <c r="B111" s="58" t="s">
        <v>172</v>
      </c>
      <c r="C111" s="38">
        <f>[14]С4.3!E19</f>
        <v>69.819999999999993</v>
      </c>
    </row>
    <row r="112" spans="1:3" x14ac:dyDescent="0.2">
      <c r="A112" s="64" t="s">
        <v>173</v>
      </c>
      <c r="B112" s="63" t="s">
        <v>174</v>
      </c>
      <c r="C112" s="38">
        <f>[14]С4.3!E11</f>
        <v>1871</v>
      </c>
    </row>
    <row r="113" spans="1:3" x14ac:dyDescent="0.2">
      <c r="A113" s="64" t="s">
        <v>175</v>
      </c>
      <c r="B113" s="63" t="s">
        <v>176</v>
      </c>
      <c r="C113" s="57">
        <f>[14]С4.3!E12</f>
        <v>1636</v>
      </c>
    </row>
    <row r="114" spans="1:3" x14ac:dyDescent="0.2">
      <c r="A114" s="64" t="s">
        <v>177</v>
      </c>
      <c r="B114" s="63" t="s">
        <v>178</v>
      </c>
      <c r="C114" s="57">
        <f>[14]С4.3!E13</f>
        <v>204</v>
      </c>
    </row>
    <row r="115" spans="1:3" ht="30" x14ac:dyDescent="0.2">
      <c r="A115" s="64" t="s">
        <v>179</v>
      </c>
      <c r="B115" s="37" t="s">
        <v>180</v>
      </c>
      <c r="C115" s="38">
        <f>[14]С4!F27</f>
        <v>1047.1575926659227</v>
      </c>
    </row>
    <row r="116" spans="1:3" ht="25.5" x14ac:dyDescent="0.2">
      <c r="A116" s="64" t="s">
        <v>181</v>
      </c>
      <c r="B116" s="58" t="s">
        <v>182</v>
      </c>
      <c r="C116" s="38">
        <f>[14]С4!F28</f>
        <v>804.26850435170718</v>
      </c>
    </row>
    <row r="117" spans="1:3" ht="42.75" x14ac:dyDescent="0.2">
      <c r="A117" s="64" t="s">
        <v>183</v>
      </c>
      <c r="B117" s="58" t="s">
        <v>184</v>
      </c>
      <c r="C117" s="38">
        <f>[14]С4!F29</f>
        <v>242.8890883142156</v>
      </c>
    </row>
    <row r="118" spans="1:3" ht="30" x14ac:dyDescent="0.2">
      <c r="A118" s="64" t="s">
        <v>185</v>
      </c>
      <c r="B118" s="43" t="s">
        <v>186</v>
      </c>
      <c r="C118" s="38">
        <f>[14]С4!F30</f>
        <v>1997.3403487026571</v>
      </c>
    </row>
    <row r="119" spans="1:3" ht="42.75" x14ac:dyDescent="0.2">
      <c r="A119" s="64" t="s">
        <v>187</v>
      </c>
      <c r="B119" s="91" t="s">
        <v>188</v>
      </c>
      <c r="C119" s="38">
        <f>[14]С4!F33</f>
        <v>1279.4269410399552</v>
      </c>
    </row>
    <row r="120" spans="1:3" ht="30" x14ac:dyDescent="0.2">
      <c r="A120" s="64" t="s">
        <v>189</v>
      </c>
      <c r="B120" s="92" t="s">
        <v>190</v>
      </c>
      <c r="C120" s="38">
        <f>[14]С4!F35</f>
        <v>17.040680999999999</v>
      </c>
    </row>
    <row r="121" spans="1:3" ht="14.25" x14ac:dyDescent="0.2">
      <c r="A121" s="64" t="s">
        <v>191</v>
      </c>
      <c r="B121" s="61" t="s">
        <v>192</v>
      </c>
      <c r="C121" s="38">
        <f>[14]С4!F36</f>
        <v>14319.9</v>
      </c>
    </row>
    <row r="122" spans="1:3" ht="28.5" thickBot="1" x14ac:dyDescent="0.25">
      <c r="A122" s="77" t="s">
        <v>193</v>
      </c>
      <c r="B122" s="93" t="s">
        <v>194</v>
      </c>
      <c r="C122" s="88">
        <f>[14]С4!F37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[14]С5!F17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[14]С2!F37</f>
        <v>20.818139999999996</v>
      </c>
    </row>
    <row r="136" spans="1:4" ht="14.25" x14ac:dyDescent="0.2">
      <c r="A136" s="64" t="s">
        <v>216</v>
      </c>
      <c r="B136" s="107" t="s">
        <v>217</v>
      </c>
      <c r="C136" s="38">
        <f>[14]С2!F38</f>
        <v>7</v>
      </c>
    </row>
    <row r="137" spans="1:4" ht="17.25" x14ac:dyDescent="0.2">
      <c r="A137" s="64" t="s">
        <v>218</v>
      </c>
      <c r="B137" s="107" t="s">
        <v>219</v>
      </c>
      <c r="C137" s="38">
        <f>[14]С2!F40</f>
        <v>0.97</v>
      </c>
    </row>
    <row r="138" spans="1:4" ht="15" thickBot="1" x14ac:dyDescent="0.25">
      <c r="A138" s="77" t="s">
        <v>220</v>
      </c>
      <c r="B138" s="108" t="s">
        <v>221</v>
      </c>
      <c r="C138" s="50">
        <f>[14]С2!F42</f>
        <v>0.35</v>
      </c>
    </row>
    <row r="139" spans="1:4" s="94" customFormat="1" ht="13.5" thickBot="1" x14ac:dyDescent="0.25">
      <c r="A139" s="51"/>
      <c r="B139" s="80"/>
      <c r="C139" s="16"/>
    </row>
    <row r="140" spans="1:4" ht="30" x14ac:dyDescent="0.2">
      <c r="A140" s="89" t="s">
        <v>222</v>
      </c>
      <c r="B140" s="109" t="s">
        <v>223</v>
      </c>
      <c r="C140" s="110">
        <f>[14]С2!F35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[14]С2.5!$E$11</f>
        <v>-2.9000000000000026E-2</v>
      </c>
      <c r="D143" s="94"/>
    </row>
    <row r="144" spans="1:4" x14ac:dyDescent="0.2">
      <c r="A144" s="112"/>
      <c r="B144" s="117">
        <f>B143+1</f>
        <v>2021</v>
      </c>
      <c r="C144" s="118">
        <f>[14]С2.5!$F$11</f>
        <v>0.245</v>
      </c>
      <c r="D144" s="94"/>
    </row>
    <row r="145" spans="1:4" x14ac:dyDescent="0.2">
      <c r="A145" s="112"/>
      <c r="B145" s="117">
        <f t="shared" ref="B145:B208" si="0">B144+1</f>
        <v>2022</v>
      </c>
      <c r="C145" s="118">
        <f>[14]С2.5!$G$11</f>
        <v>0.121</v>
      </c>
      <c r="D145" s="94"/>
    </row>
    <row r="146" spans="1:4" ht="13.5" thickBot="1" x14ac:dyDescent="0.25">
      <c r="A146" s="112"/>
      <c r="B146" s="119">
        <f t="shared" si="0"/>
        <v>2023</v>
      </c>
      <c r="C146" s="120">
        <f>[14]С2.5!$H$11</f>
        <v>0.02</v>
      </c>
      <c r="D146" s="94"/>
    </row>
    <row r="147" spans="1:4" hidden="1" x14ac:dyDescent="0.2">
      <c r="A147" s="112"/>
      <c r="B147" s="121">
        <f t="shared" si="0"/>
        <v>2024</v>
      </c>
      <c r="C147" s="122">
        <f>[14]С2.5!$I$11</f>
        <v>-2.93E-2</v>
      </c>
      <c r="D147" s="94"/>
    </row>
    <row r="148" spans="1:4" hidden="1" x14ac:dyDescent="0.2">
      <c r="A148" s="112"/>
      <c r="B148" s="117">
        <f t="shared" si="0"/>
        <v>2025</v>
      </c>
      <c r="C148" s="118">
        <f>[14]С2.5!$J$11</f>
        <v>0.21215960863291</v>
      </c>
      <c r="D148" s="94"/>
    </row>
    <row r="149" spans="1:4" hidden="1" x14ac:dyDescent="0.2">
      <c r="A149" s="112"/>
      <c r="B149" s="117">
        <f t="shared" si="0"/>
        <v>2026</v>
      </c>
      <c r="C149" s="118">
        <f>[14]С2.5!$K$11</f>
        <v>3.5813361771260002E-2</v>
      </c>
      <c r="D149" s="94"/>
    </row>
    <row r="150" spans="1:4" hidden="1" x14ac:dyDescent="0.2">
      <c r="A150" s="112"/>
      <c r="B150" s="117">
        <f t="shared" si="0"/>
        <v>2027</v>
      </c>
      <c r="C150" s="118">
        <f>[14]С2.5!$L$11</f>
        <v>3.2682303599220003E-2</v>
      </c>
      <c r="D150" s="94"/>
    </row>
    <row r="151" spans="1:4" hidden="1" x14ac:dyDescent="0.2">
      <c r="A151" s="112"/>
      <c r="B151" s="117">
        <f t="shared" si="0"/>
        <v>2028</v>
      </c>
      <c r="C151" s="118">
        <f>[14]С2.5!$M$11</f>
        <v>0</v>
      </c>
      <c r="D151" s="94"/>
    </row>
    <row r="152" spans="1:4" hidden="1" x14ac:dyDescent="0.2">
      <c r="A152" s="112"/>
      <c r="B152" s="117">
        <f t="shared" si="0"/>
        <v>2029</v>
      </c>
      <c r="C152" s="118">
        <f>[14]С2.5!$N$11</f>
        <v>0</v>
      </c>
      <c r="D152" s="94"/>
    </row>
    <row r="153" spans="1:4" hidden="1" x14ac:dyDescent="0.2">
      <c r="A153" s="112"/>
      <c r="B153" s="117">
        <f t="shared" si="0"/>
        <v>2030</v>
      </c>
      <c r="C153" s="118">
        <f>[14]С2.5!$O$11</f>
        <v>0</v>
      </c>
      <c r="D153" s="94"/>
    </row>
    <row r="154" spans="1:4" hidden="1" x14ac:dyDescent="0.2">
      <c r="A154" s="112"/>
      <c r="B154" s="117">
        <f t="shared" si="0"/>
        <v>2031</v>
      </c>
      <c r="C154" s="118">
        <f>[14]С2.5!$P$11</f>
        <v>0</v>
      </c>
      <c r="D154" s="94"/>
    </row>
    <row r="155" spans="1:4" hidden="1" x14ac:dyDescent="0.2">
      <c r="A155" s="94"/>
      <c r="B155" s="117">
        <f t="shared" si="0"/>
        <v>2032</v>
      </c>
      <c r="C155" s="118">
        <f>[14]С2.5!$Q$11</f>
        <v>0</v>
      </c>
      <c r="D155" s="94"/>
    </row>
    <row r="156" spans="1:4" hidden="1" x14ac:dyDescent="0.2">
      <c r="A156" s="94"/>
      <c r="B156" s="117">
        <f t="shared" si="0"/>
        <v>2033</v>
      </c>
      <c r="C156" s="118">
        <f>[14]С2.5!$R$11</f>
        <v>0</v>
      </c>
      <c r="D156" s="94"/>
    </row>
    <row r="157" spans="1:4" hidden="1" x14ac:dyDescent="0.2">
      <c r="B157" s="117">
        <f t="shared" si="0"/>
        <v>2034</v>
      </c>
      <c r="C157" s="118">
        <f>[14]С2.5!$S$11</f>
        <v>0</v>
      </c>
    </row>
    <row r="158" spans="1:4" hidden="1" x14ac:dyDescent="0.2">
      <c r="B158" s="117">
        <f t="shared" si="0"/>
        <v>2035</v>
      </c>
      <c r="C158" s="118">
        <f>[14]С2.5!$T$11</f>
        <v>0</v>
      </c>
    </row>
    <row r="159" spans="1:4" hidden="1" x14ac:dyDescent="0.2">
      <c r="B159" s="117">
        <f t="shared" si="0"/>
        <v>2036</v>
      </c>
      <c r="C159" s="118">
        <f>[14]С2.5!$U$11</f>
        <v>0</v>
      </c>
    </row>
    <row r="160" spans="1:4" hidden="1" x14ac:dyDescent="0.2">
      <c r="B160" s="117">
        <f t="shared" si="0"/>
        <v>2037</v>
      </c>
      <c r="C160" s="118">
        <f>[14]С2.5!$V$11</f>
        <v>0</v>
      </c>
    </row>
    <row r="161" spans="2:3" hidden="1" x14ac:dyDescent="0.2">
      <c r="B161" s="117">
        <f t="shared" si="0"/>
        <v>2038</v>
      </c>
      <c r="C161" s="118">
        <f>[14]С2.5!$W$11</f>
        <v>0</v>
      </c>
    </row>
    <row r="162" spans="2:3" hidden="1" x14ac:dyDescent="0.2">
      <c r="B162" s="117">
        <f t="shared" si="0"/>
        <v>2039</v>
      </c>
      <c r="C162" s="118">
        <f>[14]С2.5!$X$11</f>
        <v>0</v>
      </c>
    </row>
    <row r="163" spans="2:3" hidden="1" x14ac:dyDescent="0.2">
      <c r="B163" s="117">
        <f t="shared" si="0"/>
        <v>2040</v>
      </c>
      <c r="C163" s="118">
        <f>[14]С2.5!$Y$11</f>
        <v>0</v>
      </c>
    </row>
    <row r="164" spans="2:3" hidden="1" x14ac:dyDescent="0.2">
      <c r="B164" s="117">
        <f t="shared" si="0"/>
        <v>2041</v>
      </c>
      <c r="C164" s="118">
        <f>[14]С2.5!$Z$11</f>
        <v>0</v>
      </c>
    </row>
    <row r="165" spans="2:3" hidden="1" x14ac:dyDescent="0.2">
      <c r="B165" s="117">
        <f t="shared" si="0"/>
        <v>2042</v>
      </c>
      <c r="C165" s="118">
        <f>[14]С2.5!$AA$11</f>
        <v>0</v>
      </c>
    </row>
    <row r="166" spans="2:3" hidden="1" x14ac:dyDescent="0.2">
      <c r="B166" s="117">
        <f t="shared" si="0"/>
        <v>2043</v>
      </c>
      <c r="C166" s="118">
        <f>[14]С2.5!$AB$11</f>
        <v>0</v>
      </c>
    </row>
    <row r="167" spans="2:3" hidden="1" x14ac:dyDescent="0.2">
      <c r="B167" s="117">
        <f t="shared" si="0"/>
        <v>2044</v>
      </c>
      <c r="C167" s="118">
        <f>[14]С2.5!$AC$11</f>
        <v>0</v>
      </c>
    </row>
    <row r="168" spans="2:3" hidden="1" x14ac:dyDescent="0.2">
      <c r="B168" s="117">
        <f t="shared" si="0"/>
        <v>2045</v>
      </c>
      <c r="C168" s="118">
        <f>[14]С2.5!$AD$11</f>
        <v>0</v>
      </c>
    </row>
    <row r="169" spans="2:3" hidden="1" x14ac:dyDescent="0.2">
      <c r="B169" s="117">
        <f t="shared" si="0"/>
        <v>2046</v>
      </c>
      <c r="C169" s="118">
        <f>[14]С2.5!$AE$11</f>
        <v>0</v>
      </c>
    </row>
    <row r="170" spans="2:3" hidden="1" x14ac:dyDescent="0.2">
      <c r="B170" s="117">
        <f t="shared" si="0"/>
        <v>2047</v>
      </c>
      <c r="C170" s="118">
        <f>[14]С2.5!$AF$11</f>
        <v>0</v>
      </c>
    </row>
    <row r="171" spans="2:3" hidden="1" x14ac:dyDescent="0.2">
      <c r="B171" s="117">
        <f t="shared" si="0"/>
        <v>2048</v>
      </c>
      <c r="C171" s="118">
        <f>[14]С2.5!$AG$11</f>
        <v>0</v>
      </c>
    </row>
    <row r="172" spans="2:3" hidden="1" x14ac:dyDescent="0.2">
      <c r="B172" s="117">
        <f t="shared" si="0"/>
        <v>2049</v>
      </c>
      <c r="C172" s="118">
        <f>[14]С2.5!$AH$11</f>
        <v>0</v>
      </c>
    </row>
    <row r="173" spans="2:3" hidden="1" x14ac:dyDescent="0.2">
      <c r="B173" s="117">
        <f t="shared" si="0"/>
        <v>2050</v>
      </c>
      <c r="C173" s="118">
        <f>[14]С2.5!$AI$11</f>
        <v>0</v>
      </c>
    </row>
    <row r="174" spans="2:3" hidden="1" x14ac:dyDescent="0.2">
      <c r="B174" s="117">
        <f t="shared" si="0"/>
        <v>2051</v>
      </c>
      <c r="C174" s="118">
        <f>[14]С2.5!$AJ$11</f>
        <v>0</v>
      </c>
    </row>
    <row r="175" spans="2:3" hidden="1" x14ac:dyDescent="0.2">
      <c r="B175" s="117">
        <f t="shared" si="0"/>
        <v>2052</v>
      </c>
      <c r="C175" s="118">
        <f>[14]С2.5!$AK$11</f>
        <v>0</v>
      </c>
    </row>
    <row r="176" spans="2:3" hidden="1" x14ac:dyDescent="0.2">
      <c r="B176" s="117">
        <f t="shared" si="0"/>
        <v>2053</v>
      </c>
      <c r="C176" s="118">
        <f>[14]С2.5!$AL$11</f>
        <v>0</v>
      </c>
    </row>
    <row r="177" spans="2:3" hidden="1" x14ac:dyDescent="0.2">
      <c r="B177" s="117">
        <f t="shared" si="0"/>
        <v>2054</v>
      </c>
      <c r="C177" s="118">
        <f>[14]С2.5!$AM$11</f>
        <v>0</v>
      </c>
    </row>
    <row r="178" spans="2:3" hidden="1" x14ac:dyDescent="0.2">
      <c r="B178" s="117">
        <f t="shared" si="0"/>
        <v>2055</v>
      </c>
      <c r="C178" s="118">
        <f>[14]С2.5!$AN$11</f>
        <v>0</v>
      </c>
    </row>
    <row r="179" spans="2:3" hidden="1" x14ac:dyDescent="0.2">
      <c r="B179" s="117">
        <f t="shared" si="0"/>
        <v>2056</v>
      </c>
      <c r="C179" s="118">
        <f>[14]С2.5!$AO$11</f>
        <v>0</v>
      </c>
    </row>
    <row r="180" spans="2:3" hidden="1" x14ac:dyDescent="0.2">
      <c r="B180" s="117">
        <f t="shared" si="0"/>
        <v>2057</v>
      </c>
      <c r="C180" s="118">
        <f>[14]С2.5!$AP$11</f>
        <v>0</v>
      </c>
    </row>
    <row r="181" spans="2:3" hidden="1" x14ac:dyDescent="0.2">
      <c r="B181" s="117">
        <f t="shared" si="0"/>
        <v>2058</v>
      </c>
      <c r="C181" s="118">
        <f>[14]С2.5!$AQ$11</f>
        <v>0</v>
      </c>
    </row>
    <row r="182" spans="2:3" hidden="1" x14ac:dyDescent="0.2">
      <c r="B182" s="117">
        <f t="shared" si="0"/>
        <v>2059</v>
      </c>
      <c r="C182" s="118">
        <f>[14]С2.5!$AR$11</f>
        <v>0</v>
      </c>
    </row>
    <row r="183" spans="2:3" hidden="1" x14ac:dyDescent="0.2">
      <c r="B183" s="117">
        <f t="shared" si="0"/>
        <v>2060</v>
      </c>
      <c r="C183" s="118">
        <f>[14]С2.5!$AS$11</f>
        <v>0</v>
      </c>
    </row>
    <row r="184" spans="2:3" hidden="1" x14ac:dyDescent="0.2">
      <c r="B184" s="117">
        <f t="shared" si="0"/>
        <v>2061</v>
      </c>
      <c r="C184" s="118">
        <f>[14]С2.5!$AT$11</f>
        <v>0</v>
      </c>
    </row>
    <row r="185" spans="2:3" hidden="1" x14ac:dyDescent="0.2">
      <c r="B185" s="117">
        <f t="shared" si="0"/>
        <v>2062</v>
      </c>
      <c r="C185" s="118">
        <f>[14]С2.5!$AU$11</f>
        <v>0</v>
      </c>
    </row>
    <row r="186" spans="2:3" hidden="1" x14ac:dyDescent="0.2">
      <c r="B186" s="117">
        <f t="shared" si="0"/>
        <v>2063</v>
      </c>
      <c r="C186" s="118">
        <f>[14]С2.5!$AV$11</f>
        <v>0</v>
      </c>
    </row>
    <row r="187" spans="2:3" hidden="1" x14ac:dyDescent="0.2">
      <c r="B187" s="117">
        <f t="shared" si="0"/>
        <v>2064</v>
      </c>
      <c r="C187" s="118">
        <f>[14]С2.5!$AW$11</f>
        <v>0</v>
      </c>
    </row>
    <row r="188" spans="2:3" hidden="1" x14ac:dyDescent="0.2">
      <c r="B188" s="117">
        <f t="shared" si="0"/>
        <v>2065</v>
      </c>
      <c r="C188" s="118">
        <f>[14]С2.5!$AX$11</f>
        <v>0</v>
      </c>
    </row>
    <row r="189" spans="2:3" hidden="1" x14ac:dyDescent="0.2">
      <c r="B189" s="117">
        <f t="shared" si="0"/>
        <v>2066</v>
      </c>
      <c r="C189" s="118">
        <f>[14]С2.5!$AY$11</f>
        <v>0</v>
      </c>
    </row>
    <row r="190" spans="2:3" hidden="1" x14ac:dyDescent="0.2">
      <c r="B190" s="117">
        <f t="shared" si="0"/>
        <v>2067</v>
      </c>
      <c r="C190" s="118">
        <f>[14]С2.5!$AZ$11</f>
        <v>0</v>
      </c>
    </row>
    <row r="191" spans="2:3" hidden="1" x14ac:dyDescent="0.2">
      <c r="B191" s="117">
        <f t="shared" si="0"/>
        <v>2068</v>
      </c>
      <c r="C191" s="118">
        <f>[14]С2.5!$BA$11</f>
        <v>0</v>
      </c>
    </row>
    <row r="192" spans="2:3" hidden="1" x14ac:dyDescent="0.2">
      <c r="B192" s="117">
        <f t="shared" si="0"/>
        <v>2069</v>
      </c>
      <c r="C192" s="118">
        <f>[14]С2.5!$BB$11</f>
        <v>0</v>
      </c>
    </row>
    <row r="193" spans="2:3" hidden="1" x14ac:dyDescent="0.2">
      <c r="B193" s="117">
        <f t="shared" si="0"/>
        <v>2070</v>
      </c>
      <c r="C193" s="118">
        <f>[14]С2.5!$BC$11</f>
        <v>0</v>
      </c>
    </row>
    <row r="194" spans="2:3" hidden="1" x14ac:dyDescent="0.2">
      <c r="B194" s="117">
        <f t="shared" si="0"/>
        <v>2071</v>
      </c>
      <c r="C194" s="118">
        <f>[14]С2.5!$BD$11</f>
        <v>0</v>
      </c>
    </row>
    <row r="195" spans="2:3" hidden="1" x14ac:dyDescent="0.2">
      <c r="B195" s="117">
        <f t="shared" si="0"/>
        <v>2072</v>
      </c>
      <c r="C195" s="118">
        <f>[14]С2.5!$BE$11</f>
        <v>0</v>
      </c>
    </row>
    <row r="196" spans="2:3" hidden="1" x14ac:dyDescent="0.2">
      <c r="B196" s="117">
        <f t="shared" si="0"/>
        <v>2073</v>
      </c>
      <c r="C196" s="118">
        <f>[14]С2.5!$BF$11</f>
        <v>0</v>
      </c>
    </row>
    <row r="197" spans="2:3" hidden="1" x14ac:dyDescent="0.2">
      <c r="B197" s="117">
        <f t="shared" si="0"/>
        <v>2074</v>
      </c>
      <c r="C197" s="118">
        <f>[14]С2.5!$BG$11</f>
        <v>0</v>
      </c>
    </row>
    <row r="198" spans="2:3" hidden="1" x14ac:dyDescent="0.2">
      <c r="B198" s="117">
        <f t="shared" si="0"/>
        <v>2075</v>
      </c>
      <c r="C198" s="118">
        <f>[14]С2.5!$BH$11</f>
        <v>0</v>
      </c>
    </row>
    <row r="199" spans="2:3" hidden="1" x14ac:dyDescent="0.2">
      <c r="B199" s="117">
        <f t="shared" si="0"/>
        <v>2076</v>
      </c>
      <c r="C199" s="118">
        <f>[14]С2.5!$BI$11</f>
        <v>0</v>
      </c>
    </row>
    <row r="200" spans="2:3" hidden="1" x14ac:dyDescent="0.2">
      <c r="B200" s="117">
        <f t="shared" si="0"/>
        <v>2077</v>
      </c>
      <c r="C200" s="118">
        <f>[14]С2.5!$BJ$11</f>
        <v>0</v>
      </c>
    </row>
    <row r="201" spans="2:3" hidden="1" x14ac:dyDescent="0.2">
      <c r="B201" s="117">
        <f t="shared" si="0"/>
        <v>2078</v>
      </c>
      <c r="C201" s="118">
        <f>[14]С2.5!$BK$11</f>
        <v>0</v>
      </c>
    </row>
    <row r="202" spans="2:3" hidden="1" x14ac:dyDescent="0.2">
      <c r="B202" s="117">
        <f t="shared" si="0"/>
        <v>2079</v>
      </c>
      <c r="C202" s="118">
        <f>[14]С2.5!$BL$11</f>
        <v>0</v>
      </c>
    </row>
    <row r="203" spans="2:3" hidden="1" x14ac:dyDescent="0.2">
      <c r="B203" s="117">
        <f t="shared" si="0"/>
        <v>2080</v>
      </c>
      <c r="C203" s="118">
        <f>[14]С2.5!$BM$11</f>
        <v>0</v>
      </c>
    </row>
    <row r="204" spans="2:3" hidden="1" x14ac:dyDescent="0.2">
      <c r="B204" s="117">
        <f t="shared" si="0"/>
        <v>2081</v>
      </c>
      <c r="C204" s="118">
        <f>[14]С2.5!$BN$11</f>
        <v>0</v>
      </c>
    </row>
    <row r="205" spans="2:3" hidden="1" x14ac:dyDescent="0.2">
      <c r="B205" s="117">
        <f t="shared" si="0"/>
        <v>2082</v>
      </c>
      <c r="C205" s="118">
        <f>[14]С2.5!$BO$11</f>
        <v>0</v>
      </c>
    </row>
    <row r="206" spans="2:3" hidden="1" x14ac:dyDescent="0.2">
      <c r="B206" s="117">
        <f t="shared" si="0"/>
        <v>2083</v>
      </c>
      <c r="C206" s="118">
        <f>[14]С2.5!$BP$11</f>
        <v>0</v>
      </c>
    </row>
    <row r="207" spans="2:3" hidden="1" x14ac:dyDescent="0.2">
      <c r="B207" s="117">
        <f t="shared" si="0"/>
        <v>2084</v>
      </c>
      <c r="C207" s="118">
        <f>[14]С2.5!$BQ$11</f>
        <v>0</v>
      </c>
    </row>
    <row r="208" spans="2:3" hidden="1" x14ac:dyDescent="0.2">
      <c r="B208" s="117">
        <f t="shared" si="0"/>
        <v>2085</v>
      </c>
      <c r="C208" s="118">
        <f>[14]С2.5!$BR$11</f>
        <v>0</v>
      </c>
    </row>
    <row r="209" spans="2:3" hidden="1" x14ac:dyDescent="0.2">
      <c r="B209" s="117">
        <f t="shared" ref="B209:B223" si="1">B208+1</f>
        <v>2086</v>
      </c>
      <c r="C209" s="118">
        <f>[14]С2.5!$BS$11</f>
        <v>0</v>
      </c>
    </row>
    <row r="210" spans="2:3" hidden="1" x14ac:dyDescent="0.2">
      <c r="B210" s="117">
        <f t="shared" si="1"/>
        <v>2087</v>
      </c>
      <c r="C210" s="118">
        <f>[14]С2.5!$BT$11</f>
        <v>0</v>
      </c>
    </row>
    <row r="211" spans="2:3" hidden="1" x14ac:dyDescent="0.2">
      <c r="B211" s="117">
        <f t="shared" si="1"/>
        <v>2088</v>
      </c>
      <c r="C211" s="118">
        <f>[14]С2.5!$BU$11</f>
        <v>0</v>
      </c>
    </row>
    <row r="212" spans="2:3" hidden="1" x14ac:dyDescent="0.2">
      <c r="B212" s="117">
        <f t="shared" si="1"/>
        <v>2089</v>
      </c>
      <c r="C212" s="118">
        <f>[14]С2.5!$BV$11</f>
        <v>0</v>
      </c>
    </row>
    <row r="213" spans="2:3" hidden="1" x14ac:dyDescent="0.2">
      <c r="B213" s="117">
        <f t="shared" si="1"/>
        <v>2090</v>
      </c>
      <c r="C213" s="118">
        <f>[14]С2.5!$BW$11</f>
        <v>0</v>
      </c>
    </row>
    <row r="214" spans="2:3" hidden="1" x14ac:dyDescent="0.2">
      <c r="B214" s="117">
        <f t="shared" si="1"/>
        <v>2091</v>
      </c>
      <c r="C214" s="118">
        <f>[14]С2.5!$BX$11</f>
        <v>0</v>
      </c>
    </row>
    <row r="215" spans="2:3" hidden="1" x14ac:dyDescent="0.2">
      <c r="B215" s="117">
        <f t="shared" si="1"/>
        <v>2092</v>
      </c>
      <c r="C215" s="118">
        <f>[14]С2.5!$BY$11</f>
        <v>0</v>
      </c>
    </row>
    <row r="216" spans="2:3" hidden="1" x14ac:dyDescent="0.2">
      <c r="B216" s="117">
        <f t="shared" si="1"/>
        <v>2093</v>
      </c>
      <c r="C216" s="118">
        <f>[14]С2.5!$BZ$11</f>
        <v>0</v>
      </c>
    </row>
    <row r="217" spans="2:3" hidden="1" x14ac:dyDescent="0.2">
      <c r="B217" s="117">
        <f t="shared" si="1"/>
        <v>2094</v>
      </c>
      <c r="C217" s="118">
        <f>[14]С2.5!$CA$11</f>
        <v>0</v>
      </c>
    </row>
    <row r="218" spans="2:3" hidden="1" x14ac:dyDescent="0.2">
      <c r="B218" s="117">
        <f t="shared" si="1"/>
        <v>2095</v>
      </c>
      <c r="C218" s="118">
        <f>[14]С2.5!$CB$11</f>
        <v>0</v>
      </c>
    </row>
    <row r="219" spans="2:3" hidden="1" x14ac:dyDescent="0.2">
      <c r="B219" s="117">
        <f t="shared" si="1"/>
        <v>2096</v>
      </c>
      <c r="C219" s="118">
        <f>[14]С2.5!$CC$11</f>
        <v>0</v>
      </c>
    </row>
    <row r="220" spans="2:3" hidden="1" x14ac:dyDescent="0.2">
      <c r="B220" s="117">
        <f t="shared" si="1"/>
        <v>2097</v>
      </c>
      <c r="C220" s="118">
        <f>[14]С2.5!$CD$11</f>
        <v>0</v>
      </c>
    </row>
    <row r="221" spans="2:3" hidden="1" x14ac:dyDescent="0.2">
      <c r="B221" s="117">
        <f t="shared" si="1"/>
        <v>2098</v>
      </c>
      <c r="C221" s="118">
        <f>[14]С2.5!$CE$11</f>
        <v>0</v>
      </c>
    </row>
    <row r="222" spans="2:3" hidden="1" x14ac:dyDescent="0.2">
      <c r="B222" s="117">
        <f t="shared" si="1"/>
        <v>2099</v>
      </c>
      <c r="C222" s="118">
        <f>[14]С2.5!$CF$11</f>
        <v>0</v>
      </c>
    </row>
    <row r="223" spans="2:3" ht="13.5" hidden="1" thickBot="1" x14ac:dyDescent="0.25">
      <c r="B223" s="119">
        <f t="shared" si="1"/>
        <v>2100</v>
      </c>
      <c r="C223" s="120">
        <f>[14]С2.5!$CG$11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4337" r:id="rId3" name="Button 1">
              <controlPr defaultSize="0" print="0" autoFill="0" autoPict="0" macro="[1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D2" sqref="D1:D1048576"/>
    </sheetView>
  </sheetViews>
  <sheetFormatPr defaultRowHeight="12.75" x14ac:dyDescent="0.2"/>
  <cols>
    <col min="1" max="1" width="9.140625" style="3" customWidth="1"/>
    <col min="2" max="2" width="100.5703125" style="3" customWidth="1"/>
    <col min="3" max="3" width="20.85546875" style="8" customWidth="1"/>
    <col min="4" max="4" width="5.140625" style="3" customWidth="1"/>
    <col min="5" max="5" width="17.5703125" style="3" customWidth="1"/>
    <col min="6" max="249" width="9.140625" style="3"/>
    <col min="250" max="250" width="3.5703125" style="3" customWidth="1"/>
    <col min="251" max="251" width="96.85546875" style="3" customWidth="1"/>
    <col min="252" max="252" width="30.85546875" style="3" customWidth="1"/>
    <col min="253" max="253" width="12.5703125" style="3" customWidth="1"/>
    <col min="254" max="254" width="5.140625" style="3" customWidth="1"/>
    <col min="255" max="255" width="9.140625" style="3"/>
    <col min="256" max="256" width="4.85546875" style="3" customWidth="1"/>
    <col min="257" max="257" width="30.5703125" style="3" customWidth="1"/>
    <col min="258" max="258" width="33.85546875" style="3" customWidth="1"/>
    <col min="259" max="259" width="5.140625" style="3" customWidth="1"/>
    <col min="260" max="261" width="17.5703125" style="3" customWidth="1"/>
    <col min="262" max="505" width="9.140625" style="3"/>
    <col min="506" max="506" width="3.5703125" style="3" customWidth="1"/>
    <col min="507" max="507" width="96.85546875" style="3" customWidth="1"/>
    <col min="508" max="508" width="30.85546875" style="3" customWidth="1"/>
    <col min="509" max="509" width="12.5703125" style="3" customWidth="1"/>
    <col min="510" max="510" width="5.140625" style="3" customWidth="1"/>
    <col min="511" max="511" width="9.140625" style="3"/>
    <col min="512" max="512" width="4.85546875" style="3" customWidth="1"/>
    <col min="513" max="513" width="30.5703125" style="3" customWidth="1"/>
    <col min="514" max="514" width="33.85546875" style="3" customWidth="1"/>
    <col min="515" max="515" width="5.140625" style="3" customWidth="1"/>
    <col min="516" max="517" width="17.5703125" style="3" customWidth="1"/>
    <col min="518" max="761" width="9.140625" style="3"/>
    <col min="762" max="762" width="3.5703125" style="3" customWidth="1"/>
    <col min="763" max="763" width="96.85546875" style="3" customWidth="1"/>
    <col min="764" max="764" width="30.85546875" style="3" customWidth="1"/>
    <col min="765" max="765" width="12.5703125" style="3" customWidth="1"/>
    <col min="766" max="766" width="5.140625" style="3" customWidth="1"/>
    <col min="767" max="767" width="9.140625" style="3"/>
    <col min="768" max="768" width="4.85546875" style="3" customWidth="1"/>
    <col min="769" max="769" width="30.5703125" style="3" customWidth="1"/>
    <col min="770" max="770" width="33.85546875" style="3" customWidth="1"/>
    <col min="771" max="771" width="5.140625" style="3" customWidth="1"/>
    <col min="772" max="773" width="17.5703125" style="3" customWidth="1"/>
    <col min="774" max="1017" width="9.140625" style="3"/>
    <col min="1018" max="1018" width="3.5703125" style="3" customWidth="1"/>
    <col min="1019" max="1019" width="96.85546875" style="3" customWidth="1"/>
    <col min="1020" max="1020" width="30.85546875" style="3" customWidth="1"/>
    <col min="1021" max="1021" width="12.5703125" style="3" customWidth="1"/>
    <col min="1022" max="1022" width="5.140625" style="3" customWidth="1"/>
    <col min="1023" max="1023" width="9.140625" style="3"/>
    <col min="1024" max="1024" width="4.85546875" style="3" customWidth="1"/>
    <col min="1025" max="1025" width="30.5703125" style="3" customWidth="1"/>
    <col min="1026" max="1026" width="33.85546875" style="3" customWidth="1"/>
    <col min="1027" max="1027" width="5.140625" style="3" customWidth="1"/>
    <col min="1028" max="1029" width="17.5703125" style="3" customWidth="1"/>
    <col min="1030" max="1273" width="9.140625" style="3"/>
    <col min="1274" max="1274" width="3.5703125" style="3" customWidth="1"/>
    <col min="1275" max="1275" width="96.85546875" style="3" customWidth="1"/>
    <col min="1276" max="1276" width="30.85546875" style="3" customWidth="1"/>
    <col min="1277" max="1277" width="12.5703125" style="3" customWidth="1"/>
    <col min="1278" max="1278" width="5.140625" style="3" customWidth="1"/>
    <col min="1279" max="1279" width="9.140625" style="3"/>
    <col min="1280" max="1280" width="4.85546875" style="3" customWidth="1"/>
    <col min="1281" max="1281" width="30.5703125" style="3" customWidth="1"/>
    <col min="1282" max="1282" width="33.85546875" style="3" customWidth="1"/>
    <col min="1283" max="1283" width="5.140625" style="3" customWidth="1"/>
    <col min="1284" max="1285" width="17.5703125" style="3" customWidth="1"/>
    <col min="1286" max="1529" width="9.140625" style="3"/>
    <col min="1530" max="1530" width="3.5703125" style="3" customWidth="1"/>
    <col min="1531" max="1531" width="96.85546875" style="3" customWidth="1"/>
    <col min="1532" max="1532" width="30.85546875" style="3" customWidth="1"/>
    <col min="1533" max="1533" width="12.5703125" style="3" customWidth="1"/>
    <col min="1534" max="1534" width="5.140625" style="3" customWidth="1"/>
    <col min="1535" max="1535" width="9.140625" style="3"/>
    <col min="1536" max="1536" width="4.85546875" style="3" customWidth="1"/>
    <col min="1537" max="1537" width="30.5703125" style="3" customWidth="1"/>
    <col min="1538" max="1538" width="33.85546875" style="3" customWidth="1"/>
    <col min="1539" max="1539" width="5.140625" style="3" customWidth="1"/>
    <col min="1540" max="1541" width="17.5703125" style="3" customWidth="1"/>
    <col min="1542" max="1785" width="9.140625" style="3"/>
    <col min="1786" max="1786" width="3.5703125" style="3" customWidth="1"/>
    <col min="1787" max="1787" width="96.85546875" style="3" customWidth="1"/>
    <col min="1788" max="1788" width="30.85546875" style="3" customWidth="1"/>
    <col min="1789" max="1789" width="12.5703125" style="3" customWidth="1"/>
    <col min="1790" max="1790" width="5.140625" style="3" customWidth="1"/>
    <col min="1791" max="1791" width="9.140625" style="3"/>
    <col min="1792" max="1792" width="4.85546875" style="3" customWidth="1"/>
    <col min="1793" max="1793" width="30.5703125" style="3" customWidth="1"/>
    <col min="1794" max="1794" width="33.85546875" style="3" customWidth="1"/>
    <col min="1795" max="1795" width="5.140625" style="3" customWidth="1"/>
    <col min="1796" max="1797" width="17.5703125" style="3" customWidth="1"/>
    <col min="1798" max="2041" width="9.140625" style="3"/>
    <col min="2042" max="2042" width="3.5703125" style="3" customWidth="1"/>
    <col min="2043" max="2043" width="96.85546875" style="3" customWidth="1"/>
    <col min="2044" max="2044" width="30.85546875" style="3" customWidth="1"/>
    <col min="2045" max="2045" width="12.5703125" style="3" customWidth="1"/>
    <col min="2046" max="2046" width="5.140625" style="3" customWidth="1"/>
    <col min="2047" max="2047" width="9.140625" style="3"/>
    <col min="2048" max="2048" width="4.85546875" style="3" customWidth="1"/>
    <col min="2049" max="2049" width="30.5703125" style="3" customWidth="1"/>
    <col min="2050" max="2050" width="33.85546875" style="3" customWidth="1"/>
    <col min="2051" max="2051" width="5.140625" style="3" customWidth="1"/>
    <col min="2052" max="2053" width="17.5703125" style="3" customWidth="1"/>
    <col min="2054" max="2297" width="9.140625" style="3"/>
    <col min="2298" max="2298" width="3.5703125" style="3" customWidth="1"/>
    <col min="2299" max="2299" width="96.85546875" style="3" customWidth="1"/>
    <col min="2300" max="2300" width="30.85546875" style="3" customWidth="1"/>
    <col min="2301" max="2301" width="12.5703125" style="3" customWidth="1"/>
    <col min="2302" max="2302" width="5.140625" style="3" customWidth="1"/>
    <col min="2303" max="2303" width="9.140625" style="3"/>
    <col min="2304" max="2304" width="4.85546875" style="3" customWidth="1"/>
    <col min="2305" max="2305" width="30.5703125" style="3" customWidth="1"/>
    <col min="2306" max="2306" width="33.85546875" style="3" customWidth="1"/>
    <col min="2307" max="2307" width="5.140625" style="3" customWidth="1"/>
    <col min="2308" max="2309" width="17.5703125" style="3" customWidth="1"/>
    <col min="2310" max="2553" width="9.140625" style="3"/>
    <col min="2554" max="2554" width="3.5703125" style="3" customWidth="1"/>
    <col min="2555" max="2555" width="96.85546875" style="3" customWidth="1"/>
    <col min="2556" max="2556" width="30.85546875" style="3" customWidth="1"/>
    <col min="2557" max="2557" width="12.5703125" style="3" customWidth="1"/>
    <col min="2558" max="2558" width="5.140625" style="3" customWidth="1"/>
    <col min="2559" max="2559" width="9.140625" style="3"/>
    <col min="2560" max="2560" width="4.85546875" style="3" customWidth="1"/>
    <col min="2561" max="2561" width="30.5703125" style="3" customWidth="1"/>
    <col min="2562" max="2562" width="33.85546875" style="3" customWidth="1"/>
    <col min="2563" max="2563" width="5.140625" style="3" customWidth="1"/>
    <col min="2564" max="2565" width="17.5703125" style="3" customWidth="1"/>
    <col min="2566" max="2809" width="9.140625" style="3"/>
    <col min="2810" max="2810" width="3.5703125" style="3" customWidth="1"/>
    <col min="2811" max="2811" width="96.85546875" style="3" customWidth="1"/>
    <col min="2812" max="2812" width="30.85546875" style="3" customWidth="1"/>
    <col min="2813" max="2813" width="12.5703125" style="3" customWidth="1"/>
    <col min="2814" max="2814" width="5.140625" style="3" customWidth="1"/>
    <col min="2815" max="2815" width="9.140625" style="3"/>
    <col min="2816" max="2816" width="4.85546875" style="3" customWidth="1"/>
    <col min="2817" max="2817" width="30.5703125" style="3" customWidth="1"/>
    <col min="2818" max="2818" width="33.85546875" style="3" customWidth="1"/>
    <col min="2819" max="2819" width="5.140625" style="3" customWidth="1"/>
    <col min="2820" max="2821" width="17.5703125" style="3" customWidth="1"/>
    <col min="2822" max="3065" width="9.140625" style="3"/>
    <col min="3066" max="3066" width="3.5703125" style="3" customWidth="1"/>
    <col min="3067" max="3067" width="96.85546875" style="3" customWidth="1"/>
    <col min="3068" max="3068" width="30.85546875" style="3" customWidth="1"/>
    <col min="3069" max="3069" width="12.5703125" style="3" customWidth="1"/>
    <col min="3070" max="3070" width="5.140625" style="3" customWidth="1"/>
    <col min="3071" max="3071" width="9.140625" style="3"/>
    <col min="3072" max="3072" width="4.85546875" style="3" customWidth="1"/>
    <col min="3073" max="3073" width="30.5703125" style="3" customWidth="1"/>
    <col min="3074" max="3074" width="33.85546875" style="3" customWidth="1"/>
    <col min="3075" max="3075" width="5.140625" style="3" customWidth="1"/>
    <col min="3076" max="3077" width="17.5703125" style="3" customWidth="1"/>
    <col min="3078" max="3321" width="9.140625" style="3"/>
    <col min="3322" max="3322" width="3.5703125" style="3" customWidth="1"/>
    <col min="3323" max="3323" width="96.85546875" style="3" customWidth="1"/>
    <col min="3324" max="3324" width="30.85546875" style="3" customWidth="1"/>
    <col min="3325" max="3325" width="12.5703125" style="3" customWidth="1"/>
    <col min="3326" max="3326" width="5.140625" style="3" customWidth="1"/>
    <col min="3327" max="3327" width="9.140625" style="3"/>
    <col min="3328" max="3328" width="4.85546875" style="3" customWidth="1"/>
    <col min="3329" max="3329" width="30.5703125" style="3" customWidth="1"/>
    <col min="3330" max="3330" width="33.85546875" style="3" customWidth="1"/>
    <col min="3331" max="3331" width="5.140625" style="3" customWidth="1"/>
    <col min="3332" max="3333" width="17.5703125" style="3" customWidth="1"/>
    <col min="3334" max="3577" width="9.140625" style="3"/>
    <col min="3578" max="3578" width="3.5703125" style="3" customWidth="1"/>
    <col min="3579" max="3579" width="96.85546875" style="3" customWidth="1"/>
    <col min="3580" max="3580" width="30.85546875" style="3" customWidth="1"/>
    <col min="3581" max="3581" width="12.5703125" style="3" customWidth="1"/>
    <col min="3582" max="3582" width="5.140625" style="3" customWidth="1"/>
    <col min="3583" max="3583" width="9.140625" style="3"/>
    <col min="3584" max="3584" width="4.85546875" style="3" customWidth="1"/>
    <col min="3585" max="3585" width="30.5703125" style="3" customWidth="1"/>
    <col min="3586" max="3586" width="33.85546875" style="3" customWidth="1"/>
    <col min="3587" max="3587" width="5.140625" style="3" customWidth="1"/>
    <col min="3588" max="3589" width="17.5703125" style="3" customWidth="1"/>
    <col min="3590" max="3833" width="9.140625" style="3"/>
    <col min="3834" max="3834" width="3.5703125" style="3" customWidth="1"/>
    <col min="3835" max="3835" width="96.85546875" style="3" customWidth="1"/>
    <col min="3836" max="3836" width="30.85546875" style="3" customWidth="1"/>
    <col min="3837" max="3837" width="12.5703125" style="3" customWidth="1"/>
    <col min="3838" max="3838" width="5.140625" style="3" customWidth="1"/>
    <col min="3839" max="3839" width="9.140625" style="3"/>
    <col min="3840" max="3840" width="4.85546875" style="3" customWidth="1"/>
    <col min="3841" max="3841" width="30.5703125" style="3" customWidth="1"/>
    <col min="3842" max="3842" width="33.85546875" style="3" customWidth="1"/>
    <col min="3843" max="3843" width="5.140625" style="3" customWidth="1"/>
    <col min="3844" max="3845" width="17.5703125" style="3" customWidth="1"/>
    <col min="3846" max="4089" width="9.140625" style="3"/>
    <col min="4090" max="4090" width="3.5703125" style="3" customWidth="1"/>
    <col min="4091" max="4091" width="96.85546875" style="3" customWidth="1"/>
    <col min="4092" max="4092" width="30.85546875" style="3" customWidth="1"/>
    <col min="4093" max="4093" width="12.5703125" style="3" customWidth="1"/>
    <col min="4094" max="4094" width="5.140625" style="3" customWidth="1"/>
    <col min="4095" max="4095" width="9.140625" style="3"/>
    <col min="4096" max="4096" width="4.85546875" style="3" customWidth="1"/>
    <col min="4097" max="4097" width="30.5703125" style="3" customWidth="1"/>
    <col min="4098" max="4098" width="33.85546875" style="3" customWidth="1"/>
    <col min="4099" max="4099" width="5.140625" style="3" customWidth="1"/>
    <col min="4100" max="4101" width="17.5703125" style="3" customWidth="1"/>
    <col min="4102" max="4345" width="9.140625" style="3"/>
    <col min="4346" max="4346" width="3.5703125" style="3" customWidth="1"/>
    <col min="4347" max="4347" width="96.85546875" style="3" customWidth="1"/>
    <col min="4348" max="4348" width="30.85546875" style="3" customWidth="1"/>
    <col min="4349" max="4349" width="12.5703125" style="3" customWidth="1"/>
    <col min="4350" max="4350" width="5.140625" style="3" customWidth="1"/>
    <col min="4351" max="4351" width="9.140625" style="3"/>
    <col min="4352" max="4352" width="4.85546875" style="3" customWidth="1"/>
    <col min="4353" max="4353" width="30.5703125" style="3" customWidth="1"/>
    <col min="4354" max="4354" width="33.85546875" style="3" customWidth="1"/>
    <col min="4355" max="4355" width="5.140625" style="3" customWidth="1"/>
    <col min="4356" max="4357" width="17.5703125" style="3" customWidth="1"/>
    <col min="4358" max="4601" width="9.140625" style="3"/>
    <col min="4602" max="4602" width="3.5703125" style="3" customWidth="1"/>
    <col min="4603" max="4603" width="96.85546875" style="3" customWidth="1"/>
    <col min="4604" max="4604" width="30.85546875" style="3" customWidth="1"/>
    <col min="4605" max="4605" width="12.5703125" style="3" customWidth="1"/>
    <col min="4606" max="4606" width="5.140625" style="3" customWidth="1"/>
    <col min="4607" max="4607" width="9.140625" style="3"/>
    <col min="4608" max="4608" width="4.85546875" style="3" customWidth="1"/>
    <col min="4609" max="4609" width="30.5703125" style="3" customWidth="1"/>
    <col min="4610" max="4610" width="33.85546875" style="3" customWidth="1"/>
    <col min="4611" max="4611" width="5.140625" style="3" customWidth="1"/>
    <col min="4612" max="4613" width="17.5703125" style="3" customWidth="1"/>
    <col min="4614" max="4857" width="9.140625" style="3"/>
    <col min="4858" max="4858" width="3.5703125" style="3" customWidth="1"/>
    <col min="4859" max="4859" width="96.85546875" style="3" customWidth="1"/>
    <col min="4860" max="4860" width="30.85546875" style="3" customWidth="1"/>
    <col min="4861" max="4861" width="12.5703125" style="3" customWidth="1"/>
    <col min="4862" max="4862" width="5.140625" style="3" customWidth="1"/>
    <col min="4863" max="4863" width="9.140625" style="3"/>
    <col min="4864" max="4864" width="4.85546875" style="3" customWidth="1"/>
    <col min="4865" max="4865" width="30.5703125" style="3" customWidth="1"/>
    <col min="4866" max="4866" width="33.85546875" style="3" customWidth="1"/>
    <col min="4867" max="4867" width="5.140625" style="3" customWidth="1"/>
    <col min="4868" max="4869" width="17.5703125" style="3" customWidth="1"/>
    <col min="4870" max="5113" width="9.140625" style="3"/>
    <col min="5114" max="5114" width="3.5703125" style="3" customWidth="1"/>
    <col min="5115" max="5115" width="96.85546875" style="3" customWidth="1"/>
    <col min="5116" max="5116" width="30.85546875" style="3" customWidth="1"/>
    <col min="5117" max="5117" width="12.5703125" style="3" customWidth="1"/>
    <col min="5118" max="5118" width="5.140625" style="3" customWidth="1"/>
    <col min="5119" max="5119" width="9.140625" style="3"/>
    <col min="5120" max="5120" width="4.85546875" style="3" customWidth="1"/>
    <col min="5121" max="5121" width="30.5703125" style="3" customWidth="1"/>
    <col min="5122" max="5122" width="33.85546875" style="3" customWidth="1"/>
    <col min="5123" max="5123" width="5.140625" style="3" customWidth="1"/>
    <col min="5124" max="5125" width="17.5703125" style="3" customWidth="1"/>
    <col min="5126" max="5369" width="9.140625" style="3"/>
    <col min="5370" max="5370" width="3.5703125" style="3" customWidth="1"/>
    <col min="5371" max="5371" width="96.85546875" style="3" customWidth="1"/>
    <col min="5372" max="5372" width="30.85546875" style="3" customWidth="1"/>
    <col min="5373" max="5373" width="12.5703125" style="3" customWidth="1"/>
    <col min="5374" max="5374" width="5.140625" style="3" customWidth="1"/>
    <col min="5375" max="5375" width="9.140625" style="3"/>
    <col min="5376" max="5376" width="4.85546875" style="3" customWidth="1"/>
    <col min="5377" max="5377" width="30.5703125" style="3" customWidth="1"/>
    <col min="5378" max="5378" width="33.85546875" style="3" customWidth="1"/>
    <col min="5379" max="5379" width="5.140625" style="3" customWidth="1"/>
    <col min="5380" max="5381" width="17.5703125" style="3" customWidth="1"/>
    <col min="5382" max="5625" width="9.140625" style="3"/>
    <col min="5626" max="5626" width="3.5703125" style="3" customWidth="1"/>
    <col min="5627" max="5627" width="96.85546875" style="3" customWidth="1"/>
    <col min="5628" max="5628" width="30.85546875" style="3" customWidth="1"/>
    <col min="5629" max="5629" width="12.5703125" style="3" customWidth="1"/>
    <col min="5630" max="5630" width="5.140625" style="3" customWidth="1"/>
    <col min="5631" max="5631" width="9.140625" style="3"/>
    <col min="5632" max="5632" width="4.85546875" style="3" customWidth="1"/>
    <col min="5633" max="5633" width="30.5703125" style="3" customWidth="1"/>
    <col min="5634" max="5634" width="33.85546875" style="3" customWidth="1"/>
    <col min="5635" max="5635" width="5.140625" style="3" customWidth="1"/>
    <col min="5636" max="5637" width="17.5703125" style="3" customWidth="1"/>
    <col min="5638" max="5881" width="9.140625" style="3"/>
    <col min="5882" max="5882" width="3.5703125" style="3" customWidth="1"/>
    <col min="5883" max="5883" width="96.85546875" style="3" customWidth="1"/>
    <col min="5884" max="5884" width="30.85546875" style="3" customWidth="1"/>
    <col min="5885" max="5885" width="12.5703125" style="3" customWidth="1"/>
    <col min="5886" max="5886" width="5.140625" style="3" customWidth="1"/>
    <col min="5887" max="5887" width="9.140625" style="3"/>
    <col min="5888" max="5888" width="4.85546875" style="3" customWidth="1"/>
    <col min="5889" max="5889" width="30.5703125" style="3" customWidth="1"/>
    <col min="5890" max="5890" width="33.85546875" style="3" customWidth="1"/>
    <col min="5891" max="5891" width="5.140625" style="3" customWidth="1"/>
    <col min="5892" max="5893" width="17.5703125" style="3" customWidth="1"/>
    <col min="5894" max="6137" width="9.140625" style="3"/>
    <col min="6138" max="6138" width="3.5703125" style="3" customWidth="1"/>
    <col min="6139" max="6139" width="96.85546875" style="3" customWidth="1"/>
    <col min="6140" max="6140" width="30.85546875" style="3" customWidth="1"/>
    <col min="6141" max="6141" width="12.5703125" style="3" customWidth="1"/>
    <col min="6142" max="6142" width="5.140625" style="3" customWidth="1"/>
    <col min="6143" max="6143" width="9.140625" style="3"/>
    <col min="6144" max="6144" width="4.85546875" style="3" customWidth="1"/>
    <col min="6145" max="6145" width="30.5703125" style="3" customWidth="1"/>
    <col min="6146" max="6146" width="33.85546875" style="3" customWidth="1"/>
    <col min="6147" max="6147" width="5.140625" style="3" customWidth="1"/>
    <col min="6148" max="6149" width="17.5703125" style="3" customWidth="1"/>
    <col min="6150" max="6393" width="9.140625" style="3"/>
    <col min="6394" max="6394" width="3.5703125" style="3" customWidth="1"/>
    <col min="6395" max="6395" width="96.85546875" style="3" customWidth="1"/>
    <col min="6396" max="6396" width="30.85546875" style="3" customWidth="1"/>
    <col min="6397" max="6397" width="12.5703125" style="3" customWidth="1"/>
    <col min="6398" max="6398" width="5.140625" style="3" customWidth="1"/>
    <col min="6399" max="6399" width="9.140625" style="3"/>
    <col min="6400" max="6400" width="4.85546875" style="3" customWidth="1"/>
    <col min="6401" max="6401" width="30.5703125" style="3" customWidth="1"/>
    <col min="6402" max="6402" width="33.85546875" style="3" customWidth="1"/>
    <col min="6403" max="6403" width="5.140625" style="3" customWidth="1"/>
    <col min="6404" max="6405" width="17.5703125" style="3" customWidth="1"/>
    <col min="6406" max="6649" width="9.140625" style="3"/>
    <col min="6650" max="6650" width="3.5703125" style="3" customWidth="1"/>
    <col min="6651" max="6651" width="96.85546875" style="3" customWidth="1"/>
    <col min="6652" max="6652" width="30.85546875" style="3" customWidth="1"/>
    <col min="6653" max="6653" width="12.5703125" style="3" customWidth="1"/>
    <col min="6654" max="6654" width="5.140625" style="3" customWidth="1"/>
    <col min="6655" max="6655" width="9.140625" style="3"/>
    <col min="6656" max="6656" width="4.85546875" style="3" customWidth="1"/>
    <col min="6657" max="6657" width="30.5703125" style="3" customWidth="1"/>
    <col min="6658" max="6658" width="33.85546875" style="3" customWidth="1"/>
    <col min="6659" max="6659" width="5.140625" style="3" customWidth="1"/>
    <col min="6660" max="6661" width="17.5703125" style="3" customWidth="1"/>
    <col min="6662" max="6905" width="9.140625" style="3"/>
    <col min="6906" max="6906" width="3.5703125" style="3" customWidth="1"/>
    <col min="6907" max="6907" width="96.85546875" style="3" customWidth="1"/>
    <col min="6908" max="6908" width="30.85546875" style="3" customWidth="1"/>
    <col min="6909" max="6909" width="12.5703125" style="3" customWidth="1"/>
    <col min="6910" max="6910" width="5.140625" style="3" customWidth="1"/>
    <col min="6911" max="6911" width="9.140625" style="3"/>
    <col min="6912" max="6912" width="4.85546875" style="3" customWidth="1"/>
    <col min="6913" max="6913" width="30.5703125" style="3" customWidth="1"/>
    <col min="6914" max="6914" width="33.85546875" style="3" customWidth="1"/>
    <col min="6915" max="6915" width="5.140625" style="3" customWidth="1"/>
    <col min="6916" max="6917" width="17.5703125" style="3" customWidth="1"/>
    <col min="6918" max="7161" width="9.140625" style="3"/>
    <col min="7162" max="7162" width="3.5703125" style="3" customWidth="1"/>
    <col min="7163" max="7163" width="96.85546875" style="3" customWidth="1"/>
    <col min="7164" max="7164" width="30.85546875" style="3" customWidth="1"/>
    <col min="7165" max="7165" width="12.5703125" style="3" customWidth="1"/>
    <col min="7166" max="7166" width="5.140625" style="3" customWidth="1"/>
    <col min="7167" max="7167" width="9.140625" style="3"/>
    <col min="7168" max="7168" width="4.85546875" style="3" customWidth="1"/>
    <col min="7169" max="7169" width="30.5703125" style="3" customWidth="1"/>
    <col min="7170" max="7170" width="33.85546875" style="3" customWidth="1"/>
    <col min="7171" max="7171" width="5.140625" style="3" customWidth="1"/>
    <col min="7172" max="7173" width="17.5703125" style="3" customWidth="1"/>
    <col min="7174" max="7417" width="9.140625" style="3"/>
    <col min="7418" max="7418" width="3.5703125" style="3" customWidth="1"/>
    <col min="7419" max="7419" width="96.85546875" style="3" customWidth="1"/>
    <col min="7420" max="7420" width="30.85546875" style="3" customWidth="1"/>
    <col min="7421" max="7421" width="12.5703125" style="3" customWidth="1"/>
    <col min="7422" max="7422" width="5.140625" style="3" customWidth="1"/>
    <col min="7423" max="7423" width="9.140625" style="3"/>
    <col min="7424" max="7424" width="4.85546875" style="3" customWidth="1"/>
    <col min="7425" max="7425" width="30.5703125" style="3" customWidth="1"/>
    <col min="7426" max="7426" width="33.85546875" style="3" customWidth="1"/>
    <col min="7427" max="7427" width="5.140625" style="3" customWidth="1"/>
    <col min="7428" max="7429" width="17.5703125" style="3" customWidth="1"/>
    <col min="7430" max="7673" width="9.140625" style="3"/>
    <col min="7674" max="7674" width="3.5703125" style="3" customWidth="1"/>
    <col min="7675" max="7675" width="96.85546875" style="3" customWidth="1"/>
    <col min="7676" max="7676" width="30.85546875" style="3" customWidth="1"/>
    <col min="7677" max="7677" width="12.5703125" style="3" customWidth="1"/>
    <col min="7678" max="7678" width="5.140625" style="3" customWidth="1"/>
    <col min="7679" max="7679" width="9.140625" style="3"/>
    <col min="7680" max="7680" width="4.85546875" style="3" customWidth="1"/>
    <col min="7681" max="7681" width="30.5703125" style="3" customWidth="1"/>
    <col min="7682" max="7682" width="33.85546875" style="3" customWidth="1"/>
    <col min="7683" max="7683" width="5.140625" style="3" customWidth="1"/>
    <col min="7684" max="7685" width="17.5703125" style="3" customWidth="1"/>
    <col min="7686" max="7929" width="9.140625" style="3"/>
    <col min="7930" max="7930" width="3.5703125" style="3" customWidth="1"/>
    <col min="7931" max="7931" width="96.85546875" style="3" customWidth="1"/>
    <col min="7932" max="7932" width="30.85546875" style="3" customWidth="1"/>
    <col min="7933" max="7933" width="12.5703125" style="3" customWidth="1"/>
    <col min="7934" max="7934" width="5.140625" style="3" customWidth="1"/>
    <col min="7935" max="7935" width="9.140625" style="3"/>
    <col min="7936" max="7936" width="4.85546875" style="3" customWidth="1"/>
    <col min="7937" max="7937" width="30.5703125" style="3" customWidth="1"/>
    <col min="7938" max="7938" width="33.85546875" style="3" customWidth="1"/>
    <col min="7939" max="7939" width="5.140625" style="3" customWidth="1"/>
    <col min="7940" max="7941" width="17.5703125" style="3" customWidth="1"/>
    <col min="7942" max="8185" width="9.140625" style="3"/>
    <col min="8186" max="8186" width="3.5703125" style="3" customWidth="1"/>
    <col min="8187" max="8187" width="96.85546875" style="3" customWidth="1"/>
    <col min="8188" max="8188" width="30.85546875" style="3" customWidth="1"/>
    <col min="8189" max="8189" width="12.5703125" style="3" customWidth="1"/>
    <col min="8190" max="8190" width="5.140625" style="3" customWidth="1"/>
    <col min="8191" max="8191" width="9.140625" style="3"/>
    <col min="8192" max="8192" width="4.85546875" style="3" customWidth="1"/>
    <col min="8193" max="8193" width="30.5703125" style="3" customWidth="1"/>
    <col min="8194" max="8194" width="33.85546875" style="3" customWidth="1"/>
    <col min="8195" max="8195" width="5.140625" style="3" customWidth="1"/>
    <col min="8196" max="8197" width="17.5703125" style="3" customWidth="1"/>
    <col min="8198" max="8441" width="9.140625" style="3"/>
    <col min="8442" max="8442" width="3.5703125" style="3" customWidth="1"/>
    <col min="8443" max="8443" width="96.85546875" style="3" customWidth="1"/>
    <col min="8444" max="8444" width="30.85546875" style="3" customWidth="1"/>
    <col min="8445" max="8445" width="12.5703125" style="3" customWidth="1"/>
    <col min="8446" max="8446" width="5.140625" style="3" customWidth="1"/>
    <col min="8447" max="8447" width="9.140625" style="3"/>
    <col min="8448" max="8448" width="4.85546875" style="3" customWidth="1"/>
    <col min="8449" max="8449" width="30.5703125" style="3" customWidth="1"/>
    <col min="8450" max="8450" width="33.85546875" style="3" customWidth="1"/>
    <col min="8451" max="8451" width="5.140625" style="3" customWidth="1"/>
    <col min="8452" max="8453" width="17.5703125" style="3" customWidth="1"/>
    <col min="8454" max="8697" width="9.140625" style="3"/>
    <col min="8698" max="8698" width="3.5703125" style="3" customWidth="1"/>
    <col min="8699" max="8699" width="96.85546875" style="3" customWidth="1"/>
    <col min="8700" max="8700" width="30.85546875" style="3" customWidth="1"/>
    <col min="8701" max="8701" width="12.5703125" style="3" customWidth="1"/>
    <col min="8702" max="8702" width="5.140625" style="3" customWidth="1"/>
    <col min="8703" max="8703" width="9.140625" style="3"/>
    <col min="8704" max="8704" width="4.85546875" style="3" customWidth="1"/>
    <col min="8705" max="8705" width="30.5703125" style="3" customWidth="1"/>
    <col min="8706" max="8706" width="33.85546875" style="3" customWidth="1"/>
    <col min="8707" max="8707" width="5.140625" style="3" customWidth="1"/>
    <col min="8708" max="8709" width="17.5703125" style="3" customWidth="1"/>
    <col min="8710" max="8953" width="9.140625" style="3"/>
    <col min="8954" max="8954" width="3.5703125" style="3" customWidth="1"/>
    <col min="8955" max="8955" width="96.85546875" style="3" customWidth="1"/>
    <col min="8956" max="8956" width="30.85546875" style="3" customWidth="1"/>
    <col min="8957" max="8957" width="12.5703125" style="3" customWidth="1"/>
    <col min="8958" max="8958" width="5.140625" style="3" customWidth="1"/>
    <col min="8959" max="8959" width="9.140625" style="3"/>
    <col min="8960" max="8960" width="4.85546875" style="3" customWidth="1"/>
    <col min="8961" max="8961" width="30.5703125" style="3" customWidth="1"/>
    <col min="8962" max="8962" width="33.85546875" style="3" customWidth="1"/>
    <col min="8963" max="8963" width="5.140625" style="3" customWidth="1"/>
    <col min="8964" max="8965" width="17.5703125" style="3" customWidth="1"/>
    <col min="8966" max="9209" width="9.140625" style="3"/>
    <col min="9210" max="9210" width="3.5703125" style="3" customWidth="1"/>
    <col min="9211" max="9211" width="96.85546875" style="3" customWidth="1"/>
    <col min="9212" max="9212" width="30.85546875" style="3" customWidth="1"/>
    <col min="9213" max="9213" width="12.5703125" style="3" customWidth="1"/>
    <col min="9214" max="9214" width="5.140625" style="3" customWidth="1"/>
    <col min="9215" max="9215" width="9.140625" style="3"/>
    <col min="9216" max="9216" width="4.85546875" style="3" customWidth="1"/>
    <col min="9217" max="9217" width="30.5703125" style="3" customWidth="1"/>
    <col min="9218" max="9218" width="33.85546875" style="3" customWidth="1"/>
    <col min="9219" max="9219" width="5.140625" style="3" customWidth="1"/>
    <col min="9220" max="9221" width="17.5703125" style="3" customWidth="1"/>
    <col min="9222" max="9465" width="9.140625" style="3"/>
    <col min="9466" max="9466" width="3.5703125" style="3" customWidth="1"/>
    <col min="9467" max="9467" width="96.85546875" style="3" customWidth="1"/>
    <col min="9468" max="9468" width="30.85546875" style="3" customWidth="1"/>
    <col min="9469" max="9469" width="12.5703125" style="3" customWidth="1"/>
    <col min="9470" max="9470" width="5.140625" style="3" customWidth="1"/>
    <col min="9471" max="9471" width="9.140625" style="3"/>
    <col min="9472" max="9472" width="4.85546875" style="3" customWidth="1"/>
    <col min="9473" max="9473" width="30.5703125" style="3" customWidth="1"/>
    <col min="9474" max="9474" width="33.85546875" style="3" customWidth="1"/>
    <col min="9475" max="9475" width="5.140625" style="3" customWidth="1"/>
    <col min="9476" max="9477" width="17.5703125" style="3" customWidth="1"/>
    <col min="9478" max="9721" width="9.140625" style="3"/>
    <col min="9722" max="9722" width="3.5703125" style="3" customWidth="1"/>
    <col min="9723" max="9723" width="96.85546875" style="3" customWidth="1"/>
    <col min="9724" max="9724" width="30.85546875" style="3" customWidth="1"/>
    <col min="9725" max="9725" width="12.5703125" style="3" customWidth="1"/>
    <col min="9726" max="9726" width="5.140625" style="3" customWidth="1"/>
    <col min="9727" max="9727" width="9.140625" style="3"/>
    <col min="9728" max="9728" width="4.85546875" style="3" customWidth="1"/>
    <col min="9729" max="9729" width="30.5703125" style="3" customWidth="1"/>
    <col min="9730" max="9730" width="33.85546875" style="3" customWidth="1"/>
    <col min="9731" max="9731" width="5.140625" style="3" customWidth="1"/>
    <col min="9732" max="9733" width="17.5703125" style="3" customWidth="1"/>
    <col min="9734" max="9977" width="9.140625" style="3"/>
    <col min="9978" max="9978" width="3.5703125" style="3" customWidth="1"/>
    <col min="9979" max="9979" width="96.85546875" style="3" customWidth="1"/>
    <col min="9980" max="9980" width="30.85546875" style="3" customWidth="1"/>
    <col min="9981" max="9981" width="12.5703125" style="3" customWidth="1"/>
    <col min="9982" max="9982" width="5.140625" style="3" customWidth="1"/>
    <col min="9983" max="9983" width="9.140625" style="3"/>
    <col min="9984" max="9984" width="4.85546875" style="3" customWidth="1"/>
    <col min="9985" max="9985" width="30.5703125" style="3" customWidth="1"/>
    <col min="9986" max="9986" width="33.85546875" style="3" customWidth="1"/>
    <col min="9987" max="9987" width="5.140625" style="3" customWidth="1"/>
    <col min="9988" max="9989" width="17.5703125" style="3" customWidth="1"/>
    <col min="9990" max="10233" width="9.140625" style="3"/>
    <col min="10234" max="10234" width="3.5703125" style="3" customWidth="1"/>
    <col min="10235" max="10235" width="96.85546875" style="3" customWidth="1"/>
    <col min="10236" max="10236" width="30.85546875" style="3" customWidth="1"/>
    <col min="10237" max="10237" width="12.5703125" style="3" customWidth="1"/>
    <col min="10238" max="10238" width="5.140625" style="3" customWidth="1"/>
    <col min="10239" max="10239" width="9.140625" style="3"/>
    <col min="10240" max="10240" width="4.85546875" style="3" customWidth="1"/>
    <col min="10241" max="10241" width="30.5703125" style="3" customWidth="1"/>
    <col min="10242" max="10242" width="33.85546875" style="3" customWidth="1"/>
    <col min="10243" max="10243" width="5.140625" style="3" customWidth="1"/>
    <col min="10244" max="10245" width="17.5703125" style="3" customWidth="1"/>
    <col min="10246" max="10489" width="9.140625" style="3"/>
    <col min="10490" max="10490" width="3.5703125" style="3" customWidth="1"/>
    <col min="10491" max="10491" width="96.85546875" style="3" customWidth="1"/>
    <col min="10492" max="10492" width="30.85546875" style="3" customWidth="1"/>
    <col min="10493" max="10493" width="12.5703125" style="3" customWidth="1"/>
    <col min="10494" max="10494" width="5.140625" style="3" customWidth="1"/>
    <col min="10495" max="10495" width="9.140625" style="3"/>
    <col min="10496" max="10496" width="4.85546875" style="3" customWidth="1"/>
    <col min="10497" max="10497" width="30.5703125" style="3" customWidth="1"/>
    <col min="10498" max="10498" width="33.85546875" style="3" customWidth="1"/>
    <col min="10499" max="10499" width="5.140625" style="3" customWidth="1"/>
    <col min="10500" max="10501" width="17.5703125" style="3" customWidth="1"/>
    <col min="10502" max="10745" width="9.140625" style="3"/>
    <col min="10746" max="10746" width="3.5703125" style="3" customWidth="1"/>
    <col min="10747" max="10747" width="96.85546875" style="3" customWidth="1"/>
    <col min="10748" max="10748" width="30.85546875" style="3" customWidth="1"/>
    <col min="10749" max="10749" width="12.5703125" style="3" customWidth="1"/>
    <col min="10750" max="10750" width="5.140625" style="3" customWidth="1"/>
    <col min="10751" max="10751" width="9.140625" style="3"/>
    <col min="10752" max="10752" width="4.85546875" style="3" customWidth="1"/>
    <col min="10753" max="10753" width="30.5703125" style="3" customWidth="1"/>
    <col min="10754" max="10754" width="33.85546875" style="3" customWidth="1"/>
    <col min="10755" max="10755" width="5.140625" style="3" customWidth="1"/>
    <col min="10756" max="10757" width="17.5703125" style="3" customWidth="1"/>
    <col min="10758" max="11001" width="9.140625" style="3"/>
    <col min="11002" max="11002" width="3.5703125" style="3" customWidth="1"/>
    <col min="11003" max="11003" width="96.85546875" style="3" customWidth="1"/>
    <col min="11004" max="11004" width="30.85546875" style="3" customWidth="1"/>
    <col min="11005" max="11005" width="12.5703125" style="3" customWidth="1"/>
    <col min="11006" max="11006" width="5.140625" style="3" customWidth="1"/>
    <col min="11007" max="11007" width="9.140625" style="3"/>
    <col min="11008" max="11008" width="4.85546875" style="3" customWidth="1"/>
    <col min="11009" max="11009" width="30.5703125" style="3" customWidth="1"/>
    <col min="11010" max="11010" width="33.85546875" style="3" customWidth="1"/>
    <col min="11011" max="11011" width="5.140625" style="3" customWidth="1"/>
    <col min="11012" max="11013" width="17.5703125" style="3" customWidth="1"/>
    <col min="11014" max="11257" width="9.140625" style="3"/>
    <col min="11258" max="11258" width="3.5703125" style="3" customWidth="1"/>
    <col min="11259" max="11259" width="96.85546875" style="3" customWidth="1"/>
    <col min="11260" max="11260" width="30.85546875" style="3" customWidth="1"/>
    <col min="11261" max="11261" width="12.5703125" style="3" customWidth="1"/>
    <col min="11262" max="11262" width="5.140625" style="3" customWidth="1"/>
    <col min="11263" max="11263" width="9.140625" style="3"/>
    <col min="11264" max="11264" width="4.85546875" style="3" customWidth="1"/>
    <col min="11265" max="11265" width="30.5703125" style="3" customWidth="1"/>
    <col min="11266" max="11266" width="33.85546875" style="3" customWidth="1"/>
    <col min="11267" max="11267" width="5.140625" style="3" customWidth="1"/>
    <col min="11268" max="11269" width="17.5703125" style="3" customWidth="1"/>
    <col min="11270" max="11513" width="9.140625" style="3"/>
    <col min="11514" max="11514" width="3.5703125" style="3" customWidth="1"/>
    <col min="11515" max="11515" width="96.85546875" style="3" customWidth="1"/>
    <col min="11516" max="11516" width="30.85546875" style="3" customWidth="1"/>
    <col min="11517" max="11517" width="12.5703125" style="3" customWidth="1"/>
    <col min="11518" max="11518" width="5.140625" style="3" customWidth="1"/>
    <col min="11519" max="11519" width="9.140625" style="3"/>
    <col min="11520" max="11520" width="4.85546875" style="3" customWidth="1"/>
    <col min="11521" max="11521" width="30.5703125" style="3" customWidth="1"/>
    <col min="11522" max="11522" width="33.85546875" style="3" customWidth="1"/>
    <col min="11523" max="11523" width="5.140625" style="3" customWidth="1"/>
    <col min="11524" max="11525" width="17.5703125" style="3" customWidth="1"/>
    <col min="11526" max="11769" width="9.140625" style="3"/>
    <col min="11770" max="11770" width="3.5703125" style="3" customWidth="1"/>
    <col min="11771" max="11771" width="96.85546875" style="3" customWidth="1"/>
    <col min="11772" max="11772" width="30.85546875" style="3" customWidth="1"/>
    <col min="11773" max="11773" width="12.5703125" style="3" customWidth="1"/>
    <col min="11774" max="11774" width="5.140625" style="3" customWidth="1"/>
    <col min="11775" max="11775" width="9.140625" style="3"/>
    <col min="11776" max="11776" width="4.85546875" style="3" customWidth="1"/>
    <col min="11777" max="11777" width="30.5703125" style="3" customWidth="1"/>
    <col min="11778" max="11778" width="33.85546875" style="3" customWidth="1"/>
    <col min="11779" max="11779" width="5.140625" style="3" customWidth="1"/>
    <col min="11780" max="11781" width="17.5703125" style="3" customWidth="1"/>
    <col min="11782" max="12025" width="9.140625" style="3"/>
    <col min="12026" max="12026" width="3.5703125" style="3" customWidth="1"/>
    <col min="12027" max="12027" width="96.85546875" style="3" customWidth="1"/>
    <col min="12028" max="12028" width="30.85546875" style="3" customWidth="1"/>
    <col min="12029" max="12029" width="12.5703125" style="3" customWidth="1"/>
    <col min="12030" max="12030" width="5.140625" style="3" customWidth="1"/>
    <col min="12031" max="12031" width="9.140625" style="3"/>
    <col min="12032" max="12032" width="4.85546875" style="3" customWidth="1"/>
    <col min="12033" max="12033" width="30.5703125" style="3" customWidth="1"/>
    <col min="12034" max="12034" width="33.85546875" style="3" customWidth="1"/>
    <col min="12035" max="12035" width="5.140625" style="3" customWidth="1"/>
    <col min="12036" max="12037" width="17.5703125" style="3" customWidth="1"/>
    <col min="12038" max="12281" width="9.140625" style="3"/>
    <col min="12282" max="12282" width="3.5703125" style="3" customWidth="1"/>
    <col min="12283" max="12283" width="96.85546875" style="3" customWidth="1"/>
    <col min="12284" max="12284" width="30.85546875" style="3" customWidth="1"/>
    <col min="12285" max="12285" width="12.5703125" style="3" customWidth="1"/>
    <col min="12286" max="12286" width="5.140625" style="3" customWidth="1"/>
    <col min="12287" max="12287" width="9.140625" style="3"/>
    <col min="12288" max="12288" width="4.85546875" style="3" customWidth="1"/>
    <col min="12289" max="12289" width="30.5703125" style="3" customWidth="1"/>
    <col min="12290" max="12290" width="33.85546875" style="3" customWidth="1"/>
    <col min="12291" max="12291" width="5.140625" style="3" customWidth="1"/>
    <col min="12292" max="12293" width="17.5703125" style="3" customWidth="1"/>
    <col min="12294" max="12537" width="9.140625" style="3"/>
    <col min="12538" max="12538" width="3.5703125" style="3" customWidth="1"/>
    <col min="12539" max="12539" width="96.85546875" style="3" customWidth="1"/>
    <col min="12540" max="12540" width="30.85546875" style="3" customWidth="1"/>
    <col min="12541" max="12541" width="12.5703125" style="3" customWidth="1"/>
    <col min="12542" max="12542" width="5.140625" style="3" customWidth="1"/>
    <col min="12543" max="12543" width="9.140625" style="3"/>
    <col min="12544" max="12544" width="4.85546875" style="3" customWidth="1"/>
    <col min="12545" max="12545" width="30.5703125" style="3" customWidth="1"/>
    <col min="12546" max="12546" width="33.85546875" style="3" customWidth="1"/>
    <col min="12547" max="12547" width="5.140625" style="3" customWidth="1"/>
    <col min="12548" max="12549" width="17.5703125" style="3" customWidth="1"/>
    <col min="12550" max="12793" width="9.140625" style="3"/>
    <col min="12794" max="12794" width="3.5703125" style="3" customWidth="1"/>
    <col min="12795" max="12795" width="96.85546875" style="3" customWidth="1"/>
    <col min="12796" max="12796" width="30.85546875" style="3" customWidth="1"/>
    <col min="12797" max="12797" width="12.5703125" style="3" customWidth="1"/>
    <col min="12798" max="12798" width="5.140625" style="3" customWidth="1"/>
    <col min="12799" max="12799" width="9.140625" style="3"/>
    <col min="12800" max="12800" width="4.85546875" style="3" customWidth="1"/>
    <col min="12801" max="12801" width="30.5703125" style="3" customWidth="1"/>
    <col min="12802" max="12802" width="33.85546875" style="3" customWidth="1"/>
    <col min="12803" max="12803" width="5.140625" style="3" customWidth="1"/>
    <col min="12804" max="12805" width="17.5703125" style="3" customWidth="1"/>
    <col min="12806" max="13049" width="9.140625" style="3"/>
    <col min="13050" max="13050" width="3.5703125" style="3" customWidth="1"/>
    <col min="13051" max="13051" width="96.85546875" style="3" customWidth="1"/>
    <col min="13052" max="13052" width="30.85546875" style="3" customWidth="1"/>
    <col min="13053" max="13053" width="12.5703125" style="3" customWidth="1"/>
    <col min="13054" max="13054" width="5.140625" style="3" customWidth="1"/>
    <col min="13055" max="13055" width="9.140625" style="3"/>
    <col min="13056" max="13056" width="4.85546875" style="3" customWidth="1"/>
    <col min="13057" max="13057" width="30.5703125" style="3" customWidth="1"/>
    <col min="13058" max="13058" width="33.85546875" style="3" customWidth="1"/>
    <col min="13059" max="13059" width="5.140625" style="3" customWidth="1"/>
    <col min="13060" max="13061" width="17.5703125" style="3" customWidth="1"/>
    <col min="13062" max="13305" width="9.140625" style="3"/>
    <col min="13306" max="13306" width="3.5703125" style="3" customWidth="1"/>
    <col min="13307" max="13307" width="96.85546875" style="3" customWidth="1"/>
    <col min="13308" max="13308" width="30.85546875" style="3" customWidth="1"/>
    <col min="13309" max="13309" width="12.5703125" style="3" customWidth="1"/>
    <col min="13310" max="13310" width="5.140625" style="3" customWidth="1"/>
    <col min="13311" max="13311" width="9.140625" style="3"/>
    <col min="13312" max="13312" width="4.85546875" style="3" customWidth="1"/>
    <col min="13313" max="13313" width="30.5703125" style="3" customWidth="1"/>
    <col min="13314" max="13314" width="33.85546875" style="3" customWidth="1"/>
    <col min="13315" max="13315" width="5.140625" style="3" customWidth="1"/>
    <col min="13316" max="13317" width="17.5703125" style="3" customWidth="1"/>
    <col min="13318" max="13561" width="9.140625" style="3"/>
    <col min="13562" max="13562" width="3.5703125" style="3" customWidth="1"/>
    <col min="13563" max="13563" width="96.85546875" style="3" customWidth="1"/>
    <col min="13564" max="13564" width="30.85546875" style="3" customWidth="1"/>
    <col min="13565" max="13565" width="12.5703125" style="3" customWidth="1"/>
    <col min="13566" max="13566" width="5.140625" style="3" customWidth="1"/>
    <col min="13567" max="13567" width="9.140625" style="3"/>
    <col min="13568" max="13568" width="4.85546875" style="3" customWidth="1"/>
    <col min="13569" max="13569" width="30.5703125" style="3" customWidth="1"/>
    <col min="13570" max="13570" width="33.85546875" style="3" customWidth="1"/>
    <col min="13571" max="13571" width="5.140625" style="3" customWidth="1"/>
    <col min="13572" max="13573" width="17.5703125" style="3" customWidth="1"/>
    <col min="13574" max="13817" width="9.140625" style="3"/>
    <col min="13818" max="13818" width="3.5703125" style="3" customWidth="1"/>
    <col min="13819" max="13819" width="96.85546875" style="3" customWidth="1"/>
    <col min="13820" max="13820" width="30.85546875" style="3" customWidth="1"/>
    <col min="13821" max="13821" width="12.5703125" style="3" customWidth="1"/>
    <col min="13822" max="13822" width="5.140625" style="3" customWidth="1"/>
    <col min="13823" max="13823" width="9.140625" style="3"/>
    <col min="13824" max="13824" width="4.85546875" style="3" customWidth="1"/>
    <col min="13825" max="13825" width="30.5703125" style="3" customWidth="1"/>
    <col min="13826" max="13826" width="33.85546875" style="3" customWidth="1"/>
    <col min="13827" max="13827" width="5.140625" style="3" customWidth="1"/>
    <col min="13828" max="13829" width="17.5703125" style="3" customWidth="1"/>
    <col min="13830" max="14073" width="9.140625" style="3"/>
    <col min="14074" max="14074" width="3.5703125" style="3" customWidth="1"/>
    <col min="14075" max="14075" width="96.85546875" style="3" customWidth="1"/>
    <col min="14076" max="14076" width="30.85546875" style="3" customWidth="1"/>
    <col min="14077" max="14077" width="12.5703125" style="3" customWidth="1"/>
    <col min="14078" max="14078" width="5.140625" style="3" customWidth="1"/>
    <col min="14079" max="14079" width="9.140625" style="3"/>
    <col min="14080" max="14080" width="4.85546875" style="3" customWidth="1"/>
    <col min="14081" max="14081" width="30.5703125" style="3" customWidth="1"/>
    <col min="14082" max="14082" width="33.85546875" style="3" customWidth="1"/>
    <col min="14083" max="14083" width="5.140625" style="3" customWidth="1"/>
    <col min="14084" max="14085" width="17.5703125" style="3" customWidth="1"/>
    <col min="14086" max="14329" width="9.140625" style="3"/>
    <col min="14330" max="14330" width="3.5703125" style="3" customWidth="1"/>
    <col min="14331" max="14331" width="96.85546875" style="3" customWidth="1"/>
    <col min="14332" max="14332" width="30.85546875" style="3" customWidth="1"/>
    <col min="14333" max="14333" width="12.5703125" style="3" customWidth="1"/>
    <col min="14334" max="14334" width="5.140625" style="3" customWidth="1"/>
    <col min="14335" max="14335" width="9.140625" style="3"/>
    <col min="14336" max="14336" width="4.85546875" style="3" customWidth="1"/>
    <col min="14337" max="14337" width="30.5703125" style="3" customWidth="1"/>
    <col min="14338" max="14338" width="33.85546875" style="3" customWidth="1"/>
    <col min="14339" max="14339" width="5.140625" style="3" customWidth="1"/>
    <col min="14340" max="14341" width="17.5703125" style="3" customWidth="1"/>
    <col min="14342" max="14585" width="9.140625" style="3"/>
    <col min="14586" max="14586" width="3.5703125" style="3" customWidth="1"/>
    <col min="14587" max="14587" width="96.85546875" style="3" customWidth="1"/>
    <col min="14588" max="14588" width="30.85546875" style="3" customWidth="1"/>
    <col min="14589" max="14589" width="12.5703125" style="3" customWidth="1"/>
    <col min="14590" max="14590" width="5.140625" style="3" customWidth="1"/>
    <col min="14591" max="14591" width="9.140625" style="3"/>
    <col min="14592" max="14592" width="4.85546875" style="3" customWidth="1"/>
    <col min="14593" max="14593" width="30.5703125" style="3" customWidth="1"/>
    <col min="14594" max="14594" width="33.85546875" style="3" customWidth="1"/>
    <col min="14595" max="14595" width="5.140625" style="3" customWidth="1"/>
    <col min="14596" max="14597" width="17.5703125" style="3" customWidth="1"/>
    <col min="14598" max="14841" width="9.140625" style="3"/>
    <col min="14842" max="14842" width="3.5703125" style="3" customWidth="1"/>
    <col min="14843" max="14843" width="96.85546875" style="3" customWidth="1"/>
    <col min="14844" max="14844" width="30.85546875" style="3" customWidth="1"/>
    <col min="14845" max="14845" width="12.5703125" style="3" customWidth="1"/>
    <col min="14846" max="14846" width="5.140625" style="3" customWidth="1"/>
    <col min="14847" max="14847" width="9.140625" style="3"/>
    <col min="14848" max="14848" width="4.85546875" style="3" customWidth="1"/>
    <col min="14849" max="14849" width="30.5703125" style="3" customWidth="1"/>
    <col min="14850" max="14850" width="33.85546875" style="3" customWidth="1"/>
    <col min="14851" max="14851" width="5.140625" style="3" customWidth="1"/>
    <col min="14852" max="14853" width="17.5703125" style="3" customWidth="1"/>
    <col min="14854" max="15097" width="9.140625" style="3"/>
    <col min="15098" max="15098" width="3.5703125" style="3" customWidth="1"/>
    <col min="15099" max="15099" width="96.85546875" style="3" customWidth="1"/>
    <col min="15100" max="15100" width="30.85546875" style="3" customWidth="1"/>
    <col min="15101" max="15101" width="12.5703125" style="3" customWidth="1"/>
    <col min="15102" max="15102" width="5.140625" style="3" customWidth="1"/>
    <col min="15103" max="15103" width="9.140625" style="3"/>
    <col min="15104" max="15104" width="4.85546875" style="3" customWidth="1"/>
    <col min="15105" max="15105" width="30.5703125" style="3" customWidth="1"/>
    <col min="15106" max="15106" width="33.85546875" style="3" customWidth="1"/>
    <col min="15107" max="15107" width="5.140625" style="3" customWidth="1"/>
    <col min="15108" max="15109" width="17.5703125" style="3" customWidth="1"/>
    <col min="15110" max="15353" width="9.140625" style="3"/>
    <col min="15354" max="15354" width="3.5703125" style="3" customWidth="1"/>
    <col min="15355" max="15355" width="96.85546875" style="3" customWidth="1"/>
    <col min="15356" max="15356" width="30.85546875" style="3" customWidth="1"/>
    <col min="15357" max="15357" width="12.5703125" style="3" customWidth="1"/>
    <col min="15358" max="15358" width="5.140625" style="3" customWidth="1"/>
    <col min="15359" max="15359" width="9.140625" style="3"/>
    <col min="15360" max="15360" width="4.85546875" style="3" customWidth="1"/>
    <col min="15361" max="15361" width="30.5703125" style="3" customWidth="1"/>
    <col min="15362" max="15362" width="33.85546875" style="3" customWidth="1"/>
    <col min="15363" max="15363" width="5.140625" style="3" customWidth="1"/>
    <col min="15364" max="15365" width="17.5703125" style="3" customWidth="1"/>
    <col min="15366" max="15609" width="9.140625" style="3"/>
    <col min="15610" max="15610" width="3.5703125" style="3" customWidth="1"/>
    <col min="15611" max="15611" width="96.85546875" style="3" customWidth="1"/>
    <col min="15612" max="15612" width="30.85546875" style="3" customWidth="1"/>
    <col min="15613" max="15613" width="12.5703125" style="3" customWidth="1"/>
    <col min="15614" max="15614" width="5.140625" style="3" customWidth="1"/>
    <col min="15615" max="15615" width="9.140625" style="3"/>
    <col min="15616" max="15616" width="4.85546875" style="3" customWidth="1"/>
    <col min="15617" max="15617" width="30.5703125" style="3" customWidth="1"/>
    <col min="15618" max="15618" width="33.85546875" style="3" customWidth="1"/>
    <col min="15619" max="15619" width="5.140625" style="3" customWidth="1"/>
    <col min="15620" max="15621" width="17.5703125" style="3" customWidth="1"/>
    <col min="15622" max="15865" width="9.140625" style="3"/>
    <col min="15866" max="15866" width="3.5703125" style="3" customWidth="1"/>
    <col min="15867" max="15867" width="96.85546875" style="3" customWidth="1"/>
    <col min="15868" max="15868" width="30.85546875" style="3" customWidth="1"/>
    <col min="15869" max="15869" width="12.5703125" style="3" customWidth="1"/>
    <col min="15870" max="15870" width="5.140625" style="3" customWidth="1"/>
    <col min="15871" max="15871" width="9.140625" style="3"/>
    <col min="15872" max="15872" width="4.85546875" style="3" customWidth="1"/>
    <col min="15873" max="15873" width="30.5703125" style="3" customWidth="1"/>
    <col min="15874" max="15874" width="33.85546875" style="3" customWidth="1"/>
    <col min="15875" max="15875" width="5.140625" style="3" customWidth="1"/>
    <col min="15876" max="15877" width="17.5703125" style="3" customWidth="1"/>
    <col min="15878" max="16121" width="9.140625" style="3"/>
    <col min="16122" max="16122" width="3.5703125" style="3" customWidth="1"/>
    <col min="16123" max="16123" width="96.85546875" style="3" customWidth="1"/>
    <col min="16124" max="16124" width="30.85546875" style="3" customWidth="1"/>
    <col min="16125" max="16125" width="12.5703125" style="3" customWidth="1"/>
    <col min="16126" max="16126" width="5.140625" style="3" customWidth="1"/>
    <col min="16127" max="16127" width="9.140625" style="3"/>
    <col min="16128" max="16128" width="4.85546875" style="3" customWidth="1"/>
    <col min="16129" max="16129" width="30.5703125" style="3" customWidth="1"/>
    <col min="16130" max="16130" width="33.85546875" style="3" customWidth="1"/>
    <col min="16131" max="16131" width="5.140625" style="3" customWidth="1"/>
    <col min="16132" max="16133" width="17.5703125" style="3" customWidth="1"/>
    <col min="16134" max="16384" width="9.140625" style="3"/>
  </cols>
  <sheetData>
    <row r="1" spans="1:3" ht="48" customHeight="1" x14ac:dyDescent="0.2">
      <c r="A1" s="1"/>
      <c r="B1" s="2" t="s">
        <v>0</v>
      </c>
      <c r="C1" s="2"/>
    </row>
    <row r="2" spans="1:3" x14ac:dyDescent="0.2">
      <c r="A2" s="4"/>
      <c r="B2" s="5" t="s">
        <v>1</v>
      </c>
      <c r="C2" s="6">
        <f ca="1">TODAY()</f>
        <v>44944</v>
      </c>
    </row>
    <row r="3" spans="1:3" x14ac:dyDescent="0.2">
      <c r="A3" s="4"/>
      <c r="B3" s="7" t="s">
        <v>2</v>
      </c>
    </row>
    <row r="4" spans="1:3" ht="25.5" x14ac:dyDescent="0.2">
      <c r="A4" s="9"/>
      <c r="B4" s="10" t="str">
        <f>[15]И1!D13</f>
        <v>Субъект Российской Федерации</v>
      </c>
      <c r="C4" s="11" t="str">
        <f>[15]И1!E13</f>
        <v>Новосибирская область</v>
      </c>
    </row>
    <row r="5" spans="1:3" ht="38.25" x14ac:dyDescent="0.2">
      <c r="A5" s="9"/>
      <c r="B5" s="10" t="str">
        <f>[15]И1!D14</f>
        <v>Тип муниципального образования (выберите из списка)</v>
      </c>
      <c r="C5" s="11" t="str">
        <f>[15]И1!E14</f>
        <v>село Шипуново, Сузунский муниципальный район</v>
      </c>
    </row>
    <row r="6" spans="1:3" x14ac:dyDescent="0.2">
      <c r="A6" s="9"/>
      <c r="B6" s="10" t="str">
        <f>IF([15]И1!E15="","",[15]И1!D15)</f>
        <v/>
      </c>
      <c r="C6" s="11" t="str">
        <f>IF([15]И1!E15="","",[15]И1!E15)</f>
        <v/>
      </c>
    </row>
    <row r="7" spans="1:3" x14ac:dyDescent="0.2">
      <c r="A7" s="9"/>
      <c r="B7" s="10" t="str">
        <f>[15]И1!D16</f>
        <v>Код ОКТМО</v>
      </c>
      <c r="C7" s="12" t="str">
        <f>[15]И1!E16</f>
        <v xml:space="preserve"> (50648440101)</v>
      </c>
    </row>
    <row r="8" spans="1:3" x14ac:dyDescent="0.2">
      <c r="A8" s="9"/>
      <c r="B8" s="13" t="str">
        <f>[15]И1!D17</f>
        <v>Система теплоснабжения</v>
      </c>
      <c r="C8" s="14">
        <f>[15]И1!E17</f>
        <v>0</v>
      </c>
    </row>
    <row r="9" spans="1:3" x14ac:dyDescent="0.2">
      <c r="A9" s="9"/>
      <c r="B9" s="10" t="str">
        <f>[15]И1!D8</f>
        <v>Период регулирования (i)-й</v>
      </c>
      <c r="C9" s="15">
        <f>[15]И1!E8</f>
        <v>2023</v>
      </c>
    </row>
    <row r="10" spans="1:3" x14ac:dyDescent="0.2">
      <c r="A10" s="9"/>
      <c r="B10" s="10" t="str">
        <f>[15]И1!D9</f>
        <v>Период регулирования (i-1)-й</v>
      </c>
      <c r="C10" s="15">
        <f>[15]И1!E9</f>
        <v>2022</v>
      </c>
    </row>
    <row r="11" spans="1:3" x14ac:dyDescent="0.2">
      <c r="A11" s="9"/>
      <c r="B11" s="10" t="str">
        <f>[15]И1!D10</f>
        <v>Период регулирования (i-2)-й</v>
      </c>
      <c r="C11" s="15">
        <f>[15]И1!E10</f>
        <v>2021</v>
      </c>
    </row>
    <row r="12" spans="1:3" x14ac:dyDescent="0.2">
      <c r="A12" s="9"/>
      <c r="B12" s="10" t="str">
        <f>[15]И1!D11</f>
        <v>Базовый год (б)</v>
      </c>
      <c r="C12" s="15">
        <f>[15]И1!E11</f>
        <v>2019</v>
      </c>
    </row>
    <row r="13" spans="1:3" ht="38.25" x14ac:dyDescent="0.2">
      <c r="A13" s="9"/>
      <c r="B13" s="10" t="str">
        <f>[15]И1!D18</f>
        <v>Вид топлива, использование которого преобладает в системе теплоснабжения</v>
      </c>
      <c r="C13" s="16" t="str">
        <f>[15]С1.1!E13</f>
        <v>уголь (вид угля не указан в топливном балансе)</v>
      </c>
    </row>
    <row r="14" spans="1:3" ht="31.7" customHeight="1" thickBot="1" x14ac:dyDescent="0.25">
      <c r="A14" s="17" t="s">
        <v>3</v>
      </c>
      <c r="B14" s="17"/>
      <c r="C14" s="17"/>
    </row>
    <row r="15" spans="1:3" x14ac:dyDescent="0.2">
      <c r="A15" s="18" t="s">
        <v>4</v>
      </c>
      <c r="B15" s="19" t="s">
        <v>5</v>
      </c>
      <c r="C15" s="20" t="s">
        <v>6</v>
      </c>
    </row>
    <row r="16" spans="1:3" x14ac:dyDescent="0.2">
      <c r="A16" s="21">
        <v>1</v>
      </c>
      <c r="B16" s="22">
        <v>2</v>
      </c>
      <c r="C16" s="23">
        <v>3</v>
      </c>
    </row>
    <row r="17" spans="1:3" x14ac:dyDescent="0.2">
      <c r="A17" s="24">
        <v>1</v>
      </c>
      <c r="B17" s="25" t="s">
        <v>7</v>
      </c>
      <c r="C17" s="26">
        <f>SUM(C18:C22)</f>
        <v>4030.8250733510331</v>
      </c>
    </row>
    <row r="18" spans="1:3" ht="42.75" x14ac:dyDescent="0.2">
      <c r="A18" s="24" t="s">
        <v>8</v>
      </c>
      <c r="B18" s="27" t="s">
        <v>9</v>
      </c>
      <c r="C18" s="28">
        <f>[15]С1!F12</f>
        <v>925.6767200709744</v>
      </c>
    </row>
    <row r="19" spans="1:3" ht="42.75" x14ac:dyDescent="0.2">
      <c r="A19" s="24" t="s">
        <v>10</v>
      </c>
      <c r="B19" s="27" t="s">
        <v>11</v>
      </c>
      <c r="C19" s="28">
        <f>[15]С2!F12</f>
        <v>2108.7102251987935</v>
      </c>
    </row>
    <row r="20" spans="1:3" ht="30" x14ac:dyDescent="0.2">
      <c r="A20" s="24" t="s">
        <v>12</v>
      </c>
      <c r="B20" s="27" t="s">
        <v>13</v>
      </c>
      <c r="C20" s="28">
        <f>[15]С3!F12</f>
        <v>504.54115631660852</v>
      </c>
    </row>
    <row r="21" spans="1:3" ht="42.75" x14ac:dyDescent="0.2">
      <c r="A21" s="24" t="s">
        <v>14</v>
      </c>
      <c r="B21" s="27" t="s">
        <v>15</v>
      </c>
      <c r="C21" s="28">
        <f>[15]С4!F12</f>
        <v>412.86118601267515</v>
      </c>
    </row>
    <row r="22" spans="1:3" ht="30" x14ac:dyDescent="0.2">
      <c r="A22" s="24" t="s">
        <v>16</v>
      </c>
      <c r="B22" s="27" t="s">
        <v>17</v>
      </c>
      <c r="C22" s="28">
        <f>[15]С5!F12</f>
        <v>79.035785751981038</v>
      </c>
    </row>
    <row r="23" spans="1:3" ht="43.5" thickBot="1" x14ac:dyDescent="0.25">
      <c r="A23" s="29" t="s">
        <v>18</v>
      </c>
      <c r="B23" s="30" t="s">
        <v>19</v>
      </c>
      <c r="C23" s="31" t="str">
        <f>[15]С6!F12</f>
        <v>-</v>
      </c>
    </row>
    <row r="24" spans="1:3" ht="13.5" thickBot="1" x14ac:dyDescent="0.25">
      <c r="A24" s="4"/>
    </row>
    <row r="25" spans="1:3" x14ac:dyDescent="0.2">
      <c r="A25" s="18" t="s">
        <v>4</v>
      </c>
      <c r="B25" s="32" t="s">
        <v>5</v>
      </c>
      <c r="C25" s="33" t="s">
        <v>6</v>
      </c>
    </row>
    <row r="26" spans="1:3" x14ac:dyDescent="0.2">
      <c r="A26" s="21">
        <v>1</v>
      </c>
      <c r="B26" s="34">
        <v>2</v>
      </c>
      <c r="C26" s="35">
        <v>3</v>
      </c>
    </row>
    <row r="27" spans="1:3" ht="30" customHeight="1" x14ac:dyDescent="0.2">
      <c r="A27" s="24">
        <v>1</v>
      </c>
      <c r="B27" s="36" t="s">
        <v>20</v>
      </c>
      <c r="C27" s="36"/>
    </row>
    <row r="28" spans="1:3" x14ac:dyDescent="0.2">
      <c r="A28" s="24" t="s">
        <v>8</v>
      </c>
      <c r="B28" s="37" t="s">
        <v>21</v>
      </c>
      <c r="C28" s="38">
        <f>[15]С1.1!E16</f>
        <v>5100</v>
      </c>
    </row>
    <row r="29" spans="1:3" ht="42.75" x14ac:dyDescent="0.2">
      <c r="A29" s="24" t="s">
        <v>10</v>
      </c>
      <c r="B29" s="37" t="s">
        <v>22</v>
      </c>
      <c r="C29" s="38">
        <f>[15]С1.1!E27</f>
        <v>2488.9899999999998</v>
      </c>
    </row>
    <row r="30" spans="1:3" ht="17.25" x14ac:dyDescent="0.2">
      <c r="A30" s="24" t="s">
        <v>12</v>
      </c>
      <c r="B30" s="37" t="s">
        <v>23</v>
      </c>
      <c r="C30" s="39">
        <f>[15]С1.1!E19</f>
        <v>0.59499999999999997</v>
      </c>
    </row>
    <row r="31" spans="1:3" ht="17.25" x14ac:dyDescent="0.2">
      <c r="A31" s="24" t="s">
        <v>14</v>
      </c>
      <c r="B31" s="37" t="s">
        <v>24</v>
      </c>
      <c r="C31" s="39">
        <f>[15]С1.1!E20</f>
        <v>-0.113</v>
      </c>
    </row>
    <row r="32" spans="1:3" ht="30" x14ac:dyDescent="0.2">
      <c r="A32" s="24" t="s">
        <v>16</v>
      </c>
      <c r="B32" s="40" t="s">
        <v>25</v>
      </c>
      <c r="C32" s="41">
        <f>[15]С1!F13</f>
        <v>176.4</v>
      </c>
    </row>
    <row r="33" spans="1:3" x14ac:dyDescent="0.2">
      <c r="A33" s="24" t="s">
        <v>18</v>
      </c>
      <c r="B33" s="40" t="s">
        <v>26</v>
      </c>
      <c r="C33" s="42">
        <f>[15]С1!F16</f>
        <v>7000</v>
      </c>
    </row>
    <row r="34" spans="1:3" ht="14.25" x14ac:dyDescent="0.2">
      <c r="A34" s="24" t="s">
        <v>27</v>
      </c>
      <c r="B34" s="43" t="s">
        <v>28</v>
      </c>
      <c r="C34" s="44">
        <f>[15]С1!F17</f>
        <v>0.72857142857142854</v>
      </c>
    </row>
    <row r="35" spans="1:3" ht="15.75" x14ac:dyDescent="0.2">
      <c r="A35" s="45" t="s">
        <v>29</v>
      </c>
      <c r="B35" s="46" t="s">
        <v>30</v>
      </c>
      <c r="C35" s="44">
        <f>[15]С1!F20</f>
        <v>21.588411179999994</v>
      </c>
    </row>
    <row r="36" spans="1:3" ht="15.75" x14ac:dyDescent="0.2">
      <c r="A36" s="45" t="s">
        <v>31</v>
      </c>
      <c r="B36" s="47" t="s">
        <v>32</v>
      </c>
      <c r="C36" s="44">
        <f>[15]С1!F21</f>
        <v>20.818139999999996</v>
      </c>
    </row>
    <row r="37" spans="1:3" ht="14.25" x14ac:dyDescent="0.2">
      <c r="A37" s="45" t="s">
        <v>33</v>
      </c>
      <c r="B37" s="48" t="s">
        <v>34</v>
      </c>
      <c r="C37" s="44">
        <f>[15]С1!F22</f>
        <v>1.0369999999999999</v>
      </c>
    </row>
    <row r="38" spans="1:3" ht="53.25" thickBot="1" x14ac:dyDescent="0.25">
      <c r="A38" s="29" t="s">
        <v>35</v>
      </c>
      <c r="B38" s="49" t="s">
        <v>36</v>
      </c>
      <c r="C38" s="50">
        <f>[15]С1!F23</f>
        <v>1.0469999999999999</v>
      </c>
    </row>
    <row r="39" spans="1:3" ht="13.5" thickBot="1" x14ac:dyDescent="0.25">
      <c r="A39" s="51"/>
      <c r="B39" s="52"/>
      <c r="C39" s="53"/>
    </row>
    <row r="40" spans="1:3" ht="30" customHeight="1" x14ac:dyDescent="0.2">
      <c r="A40" s="54" t="s">
        <v>37</v>
      </c>
      <c r="B40" s="55" t="s">
        <v>38</v>
      </c>
      <c r="C40" s="55"/>
    </row>
    <row r="41" spans="1:3" ht="25.5" x14ac:dyDescent="0.2">
      <c r="A41" s="24" t="s">
        <v>39</v>
      </c>
      <c r="B41" s="40" t="s">
        <v>40</v>
      </c>
      <c r="C41" s="56" t="str">
        <f>[15]С2.1!E12</f>
        <v>V</v>
      </c>
    </row>
    <row r="42" spans="1:3" ht="25.5" x14ac:dyDescent="0.2">
      <c r="A42" s="24" t="s">
        <v>41</v>
      </c>
      <c r="B42" s="37" t="s">
        <v>42</v>
      </c>
      <c r="C42" s="56" t="str">
        <f>[15]С2.1!E13</f>
        <v>6 и менее баллов</v>
      </c>
    </row>
    <row r="43" spans="1:3" ht="25.5" x14ac:dyDescent="0.2">
      <c r="A43" s="24" t="s">
        <v>43</v>
      </c>
      <c r="B43" s="37" t="s">
        <v>44</v>
      </c>
      <c r="C43" s="56" t="str">
        <f>[15]С2.1!E14</f>
        <v>от 200 до 500</v>
      </c>
    </row>
    <row r="44" spans="1:3" ht="25.5" x14ac:dyDescent="0.2">
      <c r="A44" s="24" t="s">
        <v>45</v>
      </c>
      <c r="B44" s="37" t="s">
        <v>46</v>
      </c>
      <c r="C44" s="57" t="str">
        <f>[15]С2.1!E15</f>
        <v>нет</v>
      </c>
    </row>
    <row r="45" spans="1:3" ht="30" x14ac:dyDescent="0.2">
      <c r="A45" s="24" t="s">
        <v>47</v>
      </c>
      <c r="B45" s="37" t="s">
        <v>48</v>
      </c>
      <c r="C45" s="38">
        <f>[15]С2!F18</f>
        <v>32402.627334033532</v>
      </c>
    </row>
    <row r="46" spans="1:3" ht="30" x14ac:dyDescent="0.2">
      <c r="A46" s="24" t="s">
        <v>49</v>
      </c>
      <c r="B46" s="58" t="s">
        <v>50</v>
      </c>
      <c r="C46" s="38">
        <f>IF([15]С2!F19&gt;0,[15]С2!F19,[15]С2!F20)</f>
        <v>23441.524932855718</v>
      </c>
    </row>
    <row r="47" spans="1:3" ht="25.5" x14ac:dyDescent="0.2">
      <c r="A47" s="24" t="s">
        <v>51</v>
      </c>
      <c r="B47" s="59" t="s">
        <v>52</v>
      </c>
      <c r="C47" s="38">
        <f>[15]С2.1!E19</f>
        <v>-37</v>
      </c>
    </row>
    <row r="48" spans="1:3" ht="25.5" x14ac:dyDescent="0.2">
      <c r="A48" s="24" t="s">
        <v>53</v>
      </c>
      <c r="B48" s="59" t="s">
        <v>54</v>
      </c>
      <c r="C48" s="38" t="str">
        <f>[15]С2.1!E22</f>
        <v>нет</v>
      </c>
    </row>
    <row r="49" spans="1:3" ht="38.25" x14ac:dyDescent="0.2">
      <c r="A49" s="24" t="s">
        <v>55</v>
      </c>
      <c r="B49" s="60" t="s">
        <v>56</v>
      </c>
      <c r="C49" s="38">
        <f>[15]С2.2!E10</f>
        <v>1287</v>
      </c>
    </row>
    <row r="50" spans="1:3" ht="25.5" x14ac:dyDescent="0.2">
      <c r="A50" s="24" t="s">
        <v>57</v>
      </c>
      <c r="B50" s="61" t="s">
        <v>58</v>
      </c>
      <c r="C50" s="38">
        <f>[15]С2.2!E12</f>
        <v>5.97</v>
      </c>
    </row>
    <row r="51" spans="1:3" ht="52.5" x14ac:dyDescent="0.2">
      <c r="A51" s="24" t="s">
        <v>59</v>
      </c>
      <c r="B51" s="62" t="s">
        <v>60</v>
      </c>
      <c r="C51" s="38">
        <f>[15]С2.2!E13</f>
        <v>1</v>
      </c>
    </row>
    <row r="52" spans="1:3" ht="27.75" x14ac:dyDescent="0.2">
      <c r="A52" s="24" t="s">
        <v>61</v>
      </c>
      <c r="B52" s="61" t="s">
        <v>62</v>
      </c>
      <c r="C52" s="38">
        <f>[15]С2.2!E14</f>
        <v>12104</v>
      </c>
    </row>
    <row r="53" spans="1:3" ht="25.5" x14ac:dyDescent="0.2">
      <c r="A53" s="24" t="s">
        <v>63</v>
      </c>
      <c r="B53" s="62" t="s">
        <v>64</v>
      </c>
      <c r="C53" s="39">
        <f>[15]С2.2!E15</f>
        <v>4.8000000000000001E-2</v>
      </c>
    </row>
    <row r="54" spans="1:3" x14ac:dyDescent="0.2">
      <c r="A54" s="24" t="s">
        <v>65</v>
      </c>
      <c r="B54" s="62" t="s">
        <v>66</v>
      </c>
      <c r="C54" s="38">
        <f>[15]С2.2!E16</f>
        <v>1</v>
      </c>
    </row>
    <row r="55" spans="1:3" ht="15.75" x14ac:dyDescent="0.2">
      <c r="A55" s="24" t="s">
        <v>67</v>
      </c>
      <c r="B55" s="63" t="s">
        <v>68</v>
      </c>
      <c r="C55" s="38">
        <f>[15]С2!F21</f>
        <v>1</v>
      </c>
    </row>
    <row r="56" spans="1:3" ht="30" x14ac:dyDescent="0.2">
      <c r="A56" s="64" t="s">
        <v>69</v>
      </c>
      <c r="B56" s="37" t="s">
        <v>70</v>
      </c>
      <c r="C56" s="38">
        <f>[15]С2!F13</f>
        <v>169640.22915965237</v>
      </c>
    </row>
    <row r="57" spans="1:3" ht="30" x14ac:dyDescent="0.2">
      <c r="A57" s="64" t="s">
        <v>71</v>
      </c>
      <c r="B57" s="63" t="s">
        <v>72</v>
      </c>
      <c r="C57" s="38">
        <f>[15]С2!F14</f>
        <v>113455</v>
      </c>
    </row>
    <row r="58" spans="1:3" ht="15.75" x14ac:dyDescent="0.2">
      <c r="A58" s="64" t="s">
        <v>73</v>
      </c>
      <c r="B58" s="65" t="s">
        <v>74</v>
      </c>
      <c r="C58" s="44">
        <f>[15]С2!F15</f>
        <v>1.071</v>
      </c>
    </row>
    <row r="59" spans="1:3" ht="15.75" x14ac:dyDescent="0.2">
      <c r="A59" s="64" t="s">
        <v>75</v>
      </c>
      <c r="B59" s="65" t="s">
        <v>76</v>
      </c>
      <c r="C59" s="44">
        <f>[15]С2!F16</f>
        <v>1</v>
      </c>
    </row>
    <row r="60" spans="1:3" ht="17.25" x14ac:dyDescent="0.2">
      <c r="A60" s="64" t="s">
        <v>77</v>
      </c>
      <c r="B60" s="63" t="s">
        <v>78</v>
      </c>
      <c r="C60" s="38">
        <f>[15]С2!F17</f>
        <v>1.01</v>
      </c>
    </row>
    <row r="61" spans="1:3" s="68" customFormat="1" ht="14.25" x14ac:dyDescent="0.2">
      <c r="A61" s="64" t="s">
        <v>79</v>
      </c>
      <c r="B61" s="66" t="s">
        <v>80</v>
      </c>
      <c r="C61" s="67">
        <f>[15]С2!F33</f>
        <v>10</v>
      </c>
    </row>
    <row r="62" spans="1:3" ht="30" x14ac:dyDescent="0.2">
      <c r="A62" s="64" t="s">
        <v>81</v>
      </c>
      <c r="B62" s="69" t="s">
        <v>82</v>
      </c>
      <c r="C62" s="38">
        <f>[15]С2!F26</f>
        <v>1424.4887832283189</v>
      </c>
    </row>
    <row r="63" spans="1:3" ht="17.25" x14ac:dyDescent="0.2">
      <c r="A63" s="64" t="s">
        <v>83</v>
      </c>
      <c r="B63" s="58" t="s">
        <v>84</v>
      </c>
      <c r="C63" s="38">
        <f>[15]С2!F27</f>
        <v>0.24536656199999998</v>
      </c>
    </row>
    <row r="64" spans="1:3" ht="17.25" x14ac:dyDescent="0.2">
      <c r="A64" s="64" t="s">
        <v>85</v>
      </c>
      <c r="B64" s="63" t="s">
        <v>86</v>
      </c>
      <c r="C64" s="67">
        <f>[15]С2!F28</f>
        <v>4200</v>
      </c>
    </row>
    <row r="65" spans="1:3" ht="42.75" x14ac:dyDescent="0.2">
      <c r="A65" s="64" t="s">
        <v>87</v>
      </c>
      <c r="B65" s="37" t="s">
        <v>88</v>
      </c>
      <c r="C65" s="38">
        <f>[15]С2!F22</f>
        <v>35717.748653137714</v>
      </c>
    </row>
    <row r="66" spans="1:3" ht="30" x14ac:dyDescent="0.2">
      <c r="A66" s="64" t="s">
        <v>89</v>
      </c>
      <c r="B66" s="65" t="s">
        <v>90</v>
      </c>
      <c r="C66" s="38">
        <f>[15]С2!F23</f>
        <v>1990</v>
      </c>
    </row>
    <row r="67" spans="1:3" ht="30" x14ac:dyDescent="0.2">
      <c r="A67" s="64" t="s">
        <v>91</v>
      </c>
      <c r="B67" s="58" t="s">
        <v>92</v>
      </c>
      <c r="C67" s="38">
        <f>[15]С2.1!E27</f>
        <v>14307.876789999998</v>
      </c>
    </row>
    <row r="68" spans="1:3" ht="38.25" x14ac:dyDescent="0.2">
      <c r="A68" s="64" t="s">
        <v>93</v>
      </c>
      <c r="B68" s="70" t="s">
        <v>94</v>
      </c>
      <c r="C68" s="57">
        <f>[15]С2.3!E21</f>
        <v>0</v>
      </c>
    </row>
    <row r="69" spans="1:3" ht="25.5" x14ac:dyDescent="0.2">
      <c r="A69" s="64" t="s">
        <v>95</v>
      </c>
      <c r="B69" s="71" t="s">
        <v>96</v>
      </c>
      <c r="C69" s="72">
        <f>[15]С2.3!E11</f>
        <v>9.89</v>
      </c>
    </row>
    <row r="70" spans="1:3" ht="25.5" x14ac:dyDescent="0.2">
      <c r="A70" s="64" t="s">
        <v>97</v>
      </c>
      <c r="B70" s="71" t="s">
        <v>98</v>
      </c>
      <c r="C70" s="67">
        <f>[15]С2.3!E13</f>
        <v>300</v>
      </c>
    </row>
    <row r="71" spans="1:3" ht="25.5" x14ac:dyDescent="0.2">
      <c r="A71" s="64" t="s">
        <v>99</v>
      </c>
      <c r="B71" s="70" t="s">
        <v>100</v>
      </c>
      <c r="C71" s="73">
        <f>IF([15]С2.3!E22&gt;0,[15]С2.3!E22,[15]С2.3!E14)</f>
        <v>61211</v>
      </c>
    </row>
    <row r="72" spans="1:3" ht="38.25" x14ac:dyDescent="0.2">
      <c r="A72" s="64" t="s">
        <v>101</v>
      </c>
      <c r="B72" s="70" t="s">
        <v>102</v>
      </c>
      <c r="C72" s="73">
        <f>IF([15]С2.3!E23&gt;0,[15]С2.3!E23,[15]С2.3!E15)</f>
        <v>45675</v>
      </c>
    </row>
    <row r="73" spans="1:3" ht="30" x14ac:dyDescent="0.2">
      <c r="A73" s="64" t="s">
        <v>103</v>
      </c>
      <c r="B73" s="58" t="s">
        <v>104</v>
      </c>
      <c r="C73" s="38">
        <f>[15]С2.1!E28</f>
        <v>9541.9567200000001</v>
      </c>
    </row>
    <row r="74" spans="1:3" ht="38.25" x14ac:dyDescent="0.2">
      <c r="A74" s="64" t="s">
        <v>105</v>
      </c>
      <c r="B74" s="70" t="s">
        <v>106</v>
      </c>
      <c r="C74" s="57">
        <f>[15]С2.3!E25</f>
        <v>0</v>
      </c>
    </row>
    <row r="75" spans="1:3" ht="25.5" x14ac:dyDescent="0.2">
      <c r="A75" s="64" t="s">
        <v>107</v>
      </c>
      <c r="B75" s="71" t="s">
        <v>108</v>
      </c>
      <c r="C75" s="72">
        <f>[15]С2.3!E12</f>
        <v>0.56000000000000005</v>
      </c>
    </row>
    <row r="76" spans="1:3" ht="25.5" x14ac:dyDescent="0.2">
      <c r="A76" s="64" t="s">
        <v>109</v>
      </c>
      <c r="B76" s="71" t="s">
        <v>98</v>
      </c>
      <c r="C76" s="67">
        <f>[15]С2.3!E13</f>
        <v>300</v>
      </c>
    </row>
    <row r="77" spans="1:3" ht="25.5" x14ac:dyDescent="0.2">
      <c r="A77" s="64" t="s">
        <v>110</v>
      </c>
      <c r="B77" s="74" t="s">
        <v>111</v>
      </c>
      <c r="C77" s="73">
        <f>IF([15]С2.3!E26&gt;0,[15]С2.3!E26,[15]С2.3!E16)</f>
        <v>65637</v>
      </c>
    </row>
    <row r="78" spans="1:3" ht="38.25" x14ac:dyDescent="0.2">
      <c r="A78" s="64" t="s">
        <v>112</v>
      </c>
      <c r="B78" s="74" t="s">
        <v>113</v>
      </c>
      <c r="C78" s="73">
        <f>IF([15]С2.3!E27&gt;0,[15]С2.3!E27,[15]С2.3!E17)</f>
        <v>31684</v>
      </c>
    </row>
    <row r="79" spans="1:3" ht="17.25" x14ac:dyDescent="0.2">
      <c r="A79" s="64" t="s">
        <v>114</v>
      </c>
      <c r="B79" s="37" t="s">
        <v>115</v>
      </c>
      <c r="C79" s="39">
        <f>[15]С2!F29</f>
        <v>0.128978033685065</v>
      </c>
    </row>
    <row r="80" spans="1:3" ht="30" x14ac:dyDescent="0.2">
      <c r="A80" s="64" t="s">
        <v>116</v>
      </c>
      <c r="B80" s="58" t="s">
        <v>117</v>
      </c>
      <c r="C80" s="75">
        <f>[15]С2!F30</f>
        <v>0.11668498168498169</v>
      </c>
    </row>
    <row r="81" spans="1:3" ht="17.25" x14ac:dyDescent="0.2">
      <c r="A81" s="64" t="s">
        <v>118</v>
      </c>
      <c r="B81" s="76" t="s">
        <v>119</v>
      </c>
      <c r="C81" s="39">
        <f>[15]С2!F31</f>
        <v>0.13880000000000001</v>
      </c>
    </row>
    <row r="82" spans="1:3" s="68" customFormat="1" ht="18" thickBot="1" x14ac:dyDescent="0.25">
      <c r="A82" s="77" t="s">
        <v>120</v>
      </c>
      <c r="B82" s="78" t="s">
        <v>121</v>
      </c>
      <c r="C82" s="79">
        <f>[15]С2!F32</f>
        <v>0.12640000000000001</v>
      </c>
    </row>
    <row r="83" spans="1:3" ht="13.5" thickBot="1" x14ac:dyDescent="0.25">
      <c r="A83" s="51"/>
      <c r="B83" s="80"/>
      <c r="C83" s="16"/>
    </row>
    <row r="84" spans="1:3" s="68" customFormat="1" ht="30" customHeight="1" x14ac:dyDescent="0.2">
      <c r="A84" s="81" t="s">
        <v>122</v>
      </c>
      <c r="B84" s="55" t="s">
        <v>123</v>
      </c>
      <c r="C84" s="55"/>
    </row>
    <row r="85" spans="1:3" s="68" customFormat="1" ht="30" x14ac:dyDescent="0.2">
      <c r="A85" s="82" t="s">
        <v>124</v>
      </c>
      <c r="B85" s="37" t="s">
        <v>125</v>
      </c>
      <c r="C85" s="38">
        <f>[15]С3!F14</f>
        <v>7012.1794194579406</v>
      </c>
    </row>
    <row r="86" spans="1:3" s="68" customFormat="1" ht="42.75" x14ac:dyDescent="0.2">
      <c r="A86" s="82" t="s">
        <v>126</v>
      </c>
      <c r="B86" s="58" t="s">
        <v>127</v>
      </c>
      <c r="C86" s="83">
        <f>[15]С3!F15</f>
        <v>0.2</v>
      </c>
    </row>
    <row r="87" spans="1:3" s="68" customFormat="1" ht="14.25" x14ac:dyDescent="0.2">
      <c r="A87" s="82" t="s">
        <v>128</v>
      </c>
      <c r="B87" s="84" t="s">
        <v>129</v>
      </c>
      <c r="C87" s="67">
        <f>[15]С3!F18</f>
        <v>15</v>
      </c>
    </row>
    <row r="88" spans="1:3" s="68" customFormat="1" ht="17.25" x14ac:dyDescent="0.2">
      <c r="A88" s="82" t="s">
        <v>130</v>
      </c>
      <c r="B88" s="37" t="s">
        <v>131</v>
      </c>
      <c r="C88" s="38">
        <f>[15]С3!F19</f>
        <v>3487.1555421534131</v>
      </c>
    </row>
    <row r="89" spans="1:3" s="68" customFormat="1" ht="55.5" x14ac:dyDescent="0.2">
      <c r="A89" s="82" t="s">
        <v>132</v>
      </c>
      <c r="B89" s="58" t="s">
        <v>133</v>
      </c>
      <c r="C89" s="85">
        <f>[15]С3!F20</f>
        <v>2.1999999999999999E-2</v>
      </c>
    </row>
    <row r="90" spans="1:3" s="68" customFormat="1" ht="14.25" x14ac:dyDescent="0.2">
      <c r="A90" s="82" t="s">
        <v>134</v>
      </c>
      <c r="B90" s="63" t="s">
        <v>80</v>
      </c>
      <c r="C90" s="67">
        <f>[15]С3!F21</f>
        <v>10</v>
      </c>
    </row>
    <row r="91" spans="1:3" s="68" customFormat="1" ht="17.25" x14ac:dyDescent="0.2">
      <c r="A91" s="82" t="s">
        <v>135</v>
      </c>
      <c r="B91" s="37" t="s">
        <v>136</v>
      </c>
      <c r="C91" s="38">
        <f>[15]С3!F22</f>
        <v>4.2734663496849565</v>
      </c>
    </row>
    <row r="92" spans="1:3" s="68" customFormat="1" ht="55.5" x14ac:dyDescent="0.2">
      <c r="A92" s="82" t="s">
        <v>137</v>
      </c>
      <c r="B92" s="58" t="s">
        <v>138</v>
      </c>
      <c r="C92" s="85">
        <f>[15]С3!F23</f>
        <v>3.0000000000000001E-3</v>
      </c>
    </row>
    <row r="93" spans="1:3" s="68" customFormat="1" ht="27.75" thickBot="1" x14ac:dyDescent="0.25">
      <c r="A93" s="86" t="s">
        <v>139</v>
      </c>
      <c r="B93" s="87" t="s">
        <v>140</v>
      </c>
      <c r="C93" s="88">
        <f>[15]С3!F24</f>
        <v>1424.4887832283189</v>
      </c>
    </row>
    <row r="94" spans="1:3" ht="13.5" thickBot="1" x14ac:dyDescent="0.25">
      <c r="A94" s="51"/>
      <c r="B94" s="80"/>
      <c r="C94" s="16"/>
    </row>
    <row r="95" spans="1:3" ht="30" customHeight="1" x14ac:dyDescent="0.2">
      <c r="A95" s="89" t="s">
        <v>141</v>
      </c>
      <c r="B95" s="55" t="s">
        <v>142</v>
      </c>
      <c r="C95" s="55"/>
    </row>
    <row r="96" spans="1:3" ht="30" x14ac:dyDescent="0.2">
      <c r="A96" s="64" t="s">
        <v>143</v>
      </c>
      <c r="B96" s="37" t="s">
        <v>144</v>
      </c>
      <c r="C96" s="38">
        <f>[15]С4!F16</f>
        <v>1652.5</v>
      </c>
    </row>
    <row r="97" spans="1:3" ht="30" x14ac:dyDescent="0.2">
      <c r="A97" s="64" t="s">
        <v>145</v>
      </c>
      <c r="B97" s="63" t="s">
        <v>146</v>
      </c>
      <c r="C97" s="38">
        <f>[15]С4!F17</f>
        <v>73547</v>
      </c>
    </row>
    <row r="98" spans="1:3" ht="17.25" x14ac:dyDescent="0.2">
      <c r="A98" s="64" t="s">
        <v>147</v>
      </c>
      <c r="B98" s="63" t="s">
        <v>148</v>
      </c>
      <c r="C98" s="44">
        <f>[15]С4!F18</f>
        <v>0.02</v>
      </c>
    </row>
    <row r="99" spans="1:3" ht="30" x14ac:dyDescent="0.2">
      <c r="A99" s="64" t="s">
        <v>149</v>
      </c>
      <c r="B99" s="63" t="s">
        <v>150</v>
      </c>
      <c r="C99" s="38">
        <f>[15]С4!F19</f>
        <v>12104</v>
      </c>
    </row>
    <row r="100" spans="1:3" ht="31.5" x14ac:dyDescent="0.2">
      <c r="A100" s="64" t="s">
        <v>151</v>
      </c>
      <c r="B100" s="63" t="s">
        <v>152</v>
      </c>
      <c r="C100" s="44">
        <f>[15]С4!F20</f>
        <v>1.4999999999999999E-2</v>
      </c>
    </row>
    <row r="101" spans="1:3" ht="30" x14ac:dyDescent="0.2">
      <c r="A101" s="64" t="s">
        <v>153</v>
      </c>
      <c r="B101" s="37" t="s">
        <v>154</v>
      </c>
      <c r="C101" s="38">
        <f>[15]С4!F21</f>
        <v>1933.1949342509995</v>
      </c>
    </row>
    <row r="102" spans="1:3" ht="24" customHeight="1" x14ac:dyDescent="0.2">
      <c r="A102" s="64" t="s">
        <v>155</v>
      </c>
      <c r="B102" s="58" t="s">
        <v>156</v>
      </c>
      <c r="C102" s="90">
        <f>IF([15]С4.2!F8="да",[15]С4.2!D21,[15]С4.2!D15)</f>
        <v>0</v>
      </c>
    </row>
    <row r="103" spans="1:3" ht="68.25" x14ac:dyDescent="0.2">
      <c r="A103" s="64" t="s">
        <v>157</v>
      </c>
      <c r="B103" s="58" t="s">
        <v>158</v>
      </c>
      <c r="C103" s="38">
        <f>[15]С4!F22</f>
        <v>3.6112641666666665</v>
      </c>
    </row>
    <row r="104" spans="1:3" ht="30" x14ac:dyDescent="0.2">
      <c r="A104" s="64" t="s">
        <v>159</v>
      </c>
      <c r="B104" s="63" t="s">
        <v>160</v>
      </c>
      <c r="C104" s="38">
        <f>[15]С4!F23</f>
        <v>180</v>
      </c>
    </row>
    <row r="105" spans="1:3" ht="14.25" x14ac:dyDescent="0.2">
      <c r="A105" s="64" t="s">
        <v>161</v>
      </c>
      <c r="B105" s="58" t="s">
        <v>162</v>
      </c>
      <c r="C105" s="38">
        <f>[15]С4!F24</f>
        <v>8497.1999999999989</v>
      </c>
    </row>
    <row r="106" spans="1:3" ht="14.25" x14ac:dyDescent="0.2">
      <c r="A106" s="64" t="s">
        <v>163</v>
      </c>
      <c r="B106" s="63" t="s">
        <v>164</v>
      </c>
      <c r="C106" s="44">
        <f>[15]С4!F25</f>
        <v>0.35</v>
      </c>
    </row>
    <row r="107" spans="1:3" ht="17.25" x14ac:dyDescent="0.2">
      <c r="A107" s="64" t="s">
        <v>165</v>
      </c>
      <c r="B107" s="37" t="s">
        <v>166</v>
      </c>
      <c r="C107" s="38">
        <f>[15]С4!F26</f>
        <v>78.10575</v>
      </c>
    </row>
    <row r="108" spans="1:3" ht="25.5" x14ac:dyDescent="0.2">
      <c r="A108" s="64" t="s">
        <v>167</v>
      </c>
      <c r="B108" s="58" t="s">
        <v>94</v>
      </c>
      <c r="C108" s="90">
        <f>[15]С4.3!E16</f>
        <v>0</v>
      </c>
    </row>
    <row r="109" spans="1:3" ht="25.5" x14ac:dyDescent="0.2">
      <c r="A109" s="64" t="s">
        <v>168</v>
      </c>
      <c r="B109" s="58" t="s">
        <v>169</v>
      </c>
      <c r="C109" s="38">
        <f>[15]С4.3!E17</f>
        <v>18.21</v>
      </c>
    </row>
    <row r="110" spans="1:3" ht="38.25" x14ac:dyDescent="0.2">
      <c r="A110" s="64" t="s">
        <v>170</v>
      </c>
      <c r="B110" s="58" t="s">
        <v>106</v>
      </c>
      <c r="C110" s="90">
        <f>[15]С4.3!E18</f>
        <v>0</v>
      </c>
    </row>
    <row r="111" spans="1:3" x14ac:dyDescent="0.2">
      <c r="A111" s="64" t="s">
        <v>171</v>
      </c>
      <c r="B111" s="58" t="s">
        <v>172</v>
      </c>
      <c r="C111" s="38">
        <f>[15]С4.3!E19</f>
        <v>69.819999999999993</v>
      </c>
    </row>
    <row r="112" spans="1:3" x14ac:dyDescent="0.2">
      <c r="A112" s="64" t="s">
        <v>173</v>
      </c>
      <c r="B112" s="63" t="s">
        <v>174</v>
      </c>
      <c r="C112" s="38">
        <f>[15]С4.3!E11</f>
        <v>1871</v>
      </c>
    </row>
    <row r="113" spans="1:3" x14ac:dyDescent="0.2">
      <c r="A113" s="64" t="s">
        <v>175</v>
      </c>
      <c r="B113" s="63" t="s">
        <v>176</v>
      </c>
      <c r="C113" s="57">
        <f>[15]С4.3!E12</f>
        <v>1636</v>
      </c>
    </row>
    <row r="114" spans="1:3" x14ac:dyDescent="0.2">
      <c r="A114" s="64" t="s">
        <v>177</v>
      </c>
      <c r="B114" s="63" t="s">
        <v>178</v>
      </c>
      <c r="C114" s="57">
        <f>[15]С4.3!E13</f>
        <v>204</v>
      </c>
    </row>
    <row r="115" spans="1:3" ht="30" x14ac:dyDescent="0.2">
      <c r="A115" s="64" t="s">
        <v>179</v>
      </c>
      <c r="B115" s="37" t="s">
        <v>180</v>
      </c>
      <c r="C115" s="38">
        <f>[15]С4!F27</f>
        <v>1047.1575926659227</v>
      </c>
    </row>
    <row r="116" spans="1:3" ht="25.5" x14ac:dyDescent="0.2">
      <c r="A116" s="64" t="s">
        <v>181</v>
      </c>
      <c r="B116" s="58" t="s">
        <v>182</v>
      </c>
      <c r="C116" s="38">
        <f>[15]С4!F28</f>
        <v>804.26850435170718</v>
      </c>
    </row>
    <row r="117" spans="1:3" ht="42.75" x14ac:dyDescent="0.2">
      <c r="A117" s="64" t="s">
        <v>183</v>
      </c>
      <c r="B117" s="58" t="s">
        <v>184</v>
      </c>
      <c r="C117" s="38">
        <f>[15]С4!F29</f>
        <v>242.8890883142156</v>
      </c>
    </row>
    <row r="118" spans="1:3" ht="30" x14ac:dyDescent="0.2">
      <c r="A118" s="64" t="s">
        <v>185</v>
      </c>
      <c r="B118" s="43" t="s">
        <v>186</v>
      </c>
      <c r="C118" s="38">
        <f>[15]С4!F30</f>
        <v>2083.1634335810263</v>
      </c>
    </row>
    <row r="119" spans="1:3" ht="42.75" x14ac:dyDescent="0.2">
      <c r="A119" s="64" t="s">
        <v>187</v>
      </c>
      <c r="B119" s="91" t="s">
        <v>188</v>
      </c>
      <c r="C119" s="38">
        <f>[15]С4!F33</f>
        <v>1366.0014097224848</v>
      </c>
    </row>
    <row r="120" spans="1:3" ht="30" x14ac:dyDescent="0.2">
      <c r="A120" s="64" t="s">
        <v>189</v>
      </c>
      <c r="B120" s="92" t="s">
        <v>190</v>
      </c>
      <c r="C120" s="38">
        <f>[15]С4!F35</f>
        <v>17.040680999999999</v>
      </c>
    </row>
    <row r="121" spans="1:3" ht="14.25" x14ac:dyDescent="0.2">
      <c r="A121" s="64" t="s">
        <v>191</v>
      </c>
      <c r="B121" s="61" t="s">
        <v>192</v>
      </c>
      <c r="C121" s="38">
        <f>[15]С4!F36</f>
        <v>14319.9</v>
      </c>
    </row>
    <row r="122" spans="1:3" ht="28.5" thickBot="1" x14ac:dyDescent="0.25">
      <c r="A122" s="77" t="s">
        <v>193</v>
      </c>
      <c r="B122" s="93" t="s">
        <v>194</v>
      </c>
      <c r="C122" s="88">
        <f>[15]С4!F37</f>
        <v>1.19</v>
      </c>
    </row>
    <row r="123" spans="1:3" s="94" customFormat="1" ht="13.5" thickBot="1" x14ac:dyDescent="0.25">
      <c r="A123" s="51"/>
      <c r="B123" s="80"/>
      <c r="C123" s="16"/>
    </row>
    <row r="124" spans="1:3" s="68" customFormat="1" ht="30" customHeight="1" x14ac:dyDescent="0.2">
      <c r="A124" s="81" t="s">
        <v>195</v>
      </c>
      <c r="B124" s="55" t="s">
        <v>196</v>
      </c>
      <c r="C124" s="55"/>
    </row>
    <row r="125" spans="1:3" ht="16.5" thickBot="1" x14ac:dyDescent="0.25">
      <c r="A125" s="29" t="s">
        <v>197</v>
      </c>
      <c r="B125" s="95" t="s">
        <v>198</v>
      </c>
      <c r="C125" s="88">
        <f>[15]С5!F17</f>
        <v>0.02</v>
      </c>
    </row>
    <row r="126" spans="1:3" s="94" customFormat="1" ht="13.5" thickBot="1" x14ac:dyDescent="0.25">
      <c r="A126" s="51"/>
      <c r="B126" s="80"/>
      <c r="C126" s="16"/>
    </row>
    <row r="127" spans="1:3" ht="42.75" customHeight="1" x14ac:dyDescent="0.2">
      <c r="A127" s="89" t="s">
        <v>199</v>
      </c>
      <c r="B127" s="96" t="s">
        <v>200</v>
      </c>
      <c r="C127" s="96"/>
    </row>
    <row r="128" spans="1:3" ht="68.25" x14ac:dyDescent="0.2">
      <c r="A128" s="64" t="s">
        <v>201</v>
      </c>
      <c r="B128" s="97" t="s">
        <v>202</v>
      </c>
      <c r="C128" s="38" t="s">
        <v>203</v>
      </c>
    </row>
    <row r="129" spans="1:4" ht="42.75" hidden="1" x14ac:dyDescent="0.2">
      <c r="A129" s="64" t="s">
        <v>204</v>
      </c>
      <c r="B129" s="91" t="s">
        <v>205</v>
      </c>
      <c r="C129" s="98"/>
    </row>
    <row r="130" spans="1:4" ht="69" thickBot="1" x14ac:dyDescent="0.25">
      <c r="A130" s="77" t="s">
        <v>206</v>
      </c>
      <c r="B130" s="99" t="s">
        <v>207</v>
      </c>
      <c r="C130" s="100" t="s">
        <v>203</v>
      </c>
    </row>
    <row r="131" spans="1:4" ht="62.25" hidden="1" customHeight="1" x14ac:dyDescent="0.2">
      <c r="A131" s="101" t="s">
        <v>208</v>
      </c>
      <c r="B131" s="102" t="s">
        <v>209</v>
      </c>
      <c r="C131" s="103"/>
    </row>
    <row r="132" spans="1:4" ht="68.25" hidden="1" x14ac:dyDescent="0.2">
      <c r="A132" s="64" t="s">
        <v>210</v>
      </c>
      <c r="B132" s="91" t="s">
        <v>211</v>
      </c>
      <c r="C132" s="39"/>
    </row>
    <row r="133" spans="1:4" ht="69" hidden="1" thickBot="1" x14ac:dyDescent="0.25">
      <c r="A133" s="77" t="s">
        <v>212</v>
      </c>
      <c r="B133" s="104" t="s">
        <v>213</v>
      </c>
      <c r="C133" s="79"/>
    </row>
    <row r="134" spans="1:4" s="94" customFormat="1" ht="13.5" thickBot="1" x14ac:dyDescent="0.25">
      <c r="A134" s="51"/>
      <c r="B134" s="80"/>
      <c r="C134" s="16"/>
    </row>
    <row r="135" spans="1:4" ht="26.25" customHeight="1" x14ac:dyDescent="0.2">
      <c r="A135" s="89" t="s">
        <v>214</v>
      </c>
      <c r="B135" s="105" t="s">
        <v>215</v>
      </c>
      <c r="C135" s="106">
        <f>[15]С2!F37</f>
        <v>20.818139999999996</v>
      </c>
    </row>
    <row r="136" spans="1:4" ht="14.25" x14ac:dyDescent="0.2">
      <c r="A136" s="64" t="s">
        <v>216</v>
      </c>
      <c r="B136" s="107" t="s">
        <v>217</v>
      </c>
      <c r="C136" s="38">
        <f>[15]С2!F38</f>
        <v>7</v>
      </c>
    </row>
    <row r="137" spans="1:4" ht="17.25" x14ac:dyDescent="0.2">
      <c r="A137" s="64" t="s">
        <v>218</v>
      </c>
      <c r="B137" s="107" t="s">
        <v>219</v>
      </c>
      <c r="C137" s="38">
        <f>[15]С2!F40</f>
        <v>0.97</v>
      </c>
    </row>
    <row r="138" spans="1:4" ht="15" thickBot="1" x14ac:dyDescent="0.25">
      <c r="A138" s="77" t="s">
        <v>220</v>
      </c>
      <c r="B138" s="108" t="s">
        <v>221</v>
      </c>
      <c r="C138" s="50">
        <f>[15]С2!F42</f>
        <v>0.35</v>
      </c>
    </row>
    <row r="139" spans="1:4" s="94" customFormat="1" ht="13.5" thickBot="1" x14ac:dyDescent="0.25">
      <c r="A139" s="51"/>
      <c r="B139" s="80"/>
      <c r="C139" s="16"/>
    </row>
    <row r="140" spans="1:4" ht="30" x14ac:dyDescent="0.2">
      <c r="A140" s="89" t="s">
        <v>222</v>
      </c>
      <c r="B140" s="109" t="s">
        <v>223</v>
      </c>
      <c r="C140" s="110">
        <f>[15]С2!F35</f>
        <v>1.3822747209000001</v>
      </c>
      <c r="D140" s="94"/>
    </row>
    <row r="141" spans="1:4" ht="22.7" customHeight="1" thickBot="1" x14ac:dyDescent="0.25">
      <c r="A141" s="77" t="s">
        <v>224</v>
      </c>
      <c r="B141" s="111" t="s">
        <v>225</v>
      </c>
      <c r="C141" s="111"/>
      <c r="D141" s="94"/>
    </row>
    <row r="142" spans="1:4" ht="13.5" thickBot="1" x14ac:dyDescent="0.25">
      <c r="A142" s="112"/>
      <c r="B142" s="113" t="s">
        <v>226</v>
      </c>
      <c r="C142" s="114"/>
      <c r="D142" s="94"/>
    </row>
    <row r="143" spans="1:4" x14ac:dyDescent="0.2">
      <c r="A143" s="112"/>
      <c r="B143" s="115">
        <v>2020</v>
      </c>
      <c r="C143" s="116">
        <f>[15]С2.5!$E$11</f>
        <v>-2.9000000000000026E-2</v>
      </c>
      <c r="D143" s="94"/>
    </row>
    <row r="144" spans="1:4" x14ac:dyDescent="0.2">
      <c r="A144" s="112"/>
      <c r="B144" s="117">
        <f>B143+1</f>
        <v>2021</v>
      </c>
      <c r="C144" s="118">
        <f>[15]С2.5!$F$11</f>
        <v>0.245</v>
      </c>
      <c r="D144" s="94"/>
    </row>
    <row r="145" spans="1:4" x14ac:dyDescent="0.2">
      <c r="A145" s="112"/>
      <c r="B145" s="117">
        <f t="shared" ref="B145:B208" si="0">B144+1</f>
        <v>2022</v>
      </c>
      <c r="C145" s="118">
        <f>[15]С2.5!$G$11</f>
        <v>0.121</v>
      </c>
      <c r="D145" s="94"/>
    </row>
    <row r="146" spans="1:4" ht="13.5" thickBot="1" x14ac:dyDescent="0.25">
      <c r="A146" s="112"/>
      <c r="B146" s="119">
        <f t="shared" si="0"/>
        <v>2023</v>
      </c>
      <c r="C146" s="120">
        <f>[15]С2.5!$H$11</f>
        <v>0.02</v>
      </c>
      <c r="D146" s="94"/>
    </row>
    <row r="147" spans="1:4" hidden="1" x14ac:dyDescent="0.2">
      <c r="A147" s="112"/>
      <c r="B147" s="121">
        <f t="shared" si="0"/>
        <v>2024</v>
      </c>
      <c r="C147" s="122">
        <f>[15]С2.5!$I$11</f>
        <v>-2.93E-2</v>
      </c>
      <c r="D147" s="94"/>
    </row>
    <row r="148" spans="1:4" hidden="1" x14ac:dyDescent="0.2">
      <c r="A148" s="112"/>
      <c r="B148" s="117">
        <f t="shared" si="0"/>
        <v>2025</v>
      </c>
      <c r="C148" s="118">
        <f>[15]С2.5!$J$11</f>
        <v>0.21215960863291</v>
      </c>
      <c r="D148" s="94"/>
    </row>
    <row r="149" spans="1:4" hidden="1" x14ac:dyDescent="0.2">
      <c r="A149" s="112"/>
      <c r="B149" s="117">
        <f t="shared" si="0"/>
        <v>2026</v>
      </c>
      <c r="C149" s="118">
        <f>[15]С2.5!$K$11</f>
        <v>3.5813361771260002E-2</v>
      </c>
      <c r="D149" s="94"/>
    </row>
    <row r="150" spans="1:4" hidden="1" x14ac:dyDescent="0.2">
      <c r="A150" s="112"/>
      <c r="B150" s="117">
        <f t="shared" si="0"/>
        <v>2027</v>
      </c>
      <c r="C150" s="118">
        <f>[15]С2.5!$L$11</f>
        <v>3.2682303599220003E-2</v>
      </c>
      <c r="D150" s="94"/>
    </row>
    <row r="151" spans="1:4" hidden="1" x14ac:dyDescent="0.2">
      <c r="A151" s="112"/>
      <c r="B151" s="117">
        <f t="shared" si="0"/>
        <v>2028</v>
      </c>
      <c r="C151" s="118">
        <f>[15]С2.5!$M$11</f>
        <v>0</v>
      </c>
      <c r="D151" s="94"/>
    </row>
    <row r="152" spans="1:4" hidden="1" x14ac:dyDescent="0.2">
      <c r="A152" s="112"/>
      <c r="B152" s="117">
        <f t="shared" si="0"/>
        <v>2029</v>
      </c>
      <c r="C152" s="118">
        <f>[15]С2.5!$N$11</f>
        <v>0</v>
      </c>
      <c r="D152" s="94"/>
    </row>
    <row r="153" spans="1:4" hidden="1" x14ac:dyDescent="0.2">
      <c r="A153" s="112"/>
      <c r="B153" s="117">
        <f t="shared" si="0"/>
        <v>2030</v>
      </c>
      <c r="C153" s="118">
        <f>[15]С2.5!$O$11</f>
        <v>0</v>
      </c>
      <c r="D153" s="94"/>
    </row>
    <row r="154" spans="1:4" hidden="1" x14ac:dyDescent="0.2">
      <c r="A154" s="112"/>
      <c r="B154" s="117">
        <f t="shared" si="0"/>
        <v>2031</v>
      </c>
      <c r="C154" s="118">
        <f>[15]С2.5!$P$11</f>
        <v>0</v>
      </c>
      <c r="D154" s="94"/>
    </row>
    <row r="155" spans="1:4" hidden="1" x14ac:dyDescent="0.2">
      <c r="A155" s="94"/>
      <c r="B155" s="117">
        <f t="shared" si="0"/>
        <v>2032</v>
      </c>
      <c r="C155" s="118">
        <f>[15]С2.5!$Q$11</f>
        <v>0</v>
      </c>
      <c r="D155" s="94"/>
    </row>
    <row r="156" spans="1:4" hidden="1" x14ac:dyDescent="0.2">
      <c r="A156" s="94"/>
      <c r="B156" s="117">
        <f t="shared" si="0"/>
        <v>2033</v>
      </c>
      <c r="C156" s="118">
        <f>[15]С2.5!$R$11</f>
        <v>0</v>
      </c>
      <c r="D156" s="94"/>
    </row>
    <row r="157" spans="1:4" hidden="1" x14ac:dyDescent="0.2">
      <c r="B157" s="117">
        <f t="shared" si="0"/>
        <v>2034</v>
      </c>
      <c r="C157" s="118">
        <f>[15]С2.5!$S$11</f>
        <v>0</v>
      </c>
    </row>
    <row r="158" spans="1:4" hidden="1" x14ac:dyDescent="0.2">
      <c r="B158" s="117">
        <f t="shared" si="0"/>
        <v>2035</v>
      </c>
      <c r="C158" s="118">
        <f>[15]С2.5!$T$11</f>
        <v>0</v>
      </c>
    </row>
    <row r="159" spans="1:4" hidden="1" x14ac:dyDescent="0.2">
      <c r="B159" s="117">
        <f t="shared" si="0"/>
        <v>2036</v>
      </c>
      <c r="C159" s="118">
        <f>[15]С2.5!$U$11</f>
        <v>0</v>
      </c>
    </row>
    <row r="160" spans="1:4" hidden="1" x14ac:dyDescent="0.2">
      <c r="B160" s="117">
        <f t="shared" si="0"/>
        <v>2037</v>
      </c>
      <c r="C160" s="118">
        <f>[15]С2.5!$V$11</f>
        <v>0</v>
      </c>
    </row>
    <row r="161" spans="2:3" hidden="1" x14ac:dyDescent="0.2">
      <c r="B161" s="117">
        <f t="shared" si="0"/>
        <v>2038</v>
      </c>
      <c r="C161" s="118">
        <f>[15]С2.5!$W$11</f>
        <v>0</v>
      </c>
    </row>
    <row r="162" spans="2:3" hidden="1" x14ac:dyDescent="0.2">
      <c r="B162" s="117">
        <f t="shared" si="0"/>
        <v>2039</v>
      </c>
      <c r="C162" s="118">
        <f>[15]С2.5!$X$11</f>
        <v>0</v>
      </c>
    </row>
    <row r="163" spans="2:3" hidden="1" x14ac:dyDescent="0.2">
      <c r="B163" s="117">
        <f t="shared" si="0"/>
        <v>2040</v>
      </c>
      <c r="C163" s="118">
        <f>[15]С2.5!$Y$11</f>
        <v>0</v>
      </c>
    </row>
    <row r="164" spans="2:3" hidden="1" x14ac:dyDescent="0.2">
      <c r="B164" s="117">
        <f t="shared" si="0"/>
        <v>2041</v>
      </c>
      <c r="C164" s="118">
        <f>[15]С2.5!$Z$11</f>
        <v>0</v>
      </c>
    </row>
    <row r="165" spans="2:3" hidden="1" x14ac:dyDescent="0.2">
      <c r="B165" s="117">
        <f t="shared" si="0"/>
        <v>2042</v>
      </c>
      <c r="C165" s="118">
        <f>[15]С2.5!$AA$11</f>
        <v>0</v>
      </c>
    </row>
    <row r="166" spans="2:3" hidden="1" x14ac:dyDescent="0.2">
      <c r="B166" s="117">
        <f t="shared" si="0"/>
        <v>2043</v>
      </c>
      <c r="C166" s="118">
        <f>[15]С2.5!$AB$11</f>
        <v>0</v>
      </c>
    </row>
    <row r="167" spans="2:3" hidden="1" x14ac:dyDescent="0.2">
      <c r="B167" s="117">
        <f t="shared" si="0"/>
        <v>2044</v>
      </c>
      <c r="C167" s="118">
        <f>[15]С2.5!$AC$11</f>
        <v>0</v>
      </c>
    </row>
    <row r="168" spans="2:3" hidden="1" x14ac:dyDescent="0.2">
      <c r="B168" s="117">
        <f t="shared" si="0"/>
        <v>2045</v>
      </c>
      <c r="C168" s="118">
        <f>[15]С2.5!$AD$11</f>
        <v>0</v>
      </c>
    </row>
    <row r="169" spans="2:3" hidden="1" x14ac:dyDescent="0.2">
      <c r="B169" s="117">
        <f t="shared" si="0"/>
        <v>2046</v>
      </c>
      <c r="C169" s="118">
        <f>[15]С2.5!$AE$11</f>
        <v>0</v>
      </c>
    </row>
    <row r="170" spans="2:3" hidden="1" x14ac:dyDescent="0.2">
      <c r="B170" s="117">
        <f t="shared" si="0"/>
        <v>2047</v>
      </c>
      <c r="C170" s="118">
        <f>[15]С2.5!$AF$11</f>
        <v>0</v>
      </c>
    </row>
    <row r="171" spans="2:3" hidden="1" x14ac:dyDescent="0.2">
      <c r="B171" s="117">
        <f t="shared" si="0"/>
        <v>2048</v>
      </c>
      <c r="C171" s="118">
        <f>[15]С2.5!$AG$11</f>
        <v>0</v>
      </c>
    </row>
    <row r="172" spans="2:3" hidden="1" x14ac:dyDescent="0.2">
      <c r="B172" s="117">
        <f t="shared" si="0"/>
        <v>2049</v>
      </c>
      <c r="C172" s="118">
        <f>[15]С2.5!$AH$11</f>
        <v>0</v>
      </c>
    </row>
    <row r="173" spans="2:3" hidden="1" x14ac:dyDescent="0.2">
      <c r="B173" s="117">
        <f t="shared" si="0"/>
        <v>2050</v>
      </c>
      <c r="C173" s="118">
        <f>[15]С2.5!$AI$11</f>
        <v>0</v>
      </c>
    </row>
    <row r="174" spans="2:3" hidden="1" x14ac:dyDescent="0.2">
      <c r="B174" s="117">
        <f t="shared" si="0"/>
        <v>2051</v>
      </c>
      <c r="C174" s="118">
        <f>[15]С2.5!$AJ$11</f>
        <v>0</v>
      </c>
    </row>
    <row r="175" spans="2:3" hidden="1" x14ac:dyDescent="0.2">
      <c r="B175" s="117">
        <f t="shared" si="0"/>
        <v>2052</v>
      </c>
      <c r="C175" s="118">
        <f>[15]С2.5!$AK$11</f>
        <v>0</v>
      </c>
    </row>
    <row r="176" spans="2:3" hidden="1" x14ac:dyDescent="0.2">
      <c r="B176" s="117">
        <f t="shared" si="0"/>
        <v>2053</v>
      </c>
      <c r="C176" s="118">
        <f>[15]С2.5!$AL$11</f>
        <v>0</v>
      </c>
    </row>
    <row r="177" spans="2:3" hidden="1" x14ac:dyDescent="0.2">
      <c r="B177" s="117">
        <f t="shared" si="0"/>
        <v>2054</v>
      </c>
      <c r="C177" s="118">
        <f>[15]С2.5!$AM$11</f>
        <v>0</v>
      </c>
    </row>
    <row r="178" spans="2:3" hidden="1" x14ac:dyDescent="0.2">
      <c r="B178" s="117">
        <f t="shared" si="0"/>
        <v>2055</v>
      </c>
      <c r="C178" s="118">
        <f>[15]С2.5!$AN$11</f>
        <v>0</v>
      </c>
    </row>
    <row r="179" spans="2:3" hidden="1" x14ac:dyDescent="0.2">
      <c r="B179" s="117">
        <f t="shared" si="0"/>
        <v>2056</v>
      </c>
      <c r="C179" s="118">
        <f>[15]С2.5!$AO$11</f>
        <v>0</v>
      </c>
    </row>
    <row r="180" spans="2:3" hidden="1" x14ac:dyDescent="0.2">
      <c r="B180" s="117">
        <f t="shared" si="0"/>
        <v>2057</v>
      </c>
      <c r="C180" s="118">
        <f>[15]С2.5!$AP$11</f>
        <v>0</v>
      </c>
    </row>
    <row r="181" spans="2:3" hidden="1" x14ac:dyDescent="0.2">
      <c r="B181" s="117">
        <f t="shared" si="0"/>
        <v>2058</v>
      </c>
      <c r="C181" s="118">
        <f>[15]С2.5!$AQ$11</f>
        <v>0</v>
      </c>
    </row>
    <row r="182" spans="2:3" hidden="1" x14ac:dyDescent="0.2">
      <c r="B182" s="117">
        <f t="shared" si="0"/>
        <v>2059</v>
      </c>
      <c r="C182" s="118">
        <f>[15]С2.5!$AR$11</f>
        <v>0</v>
      </c>
    </row>
    <row r="183" spans="2:3" hidden="1" x14ac:dyDescent="0.2">
      <c r="B183" s="117">
        <f t="shared" si="0"/>
        <v>2060</v>
      </c>
      <c r="C183" s="118">
        <f>[15]С2.5!$AS$11</f>
        <v>0</v>
      </c>
    </row>
    <row r="184" spans="2:3" hidden="1" x14ac:dyDescent="0.2">
      <c r="B184" s="117">
        <f t="shared" si="0"/>
        <v>2061</v>
      </c>
      <c r="C184" s="118">
        <f>[15]С2.5!$AT$11</f>
        <v>0</v>
      </c>
    </row>
    <row r="185" spans="2:3" hidden="1" x14ac:dyDescent="0.2">
      <c r="B185" s="117">
        <f t="shared" si="0"/>
        <v>2062</v>
      </c>
      <c r="C185" s="118">
        <f>[15]С2.5!$AU$11</f>
        <v>0</v>
      </c>
    </row>
    <row r="186" spans="2:3" hidden="1" x14ac:dyDescent="0.2">
      <c r="B186" s="117">
        <f t="shared" si="0"/>
        <v>2063</v>
      </c>
      <c r="C186" s="118">
        <f>[15]С2.5!$AV$11</f>
        <v>0</v>
      </c>
    </row>
    <row r="187" spans="2:3" hidden="1" x14ac:dyDescent="0.2">
      <c r="B187" s="117">
        <f t="shared" si="0"/>
        <v>2064</v>
      </c>
      <c r="C187" s="118">
        <f>[15]С2.5!$AW$11</f>
        <v>0</v>
      </c>
    </row>
    <row r="188" spans="2:3" hidden="1" x14ac:dyDescent="0.2">
      <c r="B188" s="117">
        <f t="shared" si="0"/>
        <v>2065</v>
      </c>
      <c r="C188" s="118">
        <f>[15]С2.5!$AX$11</f>
        <v>0</v>
      </c>
    </row>
    <row r="189" spans="2:3" hidden="1" x14ac:dyDescent="0.2">
      <c r="B189" s="117">
        <f t="shared" si="0"/>
        <v>2066</v>
      </c>
      <c r="C189" s="118">
        <f>[15]С2.5!$AY$11</f>
        <v>0</v>
      </c>
    </row>
    <row r="190" spans="2:3" hidden="1" x14ac:dyDescent="0.2">
      <c r="B190" s="117">
        <f t="shared" si="0"/>
        <v>2067</v>
      </c>
      <c r="C190" s="118">
        <f>[15]С2.5!$AZ$11</f>
        <v>0</v>
      </c>
    </row>
    <row r="191" spans="2:3" hidden="1" x14ac:dyDescent="0.2">
      <c r="B191" s="117">
        <f t="shared" si="0"/>
        <v>2068</v>
      </c>
      <c r="C191" s="118">
        <f>[15]С2.5!$BA$11</f>
        <v>0</v>
      </c>
    </row>
    <row r="192" spans="2:3" hidden="1" x14ac:dyDescent="0.2">
      <c r="B192" s="117">
        <f t="shared" si="0"/>
        <v>2069</v>
      </c>
      <c r="C192" s="118">
        <f>[15]С2.5!$BB$11</f>
        <v>0</v>
      </c>
    </row>
    <row r="193" spans="2:3" hidden="1" x14ac:dyDescent="0.2">
      <c r="B193" s="117">
        <f t="shared" si="0"/>
        <v>2070</v>
      </c>
      <c r="C193" s="118">
        <f>[15]С2.5!$BC$11</f>
        <v>0</v>
      </c>
    </row>
    <row r="194" spans="2:3" hidden="1" x14ac:dyDescent="0.2">
      <c r="B194" s="117">
        <f t="shared" si="0"/>
        <v>2071</v>
      </c>
      <c r="C194" s="118">
        <f>[15]С2.5!$BD$11</f>
        <v>0</v>
      </c>
    </row>
    <row r="195" spans="2:3" hidden="1" x14ac:dyDescent="0.2">
      <c r="B195" s="117">
        <f t="shared" si="0"/>
        <v>2072</v>
      </c>
      <c r="C195" s="118">
        <f>[15]С2.5!$BE$11</f>
        <v>0</v>
      </c>
    </row>
    <row r="196" spans="2:3" hidden="1" x14ac:dyDescent="0.2">
      <c r="B196" s="117">
        <f t="shared" si="0"/>
        <v>2073</v>
      </c>
      <c r="C196" s="118">
        <f>[15]С2.5!$BF$11</f>
        <v>0</v>
      </c>
    </row>
    <row r="197" spans="2:3" hidden="1" x14ac:dyDescent="0.2">
      <c r="B197" s="117">
        <f t="shared" si="0"/>
        <v>2074</v>
      </c>
      <c r="C197" s="118">
        <f>[15]С2.5!$BG$11</f>
        <v>0</v>
      </c>
    </row>
    <row r="198" spans="2:3" hidden="1" x14ac:dyDescent="0.2">
      <c r="B198" s="117">
        <f t="shared" si="0"/>
        <v>2075</v>
      </c>
      <c r="C198" s="118">
        <f>[15]С2.5!$BH$11</f>
        <v>0</v>
      </c>
    </row>
    <row r="199" spans="2:3" hidden="1" x14ac:dyDescent="0.2">
      <c r="B199" s="117">
        <f t="shared" si="0"/>
        <v>2076</v>
      </c>
      <c r="C199" s="118">
        <f>[15]С2.5!$BI$11</f>
        <v>0</v>
      </c>
    </row>
    <row r="200" spans="2:3" hidden="1" x14ac:dyDescent="0.2">
      <c r="B200" s="117">
        <f t="shared" si="0"/>
        <v>2077</v>
      </c>
      <c r="C200" s="118">
        <f>[15]С2.5!$BJ$11</f>
        <v>0</v>
      </c>
    </row>
    <row r="201" spans="2:3" hidden="1" x14ac:dyDescent="0.2">
      <c r="B201" s="117">
        <f t="shared" si="0"/>
        <v>2078</v>
      </c>
      <c r="C201" s="118">
        <f>[15]С2.5!$BK$11</f>
        <v>0</v>
      </c>
    </row>
    <row r="202" spans="2:3" hidden="1" x14ac:dyDescent="0.2">
      <c r="B202" s="117">
        <f t="shared" si="0"/>
        <v>2079</v>
      </c>
      <c r="C202" s="118">
        <f>[15]С2.5!$BL$11</f>
        <v>0</v>
      </c>
    </row>
    <row r="203" spans="2:3" hidden="1" x14ac:dyDescent="0.2">
      <c r="B203" s="117">
        <f t="shared" si="0"/>
        <v>2080</v>
      </c>
      <c r="C203" s="118">
        <f>[15]С2.5!$BM$11</f>
        <v>0</v>
      </c>
    </row>
    <row r="204" spans="2:3" hidden="1" x14ac:dyDescent="0.2">
      <c r="B204" s="117">
        <f t="shared" si="0"/>
        <v>2081</v>
      </c>
      <c r="C204" s="118">
        <f>[15]С2.5!$BN$11</f>
        <v>0</v>
      </c>
    </row>
    <row r="205" spans="2:3" hidden="1" x14ac:dyDescent="0.2">
      <c r="B205" s="117">
        <f t="shared" si="0"/>
        <v>2082</v>
      </c>
      <c r="C205" s="118">
        <f>[15]С2.5!$BO$11</f>
        <v>0</v>
      </c>
    </row>
    <row r="206" spans="2:3" hidden="1" x14ac:dyDescent="0.2">
      <c r="B206" s="117">
        <f t="shared" si="0"/>
        <v>2083</v>
      </c>
      <c r="C206" s="118">
        <f>[15]С2.5!$BP$11</f>
        <v>0</v>
      </c>
    </row>
    <row r="207" spans="2:3" hidden="1" x14ac:dyDescent="0.2">
      <c r="B207" s="117">
        <f t="shared" si="0"/>
        <v>2084</v>
      </c>
      <c r="C207" s="118">
        <f>[15]С2.5!$BQ$11</f>
        <v>0</v>
      </c>
    </row>
    <row r="208" spans="2:3" hidden="1" x14ac:dyDescent="0.2">
      <c r="B208" s="117">
        <f t="shared" si="0"/>
        <v>2085</v>
      </c>
      <c r="C208" s="118">
        <f>[15]С2.5!$BR$11</f>
        <v>0</v>
      </c>
    </row>
    <row r="209" spans="2:3" hidden="1" x14ac:dyDescent="0.2">
      <c r="B209" s="117">
        <f t="shared" ref="B209:B223" si="1">B208+1</f>
        <v>2086</v>
      </c>
      <c r="C209" s="118">
        <f>[15]С2.5!$BS$11</f>
        <v>0</v>
      </c>
    </row>
    <row r="210" spans="2:3" hidden="1" x14ac:dyDescent="0.2">
      <c r="B210" s="117">
        <f t="shared" si="1"/>
        <v>2087</v>
      </c>
      <c r="C210" s="118">
        <f>[15]С2.5!$BT$11</f>
        <v>0</v>
      </c>
    </row>
    <row r="211" spans="2:3" hidden="1" x14ac:dyDescent="0.2">
      <c r="B211" s="117">
        <f t="shared" si="1"/>
        <v>2088</v>
      </c>
      <c r="C211" s="118">
        <f>[15]С2.5!$BU$11</f>
        <v>0</v>
      </c>
    </row>
    <row r="212" spans="2:3" hidden="1" x14ac:dyDescent="0.2">
      <c r="B212" s="117">
        <f t="shared" si="1"/>
        <v>2089</v>
      </c>
      <c r="C212" s="118">
        <f>[15]С2.5!$BV$11</f>
        <v>0</v>
      </c>
    </row>
    <row r="213" spans="2:3" hidden="1" x14ac:dyDescent="0.2">
      <c r="B213" s="117">
        <f t="shared" si="1"/>
        <v>2090</v>
      </c>
      <c r="C213" s="118">
        <f>[15]С2.5!$BW$11</f>
        <v>0</v>
      </c>
    </row>
    <row r="214" spans="2:3" hidden="1" x14ac:dyDescent="0.2">
      <c r="B214" s="117">
        <f t="shared" si="1"/>
        <v>2091</v>
      </c>
      <c r="C214" s="118">
        <f>[15]С2.5!$BX$11</f>
        <v>0</v>
      </c>
    </row>
    <row r="215" spans="2:3" hidden="1" x14ac:dyDescent="0.2">
      <c r="B215" s="117">
        <f t="shared" si="1"/>
        <v>2092</v>
      </c>
      <c r="C215" s="118">
        <f>[15]С2.5!$BY$11</f>
        <v>0</v>
      </c>
    </row>
    <row r="216" spans="2:3" hidden="1" x14ac:dyDescent="0.2">
      <c r="B216" s="117">
        <f t="shared" si="1"/>
        <v>2093</v>
      </c>
      <c r="C216" s="118">
        <f>[15]С2.5!$BZ$11</f>
        <v>0</v>
      </c>
    </row>
    <row r="217" spans="2:3" hidden="1" x14ac:dyDescent="0.2">
      <c r="B217" s="117">
        <f t="shared" si="1"/>
        <v>2094</v>
      </c>
      <c r="C217" s="118">
        <f>[15]С2.5!$CA$11</f>
        <v>0</v>
      </c>
    </row>
    <row r="218" spans="2:3" hidden="1" x14ac:dyDescent="0.2">
      <c r="B218" s="117">
        <f t="shared" si="1"/>
        <v>2095</v>
      </c>
      <c r="C218" s="118">
        <f>[15]С2.5!$CB$11</f>
        <v>0</v>
      </c>
    </row>
    <row r="219" spans="2:3" hidden="1" x14ac:dyDescent="0.2">
      <c r="B219" s="117">
        <f t="shared" si="1"/>
        <v>2096</v>
      </c>
      <c r="C219" s="118">
        <f>[15]С2.5!$CC$11</f>
        <v>0</v>
      </c>
    </row>
    <row r="220" spans="2:3" hidden="1" x14ac:dyDescent="0.2">
      <c r="B220" s="117">
        <f t="shared" si="1"/>
        <v>2097</v>
      </c>
      <c r="C220" s="118">
        <f>[15]С2.5!$CD$11</f>
        <v>0</v>
      </c>
    </row>
    <row r="221" spans="2:3" hidden="1" x14ac:dyDescent="0.2">
      <c r="B221" s="117">
        <f t="shared" si="1"/>
        <v>2098</v>
      </c>
      <c r="C221" s="118">
        <f>[15]С2.5!$CE$11</f>
        <v>0</v>
      </c>
    </row>
    <row r="222" spans="2:3" hidden="1" x14ac:dyDescent="0.2">
      <c r="B222" s="117">
        <f t="shared" si="1"/>
        <v>2099</v>
      </c>
      <c r="C222" s="118">
        <f>[15]С2.5!$CF$11</f>
        <v>0</v>
      </c>
    </row>
    <row r="223" spans="2:3" ht="13.5" hidden="1" thickBot="1" x14ac:dyDescent="0.25">
      <c r="B223" s="119">
        <f t="shared" si="1"/>
        <v>2100</v>
      </c>
      <c r="C223" s="120">
        <f>[15]С2.5!$CG$11</f>
        <v>0</v>
      </c>
    </row>
    <row r="224" spans="2:3" hidden="1" x14ac:dyDescent="0.2">
      <c r="C224" s="123"/>
    </row>
    <row r="225" spans="3:3" hidden="1" x14ac:dyDescent="0.2">
      <c r="C225" s="123"/>
    </row>
    <row r="226" spans="3:3" x14ac:dyDescent="0.2">
      <c r="C226" s="123"/>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5361" r:id="rId3" name="Button 1">
              <controlPr defaultSize="0" print="0" autoFill="0" autoPict="0" macro="[1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15</vt:i4>
      </vt:variant>
    </vt:vector>
  </HeadingPairs>
  <TitlesOfParts>
    <vt:vector size="15" baseType="lpstr">
      <vt:lpstr>р.п. Сузун</vt:lpstr>
      <vt:lpstr>Битковский</vt:lpstr>
      <vt:lpstr>Бобровский</vt:lpstr>
      <vt:lpstr>Болтовский</vt:lpstr>
      <vt:lpstr>Верх-Сузунский</vt:lpstr>
      <vt:lpstr>Заковряженский</vt:lpstr>
      <vt:lpstr>Каргаполовский</vt:lpstr>
      <vt:lpstr>Ключиковский</vt:lpstr>
      <vt:lpstr>Маюровский</vt:lpstr>
      <vt:lpstr>Малышевский</vt:lpstr>
      <vt:lpstr>Меретский</vt:lpstr>
      <vt:lpstr>Мышланский</vt:lpstr>
      <vt:lpstr>Шайдуровский</vt:lpstr>
      <vt:lpstr>Шарчинский</vt:lpstr>
      <vt:lpstr>Шипуновский</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Ерыгина</dc:creator>
  <cp:lastModifiedBy>Ерыгина</cp:lastModifiedBy>
  <dcterms:created xsi:type="dcterms:W3CDTF">2023-01-18T08:05:00Z</dcterms:created>
  <dcterms:modified xsi:type="dcterms:W3CDTF">2023-01-18T08:21:36Z</dcterms:modified>
</cp:coreProperties>
</file>