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6.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7.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8.xml" ContentType="application/vnd.openxmlformats-officedocument.drawing+xml"/>
  <Override PartName="/xl/ctrlProps/ctrlProp15.xml" ContentType="application/vnd.ms-excel.controlproperties+xml"/>
  <Override PartName="/xl/ctrlProps/ctrlProp16.xml" ContentType="application/vnd.ms-excel.controlproperties+xml"/>
  <Override PartName="/xl/drawings/drawing9.xml" ContentType="application/vnd.openxmlformats-officedocument.drawing+xml"/>
  <Override PartName="/xl/ctrlProps/ctrlProp17.xml" ContentType="application/vnd.ms-excel.controlproperties+xml"/>
  <Override PartName="/xl/ctrlProps/ctrlProp18.xml" ContentType="application/vnd.ms-excel.controlproperties+xml"/>
  <Override PartName="/xl/drawings/drawing10.xml" ContentType="application/vnd.openxmlformats-officedocument.drawing+xml"/>
  <Override PartName="/xl/ctrlProps/ctrlProp19.xml" ContentType="application/vnd.ms-excel.controlproperties+xml"/>
  <Override PartName="/xl/ctrlProps/ctrlProp20.xml" ContentType="application/vnd.ms-excel.controlproperties+xml"/>
  <Override PartName="/xl/drawings/drawing11.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2.xml" ContentType="application/vnd.openxmlformats-officedocument.drawing+xml"/>
  <Override PartName="/xl/ctrlProps/ctrlProp23.xml" ContentType="application/vnd.ms-excel.controlproperties+xml"/>
  <Override PartName="/xl/ctrlProps/ctrlProp24.xml" ContentType="application/vnd.ms-excel.controlproperties+xml"/>
  <Override PartName="/xl/drawings/drawing13.xml" ContentType="application/vnd.openxmlformats-officedocument.drawing+xml"/>
  <Override PartName="/xl/ctrlProps/ctrlProp25.xml" ContentType="application/vnd.ms-excel.controlproperties+xml"/>
  <Override PartName="/xl/ctrlProps/ctrlProp26.xml" ContentType="application/vnd.ms-excel.controlproperties+xml"/>
  <Override PartName="/xl/drawings/drawing14.xml" ContentType="application/vnd.openxmlformats-officedocument.drawing+xml"/>
  <Override PartName="/xl/ctrlProps/ctrlProp27.xml" ContentType="application/vnd.ms-excel.controlproperties+xml"/>
  <Override PartName="/xl/ctrlProps/ctrlProp28.xml" ContentType="application/vnd.ms-excel.controlproperties+xml"/>
  <Override PartName="/xl/drawings/drawing15.xml" ContentType="application/vnd.openxmlformats-officedocument.drawing+xml"/>
  <Override PartName="/xl/ctrlProps/ctrlProp29.xml" ContentType="application/vnd.ms-excel.controlproperties+xml"/>
  <Override PartName="/xl/ctrlProps/ctrlProp3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35" windowWidth="27795" windowHeight="13620" tabRatio="792" firstSheet="1" activeTab="13"/>
  </bookViews>
  <sheets>
    <sheet name="р.п. Сузун" sheetId="1" r:id="rId1"/>
    <sheet name="Битковский" sheetId="2" r:id="rId2"/>
    <sheet name="Бобровский" sheetId="3" r:id="rId3"/>
    <sheet name="Болтовский" sheetId="4" r:id="rId4"/>
    <sheet name="Верх-Сузунский" sheetId="5" r:id="rId5"/>
    <sheet name="Заковряженский" sheetId="6" r:id="rId6"/>
    <sheet name="Каргаполовский" sheetId="7" r:id="rId7"/>
    <sheet name="Ключиковский" sheetId="8" r:id="rId8"/>
    <sheet name="Маюровский" sheetId="9" r:id="rId9"/>
    <sheet name="Малышевский" sheetId="11" r:id="rId10"/>
    <sheet name="Меретский" sheetId="10" r:id="rId11"/>
    <sheet name="Мышланский" sheetId="12" r:id="rId12"/>
    <sheet name="Шайдуровский" sheetId="13" r:id="rId13"/>
    <sheet name="Шарчинский" sheetId="14" r:id="rId14"/>
    <sheet name="Шипуновский" sheetId="15"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s>
  <calcPr calcId="145621"/>
</workbook>
</file>

<file path=xl/calcChain.xml><?xml version="1.0" encoding="utf-8"?>
<calcChain xmlns="http://schemas.openxmlformats.org/spreadsheetml/2006/main">
  <c r="C223" i="15" l="1"/>
  <c r="C222" i="15"/>
  <c r="C221" i="15"/>
  <c r="C220" i="15"/>
  <c r="C219" i="15"/>
  <c r="C218" i="15"/>
  <c r="C217" i="15"/>
  <c r="C216" i="15"/>
  <c r="C215" i="15"/>
  <c r="C214" i="15"/>
  <c r="C213" i="15"/>
  <c r="C212" i="15"/>
  <c r="C211" i="15"/>
  <c r="C210" i="15"/>
  <c r="C209" i="15"/>
  <c r="C208" i="15"/>
  <c r="C207" i="15"/>
  <c r="C206" i="15"/>
  <c r="C205" i="15"/>
  <c r="C204" i="15"/>
  <c r="C203" i="15"/>
  <c r="C202" i="15"/>
  <c r="C201" i="15"/>
  <c r="C200" i="15"/>
  <c r="C199" i="15"/>
  <c r="C198" i="15"/>
  <c r="C197" i="15"/>
  <c r="C196" i="15"/>
  <c r="C195" i="15"/>
  <c r="C194" i="15"/>
  <c r="C193" i="15"/>
  <c r="C192" i="15"/>
  <c r="C191" i="15"/>
  <c r="C190" i="15"/>
  <c r="C189" i="15"/>
  <c r="C188" i="15"/>
  <c r="C187" i="15"/>
  <c r="C186" i="15"/>
  <c r="C185" i="15"/>
  <c r="C184" i="15"/>
  <c r="C183" i="15"/>
  <c r="C182" i="15"/>
  <c r="C181" i="15"/>
  <c r="C180" i="15"/>
  <c r="C179" i="15"/>
  <c r="C178" i="15"/>
  <c r="C177" i="15"/>
  <c r="C176" i="15"/>
  <c r="C175" i="15"/>
  <c r="C174" i="15"/>
  <c r="C173" i="15"/>
  <c r="C172" i="15"/>
  <c r="C171" i="15"/>
  <c r="C170" i="15"/>
  <c r="C169" i="15"/>
  <c r="C168" i="15"/>
  <c r="C167" i="15"/>
  <c r="C166" i="15"/>
  <c r="C165" i="15"/>
  <c r="C164" i="15"/>
  <c r="C163" i="15"/>
  <c r="C162" i="15"/>
  <c r="C161" i="15"/>
  <c r="C160" i="15"/>
  <c r="C159" i="15"/>
  <c r="C158" i="15"/>
  <c r="C157" i="15"/>
  <c r="C156" i="15"/>
  <c r="C155" i="15"/>
  <c r="C154" i="15"/>
  <c r="C153" i="15"/>
  <c r="C152" i="15"/>
  <c r="C151" i="15"/>
  <c r="C150" i="15"/>
  <c r="C149" i="15"/>
  <c r="C148" i="15"/>
  <c r="C147" i="15"/>
  <c r="C146" i="15"/>
  <c r="C145" i="15"/>
  <c r="C144" i="15"/>
  <c r="B144" i="15"/>
  <c r="B145" i="15" s="1"/>
  <c r="B146" i="15" s="1"/>
  <c r="B147" i="15" s="1"/>
  <c r="B148" i="15" s="1"/>
  <c r="B149" i="15" s="1"/>
  <c r="B150" i="15" s="1"/>
  <c r="B151" i="15" s="1"/>
  <c r="B152" i="15" s="1"/>
  <c r="B153" i="15" s="1"/>
  <c r="B154" i="15" s="1"/>
  <c r="B155" i="15" s="1"/>
  <c r="B156" i="15" s="1"/>
  <c r="B157" i="15" s="1"/>
  <c r="B158" i="15" s="1"/>
  <c r="B159" i="15" s="1"/>
  <c r="B160" i="15" s="1"/>
  <c r="B161" i="15" s="1"/>
  <c r="B162" i="15" s="1"/>
  <c r="B163" i="15" s="1"/>
  <c r="B164" i="15" s="1"/>
  <c r="B165" i="15" s="1"/>
  <c r="B166" i="15" s="1"/>
  <c r="B167" i="15" s="1"/>
  <c r="B168" i="15" s="1"/>
  <c r="B169" i="15" s="1"/>
  <c r="B170" i="15" s="1"/>
  <c r="B171" i="15" s="1"/>
  <c r="B172" i="15" s="1"/>
  <c r="B173" i="15" s="1"/>
  <c r="B174" i="15" s="1"/>
  <c r="B175" i="15" s="1"/>
  <c r="B176" i="15" s="1"/>
  <c r="B177" i="15" s="1"/>
  <c r="B178" i="15" s="1"/>
  <c r="B179" i="15" s="1"/>
  <c r="B180" i="15" s="1"/>
  <c r="B181" i="15" s="1"/>
  <c r="B182" i="15" s="1"/>
  <c r="B183" i="15" s="1"/>
  <c r="B184" i="15" s="1"/>
  <c r="B185" i="15" s="1"/>
  <c r="B186" i="15" s="1"/>
  <c r="B187" i="15" s="1"/>
  <c r="B188" i="15" s="1"/>
  <c r="B189" i="15" s="1"/>
  <c r="B190" i="15" s="1"/>
  <c r="B191" i="15" s="1"/>
  <c r="B192" i="15" s="1"/>
  <c r="B193" i="15" s="1"/>
  <c r="B194" i="15" s="1"/>
  <c r="B195" i="15" s="1"/>
  <c r="B196" i="15" s="1"/>
  <c r="B197" i="15" s="1"/>
  <c r="B198" i="15" s="1"/>
  <c r="B199" i="15" s="1"/>
  <c r="B200" i="15" s="1"/>
  <c r="B201" i="15" s="1"/>
  <c r="B202" i="15" s="1"/>
  <c r="B203" i="15" s="1"/>
  <c r="B204" i="15" s="1"/>
  <c r="B205" i="15" s="1"/>
  <c r="B206" i="15" s="1"/>
  <c r="B207" i="15" s="1"/>
  <c r="B208" i="15" s="1"/>
  <c r="B209" i="15" s="1"/>
  <c r="B210" i="15" s="1"/>
  <c r="B211" i="15" s="1"/>
  <c r="B212" i="15" s="1"/>
  <c r="B213" i="15" s="1"/>
  <c r="B214" i="15" s="1"/>
  <c r="B215" i="15" s="1"/>
  <c r="B216" i="15" s="1"/>
  <c r="B217" i="15" s="1"/>
  <c r="B218" i="15" s="1"/>
  <c r="B219" i="15" s="1"/>
  <c r="B220" i="15" s="1"/>
  <c r="B221" i="15" s="1"/>
  <c r="B222" i="15" s="1"/>
  <c r="B223" i="15" s="1"/>
  <c r="C143" i="15"/>
  <c r="C140" i="15"/>
  <c r="C138" i="15"/>
  <c r="C137" i="15"/>
  <c r="C136" i="15"/>
  <c r="C135" i="15"/>
  <c r="C125" i="15"/>
  <c r="C122" i="15"/>
  <c r="C121" i="15"/>
  <c r="C120" i="15"/>
  <c r="C119" i="15"/>
  <c r="C118" i="15"/>
  <c r="C117" i="15"/>
  <c r="C116" i="15"/>
  <c r="C115" i="15"/>
  <c r="C114" i="15"/>
  <c r="C113" i="15"/>
  <c r="C112" i="15"/>
  <c r="C111" i="15"/>
  <c r="C110" i="15"/>
  <c r="C109" i="15"/>
  <c r="C108" i="15"/>
  <c r="C107" i="15"/>
  <c r="C106" i="15"/>
  <c r="C105" i="15"/>
  <c r="C104" i="15"/>
  <c r="C103" i="15"/>
  <c r="C102" i="15"/>
  <c r="C101" i="15"/>
  <c r="C100" i="15"/>
  <c r="C99" i="15"/>
  <c r="C98" i="15"/>
  <c r="C97" i="15"/>
  <c r="C96" i="15"/>
  <c r="C93" i="15"/>
  <c r="C92" i="15"/>
  <c r="C91" i="15"/>
  <c r="C90" i="15"/>
  <c r="C89" i="15"/>
  <c r="C88" i="15"/>
  <c r="C87" i="15"/>
  <c r="C86" i="15"/>
  <c r="C85" i="15"/>
  <c r="C82" i="15"/>
  <c r="C81" i="15"/>
  <c r="C80" i="15"/>
  <c r="C79" i="15"/>
  <c r="C78" i="15"/>
  <c r="C77" i="15"/>
  <c r="C76" i="15"/>
  <c r="C75" i="15"/>
  <c r="C74" i="15"/>
  <c r="C73" i="15"/>
  <c r="C72" i="15"/>
  <c r="C71" i="15"/>
  <c r="C70" i="15"/>
  <c r="C69" i="15"/>
  <c r="C68" i="15"/>
  <c r="C67" i="15"/>
  <c r="C66" i="15"/>
  <c r="C65" i="15"/>
  <c r="C64" i="15"/>
  <c r="C63" i="15"/>
  <c r="C62" i="15"/>
  <c r="C61" i="15"/>
  <c r="C60" i="15"/>
  <c r="C59" i="15"/>
  <c r="C58" i="15"/>
  <c r="C57" i="15"/>
  <c r="C56" i="15"/>
  <c r="C55" i="15"/>
  <c r="C54" i="15"/>
  <c r="C53" i="15"/>
  <c r="C52" i="15"/>
  <c r="C51" i="15"/>
  <c r="C50" i="15"/>
  <c r="C49" i="15"/>
  <c r="C48" i="15"/>
  <c r="C47" i="15"/>
  <c r="C46" i="15"/>
  <c r="C45" i="15"/>
  <c r="C44" i="15"/>
  <c r="C43" i="15"/>
  <c r="C42" i="15"/>
  <c r="C41" i="15"/>
  <c r="C38" i="15"/>
  <c r="C37" i="15"/>
  <c r="C36" i="15"/>
  <c r="C35" i="15"/>
  <c r="C34" i="15"/>
  <c r="C33" i="15"/>
  <c r="C32" i="15"/>
  <c r="C31" i="15"/>
  <c r="C30" i="15"/>
  <c r="C29" i="15"/>
  <c r="C28" i="15"/>
  <c r="C23" i="15"/>
  <c r="C22" i="15"/>
  <c r="C21" i="15"/>
  <c r="C20" i="15"/>
  <c r="C19" i="15"/>
  <c r="C18" i="15"/>
  <c r="C17" i="15"/>
  <c r="C13" i="15"/>
  <c r="B13" i="15"/>
  <c r="C12" i="15"/>
  <c r="B12" i="15"/>
  <c r="C11" i="15"/>
  <c r="B11" i="15"/>
  <c r="C10" i="15"/>
  <c r="B10" i="15"/>
  <c r="C9" i="15"/>
  <c r="B9" i="15"/>
  <c r="C8" i="15"/>
  <c r="B8" i="15"/>
  <c r="C7" i="15"/>
  <c r="B7" i="15"/>
  <c r="C6" i="15"/>
  <c r="B6" i="15"/>
  <c r="C5" i="15"/>
  <c r="B5" i="15"/>
  <c r="C4" i="15"/>
  <c r="B4" i="15"/>
  <c r="C223" i="14" l="1"/>
  <c r="C222" i="14"/>
  <c r="C221" i="14"/>
  <c r="C220" i="14"/>
  <c r="C219" i="14"/>
  <c r="C218" i="14"/>
  <c r="C217" i="14"/>
  <c r="C216" i="14"/>
  <c r="C215" i="14"/>
  <c r="C214" i="14"/>
  <c r="C213" i="14"/>
  <c r="C212" i="14"/>
  <c r="C211" i="14"/>
  <c r="C210" i="14"/>
  <c r="C209" i="14"/>
  <c r="C208" i="14"/>
  <c r="C207" i="14"/>
  <c r="C206" i="14"/>
  <c r="C205" i="14"/>
  <c r="C204" i="14"/>
  <c r="C203" i="14"/>
  <c r="C202" i="14"/>
  <c r="C201" i="14"/>
  <c r="C200" i="14"/>
  <c r="C199" i="14"/>
  <c r="C198" i="14"/>
  <c r="C197" i="14"/>
  <c r="C196" i="14"/>
  <c r="C195" i="14"/>
  <c r="C194" i="14"/>
  <c r="C193" i="14"/>
  <c r="C192" i="14"/>
  <c r="C191" i="14"/>
  <c r="C190" i="14"/>
  <c r="C189" i="14"/>
  <c r="C188" i="14"/>
  <c r="C187" i="14"/>
  <c r="C186" i="14"/>
  <c r="C185" i="14"/>
  <c r="C184" i="14"/>
  <c r="C183" i="14"/>
  <c r="C182" i="14"/>
  <c r="C181" i="14"/>
  <c r="C180" i="14"/>
  <c r="C179" i="14"/>
  <c r="C178" i="14"/>
  <c r="C177" i="14"/>
  <c r="C176" i="14"/>
  <c r="C175" i="14"/>
  <c r="C174" i="14"/>
  <c r="C173" i="14"/>
  <c r="C172" i="14"/>
  <c r="C171" i="14"/>
  <c r="C170" i="14"/>
  <c r="C169" i="14"/>
  <c r="C168" i="14"/>
  <c r="C167" i="14"/>
  <c r="C166" i="14"/>
  <c r="C165" i="14"/>
  <c r="C164" i="14"/>
  <c r="C163" i="14"/>
  <c r="C162" i="14"/>
  <c r="C161" i="14"/>
  <c r="C160" i="14"/>
  <c r="C159" i="14"/>
  <c r="C158" i="14"/>
  <c r="C157" i="14"/>
  <c r="C156" i="14"/>
  <c r="C155" i="14"/>
  <c r="C154" i="14"/>
  <c r="C153" i="14"/>
  <c r="C152" i="14"/>
  <c r="C151" i="14"/>
  <c r="C150" i="14"/>
  <c r="C149" i="14"/>
  <c r="C148" i="14"/>
  <c r="C147" i="14"/>
  <c r="C146" i="14"/>
  <c r="C145" i="14"/>
  <c r="C144" i="14"/>
  <c r="B144" i="14"/>
  <c r="B145" i="14" s="1"/>
  <c r="B146" i="14" s="1"/>
  <c r="B147" i="14" s="1"/>
  <c r="B148" i="14" s="1"/>
  <c r="B149" i="14" s="1"/>
  <c r="B150" i="14" s="1"/>
  <c r="B151" i="14" s="1"/>
  <c r="B152" i="14" s="1"/>
  <c r="B153" i="14" s="1"/>
  <c r="B154" i="14" s="1"/>
  <c r="B155" i="14" s="1"/>
  <c r="B156" i="14" s="1"/>
  <c r="B157" i="14" s="1"/>
  <c r="B158" i="14" s="1"/>
  <c r="B159" i="14" s="1"/>
  <c r="B160" i="14" s="1"/>
  <c r="B161" i="14" s="1"/>
  <c r="B162" i="14" s="1"/>
  <c r="B163" i="14" s="1"/>
  <c r="B164" i="14" s="1"/>
  <c r="B165" i="14" s="1"/>
  <c r="B166" i="14" s="1"/>
  <c r="B167" i="14" s="1"/>
  <c r="B168" i="14" s="1"/>
  <c r="B169" i="14" s="1"/>
  <c r="B170" i="14" s="1"/>
  <c r="B171" i="14" s="1"/>
  <c r="B172" i="14" s="1"/>
  <c r="B173" i="14" s="1"/>
  <c r="B174" i="14" s="1"/>
  <c r="B175" i="14" s="1"/>
  <c r="B176" i="14" s="1"/>
  <c r="B177" i="14" s="1"/>
  <c r="B178" i="14" s="1"/>
  <c r="B179" i="14" s="1"/>
  <c r="B180" i="14" s="1"/>
  <c r="B181" i="14" s="1"/>
  <c r="B182" i="14" s="1"/>
  <c r="B183" i="14" s="1"/>
  <c r="B184" i="14" s="1"/>
  <c r="B185" i="14" s="1"/>
  <c r="B186" i="14" s="1"/>
  <c r="B187" i="14" s="1"/>
  <c r="B188" i="14" s="1"/>
  <c r="B189" i="14" s="1"/>
  <c r="B190" i="14" s="1"/>
  <c r="B191" i="14" s="1"/>
  <c r="B192" i="14" s="1"/>
  <c r="B193" i="14" s="1"/>
  <c r="B194" i="14" s="1"/>
  <c r="B195" i="14" s="1"/>
  <c r="B196" i="14" s="1"/>
  <c r="B197" i="14" s="1"/>
  <c r="B198" i="14" s="1"/>
  <c r="B199" i="14" s="1"/>
  <c r="B200" i="14" s="1"/>
  <c r="B201" i="14" s="1"/>
  <c r="B202" i="14" s="1"/>
  <c r="B203" i="14" s="1"/>
  <c r="B204" i="14" s="1"/>
  <c r="B205" i="14" s="1"/>
  <c r="B206" i="14" s="1"/>
  <c r="B207" i="14" s="1"/>
  <c r="B208" i="14" s="1"/>
  <c r="B209" i="14" s="1"/>
  <c r="B210" i="14" s="1"/>
  <c r="B211" i="14" s="1"/>
  <c r="B212" i="14" s="1"/>
  <c r="B213" i="14" s="1"/>
  <c r="B214" i="14" s="1"/>
  <c r="B215" i="14" s="1"/>
  <c r="B216" i="14" s="1"/>
  <c r="B217" i="14" s="1"/>
  <c r="B218" i="14" s="1"/>
  <c r="B219" i="14" s="1"/>
  <c r="B220" i="14" s="1"/>
  <c r="B221" i="14" s="1"/>
  <c r="B222" i="14" s="1"/>
  <c r="B223" i="14" s="1"/>
  <c r="C143" i="14"/>
  <c r="C140" i="14"/>
  <c r="C138" i="14"/>
  <c r="C137" i="14"/>
  <c r="C136" i="14"/>
  <c r="C135" i="14"/>
  <c r="C125" i="14"/>
  <c r="C122" i="14"/>
  <c r="C121" i="14"/>
  <c r="C120" i="14"/>
  <c r="C119" i="14"/>
  <c r="C118" i="14"/>
  <c r="C117" i="14"/>
  <c r="C116" i="14"/>
  <c r="C115" i="14"/>
  <c r="C114" i="14"/>
  <c r="C113" i="14"/>
  <c r="C112" i="14"/>
  <c r="C111" i="14"/>
  <c r="C110" i="14"/>
  <c r="C109" i="14"/>
  <c r="C108" i="14"/>
  <c r="C107" i="14"/>
  <c r="C106" i="14"/>
  <c r="C105" i="14"/>
  <c r="C104" i="14"/>
  <c r="C103" i="14"/>
  <c r="C102" i="14"/>
  <c r="C101" i="14"/>
  <c r="C100" i="14"/>
  <c r="C99" i="14"/>
  <c r="C98" i="14"/>
  <c r="C97" i="14"/>
  <c r="C96" i="14"/>
  <c r="C93" i="14"/>
  <c r="C92" i="14"/>
  <c r="C91" i="14"/>
  <c r="C90" i="14"/>
  <c r="C89" i="14"/>
  <c r="C88" i="14"/>
  <c r="C87" i="14"/>
  <c r="C86" i="14"/>
  <c r="C85" i="14"/>
  <c r="C82" i="14"/>
  <c r="C81" i="14"/>
  <c r="C80" i="14"/>
  <c r="C79" i="14"/>
  <c r="C78" i="14"/>
  <c r="C77" i="14"/>
  <c r="C76" i="14"/>
  <c r="C75" i="14"/>
  <c r="C74" i="14"/>
  <c r="C73" i="14"/>
  <c r="C72" i="14"/>
  <c r="C71" i="14"/>
  <c r="C70" i="14"/>
  <c r="C69" i="14"/>
  <c r="C68" i="14"/>
  <c r="C67" i="14"/>
  <c r="C66" i="14"/>
  <c r="C65" i="14"/>
  <c r="C64" i="14"/>
  <c r="C63" i="14"/>
  <c r="C62" i="14"/>
  <c r="C61" i="14"/>
  <c r="C60" i="14"/>
  <c r="C59" i="14"/>
  <c r="C58" i="14"/>
  <c r="C57" i="14"/>
  <c r="C56" i="14"/>
  <c r="C55" i="14"/>
  <c r="C54" i="14"/>
  <c r="C53" i="14"/>
  <c r="C52" i="14"/>
  <c r="C51" i="14"/>
  <c r="C50" i="14"/>
  <c r="C49" i="14"/>
  <c r="C48" i="14"/>
  <c r="C47" i="14"/>
  <c r="C46" i="14"/>
  <c r="C45" i="14"/>
  <c r="C44" i="14"/>
  <c r="C43" i="14"/>
  <c r="C42" i="14"/>
  <c r="C41" i="14"/>
  <c r="C38" i="14"/>
  <c r="C37" i="14"/>
  <c r="C36" i="14"/>
  <c r="C35" i="14"/>
  <c r="C34" i="14"/>
  <c r="C33" i="14"/>
  <c r="C32" i="14"/>
  <c r="C31" i="14"/>
  <c r="C30" i="14"/>
  <c r="C29" i="14"/>
  <c r="C28" i="14"/>
  <c r="C23" i="14"/>
  <c r="C22" i="14"/>
  <c r="C21" i="14"/>
  <c r="C20" i="14"/>
  <c r="C19" i="14"/>
  <c r="C18" i="14"/>
  <c r="C17" i="14" s="1"/>
  <c r="C13" i="14"/>
  <c r="B13" i="14"/>
  <c r="C12" i="14"/>
  <c r="B12" i="14"/>
  <c r="C11" i="14"/>
  <c r="B11" i="14"/>
  <c r="C10" i="14"/>
  <c r="B10" i="14"/>
  <c r="C9" i="14"/>
  <c r="B9" i="14"/>
  <c r="C8" i="14"/>
  <c r="B8" i="14"/>
  <c r="C7" i="14"/>
  <c r="B7" i="14"/>
  <c r="C6" i="14"/>
  <c r="B6" i="14"/>
  <c r="C5" i="14"/>
  <c r="B5" i="14"/>
  <c r="C4" i="14"/>
  <c r="B4" i="14"/>
  <c r="C223" i="13" l="1"/>
  <c r="C222" i="13"/>
  <c r="C221" i="13"/>
  <c r="C220" i="13"/>
  <c r="C219" i="13"/>
  <c r="C218" i="13"/>
  <c r="C217" i="13"/>
  <c r="C216" i="13"/>
  <c r="C215" i="13"/>
  <c r="C214" i="13"/>
  <c r="C213" i="13"/>
  <c r="C212" i="13"/>
  <c r="C211" i="13"/>
  <c r="C210" i="13"/>
  <c r="C209" i="13"/>
  <c r="C208" i="13"/>
  <c r="C207" i="13"/>
  <c r="C206" i="13"/>
  <c r="C205" i="13"/>
  <c r="C204" i="13"/>
  <c r="C203" i="13"/>
  <c r="C202" i="13"/>
  <c r="C201" i="13"/>
  <c r="C200" i="13"/>
  <c r="C199" i="13"/>
  <c r="C198" i="13"/>
  <c r="C197" i="13"/>
  <c r="C196" i="13"/>
  <c r="C195" i="13"/>
  <c r="C194" i="13"/>
  <c r="C193" i="13"/>
  <c r="C192" i="13"/>
  <c r="C191" i="13"/>
  <c r="C190" i="13"/>
  <c r="C189" i="13"/>
  <c r="C188" i="13"/>
  <c r="C187" i="13"/>
  <c r="C186" i="13"/>
  <c r="C185" i="13"/>
  <c r="C184" i="13"/>
  <c r="C183" i="13"/>
  <c r="C182" i="13"/>
  <c r="C181" i="13"/>
  <c r="C180" i="13"/>
  <c r="C179" i="13"/>
  <c r="C178" i="13"/>
  <c r="C177" i="13"/>
  <c r="C176" i="13"/>
  <c r="C175" i="13"/>
  <c r="C174" i="13"/>
  <c r="C173" i="13"/>
  <c r="C172" i="13"/>
  <c r="C171" i="13"/>
  <c r="C170" i="13"/>
  <c r="C169" i="13"/>
  <c r="C168" i="13"/>
  <c r="C167" i="13"/>
  <c r="C166" i="13"/>
  <c r="C165" i="13"/>
  <c r="C164" i="13"/>
  <c r="C163" i="13"/>
  <c r="C162" i="13"/>
  <c r="C161" i="13"/>
  <c r="C160" i="13"/>
  <c r="C159" i="13"/>
  <c r="C158" i="13"/>
  <c r="C157" i="13"/>
  <c r="C156" i="13"/>
  <c r="C155" i="13"/>
  <c r="C154" i="13"/>
  <c r="C153" i="13"/>
  <c r="C152" i="13"/>
  <c r="C151" i="13"/>
  <c r="C150" i="13"/>
  <c r="C149" i="13"/>
  <c r="C148" i="13"/>
  <c r="C147" i="13"/>
  <c r="C146" i="13"/>
  <c r="C145" i="13"/>
  <c r="C144" i="13"/>
  <c r="B144" i="13"/>
  <c r="B145" i="13" s="1"/>
  <c r="B146" i="13" s="1"/>
  <c r="B147" i="13" s="1"/>
  <c r="B148" i="13" s="1"/>
  <c r="B149" i="13" s="1"/>
  <c r="B150" i="13" s="1"/>
  <c r="B151" i="13" s="1"/>
  <c r="B152" i="13" s="1"/>
  <c r="B153" i="13" s="1"/>
  <c r="B154" i="13" s="1"/>
  <c r="B155" i="13" s="1"/>
  <c r="B156" i="13" s="1"/>
  <c r="B157" i="13" s="1"/>
  <c r="B158" i="13" s="1"/>
  <c r="B159" i="13" s="1"/>
  <c r="B160" i="13" s="1"/>
  <c r="B161" i="13" s="1"/>
  <c r="B162" i="13" s="1"/>
  <c r="B163" i="13" s="1"/>
  <c r="B164" i="13" s="1"/>
  <c r="B165" i="13" s="1"/>
  <c r="B166" i="13" s="1"/>
  <c r="B167" i="13" s="1"/>
  <c r="B168" i="13" s="1"/>
  <c r="B169" i="13" s="1"/>
  <c r="B170" i="13" s="1"/>
  <c r="B171" i="13" s="1"/>
  <c r="B172" i="13" s="1"/>
  <c r="B173" i="13" s="1"/>
  <c r="B174" i="13" s="1"/>
  <c r="B175" i="13" s="1"/>
  <c r="B176" i="13" s="1"/>
  <c r="B177" i="13" s="1"/>
  <c r="B178" i="13" s="1"/>
  <c r="B179" i="13" s="1"/>
  <c r="B180" i="13" s="1"/>
  <c r="B181" i="13" s="1"/>
  <c r="B182" i="13" s="1"/>
  <c r="B183" i="13" s="1"/>
  <c r="B184" i="13" s="1"/>
  <c r="B185" i="13" s="1"/>
  <c r="B186" i="13" s="1"/>
  <c r="B187" i="13" s="1"/>
  <c r="B188" i="13" s="1"/>
  <c r="B189" i="13" s="1"/>
  <c r="B190" i="13" s="1"/>
  <c r="B191" i="13" s="1"/>
  <c r="B192" i="13" s="1"/>
  <c r="B193" i="13" s="1"/>
  <c r="B194" i="13" s="1"/>
  <c r="B195" i="13" s="1"/>
  <c r="B196" i="13" s="1"/>
  <c r="B197" i="13" s="1"/>
  <c r="B198" i="13" s="1"/>
  <c r="B199" i="13" s="1"/>
  <c r="B200" i="13" s="1"/>
  <c r="B201" i="13" s="1"/>
  <c r="B202" i="13" s="1"/>
  <c r="B203" i="13" s="1"/>
  <c r="B204" i="13" s="1"/>
  <c r="B205" i="13" s="1"/>
  <c r="B206" i="13" s="1"/>
  <c r="B207" i="13" s="1"/>
  <c r="B208" i="13" s="1"/>
  <c r="B209" i="13" s="1"/>
  <c r="B210" i="13" s="1"/>
  <c r="B211" i="13" s="1"/>
  <c r="B212" i="13" s="1"/>
  <c r="B213" i="13" s="1"/>
  <c r="B214" i="13" s="1"/>
  <c r="B215" i="13" s="1"/>
  <c r="B216" i="13" s="1"/>
  <c r="B217" i="13" s="1"/>
  <c r="B218" i="13" s="1"/>
  <c r="B219" i="13" s="1"/>
  <c r="B220" i="13" s="1"/>
  <c r="B221" i="13" s="1"/>
  <c r="B222" i="13" s="1"/>
  <c r="B223" i="13" s="1"/>
  <c r="C143" i="13"/>
  <c r="C140" i="13"/>
  <c r="C138" i="13"/>
  <c r="C137" i="13"/>
  <c r="C136" i="13"/>
  <c r="C135" i="13"/>
  <c r="C125" i="13"/>
  <c r="C122" i="13"/>
  <c r="C121" i="13"/>
  <c r="C120" i="13"/>
  <c r="C119" i="13"/>
  <c r="C118" i="13"/>
  <c r="C117" i="13"/>
  <c r="C116" i="13"/>
  <c r="C115" i="13"/>
  <c r="C114" i="13"/>
  <c r="C113" i="13"/>
  <c r="C112" i="13"/>
  <c r="C111" i="13"/>
  <c r="C110" i="13"/>
  <c r="C109" i="13"/>
  <c r="C108" i="13"/>
  <c r="C107" i="13"/>
  <c r="C106" i="13"/>
  <c r="C105" i="13"/>
  <c r="C104" i="13"/>
  <c r="C103" i="13"/>
  <c r="C102" i="13"/>
  <c r="C101" i="13"/>
  <c r="C100" i="13"/>
  <c r="C99" i="13"/>
  <c r="C98" i="13"/>
  <c r="C97" i="13"/>
  <c r="C96" i="13"/>
  <c r="C93" i="13"/>
  <c r="C92" i="13"/>
  <c r="C91" i="13"/>
  <c r="C90" i="13"/>
  <c r="C89" i="13"/>
  <c r="C88" i="13"/>
  <c r="C87" i="13"/>
  <c r="C86" i="13"/>
  <c r="C85" i="13"/>
  <c r="C82" i="13"/>
  <c r="C81" i="13"/>
  <c r="C80" i="13"/>
  <c r="C79" i="13"/>
  <c r="C78" i="13"/>
  <c r="C77" i="13"/>
  <c r="C76" i="13"/>
  <c r="C75" i="13"/>
  <c r="C74" i="13"/>
  <c r="C73" i="13"/>
  <c r="C72" i="13"/>
  <c r="C71" i="13"/>
  <c r="C70" i="13"/>
  <c r="C69" i="13"/>
  <c r="C68" i="13"/>
  <c r="C67" i="13"/>
  <c r="C66" i="13"/>
  <c r="C65" i="13"/>
  <c r="C64" i="13"/>
  <c r="C63" i="13"/>
  <c r="C62" i="13"/>
  <c r="C61" i="13"/>
  <c r="C60" i="13"/>
  <c r="C59" i="13"/>
  <c r="C58" i="13"/>
  <c r="C57" i="13"/>
  <c r="C56" i="13"/>
  <c r="C55" i="13"/>
  <c r="C54" i="13"/>
  <c r="C53" i="13"/>
  <c r="C52" i="13"/>
  <c r="C51" i="13"/>
  <c r="C50" i="13"/>
  <c r="C49" i="13"/>
  <c r="C48" i="13"/>
  <c r="C47" i="13"/>
  <c r="C46" i="13"/>
  <c r="C45" i="13"/>
  <c r="C44" i="13"/>
  <c r="C43" i="13"/>
  <c r="C42" i="13"/>
  <c r="C41" i="13"/>
  <c r="C38" i="13"/>
  <c r="C37" i="13"/>
  <c r="C36" i="13"/>
  <c r="C35" i="13"/>
  <c r="C34" i="13"/>
  <c r="C33" i="13"/>
  <c r="C32" i="13"/>
  <c r="C31" i="13"/>
  <c r="C30" i="13"/>
  <c r="C29" i="13"/>
  <c r="C28" i="13"/>
  <c r="C23" i="13"/>
  <c r="C22" i="13"/>
  <c r="C21" i="13"/>
  <c r="C20" i="13"/>
  <c r="C19" i="13"/>
  <c r="C18" i="13"/>
  <c r="C17" i="13" s="1"/>
  <c r="C13" i="13"/>
  <c r="B13" i="13"/>
  <c r="C12" i="13"/>
  <c r="B12" i="13"/>
  <c r="C11" i="13"/>
  <c r="B11" i="13"/>
  <c r="C10" i="13"/>
  <c r="B10" i="13"/>
  <c r="C9" i="13"/>
  <c r="B9" i="13"/>
  <c r="C8" i="13"/>
  <c r="B8" i="13"/>
  <c r="C7" i="13"/>
  <c r="B7" i="13"/>
  <c r="C6" i="13"/>
  <c r="B6" i="13"/>
  <c r="C5" i="13"/>
  <c r="B5" i="13"/>
  <c r="C4" i="13"/>
  <c r="B4" i="13"/>
  <c r="C223" i="12" l="1"/>
  <c r="C222" i="12"/>
  <c r="C221" i="12"/>
  <c r="C220" i="12"/>
  <c r="C219" i="12"/>
  <c r="C218" i="12"/>
  <c r="C217" i="12"/>
  <c r="C216" i="12"/>
  <c r="C215" i="12"/>
  <c r="C214" i="12"/>
  <c r="C213" i="12"/>
  <c r="C212" i="12"/>
  <c r="C211" i="12"/>
  <c r="C210" i="12"/>
  <c r="C209" i="12"/>
  <c r="C208" i="12"/>
  <c r="C207" i="12"/>
  <c r="C206" i="12"/>
  <c r="C205" i="12"/>
  <c r="C204" i="12"/>
  <c r="C203" i="12"/>
  <c r="C202" i="12"/>
  <c r="C201" i="12"/>
  <c r="C200" i="12"/>
  <c r="C199" i="12"/>
  <c r="C198" i="12"/>
  <c r="C197" i="12"/>
  <c r="C196" i="12"/>
  <c r="C195" i="12"/>
  <c r="C194" i="12"/>
  <c r="C193" i="12"/>
  <c r="C192" i="12"/>
  <c r="C191" i="12"/>
  <c r="C190" i="12"/>
  <c r="C189" i="12"/>
  <c r="C188" i="12"/>
  <c r="C187" i="12"/>
  <c r="C186" i="12"/>
  <c r="C185" i="12"/>
  <c r="C184" i="12"/>
  <c r="C183" i="12"/>
  <c r="C182" i="12"/>
  <c r="C181" i="12"/>
  <c r="C180" i="12"/>
  <c r="C179" i="12"/>
  <c r="C178" i="12"/>
  <c r="C177" i="12"/>
  <c r="C176" i="12"/>
  <c r="C175" i="12"/>
  <c r="C174" i="12"/>
  <c r="C173" i="12"/>
  <c r="C172" i="12"/>
  <c r="C171" i="12"/>
  <c r="C170" i="12"/>
  <c r="C169" i="12"/>
  <c r="C168" i="12"/>
  <c r="C167" i="12"/>
  <c r="C166" i="12"/>
  <c r="C165" i="12"/>
  <c r="C164" i="12"/>
  <c r="C163" i="12"/>
  <c r="C162" i="12"/>
  <c r="C161" i="12"/>
  <c r="C160" i="12"/>
  <c r="C159" i="12"/>
  <c r="C158" i="12"/>
  <c r="C157" i="12"/>
  <c r="C156" i="12"/>
  <c r="C155" i="12"/>
  <c r="C154" i="12"/>
  <c r="C153" i="12"/>
  <c r="C152" i="12"/>
  <c r="C151" i="12"/>
  <c r="C150" i="12"/>
  <c r="C149" i="12"/>
  <c r="C148" i="12"/>
  <c r="C147" i="12"/>
  <c r="C146" i="12"/>
  <c r="C145" i="12"/>
  <c r="C144" i="12"/>
  <c r="B144" i="12"/>
  <c r="B145" i="12" s="1"/>
  <c r="B146" i="12" s="1"/>
  <c r="B147" i="12" s="1"/>
  <c r="B148" i="12" s="1"/>
  <c r="B149" i="12" s="1"/>
  <c r="B150" i="12" s="1"/>
  <c r="B151" i="12" s="1"/>
  <c r="B152" i="12" s="1"/>
  <c r="B153" i="12" s="1"/>
  <c r="B154" i="12" s="1"/>
  <c r="B155" i="12" s="1"/>
  <c r="B156" i="12" s="1"/>
  <c r="B157" i="12" s="1"/>
  <c r="B158" i="12" s="1"/>
  <c r="B159" i="12" s="1"/>
  <c r="B160" i="12" s="1"/>
  <c r="B161" i="12" s="1"/>
  <c r="B162" i="12" s="1"/>
  <c r="B163" i="12" s="1"/>
  <c r="B164" i="12" s="1"/>
  <c r="B165" i="12" s="1"/>
  <c r="B166" i="12" s="1"/>
  <c r="B167" i="12" s="1"/>
  <c r="B168" i="12" s="1"/>
  <c r="B169" i="12" s="1"/>
  <c r="B170" i="12" s="1"/>
  <c r="B171" i="12" s="1"/>
  <c r="B172" i="12" s="1"/>
  <c r="B173" i="12" s="1"/>
  <c r="B174" i="12" s="1"/>
  <c r="B175" i="12" s="1"/>
  <c r="B176" i="12" s="1"/>
  <c r="B177" i="12" s="1"/>
  <c r="B178" i="12" s="1"/>
  <c r="B179" i="12" s="1"/>
  <c r="B180" i="12" s="1"/>
  <c r="B181" i="12" s="1"/>
  <c r="B182" i="12" s="1"/>
  <c r="B183" i="12" s="1"/>
  <c r="B184" i="12" s="1"/>
  <c r="B185" i="12" s="1"/>
  <c r="B186" i="12" s="1"/>
  <c r="B187" i="12" s="1"/>
  <c r="B188" i="12" s="1"/>
  <c r="B189" i="12" s="1"/>
  <c r="B190" i="12" s="1"/>
  <c r="B191" i="12" s="1"/>
  <c r="B192" i="12" s="1"/>
  <c r="B193" i="12" s="1"/>
  <c r="B194" i="12" s="1"/>
  <c r="B195" i="12" s="1"/>
  <c r="B196" i="12" s="1"/>
  <c r="B197" i="12" s="1"/>
  <c r="B198" i="12" s="1"/>
  <c r="B199" i="12" s="1"/>
  <c r="B200" i="12" s="1"/>
  <c r="B201" i="12" s="1"/>
  <c r="B202" i="12" s="1"/>
  <c r="B203" i="12" s="1"/>
  <c r="B204" i="12" s="1"/>
  <c r="B205" i="12" s="1"/>
  <c r="B206" i="12" s="1"/>
  <c r="B207" i="12" s="1"/>
  <c r="B208" i="12" s="1"/>
  <c r="B209" i="12" s="1"/>
  <c r="B210" i="12" s="1"/>
  <c r="B211" i="12" s="1"/>
  <c r="B212" i="12" s="1"/>
  <c r="B213" i="12" s="1"/>
  <c r="B214" i="12" s="1"/>
  <c r="B215" i="12" s="1"/>
  <c r="B216" i="12" s="1"/>
  <c r="B217" i="12" s="1"/>
  <c r="B218" i="12" s="1"/>
  <c r="B219" i="12" s="1"/>
  <c r="B220" i="12" s="1"/>
  <c r="B221" i="12" s="1"/>
  <c r="B222" i="12" s="1"/>
  <c r="B223" i="12" s="1"/>
  <c r="C143" i="12"/>
  <c r="C140" i="12"/>
  <c r="C138" i="12"/>
  <c r="C137" i="12"/>
  <c r="C136" i="12"/>
  <c r="C135" i="12"/>
  <c r="C125" i="12"/>
  <c r="C122" i="12"/>
  <c r="C121" i="12"/>
  <c r="C120" i="12"/>
  <c r="C119" i="12"/>
  <c r="C118" i="12"/>
  <c r="C117" i="12"/>
  <c r="C116" i="12"/>
  <c r="C115" i="12"/>
  <c r="C114" i="12"/>
  <c r="C113" i="12"/>
  <c r="C112" i="12"/>
  <c r="C111" i="12"/>
  <c r="C110" i="12"/>
  <c r="C109" i="12"/>
  <c r="C108" i="12"/>
  <c r="C107" i="12"/>
  <c r="C106" i="12"/>
  <c r="C105" i="12"/>
  <c r="C104" i="12"/>
  <c r="C103" i="12"/>
  <c r="C102" i="12"/>
  <c r="C101" i="12"/>
  <c r="C100" i="12"/>
  <c r="C99" i="12"/>
  <c r="C98" i="12"/>
  <c r="C97" i="12"/>
  <c r="C96" i="12"/>
  <c r="C93" i="12"/>
  <c r="C92" i="12"/>
  <c r="C91" i="12"/>
  <c r="C90" i="12"/>
  <c r="C89" i="12"/>
  <c r="C88" i="12"/>
  <c r="C87" i="12"/>
  <c r="C86" i="12"/>
  <c r="C85" i="12"/>
  <c r="C82" i="12"/>
  <c r="C81" i="12"/>
  <c r="C80" i="12"/>
  <c r="C79" i="12"/>
  <c r="C78" i="12"/>
  <c r="C77" i="12"/>
  <c r="C76" i="12"/>
  <c r="C75" i="12"/>
  <c r="C74" i="12"/>
  <c r="C73" i="12"/>
  <c r="C72" i="12"/>
  <c r="C71" i="12"/>
  <c r="C70" i="12"/>
  <c r="C69" i="12"/>
  <c r="C68" i="12"/>
  <c r="C67" i="12"/>
  <c r="C66" i="12"/>
  <c r="C65" i="12"/>
  <c r="C64" i="12"/>
  <c r="C63" i="12"/>
  <c r="C62" i="12"/>
  <c r="C61" i="12"/>
  <c r="C60" i="12"/>
  <c r="C59" i="12"/>
  <c r="C58" i="12"/>
  <c r="C57" i="12"/>
  <c r="C56" i="12"/>
  <c r="C55" i="12"/>
  <c r="C54" i="12"/>
  <c r="C53" i="12"/>
  <c r="C52" i="12"/>
  <c r="C51" i="12"/>
  <c r="C50" i="12"/>
  <c r="C49" i="12"/>
  <c r="C48" i="12"/>
  <c r="C47" i="12"/>
  <c r="C46" i="12"/>
  <c r="C45" i="12"/>
  <c r="C44" i="12"/>
  <c r="C43" i="12"/>
  <c r="C42" i="12"/>
  <c r="C41" i="12"/>
  <c r="C38" i="12"/>
  <c r="C37" i="12"/>
  <c r="C36" i="12"/>
  <c r="C35" i="12"/>
  <c r="C34" i="12"/>
  <c r="C33" i="12"/>
  <c r="C32" i="12"/>
  <c r="C31" i="12"/>
  <c r="C30" i="12"/>
  <c r="C29" i="12"/>
  <c r="C28" i="12"/>
  <c r="C23" i="12"/>
  <c r="C22" i="12"/>
  <c r="C21" i="12"/>
  <c r="C20" i="12"/>
  <c r="C19" i="12"/>
  <c r="C18" i="12"/>
  <c r="C17" i="12" s="1"/>
  <c r="C13" i="12"/>
  <c r="B13" i="12"/>
  <c r="C12" i="12"/>
  <c r="B12" i="12"/>
  <c r="C11" i="12"/>
  <c r="B11" i="12"/>
  <c r="C10" i="12"/>
  <c r="B10" i="12"/>
  <c r="C9" i="12"/>
  <c r="B9" i="12"/>
  <c r="C8" i="12"/>
  <c r="B8" i="12"/>
  <c r="C7" i="12"/>
  <c r="B7" i="12"/>
  <c r="C6" i="12"/>
  <c r="B6" i="12"/>
  <c r="C5" i="12"/>
  <c r="B5" i="12"/>
  <c r="C4" i="12"/>
  <c r="B4" i="12"/>
  <c r="C223" i="10" l="1"/>
  <c r="C222" i="10"/>
  <c r="C221" i="10"/>
  <c r="C220" i="10"/>
  <c r="C219" i="10"/>
  <c r="C218" i="10"/>
  <c r="C217" i="10"/>
  <c r="C216" i="10"/>
  <c r="C215" i="10"/>
  <c r="C214" i="10"/>
  <c r="C213" i="10"/>
  <c r="C212" i="10"/>
  <c r="C211" i="10"/>
  <c r="C210" i="10"/>
  <c r="C209" i="10"/>
  <c r="C208" i="10"/>
  <c r="C207" i="10"/>
  <c r="C206" i="10"/>
  <c r="C205" i="10"/>
  <c r="C204" i="10"/>
  <c r="C203" i="10"/>
  <c r="C202" i="10"/>
  <c r="C201" i="10"/>
  <c r="C200" i="10"/>
  <c r="C199" i="10"/>
  <c r="C198" i="10"/>
  <c r="C197" i="10"/>
  <c r="C196" i="10"/>
  <c r="C195" i="10"/>
  <c r="C194" i="10"/>
  <c r="C193" i="10"/>
  <c r="C192" i="10"/>
  <c r="C191" i="10"/>
  <c r="C190" i="10"/>
  <c r="C189" i="10"/>
  <c r="C188" i="10"/>
  <c r="C187" i="10"/>
  <c r="C186" i="10"/>
  <c r="C185" i="10"/>
  <c r="C184" i="10"/>
  <c r="C183" i="10"/>
  <c r="C182" i="10"/>
  <c r="C181" i="10"/>
  <c r="C180" i="10"/>
  <c r="C179" i="10"/>
  <c r="C178" i="10"/>
  <c r="C177" i="10"/>
  <c r="C176" i="10"/>
  <c r="C175" i="10"/>
  <c r="C174" i="10"/>
  <c r="C173" i="10"/>
  <c r="C172" i="10"/>
  <c r="C171" i="10"/>
  <c r="C170" i="10"/>
  <c r="C169" i="10"/>
  <c r="C168" i="10"/>
  <c r="C167" i="10"/>
  <c r="C166" i="10"/>
  <c r="C165" i="10"/>
  <c r="C164" i="10"/>
  <c r="C163" i="10"/>
  <c r="C162" i="10"/>
  <c r="C161" i="10"/>
  <c r="C160" i="10"/>
  <c r="C159" i="10"/>
  <c r="C158" i="10"/>
  <c r="C157" i="10"/>
  <c r="C156" i="10"/>
  <c r="C155" i="10"/>
  <c r="C154" i="10"/>
  <c r="C153" i="10"/>
  <c r="C152" i="10"/>
  <c r="C151" i="10"/>
  <c r="C150" i="10"/>
  <c r="C149" i="10"/>
  <c r="C148" i="10"/>
  <c r="C147" i="10"/>
  <c r="C146" i="10"/>
  <c r="C145" i="10"/>
  <c r="C144" i="10"/>
  <c r="B144" i="10"/>
  <c r="B145" i="10" s="1"/>
  <c r="B146" i="10" s="1"/>
  <c r="B147" i="10" s="1"/>
  <c r="B148" i="10" s="1"/>
  <c r="B149" i="10" s="1"/>
  <c r="B150" i="10" s="1"/>
  <c r="B151" i="10" s="1"/>
  <c r="B152" i="10" s="1"/>
  <c r="B153" i="10" s="1"/>
  <c r="B154" i="10" s="1"/>
  <c r="B155" i="10" s="1"/>
  <c r="B156" i="10" s="1"/>
  <c r="B157" i="10" s="1"/>
  <c r="B158" i="10" s="1"/>
  <c r="B159" i="10" s="1"/>
  <c r="B160" i="10" s="1"/>
  <c r="B161" i="10" s="1"/>
  <c r="B162" i="10" s="1"/>
  <c r="B163" i="10" s="1"/>
  <c r="B164" i="10" s="1"/>
  <c r="B165" i="10" s="1"/>
  <c r="B166" i="10" s="1"/>
  <c r="B167" i="10" s="1"/>
  <c r="B168" i="10" s="1"/>
  <c r="B169" i="10" s="1"/>
  <c r="B170" i="10" s="1"/>
  <c r="B171" i="10" s="1"/>
  <c r="B172" i="10" s="1"/>
  <c r="B173" i="10" s="1"/>
  <c r="B174" i="10" s="1"/>
  <c r="B175" i="10" s="1"/>
  <c r="B176" i="10" s="1"/>
  <c r="B177" i="10" s="1"/>
  <c r="B178" i="10" s="1"/>
  <c r="B179" i="10" s="1"/>
  <c r="B180" i="10" s="1"/>
  <c r="B181" i="10" s="1"/>
  <c r="B182" i="10" s="1"/>
  <c r="B183" i="10" s="1"/>
  <c r="B184" i="10" s="1"/>
  <c r="B185" i="10" s="1"/>
  <c r="B186" i="10" s="1"/>
  <c r="B187" i="10" s="1"/>
  <c r="B188" i="10" s="1"/>
  <c r="B189" i="10" s="1"/>
  <c r="B190" i="10" s="1"/>
  <c r="B191" i="10" s="1"/>
  <c r="B192" i="10" s="1"/>
  <c r="B193" i="10" s="1"/>
  <c r="B194" i="10" s="1"/>
  <c r="B195" i="10" s="1"/>
  <c r="B196" i="10" s="1"/>
  <c r="B197" i="10" s="1"/>
  <c r="B198" i="10" s="1"/>
  <c r="B199" i="10" s="1"/>
  <c r="B200" i="10" s="1"/>
  <c r="B201" i="10" s="1"/>
  <c r="B202" i="10" s="1"/>
  <c r="B203" i="10" s="1"/>
  <c r="B204" i="10" s="1"/>
  <c r="B205" i="10" s="1"/>
  <c r="B206" i="10" s="1"/>
  <c r="B207" i="10" s="1"/>
  <c r="B208" i="10" s="1"/>
  <c r="B209" i="10" s="1"/>
  <c r="B210" i="10" s="1"/>
  <c r="B211" i="10" s="1"/>
  <c r="B212" i="10" s="1"/>
  <c r="B213" i="10" s="1"/>
  <c r="B214" i="10" s="1"/>
  <c r="B215" i="10" s="1"/>
  <c r="B216" i="10" s="1"/>
  <c r="B217" i="10" s="1"/>
  <c r="B218" i="10" s="1"/>
  <c r="B219" i="10" s="1"/>
  <c r="B220" i="10" s="1"/>
  <c r="B221" i="10" s="1"/>
  <c r="B222" i="10" s="1"/>
  <c r="B223" i="10" s="1"/>
  <c r="C143" i="10"/>
  <c r="C140" i="10"/>
  <c r="C138" i="10"/>
  <c r="C137" i="10"/>
  <c r="C136" i="10"/>
  <c r="C135" i="10"/>
  <c r="C125" i="10"/>
  <c r="C122" i="10"/>
  <c r="C121" i="10"/>
  <c r="C120" i="10"/>
  <c r="C119" i="10"/>
  <c r="C118" i="10"/>
  <c r="C117" i="10"/>
  <c r="C116" i="10"/>
  <c r="C115" i="10"/>
  <c r="C114" i="10"/>
  <c r="C113" i="10"/>
  <c r="C112" i="10"/>
  <c r="C111" i="10"/>
  <c r="C110" i="10"/>
  <c r="C109" i="10"/>
  <c r="C108" i="10"/>
  <c r="C107" i="10"/>
  <c r="C106" i="10"/>
  <c r="C105" i="10"/>
  <c r="C104" i="10"/>
  <c r="C103" i="10"/>
  <c r="C102" i="10"/>
  <c r="C101" i="10"/>
  <c r="C100" i="10"/>
  <c r="C99" i="10"/>
  <c r="C98" i="10"/>
  <c r="C97" i="10"/>
  <c r="C96" i="10"/>
  <c r="C93" i="10"/>
  <c r="C92" i="10"/>
  <c r="C91" i="10"/>
  <c r="C90" i="10"/>
  <c r="C89" i="10"/>
  <c r="C88" i="10"/>
  <c r="C87" i="10"/>
  <c r="C86" i="10"/>
  <c r="C85" i="10"/>
  <c r="C82" i="10"/>
  <c r="C81" i="10"/>
  <c r="C80" i="10"/>
  <c r="C79" i="10"/>
  <c r="C78"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7" i="10"/>
  <c r="C46" i="10"/>
  <c r="C45" i="10"/>
  <c r="C44" i="10"/>
  <c r="C43" i="10"/>
  <c r="C42" i="10"/>
  <c r="C41" i="10"/>
  <c r="C38" i="10"/>
  <c r="C37" i="10"/>
  <c r="C36" i="10"/>
  <c r="C35" i="10"/>
  <c r="C34" i="10"/>
  <c r="C33" i="10"/>
  <c r="C32" i="10"/>
  <c r="C31" i="10"/>
  <c r="C30" i="10"/>
  <c r="C29" i="10"/>
  <c r="C28" i="10"/>
  <c r="C23" i="10"/>
  <c r="C22" i="10"/>
  <c r="C21" i="10"/>
  <c r="C20" i="10"/>
  <c r="C19" i="10"/>
  <c r="C18" i="10"/>
  <c r="C17" i="10" s="1"/>
  <c r="C13" i="10"/>
  <c r="B13" i="10"/>
  <c r="C12" i="10"/>
  <c r="B12" i="10"/>
  <c r="C11" i="10"/>
  <c r="B11" i="10"/>
  <c r="C10" i="10"/>
  <c r="B10" i="10"/>
  <c r="C9" i="10"/>
  <c r="B9" i="10"/>
  <c r="C8" i="10"/>
  <c r="B8" i="10"/>
  <c r="C7" i="10"/>
  <c r="B7" i="10"/>
  <c r="C6" i="10"/>
  <c r="B6" i="10"/>
  <c r="C5" i="10"/>
  <c r="B5" i="10"/>
  <c r="C4" i="10"/>
  <c r="B4" i="10"/>
  <c r="C223" i="11" l="1"/>
  <c r="C222" i="11"/>
  <c r="C221" i="11"/>
  <c r="C220" i="11"/>
  <c r="C219" i="11"/>
  <c r="C218" i="11"/>
  <c r="C217" i="11"/>
  <c r="C216" i="11"/>
  <c r="C215" i="11"/>
  <c r="C214" i="11"/>
  <c r="C213" i="11"/>
  <c r="C212" i="11"/>
  <c r="C211" i="11"/>
  <c r="C210" i="11"/>
  <c r="C209" i="11"/>
  <c r="C208" i="11"/>
  <c r="C207" i="11"/>
  <c r="C206" i="11"/>
  <c r="C205" i="11"/>
  <c r="C204" i="11"/>
  <c r="C203" i="11"/>
  <c r="C202" i="11"/>
  <c r="C201" i="11"/>
  <c r="C200" i="11"/>
  <c r="C199" i="11"/>
  <c r="C198" i="11"/>
  <c r="C197" i="11"/>
  <c r="C196" i="11"/>
  <c r="C195" i="11"/>
  <c r="C194" i="11"/>
  <c r="C193" i="11"/>
  <c r="C192" i="11"/>
  <c r="C191" i="11"/>
  <c r="C190" i="11"/>
  <c r="C189" i="11"/>
  <c r="C188" i="11"/>
  <c r="C187" i="11"/>
  <c r="C186" i="11"/>
  <c r="C185" i="11"/>
  <c r="C184" i="11"/>
  <c r="C183" i="11"/>
  <c r="C182" i="11"/>
  <c r="C181" i="11"/>
  <c r="C180" i="11"/>
  <c r="C179" i="11"/>
  <c r="C178" i="11"/>
  <c r="C177" i="11"/>
  <c r="C176" i="11"/>
  <c r="C175" i="11"/>
  <c r="C174" i="11"/>
  <c r="C173" i="11"/>
  <c r="C172" i="11"/>
  <c r="C171" i="11"/>
  <c r="C170" i="11"/>
  <c r="C169" i="11"/>
  <c r="C168" i="11"/>
  <c r="C167" i="11"/>
  <c r="C166" i="11"/>
  <c r="C165" i="11"/>
  <c r="C164" i="11"/>
  <c r="C163" i="11"/>
  <c r="C162" i="11"/>
  <c r="C161" i="11"/>
  <c r="C160" i="11"/>
  <c r="C159" i="11"/>
  <c r="C158" i="11"/>
  <c r="C157" i="11"/>
  <c r="C156" i="11"/>
  <c r="C155" i="11"/>
  <c r="C154" i="11"/>
  <c r="C153" i="11"/>
  <c r="C152" i="11"/>
  <c r="C151" i="11"/>
  <c r="C150" i="11"/>
  <c r="C149" i="11"/>
  <c r="C148" i="11"/>
  <c r="C147" i="11"/>
  <c r="C146" i="11"/>
  <c r="C145" i="11"/>
  <c r="C144" i="11"/>
  <c r="B144" i="11"/>
  <c r="B145" i="11" s="1"/>
  <c r="B146" i="11" s="1"/>
  <c r="B147" i="11" s="1"/>
  <c r="B148" i="11" s="1"/>
  <c r="B149" i="11" s="1"/>
  <c r="B150" i="11" s="1"/>
  <c r="B151" i="11" s="1"/>
  <c r="B152" i="11" s="1"/>
  <c r="B153" i="11" s="1"/>
  <c r="B154" i="11" s="1"/>
  <c r="B155" i="11" s="1"/>
  <c r="B156" i="11" s="1"/>
  <c r="B157" i="11" s="1"/>
  <c r="B158" i="11" s="1"/>
  <c r="B159" i="11" s="1"/>
  <c r="B160" i="11" s="1"/>
  <c r="B161" i="11" s="1"/>
  <c r="B162" i="11" s="1"/>
  <c r="B163" i="11" s="1"/>
  <c r="B164" i="11" s="1"/>
  <c r="B165" i="11" s="1"/>
  <c r="B166" i="11" s="1"/>
  <c r="B167" i="11" s="1"/>
  <c r="B168" i="11" s="1"/>
  <c r="B169" i="11" s="1"/>
  <c r="B170" i="11" s="1"/>
  <c r="B171" i="11" s="1"/>
  <c r="B172" i="11" s="1"/>
  <c r="B173" i="11" s="1"/>
  <c r="B174" i="11" s="1"/>
  <c r="B175" i="11" s="1"/>
  <c r="B176" i="11" s="1"/>
  <c r="B177" i="11" s="1"/>
  <c r="B178" i="11" s="1"/>
  <c r="B179" i="11" s="1"/>
  <c r="B180" i="11" s="1"/>
  <c r="B181" i="11" s="1"/>
  <c r="B182" i="11" s="1"/>
  <c r="B183" i="11" s="1"/>
  <c r="B184" i="11" s="1"/>
  <c r="B185" i="11" s="1"/>
  <c r="B186" i="11" s="1"/>
  <c r="B187" i="11" s="1"/>
  <c r="B188" i="11" s="1"/>
  <c r="B189" i="11" s="1"/>
  <c r="B190" i="11" s="1"/>
  <c r="B191" i="11" s="1"/>
  <c r="B192" i="11" s="1"/>
  <c r="B193" i="11" s="1"/>
  <c r="B194" i="11" s="1"/>
  <c r="B195" i="11" s="1"/>
  <c r="B196" i="11" s="1"/>
  <c r="B197" i="11" s="1"/>
  <c r="B198" i="11" s="1"/>
  <c r="B199" i="11" s="1"/>
  <c r="B200" i="11" s="1"/>
  <c r="B201" i="11" s="1"/>
  <c r="B202" i="11" s="1"/>
  <c r="B203" i="11" s="1"/>
  <c r="B204" i="11" s="1"/>
  <c r="B205" i="11" s="1"/>
  <c r="B206" i="11" s="1"/>
  <c r="B207" i="11" s="1"/>
  <c r="B208" i="11" s="1"/>
  <c r="B209" i="11" s="1"/>
  <c r="B210" i="11" s="1"/>
  <c r="B211" i="11" s="1"/>
  <c r="B212" i="11" s="1"/>
  <c r="B213" i="11" s="1"/>
  <c r="B214" i="11" s="1"/>
  <c r="B215" i="11" s="1"/>
  <c r="B216" i="11" s="1"/>
  <c r="B217" i="11" s="1"/>
  <c r="B218" i="11" s="1"/>
  <c r="B219" i="11" s="1"/>
  <c r="B220" i="11" s="1"/>
  <c r="B221" i="11" s="1"/>
  <c r="B222" i="11" s="1"/>
  <c r="B223" i="11" s="1"/>
  <c r="C143" i="11"/>
  <c r="C140" i="11"/>
  <c r="C138" i="11"/>
  <c r="C137" i="11"/>
  <c r="C136" i="11"/>
  <c r="C135" i="11"/>
  <c r="C125" i="11"/>
  <c r="C122" i="11"/>
  <c r="C121" i="11"/>
  <c r="C120" i="11"/>
  <c r="C119" i="11"/>
  <c r="C118" i="11"/>
  <c r="C117" i="11"/>
  <c r="C116" i="11"/>
  <c r="C115" i="11"/>
  <c r="C114" i="11"/>
  <c r="C113" i="11"/>
  <c r="C112" i="11"/>
  <c r="C111" i="11"/>
  <c r="C110" i="11"/>
  <c r="C109" i="11"/>
  <c r="C108" i="11"/>
  <c r="C107" i="11"/>
  <c r="C106" i="11"/>
  <c r="C105" i="11"/>
  <c r="C104" i="11"/>
  <c r="C103" i="11"/>
  <c r="C102" i="11"/>
  <c r="C101" i="11"/>
  <c r="C100" i="11"/>
  <c r="C99" i="11"/>
  <c r="C98" i="11"/>
  <c r="C97" i="11"/>
  <c r="C96" i="11"/>
  <c r="C93" i="11"/>
  <c r="C92" i="11"/>
  <c r="C91" i="11"/>
  <c r="C90" i="11"/>
  <c r="C89" i="11"/>
  <c r="C88" i="11"/>
  <c r="C87" i="11"/>
  <c r="C86" i="11"/>
  <c r="C85" i="11"/>
  <c r="C82" i="11"/>
  <c r="C81" i="11"/>
  <c r="C80" i="11"/>
  <c r="C79" i="11"/>
  <c r="C78" i="11"/>
  <c r="C77" i="11"/>
  <c r="C76" i="11"/>
  <c r="C75" i="11"/>
  <c r="C74" i="11"/>
  <c r="C73" i="11"/>
  <c r="C72" i="11"/>
  <c r="C71" i="11"/>
  <c r="C70" i="11"/>
  <c r="C69" i="11"/>
  <c r="C68" i="11"/>
  <c r="C67" i="11"/>
  <c r="C66" i="11"/>
  <c r="C65" i="11"/>
  <c r="C64" i="11"/>
  <c r="C63" i="11"/>
  <c r="C62" i="11"/>
  <c r="C61" i="11"/>
  <c r="C60" i="11"/>
  <c r="C59" i="11"/>
  <c r="C58" i="11"/>
  <c r="C57" i="11"/>
  <c r="C56" i="11"/>
  <c r="C55" i="11"/>
  <c r="C54" i="11"/>
  <c r="C53" i="11"/>
  <c r="C52" i="11"/>
  <c r="C51" i="11"/>
  <c r="C50" i="11"/>
  <c r="C49" i="11"/>
  <c r="C48" i="11"/>
  <c r="C47" i="11"/>
  <c r="C46" i="11"/>
  <c r="C45" i="11"/>
  <c r="C44" i="11"/>
  <c r="C43" i="11"/>
  <c r="C42" i="11"/>
  <c r="C41" i="11"/>
  <c r="C38" i="11"/>
  <c r="C37" i="11"/>
  <c r="C36" i="11"/>
  <c r="C35" i="11"/>
  <c r="C34" i="11"/>
  <c r="C33" i="11"/>
  <c r="C32" i="11"/>
  <c r="C31" i="11"/>
  <c r="C30" i="11"/>
  <c r="C29" i="11"/>
  <c r="C28" i="11"/>
  <c r="C23" i="11"/>
  <c r="C22" i="11"/>
  <c r="C21" i="11"/>
  <c r="C20" i="11"/>
  <c r="C19" i="11"/>
  <c r="C18" i="11"/>
  <c r="C17" i="11" s="1"/>
  <c r="C13" i="11"/>
  <c r="B13" i="11"/>
  <c r="C12" i="11"/>
  <c r="B12" i="11"/>
  <c r="C11" i="11"/>
  <c r="B11" i="11"/>
  <c r="C10" i="11"/>
  <c r="B10" i="11"/>
  <c r="C9" i="11"/>
  <c r="B9" i="11"/>
  <c r="C8" i="11"/>
  <c r="B8" i="11"/>
  <c r="C7" i="11"/>
  <c r="B7" i="11"/>
  <c r="C6" i="11"/>
  <c r="B6" i="11"/>
  <c r="C5" i="11"/>
  <c r="B5" i="11"/>
  <c r="C4" i="11"/>
  <c r="B4" i="11"/>
  <c r="C223" i="9" l="1"/>
  <c r="C222" i="9"/>
  <c r="C221" i="9"/>
  <c r="C220" i="9"/>
  <c r="C219" i="9"/>
  <c r="C218" i="9"/>
  <c r="C217" i="9"/>
  <c r="C216" i="9"/>
  <c r="C215" i="9"/>
  <c r="C214" i="9"/>
  <c r="C213" i="9"/>
  <c r="C212" i="9"/>
  <c r="C211" i="9"/>
  <c r="C210" i="9"/>
  <c r="C209" i="9"/>
  <c r="C208" i="9"/>
  <c r="C207" i="9"/>
  <c r="C206" i="9"/>
  <c r="C205" i="9"/>
  <c r="C204" i="9"/>
  <c r="C203" i="9"/>
  <c r="C202" i="9"/>
  <c r="C201" i="9"/>
  <c r="C200" i="9"/>
  <c r="C199" i="9"/>
  <c r="C198" i="9"/>
  <c r="C197" i="9"/>
  <c r="C196" i="9"/>
  <c r="C195" i="9"/>
  <c r="C194" i="9"/>
  <c r="C193" i="9"/>
  <c r="C192" i="9"/>
  <c r="C191" i="9"/>
  <c r="C190" i="9"/>
  <c r="C189" i="9"/>
  <c r="C188" i="9"/>
  <c r="C187" i="9"/>
  <c r="C186" i="9"/>
  <c r="C185" i="9"/>
  <c r="C184" i="9"/>
  <c r="C183" i="9"/>
  <c r="C182" i="9"/>
  <c r="C181" i="9"/>
  <c r="C180" i="9"/>
  <c r="C179" i="9"/>
  <c r="C178" i="9"/>
  <c r="C177" i="9"/>
  <c r="C176" i="9"/>
  <c r="C175" i="9"/>
  <c r="C174" i="9"/>
  <c r="C173" i="9"/>
  <c r="C172" i="9"/>
  <c r="C171" i="9"/>
  <c r="C170" i="9"/>
  <c r="C169" i="9"/>
  <c r="C168" i="9"/>
  <c r="C167" i="9"/>
  <c r="C166" i="9"/>
  <c r="C165" i="9"/>
  <c r="C164" i="9"/>
  <c r="C163" i="9"/>
  <c r="C162" i="9"/>
  <c r="C161" i="9"/>
  <c r="C160" i="9"/>
  <c r="C159" i="9"/>
  <c r="C158" i="9"/>
  <c r="C157" i="9"/>
  <c r="C156" i="9"/>
  <c r="C155" i="9"/>
  <c r="C154" i="9"/>
  <c r="C153" i="9"/>
  <c r="C152" i="9"/>
  <c r="C151" i="9"/>
  <c r="C150" i="9"/>
  <c r="C149" i="9"/>
  <c r="C148" i="9"/>
  <c r="C147" i="9"/>
  <c r="C146" i="9"/>
  <c r="C145" i="9"/>
  <c r="C144" i="9"/>
  <c r="B144" i="9"/>
  <c r="B145" i="9" s="1"/>
  <c r="B146" i="9" s="1"/>
  <c r="B147" i="9" s="1"/>
  <c r="B148" i="9" s="1"/>
  <c r="B149" i="9" s="1"/>
  <c r="B150" i="9" s="1"/>
  <c r="B151" i="9" s="1"/>
  <c r="B152" i="9" s="1"/>
  <c r="B153" i="9" s="1"/>
  <c r="B154" i="9" s="1"/>
  <c r="B155" i="9" s="1"/>
  <c r="B156" i="9" s="1"/>
  <c r="B157" i="9" s="1"/>
  <c r="B158" i="9" s="1"/>
  <c r="B159" i="9" s="1"/>
  <c r="B160" i="9" s="1"/>
  <c r="B161" i="9" s="1"/>
  <c r="B162" i="9" s="1"/>
  <c r="B163" i="9" s="1"/>
  <c r="B164" i="9" s="1"/>
  <c r="B165" i="9" s="1"/>
  <c r="B166" i="9" s="1"/>
  <c r="B167" i="9" s="1"/>
  <c r="B168" i="9" s="1"/>
  <c r="B169" i="9" s="1"/>
  <c r="B170" i="9" s="1"/>
  <c r="B171" i="9" s="1"/>
  <c r="B172" i="9" s="1"/>
  <c r="B173" i="9" s="1"/>
  <c r="B174" i="9" s="1"/>
  <c r="B175" i="9" s="1"/>
  <c r="B176" i="9" s="1"/>
  <c r="B177" i="9" s="1"/>
  <c r="B178" i="9" s="1"/>
  <c r="B179" i="9" s="1"/>
  <c r="B180" i="9" s="1"/>
  <c r="B181" i="9" s="1"/>
  <c r="B182" i="9" s="1"/>
  <c r="B183" i="9" s="1"/>
  <c r="B184" i="9" s="1"/>
  <c r="B185" i="9" s="1"/>
  <c r="B186" i="9" s="1"/>
  <c r="B187" i="9" s="1"/>
  <c r="B188" i="9" s="1"/>
  <c r="B189" i="9" s="1"/>
  <c r="B190" i="9" s="1"/>
  <c r="B191" i="9" s="1"/>
  <c r="B192" i="9" s="1"/>
  <c r="B193" i="9" s="1"/>
  <c r="B194" i="9" s="1"/>
  <c r="B195" i="9" s="1"/>
  <c r="B196" i="9" s="1"/>
  <c r="B197" i="9" s="1"/>
  <c r="B198" i="9" s="1"/>
  <c r="B199" i="9" s="1"/>
  <c r="B200" i="9" s="1"/>
  <c r="B201" i="9" s="1"/>
  <c r="B202" i="9" s="1"/>
  <c r="B203" i="9" s="1"/>
  <c r="B204" i="9" s="1"/>
  <c r="B205" i="9" s="1"/>
  <c r="B206" i="9" s="1"/>
  <c r="B207" i="9" s="1"/>
  <c r="B208" i="9" s="1"/>
  <c r="B209" i="9" s="1"/>
  <c r="B210" i="9" s="1"/>
  <c r="B211" i="9" s="1"/>
  <c r="B212" i="9" s="1"/>
  <c r="B213" i="9" s="1"/>
  <c r="B214" i="9" s="1"/>
  <c r="B215" i="9" s="1"/>
  <c r="B216" i="9" s="1"/>
  <c r="B217" i="9" s="1"/>
  <c r="B218" i="9" s="1"/>
  <c r="B219" i="9" s="1"/>
  <c r="B220" i="9" s="1"/>
  <c r="B221" i="9" s="1"/>
  <c r="B222" i="9" s="1"/>
  <c r="B223" i="9" s="1"/>
  <c r="C143" i="9"/>
  <c r="C140" i="9"/>
  <c r="C138" i="9"/>
  <c r="C137" i="9"/>
  <c r="C136" i="9"/>
  <c r="C135" i="9"/>
  <c r="C125" i="9"/>
  <c r="C122" i="9"/>
  <c r="C121" i="9"/>
  <c r="C120" i="9"/>
  <c r="C119" i="9"/>
  <c r="C118" i="9"/>
  <c r="C117" i="9"/>
  <c r="C116" i="9"/>
  <c r="C115" i="9"/>
  <c r="C114" i="9"/>
  <c r="C113" i="9"/>
  <c r="C112" i="9"/>
  <c r="C111" i="9"/>
  <c r="C110" i="9"/>
  <c r="C109" i="9"/>
  <c r="C108" i="9"/>
  <c r="C107" i="9"/>
  <c r="C106" i="9"/>
  <c r="C105" i="9"/>
  <c r="C104" i="9"/>
  <c r="C103" i="9"/>
  <c r="C102" i="9"/>
  <c r="C101" i="9"/>
  <c r="C100" i="9"/>
  <c r="C99" i="9"/>
  <c r="C98" i="9"/>
  <c r="C97" i="9"/>
  <c r="C96" i="9"/>
  <c r="C93" i="9"/>
  <c r="C92" i="9"/>
  <c r="C91" i="9"/>
  <c r="C90" i="9"/>
  <c r="C89" i="9"/>
  <c r="C88" i="9"/>
  <c r="C87" i="9"/>
  <c r="C86" i="9"/>
  <c r="C85" i="9"/>
  <c r="C82" i="9"/>
  <c r="C81" i="9"/>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50" i="9"/>
  <c r="C49" i="9"/>
  <c r="C48" i="9"/>
  <c r="C47" i="9"/>
  <c r="C46" i="9"/>
  <c r="C45" i="9"/>
  <c r="C44" i="9"/>
  <c r="C43" i="9"/>
  <c r="C42" i="9"/>
  <c r="C41" i="9"/>
  <c r="C38" i="9"/>
  <c r="C37" i="9"/>
  <c r="C36" i="9"/>
  <c r="C35" i="9"/>
  <c r="C34" i="9"/>
  <c r="C33" i="9"/>
  <c r="C32" i="9"/>
  <c r="C31" i="9"/>
  <c r="C30" i="9"/>
  <c r="C29" i="9"/>
  <c r="C28" i="9"/>
  <c r="C23" i="9"/>
  <c r="C22" i="9"/>
  <c r="C21" i="9"/>
  <c r="C20" i="9"/>
  <c r="C19" i="9"/>
  <c r="C18" i="9"/>
  <c r="C17" i="9" s="1"/>
  <c r="C13" i="9"/>
  <c r="B13" i="9"/>
  <c r="C12" i="9"/>
  <c r="B12" i="9"/>
  <c r="C11" i="9"/>
  <c r="B11" i="9"/>
  <c r="C10" i="9"/>
  <c r="B10" i="9"/>
  <c r="C9" i="9"/>
  <c r="B9" i="9"/>
  <c r="C8" i="9"/>
  <c r="B8" i="9"/>
  <c r="C7" i="9"/>
  <c r="B7" i="9"/>
  <c r="C6" i="9"/>
  <c r="B6" i="9"/>
  <c r="C5" i="9"/>
  <c r="B5" i="9"/>
  <c r="C4" i="9"/>
  <c r="B4" i="9"/>
  <c r="C223" i="8" l="1"/>
  <c r="C222" i="8"/>
  <c r="C221" i="8"/>
  <c r="C220" i="8"/>
  <c r="C219" i="8"/>
  <c r="C218" i="8"/>
  <c r="C217" i="8"/>
  <c r="C216" i="8"/>
  <c r="C215" i="8"/>
  <c r="C214" i="8"/>
  <c r="C213" i="8"/>
  <c r="C212" i="8"/>
  <c r="C211" i="8"/>
  <c r="C210" i="8"/>
  <c r="C209" i="8"/>
  <c r="C208" i="8"/>
  <c r="C207" i="8"/>
  <c r="C206" i="8"/>
  <c r="C205" i="8"/>
  <c r="C204" i="8"/>
  <c r="C203" i="8"/>
  <c r="C202" i="8"/>
  <c r="C201" i="8"/>
  <c r="C200" i="8"/>
  <c r="C199" i="8"/>
  <c r="C198" i="8"/>
  <c r="C197" i="8"/>
  <c r="C196" i="8"/>
  <c r="C195" i="8"/>
  <c r="C194" i="8"/>
  <c r="C193" i="8"/>
  <c r="C192" i="8"/>
  <c r="C191" i="8"/>
  <c r="C190" i="8"/>
  <c r="C189" i="8"/>
  <c r="C188" i="8"/>
  <c r="C187" i="8"/>
  <c r="C186" i="8"/>
  <c r="C185" i="8"/>
  <c r="C184" i="8"/>
  <c r="C183" i="8"/>
  <c r="C182" i="8"/>
  <c r="C181" i="8"/>
  <c r="C180" i="8"/>
  <c r="C179" i="8"/>
  <c r="C178" i="8"/>
  <c r="C177" i="8"/>
  <c r="C176" i="8"/>
  <c r="C175" i="8"/>
  <c r="C174" i="8"/>
  <c r="C173" i="8"/>
  <c r="C172" i="8"/>
  <c r="C171" i="8"/>
  <c r="C170" i="8"/>
  <c r="C169" i="8"/>
  <c r="C168" i="8"/>
  <c r="C167" i="8"/>
  <c r="C166" i="8"/>
  <c r="C165" i="8"/>
  <c r="C164" i="8"/>
  <c r="C163" i="8"/>
  <c r="C162" i="8"/>
  <c r="C161" i="8"/>
  <c r="C160" i="8"/>
  <c r="C159" i="8"/>
  <c r="C158" i="8"/>
  <c r="C157" i="8"/>
  <c r="C156" i="8"/>
  <c r="C155" i="8"/>
  <c r="C154" i="8"/>
  <c r="C153" i="8"/>
  <c r="C152" i="8"/>
  <c r="C151" i="8"/>
  <c r="C150" i="8"/>
  <c r="C149" i="8"/>
  <c r="C148" i="8"/>
  <c r="C147" i="8"/>
  <c r="C146" i="8"/>
  <c r="C145" i="8"/>
  <c r="C144" i="8"/>
  <c r="B144" i="8"/>
  <c r="B145" i="8" s="1"/>
  <c r="B146" i="8" s="1"/>
  <c r="B147" i="8" s="1"/>
  <c r="B148" i="8" s="1"/>
  <c r="B149" i="8" s="1"/>
  <c r="B150" i="8" s="1"/>
  <c r="B151" i="8" s="1"/>
  <c r="B152" i="8" s="1"/>
  <c r="B153" i="8" s="1"/>
  <c r="B154" i="8" s="1"/>
  <c r="B155" i="8" s="1"/>
  <c r="B156" i="8" s="1"/>
  <c r="B157" i="8" s="1"/>
  <c r="B158" i="8" s="1"/>
  <c r="B159" i="8" s="1"/>
  <c r="B160" i="8" s="1"/>
  <c r="B161" i="8" s="1"/>
  <c r="B162" i="8" s="1"/>
  <c r="B163" i="8" s="1"/>
  <c r="B164" i="8" s="1"/>
  <c r="B165" i="8" s="1"/>
  <c r="B166" i="8" s="1"/>
  <c r="B167" i="8" s="1"/>
  <c r="B168" i="8" s="1"/>
  <c r="B169" i="8" s="1"/>
  <c r="B170" i="8" s="1"/>
  <c r="B171" i="8" s="1"/>
  <c r="B172" i="8" s="1"/>
  <c r="B173" i="8" s="1"/>
  <c r="B174" i="8" s="1"/>
  <c r="B175" i="8" s="1"/>
  <c r="B176" i="8" s="1"/>
  <c r="B177" i="8" s="1"/>
  <c r="B178" i="8" s="1"/>
  <c r="B179" i="8" s="1"/>
  <c r="B180" i="8" s="1"/>
  <c r="B181" i="8" s="1"/>
  <c r="B182" i="8" s="1"/>
  <c r="B183" i="8" s="1"/>
  <c r="B184" i="8" s="1"/>
  <c r="B185" i="8" s="1"/>
  <c r="B186" i="8" s="1"/>
  <c r="B187" i="8" s="1"/>
  <c r="B188" i="8" s="1"/>
  <c r="B189" i="8" s="1"/>
  <c r="B190" i="8" s="1"/>
  <c r="B191" i="8" s="1"/>
  <c r="B192" i="8" s="1"/>
  <c r="B193" i="8" s="1"/>
  <c r="B194" i="8" s="1"/>
  <c r="B195" i="8" s="1"/>
  <c r="B196" i="8" s="1"/>
  <c r="B197" i="8" s="1"/>
  <c r="B198" i="8" s="1"/>
  <c r="B199" i="8" s="1"/>
  <c r="B200" i="8" s="1"/>
  <c r="B201" i="8" s="1"/>
  <c r="B202" i="8" s="1"/>
  <c r="B203" i="8" s="1"/>
  <c r="B204" i="8" s="1"/>
  <c r="B205" i="8" s="1"/>
  <c r="B206" i="8" s="1"/>
  <c r="B207" i="8" s="1"/>
  <c r="B208" i="8" s="1"/>
  <c r="B209" i="8" s="1"/>
  <c r="B210" i="8" s="1"/>
  <c r="B211" i="8" s="1"/>
  <c r="B212" i="8" s="1"/>
  <c r="B213" i="8" s="1"/>
  <c r="B214" i="8" s="1"/>
  <c r="B215" i="8" s="1"/>
  <c r="B216" i="8" s="1"/>
  <c r="B217" i="8" s="1"/>
  <c r="B218" i="8" s="1"/>
  <c r="B219" i="8" s="1"/>
  <c r="B220" i="8" s="1"/>
  <c r="B221" i="8" s="1"/>
  <c r="B222" i="8" s="1"/>
  <c r="B223" i="8" s="1"/>
  <c r="C143" i="8"/>
  <c r="C140" i="8"/>
  <c r="C138" i="8"/>
  <c r="C137" i="8"/>
  <c r="C136" i="8"/>
  <c r="C135" i="8"/>
  <c r="C125" i="8"/>
  <c r="C122" i="8"/>
  <c r="C121" i="8"/>
  <c r="C120" i="8"/>
  <c r="C119" i="8"/>
  <c r="C118" i="8"/>
  <c r="C117" i="8"/>
  <c r="C116" i="8"/>
  <c r="C115" i="8"/>
  <c r="C114" i="8"/>
  <c r="C113" i="8"/>
  <c r="C112" i="8"/>
  <c r="C111" i="8"/>
  <c r="C110" i="8"/>
  <c r="C109" i="8"/>
  <c r="C108" i="8"/>
  <c r="C107" i="8"/>
  <c r="C106" i="8"/>
  <c r="C105" i="8"/>
  <c r="C104" i="8"/>
  <c r="C103" i="8"/>
  <c r="C102" i="8"/>
  <c r="C101" i="8"/>
  <c r="C100" i="8"/>
  <c r="C99" i="8"/>
  <c r="C98" i="8"/>
  <c r="C97" i="8"/>
  <c r="C96" i="8"/>
  <c r="C93" i="8"/>
  <c r="C92" i="8"/>
  <c r="C91" i="8"/>
  <c r="C90" i="8"/>
  <c r="C89" i="8"/>
  <c r="C88" i="8"/>
  <c r="C87" i="8"/>
  <c r="C86" i="8"/>
  <c r="C85" i="8"/>
  <c r="C82" i="8"/>
  <c r="C81" i="8"/>
  <c r="C80" i="8"/>
  <c r="C79" i="8"/>
  <c r="C78" i="8"/>
  <c r="C77" i="8"/>
  <c r="C76" i="8"/>
  <c r="C75" i="8"/>
  <c r="C74" i="8"/>
  <c r="C73" i="8"/>
  <c r="C72" i="8"/>
  <c r="C71" i="8"/>
  <c r="C70" i="8"/>
  <c r="C69" i="8"/>
  <c r="C68" i="8"/>
  <c r="C67" i="8"/>
  <c r="C66" i="8"/>
  <c r="C65" i="8"/>
  <c r="C64" i="8"/>
  <c r="C63" i="8"/>
  <c r="C62" i="8"/>
  <c r="C61" i="8"/>
  <c r="C60" i="8"/>
  <c r="C59" i="8"/>
  <c r="C58" i="8"/>
  <c r="C57" i="8"/>
  <c r="C56" i="8"/>
  <c r="C55" i="8"/>
  <c r="C54" i="8"/>
  <c r="C53" i="8"/>
  <c r="C52" i="8"/>
  <c r="C51" i="8"/>
  <c r="C50" i="8"/>
  <c r="C49" i="8"/>
  <c r="C48" i="8"/>
  <c r="C47" i="8"/>
  <c r="C46" i="8"/>
  <c r="C45" i="8"/>
  <c r="C44" i="8"/>
  <c r="C43" i="8"/>
  <c r="C42" i="8"/>
  <c r="C41" i="8"/>
  <c r="C38" i="8"/>
  <c r="C37" i="8"/>
  <c r="C36" i="8"/>
  <c r="C35" i="8"/>
  <c r="C34" i="8"/>
  <c r="C33" i="8"/>
  <c r="C32" i="8"/>
  <c r="C31" i="8"/>
  <c r="C30" i="8"/>
  <c r="C29" i="8"/>
  <c r="C28" i="8"/>
  <c r="C23" i="8"/>
  <c r="C22" i="8"/>
  <c r="C21" i="8"/>
  <c r="C20" i="8"/>
  <c r="C19" i="8"/>
  <c r="C18" i="8"/>
  <c r="C17" i="8" s="1"/>
  <c r="C13" i="8"/>
  <c r="B13" i="8"/>
  <c r="C12" i="8"/>
  <c r="B12" i="8"/>
  <c r="C11" i="8"/>
  <c r="B11" i="8"/>
  <c r="C10" i="8"/>
  <c r="B10" i="8"/>
  <c r="C9" i="8"/>
  <c r="B9" i="8"/>
  <c r="C8" i="8"/>
  <c r="B8" i="8"/>
  <c r="C7" i="8"/>
  <c r="B7" i="8"/>
  <c r="C6" i="8"/>
  <c r="B6" i="8"/>
  <c r="C5" i="8"/>
  <c r="B5" i="8"/>
  <c r="C4" i="8"/>
  <c r="B4" i="8"/>
  <c r="C223" i="7" l="1"/>
  <c r="C222" i="7"/>
  <c r="C221" i="7"/>
  <c r="C220" i="7"/>
  <c r="C219" i="7"/>
  <c r="C218" i="7"/>
  <c r="C217" i="7"/>
  <c r="C216" i="7"/>
  <c r="C215" i="7"/>
  <c r="C214" i="7"/>
  <c r="C213" i="7"/>
  <c r="C212" i="7"/>
  <c r="C211" i="7"/>
  <c r="C210" i="7"/>
  <c r="C209" i="7"/>
  <c r="C208" i="7"/>
  <c r="C207" i="7"/>
  <c r="C206" i="7"/>
  <c r="C205" i="7"/>
  <c r="C204" i="7"/>
  <c r="C203" i="7"/>
  <c r="C202" i="7"/>
  <c r="C201" i="7"/>
  <c r="C200" i="7"/>
  <c r="C199" i="7"/>
  <c r="C198" i="7"/>
  <c r="C197" i="7"/>
  <c r="C196" i="7"/>
  <c r="C195" i="7"/>
  <c r="C194" i="7"/>
  <c r="C193" i="7"/>
  <c r="C192" i="7"/>
  <c r="C191" i="7"/>
  <c r="C190" i="7"/>
  <c r="C189" i="7"/>
  <c r="C188" i="7"/>
  <c r="C187" i="7"/>
  <c r="C186" i="7"/>
  <c r="C185" i="7"/>
  <c r="C184" i="7"/>
  <c r="C183" i="7"/>
  <c r="C182" i="7"/>
  <c r="C181" i="7"/>
  <c r="C180" i="7"/>
  <c r="C179" i="7"/>
  <c r="C178" i="7"/>
  <c r="C177" i="7"/>
  <c r="C176" i="7"/>
  <c r="C175" i="7"/>
  <c r="C174" i="7"/>
  <c r="C173" i="7"/>
  <c r="C172" i="7"/>
  <c r="C171" i="7"/>
  <c r="C170" i="7"/>
  <c r="C169" i="7"/>
  <c r="C168" i="7"/>
  <c r="C167" i="7"/>
  <c r="C166" i="7"/>
  <c r="C165" i="7"/>
  <c r="C164" i="7"/>
  <c r="C163" i="7"/>
  <c r="C162" i="7"/>
  <c r="C161" i="7"/>
  <c r="C160" i="7"/>
  <c r="C159" i="7"/>
  <c r="C158" i="7"/>
  <c r="C157" i="7"/>
  <c r="C156" i="7"/>
  <c r="C155" i="7"/>
  <c r="C154" i="7"/>
  <c r="C153" i="7"/>
  <c r="C152" i="7"/>
  <c r="C151" i="7"/>
  <c r="C150" i="7"/>
  <c r="C149" i="7"/>
  <c r="C148" i="7"/>
  <c r="C147" i="7"/>
  <c r="C146" i="7"/>
  <c r="C145" i="7"/>
  <c r="C144" i="7"/>
  <c r="B144" i="7"/>
  <c r="B145" i="7" s="1"/>
  <c r="B146" i="7" s="1"/>
  <c r="B147" i="7" s="1"/>
  <c r="B148" i="7" s="1"/>
  <c r="B149" i="7" s="1"/>
  <c r="B150" i="7" s="1"/>
  <c r="B151" i="7" s="1"/>
  <c r="B152" i="7" s="1"/>
  <c r="B153" i="7" s="1"/>
  <c r="B154" i="7" s="1"/>
  <c r="B155" i="7" s="1"/>
  <c r="B156" i="7" s="1"/>
  <c r="B157" i="7" s="1"/>
  <c r="B158" i="7" s="1"/>
  <c r="B159" i="7" s="1"/>
  <c r="B160" i="7" s="1"/>
  <c r="B161" i="7" s="1"/>
  <c r="B162" i="7" s="1"/>
  <c r="B163" i="7" s="1"/>
  <c r="B164" i="7" s="1"/>
  <c r="B165" i="7" s="1"/>
  <c r="B166" i="7" s="1"/>
  <c r="B167" i="7" s="1"/>
  <c r="B168" i="7" s="1"/>
  <c r="B169" i="7" s="1"/>
  <c r="B170" i="7" s="1"/>
  <c r="B171" i="7" s="1"/>
  <c r="B172" i="7" s="1"/>
  <c r="B173" i="7" s="1"/>
  <c r="B174" i="7" s="1"/>
  <c r="B175" i="7" s="1"/>
  <c r="B176" i="7" s="1"/>
  <c r="B177" i="7" s="1"/>
  <c r="B178" i="7" s="1"/>
  <c r="B179" i="7" s="1"/>
  <c r="B180" i="7" s="1"/>
  <c r="B181" i="7" s="1"/>
  <c r="B182" i="7" s="1"/>
  <c r="B183" i="7" s="1"/>
  <c r="B184" i="7" s="1"/>
  <c r="B185" i="7" s="1"/>
  <c r="B186" i="7" s="1"/>
  <c r="B187" i="7" s="1"/>
  <c r="B188" i="7" s="1"/>
  <c r="B189" i="7" s="1"/>
  <c r="B190" i="7" s="1"/>
  <c r="B191" i="7" s="1"/>
  <c r="B192" i="7" s="1"/>
  <c r="B193" i="7" s="1"/>
  <c r="B194" i="7" s="1"/>
  <c r="B195" i="7" s="1"/>
  <c r="B196" i="7" s="1"/>
  <c r="B197" i="7" s="1"/>
  <c r="B198" i="7" s="1"/>
  <c r="B199" i="7" s="1"/>
  <c r="B200" i="7" s="1"/>
  <c r="B201" i="7" s="1"/>
  <c r="B202" i="7" s="1"/>
  <c r="B203" i="7" s="1"/>
  <c r="B204" i="7" s="1"/>
  <c r="B205" i="7" s="1"/>
  <c r="B206" i="7" s="1"/>
  <c r="B207" i="7" s="1"/>
  <c r="B208" i="7" s="1"/>
  <c r="B209" i="7" s="1"/>
  <c r="B210" i="7" s="1"/>
  <c r="B211" i="7" s="1"/>
  <c r="B212" i="7" s="1"/>
  <c r="B213" i="7" s="1"/>
  <c r="B214" i="7" s="1"/>
  <c r="B215" i="7" s="1"/>
  <c r="B216" i="7" s="1"/>
  <c r="B217" i="7" s="1"/>
  <c r="B218" i="7" s="1"/>
  <c r="B219" i="7" s="1"/>
  <c r="B220" i="7" s="1"/>
  <c r="B221" i="7" s="1"/>
  <c r="B222" i="7" s="1"/>
  <c r="B223" i="7" s="1"/>
  <c r="C143" i="7"/>
  <c r="C140" i="7"/>
  <c r="C138" i="7"/>
  <c r="C137" i="7"/>
  <c r="C136" i="7"/>
  <c r="C135" i="7"/>
  <c r="C125" i="7"/>
  <c r="C122" i="7"/>
  <c r="C121" i="7"/>
  <c r="C120" i="7"/>
  <c r="C119" i="7"/>
  <c r="C118" i="7"/>
  <c r="C117" i="7"/>
  <c r="C116" i="7"/>
  <c r="C115" i="7"/>
  <c r="C114" i="7"/>
  <c r="C113" i="7"/>
  <c r="C112" i="7"/>
  <c r="C111" i="7"/>
  <c r="C110" i="7"/>
  <c r="C109" i="7"/>
  <c r="C108" i="7"/>
  <c r="C107" i="7"/>
  <c r="C106" i="7"/>
  <c r="C105" i="7"/>
  <c r="C104" i="7"/>
  <c r="C103" i="7"/>
  <c r="C102" i="7"/>
  <c r="C101" i="7"/>
  <c r="C100" i="7"/>
  <c r="C99" i="7"/>
  <c r="C98" i="7"/>
  <c r="C97" i="7"/>
  <c r="C96" i="7"/>
  <c r="C93" i="7"/>
  <c r="C92" i="7"/>
  <c r="C91" i="7"/>
  <c r="C90" i="7"/>
  <c r="C89" i="7"/>
  <c r="C88" i="7"/>
  <c r="C87" i="7"/>
  <c r="C86" i="7"/>
  <c r="C85"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38" i="7"/>
  <c r="C37" i="7"/>
  <c r="C36" i="7"/>
  <c r="C35" i="7"/>
  <c r="C34" i="7"/>
  <c r="C33" i="7"/>
  <c r="C32" i="7"/>
  <c r="C31" i="7"/>
  <c r="C30" i="7"/>
  <c r="C29" i="7"/>
  <c r="C28" i="7"/>
  <c r="C23" i="7"/>
  <c r="C22" i="7"/>
  <c r="C21" i="7"/>
  <c r="C20" i="7"/>
  <c r="C19" i="7"/>
  <c r="C18" i="7"/>
  <c r="C17" i="7" s="1"/>
  <c r="C13" i="7"/>
  <c r="B13" i="7"/>
  <c r="C12" i="7"/>
  <c r="B12" i="7"/>
  <c r="C11" i="7"/>
  <c r="B11" i="7"/>
  <c r="C10" i="7"/>
  <c r="B10" i="7"/>
  <c r="C9" i="7"/>
  <c r="B9" i="7"/>
  <c r="C8" i="7"/>
  <c r="B8" i="7"/>
  <c r="C7" i="7"/>
  <c r="B7" i="7"/>
  <c r="C6" i="7"/>
  <c r="B6" i="7"/>
  <c r="C5" i="7"/>
  <c r="B5" i="7"/>
  <c r="C4" i="7"/>
  <c r="B4" i="7"/>
  <c r="C223" i="6" l="1"/>
  <c r="C222" i="6"/>
  <c r="C221" i="6"/>
  <c r="C220" i="6"/>
  <c r="C219" i="6"/>
  <c r="C218" i="6"/>
  <c r="C217" i="6"/>
  <c r="C216" i="6"/>
  <c r="C215" i="6"/>
  <c r="C214" i="6"/>
  <c r="C213" i="6"/>
  <c r="C212" i="6"/>
  <c r="C211" i="6"/>
  <c r="C210" i="6"/>
  <c r="C209" i="6"/>
  <c r="C208" i="6"/>
  <c r="C207" i="6"/>
  <c r="C206" i="6"/>
  <c r="C205" i="6"/>
  <c r="C204" i="6"/>
  <c r="C203" i="6"/>
  <c r="C202" i="6"/>
  <c r="C201" i="6"/>
  <c r="C200" i="6"/>
  <c r="C199" i="6"/>
  <c r="C198" i="6"/>
  <c r="C197" i="6"/>
  <c r="C196" i="6"/>
  <c r="C195" i="6"/>
  <c r="C194" i="6"/>
  <c r="C193" i="6"/>
  <c r="C192" i="6"/>
  <c r="C191" i="6"/>
  <c r="C190" i="6"/>
  <c r="C189" i="6"/>
  <c r="C188" i="6"/>
  <c r="C187" i="6"/>
  <c r="C186" i="6"/>
  <c r="C185" i="6"/>
  <c r="C184" i="6"/>
  <c r="C183" i="6"/>
  <c r="C182" i="6"/>
  <c r="C181" i="6"/>
  <c r="C180" i="6"/>
  <c r="C179" i="6"/>
  <c r="C178" i="6"/>
  <c r="C177" i="6"/>
  <c r="C176" i="6"/>
  <c r="C175" i="6"/>
  <c r="C174" i="6"/>
  <c r="C173" i="6"/>
  <c r="C172" i="6"/>
  <c r="C171" i="6"/>
  <c r="C170" i="6"/>
  <c r="C169" i="6"/>
  <c r="C168" i="6"/>
  <c r="C167" i="6"/>
  <c r="C166" i="6"/>
  <c r="C165" i="6"/>
  <c r="C164" i="6"/>
  <c r="C163" i="6"/>
  <c r="C162" i="6"/>
  <c r="C161" i="6"/>
  <c r="C160" i="6"/>
  <c r="C159" i="6"/>
  <c r="C158" i="6"/>
  <c r="C157" i="6"/>
  <c r="C156" i="6"/>
  <c r="C155" i="6"/>
  <c r="C154" i="6"/>
  <c r="C153" i="6"/>
  <c r="C152" i="6"/>
  <c r="C151" i="6"/>
  <c r="C150" i="6"/>
  <c r="C149" i="6"/>
  <c r="C148" i="6"/>
  <c r="C147" i="6"/>
  <c r="C146" i="6"/>
  <c r="C145" i="6"/>
  <c r="C144" i="6"/>
  <c r="B144" i="6"/>
  <c r="B145" i="6" s="1"/>
  <c r="B146" i="6" s="1"/>
  <c r="B147" i="6" s="1"/>
  <c r="B148" i="6" s="1"/>
  <c r="B149" i="6" s="1"/>
  <c r="B150" i="6" s="1"/>
  <c r="B151" i="6" s="1"/>
  <c r="B152" i="6" s="1"/>
  <c r="B153" i="6" s="1"/>
  <c r="B154" i="6" s="1"/>
  <c r="B155" i="6" s="1"/>
  <c r="B156" i="6" s="1"/>
  <c r="B157" i="6" s="1"/>
  <c r="B158" i="6" s="1"/>
  <c r="B159" i="6" s="1"/>
  <c r="B160" i="6" s="1"/>
  <c r="B161" i="6" s="1"/>
  <c r="B162" i="6" s="1"/>
  <c r="B163" i="6" s="1"/>
  <c r="B164" i="6" s="1"/>
  <c r="B165" i="6" s="1"/>
  <c r="B166" i="6" s="1"/>
  <c r="B167" i="6" s="1"/>
  <c r="B168" i="6" s="1"/>
  <c r="B169" i="6" s="1"/>
  <c r="B170" i="6" s="1"/>
  <c r="B171" i="6" s="1"/>
  <c r="B172" i="6" s="1"/>
  <c r="B173" i="6" s="1"/>
  <c r="B174" i="6" s="1"/>
  <c r="B175" i="6" s="1"/>
  <c r="B176" i="6" s="1"/>
  <c r="B177" i="6" s="1"/>
  <c r="B178" i="6" s="1"/>
  <c r="B179" i="6" s="1"/>
  <c r="B180" i="6" s="1"/>
  <c r="B181" i="6" s="1"/>
  <c r="B182" i="6" s="1"/>
  <c r="B183" i="6" s="1"/>
  <c r="B184" i="6" s="1"/>
  <c r="B185" i="6" s="1"/>
  <c r="B186" i="6" s="1"/>
  <c r="B187" i="6" s="1"/>
  <c r="B188" i="6" s="1"/>
  <c r="B189" i="6" s="1"/>
  <c r="B190" i="6" s="1"/>
  <c r="B191" i="6" s="1"/>
  <c r="B192" i="6" s="1"/>
  <c r="B193" i="6" s="1"/>
  <c r="B194" i="6" s="1"/>
  <c r="B195" i="6" s="1"/>
  <c r="B196" i="6" s="1"/>
  <c r="B197" i="6" s="1"/>
  <c r="B198" i="6" s="1"/>
  <c r="B199" i="6" s="1"/>
  <c r="B200" i="6" s="1"/>
  <c r="B201" i="6" s="1"/>
  <c r="B202" i="6" s="1"/>
  <c r="B203" i="6" s="1"/>
  <c r="B204" i="6" s="1"/>
  <c r="B205" i="6" s="1"/>
  <c r="B206" i="6" s="1"/>
  <c r="B207" i="6" s="1"/>
  <c r="B208" i="6" s="1"/>
  <c r="B209" i="6" s="1"/>
  <c r="B210" i="6" s="1"/>
  <c r="B211" i="6" s="1"/>
  <c r="B212" i="6" s="1"/>
  <c r="B213" i="6" s="1"/>
  <c r="B214" i="6" s="1"/>
  <c r="B215" i="6" s="1"/>
  <c r="B216" i="6" s="1"/>
  <c r="B217" i="6" s="1"/>
  <c r="B218" i="6" s="1"/>
  <c r="B219" i="6" s="1"/>
  <c r="B220" i="6" s="1"/>
  <c r="B221" i="6" s="1"/>
  <c r="B222" i="6" s="1"/>
  <c r="B223" i="6" s="1"/>
  <c r="C143" i="6"/>
  <c r="C140" i="6"/>
  <c r="C138" i="6"/>
  <c r="C137" i="6"/>
  <c r="C136" i="6"/>
  <c r="C135" i="6"/>
  <c r="C125" i="6"/>
  <c r="C122" i="6"/>
  <c r="C121" i="6"/>
  <c r="C120" i="6"/>
  <c r="C119" i="6"/>
  <c r="C118" i="6"/>
  <c r="C117" i="6"/>
  <c r="C116" i="6"/>
  <c r="C115" i="6"/>
  <c r="C114" i="6"/>
  <c r="C113" i="6"/>
  <c r="C112" i="6"/>
  <c r="C111" i="6"/>
  <c r="C110" i="6"/>
  <c r="C109" i="6"/>
  <c r="C108" i="6"/>
  <c r="C107" i="6"/>
  <c r="C106" i="6"/>
  <c r="C105" i="6"/>
  <c r="C104" i="6"/>
  <c r="C103" i="6"/>
  <c r="C102" i="6"/>
  <c r="C101" i="6"/>
  <c r="C100" i="6"/>
  <c r="C99" i="6"/>
  <c r="C98" i="6"/>
  <c r="C97" i="6"/>
  <c r="C96" i="6"/>
  <c r="C93" i="6"/>
  <c r="C92" i="6"/>
  <c r="C91" i="6"/>
  <c r="C90" i="6"/>
  <c r="C89" i="6"/>
  <c r="C88" i="6"/>
  <c r="C87" i="6"/>
  <c r="C86" i="6"/>
  <c r="C85" i="6"/>
  <c r="C82" i="6"/>
  <c r="C81" i="6"/>
  <c r="C80" i="6"/>
  <c r="C79" i="6"/>
  <c r="C78" i="6"/>
  <c r="C77" i="6"/>
  <c r="C76" i="6"/>
  <c r="C75" i="6"/>
  <c r="C74" i="6"/>
  <c r="C73" i="6"/>
  <c r="C72" i="6"/>
  <c r="C71" i="6"/>
  <c r="C70" i="6"/>
  <c r="C69" i="6"/>
  <c r="C68" i="6"/>
  <c r="C67" i="6"/>
  <c r="C66" i="6"/>
  <c r="C65" i="6"/>
  <c r="C64" i="6"/>
  <c r="C63" i="6"/>
  <c r="C62" i="6"/>
  <c r="C61" i="6"/>
  <c r="C60" i="6"/>
  <c r="C59" i="6"/>
  <c r="C58" i="6"/>
  <c r="C57" i="6"/>
  <c r="C56" i="6"/>
  <c r="C55" i="6"/>
  <c r="C54" i="6"/>
  <c r="C53" i="6"/>
  <c r="C52" i="6"/>
  <c r="C51" i="6"/>
  <c r="C50" i="6"/>
  <c r="C49" i="6"/>
  <c r="C48" i="6"/>
  <c r="C47" i="6"/>
  <c r="C46" i="6"/>
  <c r="C45" i="6"/>
  <c r="C44" i="6"/>
  <c r="C43" i="6"/>
  <c r="C42" i="6"/>
  <c r="C41" i="6"/>
  <c r="C38" i="6"/>
  <c r="C37" i="6"/>
  <c r="C36" i="6"/>
  <c r="C35" i="6"/>
  <c r="C34" i="6"/>
  <c r="C33" i="6"/>
  <c r="C32" i="6"/>
  <c r="C31" i="6"/>
  <c r="C30" i="6"/>
  <c r="C29" i="6"/>
  <c r="C28" i="6"/>
  <c r="C23" i="6"/>
  <c r="C22" i="6"/>
  <c r="C21" i="6"/>
  <c r="C20" i="6"/>
  <c r="C19" i="6"/>
  <c r="C18" i="6"/>
  <c r="C17" i="6" s="1"/>
  <c r="C13" i="6"/>
  <c r="B13" i="6"/>
  <c r="C12" i="6"/>
  <c r="B12" i="6"/>
  <c r="C11" i="6"/>
  <c r="B11" i="6"/>
  <c r="C10" i="6"/>
  <c r="B10" i="6"/>
  <c r="C9" i="6"/>
  <c r="B9" i="6"/>
  <c r="C8" i="6"/>
  <c r="B8" i="6"/>
  <c r="C7" i="6"/>
  <c r="B7" i="6"/>
  <c r="C6" i="6"/>
  <c r="B6" i="6"/>
  <c r="C5" i="6"/>
  <c r="B5" i="6"/>
  <c r="C4" i="6"/>
  <c r="B4" i="6"/>
  <c r="C223" i="5" l="1"/>
  <c r="C222" i="5"/>
  <c r="C221" i="5"/>
  <c r="C220" i="5"/>
  <c r="C219" i="5"/>
  <c r="C218" i="5"/>
  <c r="C217" i="5"/>
  <c r="C216" i="5"/>
  <c r="C215" i="5"/>
  <c r="C214" i="5"/>
  <c r="C213" i="5"/>
  <c r="C212" i="5"/>
  <c r="C211" i="5"/>
  <c r="C210" i="5"/>
  <c r="C209" i="5"/>
  <c r="C208" i="5"/>
  <c r="C207" i="5"/>
  <c r="C206" i="5"/>
  <c r="C205" i="5"/>
  <c r="C204" i="5"/>
  <c r="C203" i="5"/>
  <c r="C202" i="5"/>
  <c r="C201" i="5"/>
  <c r="C200" i="5"/>
  <c r="C199" i="5"/>
  <c r="C198" i="5"/>
  <c r="C197" i="5"/>
  <c r="C196" i="5"/>
  <c r="C195" i="5"/>
  <c r="C194" i="5"/>
  <c r="C193" i="5"/>
  <c r="C192" i="5"/>
  <c r="C191" i="5"/>
  <c r="C190" i="5"/>
  <c r="C189" i="5"/>
  <c r="C188" i="5"/>
  <c r="C187" i="5"/>
  <c r="C186" i="5"/>
  <c r="C185" i="5"/>
  <c r="C184" i="5"/>
  <c r="C183" i="5"/>
  <c r="C182" i="5"/>
  <c r="C181" i="5"/>
  <c r="C180" i="5"/>
  <c r="C179" i="5"/>
  <c r="C178" i="5"/>
  <c r="C177" i="5"/>
  <c r="C176" i="5"/>
  <c r="C175" i="5"/>
  <c r="C174" i="5"/>
  <c r="C173" i="5"/>
  <c r="C172" i="5"/>
  <c r="C171" i="5"/>
  <c r="C170" i="5"/>
  <c r="C169" i="5"/>
  <c r="C168" i="5"/>
  <c r="C167" i="5"/>
  <c r="C166" i="5"/>
  <c r="C165" i="5"/>
  <c r="C164" i="5"/>
  <c r="C163" i="5"/>
  <c r="C162" i="5"/>
  <c r="C161" i="5"/>
  <c r="C160" i="5"/>
  <c r="C159" i="5"/>
  <c r="C158" i="5"/>
  <c r="C157" i="5"/>
  <c r="C156" i="5"/>
  <c r="C155" i="5"/>
  <c r="C154" i="5"/>
  <c r="C153" i="5"/>
  <c r="C152" i="5"/>
  <c r="C151" i="5"/>
  <c r="C150" i="5"/>
  <c r="C149" i="5"/>
  <c r="C148" i="5"/>
  <c r="C147" i="5"/>
  <c r="C146" i="5"/>
  <c r="C145" i="5"/>
  <c r="C144" i="5"/>
  <c r="B144" i="5"/>
  <c r="B145" i="5" s="1"/>
  <c r="B146" i="5" s="1"/>
  <c r="B147" i="5" s="1"/>
  <c r="B148" i="5" s="1"/>
  <c r="B149" i="5" s="1"/>
  <c r="B150" i="5" s="1"/>
  <c r="B151" i="5" s="1"/>
  <c r="B152" i="5" s="1"/>
  <c r="B153" i="5" s="1"/>
  <c r="B154" i="5" s="1"/>
  <c r="B155" i="5" s="1"/>
  <c r="B156" i="5" s="1"/>
  <c r="B157" i="5" s="1"/>
  <c r="B158" i="5" s="1"/>
  <c r="B159" i="5" s="1"/>
  <c r="B160" i="5" s="1"/>
  <c r="B161" i="5" s="1"/>
  <c r="B162" i="5" s="1"/>
  <c r="B163" i="5" s="1"/>
  <c r="B164" i="5" s="1"/>
  <c r="B165" i="5" s="1"/>
  <c r="B166" i="5" s="1"/>
  <c r="B167" i="5" s="1"/>
  <c r="B168" i="5" s="1"/>
  <c r="B169" i="5" s="1"/>
  <c r="B170" i="5" s="1"/>
  <c r="B171" i="5" s="1"/>
  <c r="B172" i="5" s="1"/>
  <c r="B173" i="5" s="1"/>
  <c r="B174" i="5" s="1"/>
  <c r="B175" i="5" s="1"/>
  <c r="B176" i="5" s="1"/>
  <c r="B177" i="5" s="1"/>
  <c r="B178" i="5" s="1"/>
  <c r="B179" i="5" s="1"/>
  <c r="B180" i="5" s="1"/>
  <c r="B181" i="5" s="1"/>
  <c r="B182" i="5" s="1"/>
  <c r="B183" i="5" s="1"/>
  <c r="B184" i="5" s="1"/>
  <c r="B185" i="5" s="1"/>
  <c r="B186" i="5" s="1"/>
  <c r="B187" i="5" s="1"/>
  <c r="B188" i="5" s="1"/>
  <c r="B189" i="5" s="1"/>
  <c r="B190" i="5" s="1"/>
  <c r="B191" i="5" s="1"/>
  <c r="B192" i="5" s="1"/>
  <c r="B193" i="5" s="1"/>
  <c r="B194" i="5" s="1"/>
  <c r="B195" i="5" s="1"/>
  <c r="B196" i="5" s="1"/>
  <c r="B197" i="5" s="1"/>
  <c r="B198" i="5" s="1"/>
  <c r="B199" i="5" s="1"/>
  <c r="B200" i="5" s="1"/>
  <c r="B201" i="5" s="1"/>
  <c r="B202" i="5" s="1"/>
  <c r="B203" i="5" s="1"/>
  <c r="B204" i="5" s="1"/>
  <c r="B205" i="5" s="1"/>
  <c r="B206" i="5" s="1"/>
  <c r="B207" i="5" s="1"/>
  <c r="B208" i="5" s="1"/>
  <c r="B209" i="5" s="1"/>
  <c r="B210" i="5" s="1"/>
  <c r="B211" i="5" s="1"/>
  <c r="B212" i="5" s="1"/>
  <c r="B213" i="5" s="1"/>
  <c r="B214" i="5" s="1"/>
  <c r="B215" i="5" s="1"/>
  <c r="B216" i="5" s="1"/>
  <c r="B217" i="5" s="1"/>
  <c r="B218" i="5" s="1"/>
  <c r="B219" i="5" s="1"/>
  <c r="B220" i="5" s="1"/>
  <c r="B221" i="5" s="1"/>
  <c r="B222" i="5" s="1"/>
  <c r="B223" i="5" s="1"/>
  <c r="C143" i="5"/>
  <c r="C140" i="5"/>
  <c r="C138" i="5"/>
  <c r="C137" i="5"/>
  <c r="C136" i="5"/>
  <c r="C135" i="5"/>
  <c r="C125" i="5"/>
  <c r="C122" i="5"/>
  <c r="C121" i="5"/>
  <c r="C120" i="5"/>
  <c r="C119" i="5"/>
  <c r="C118" i="5"/>
  <c r="C117" i="5"/>
  <c r="C116" i="5"/>
  <c r="C115" i="5"/>
  <c r="C114" i="5"/>
  <c r="C113" i="5"/>
  <c r="C112" i="5"/>
  <c r="C111" i="5"/>
  <c r="C110" i="5"/>
  <c r="C109" i="5"/>
  <c r="C108" i="5"/>
  <c r="C107" i="5"/>
  <c r="C106" i="5"/>
  <c r="C105" i="5"/>
  <c r="C104" i="5"/>
  <c r="C103" i="5"/>
  <c r="C102" i="5"/>
  <c r="C101" i="5"/>
  <c r="C100" i="5"/>
  <c r="C99" i="5"/>
  <c r="C98" i="5"/>
  <c r="C97" i="5"/>
  <c r="C96" i="5"/>
  <c r="C93" i="5"/>
  <c r="C92" i="5"/>
  <c r="C91" i="5"/>
  <c r="C90" i="5"/>
  <c r="C89" i="5"/>
  <c r="C88" i="5"/>
  <c r="C87" i="5"/>
  <c r="C86" i="5"/>
  <c r="C85" i="5"/>
  <c r="C82" i="5"/>
  <c r="C81" i="5"/>
  <c r="C80" i="5"/>
  <c r="C79" i="5"/>
  <c r="C78" i="5"/>
  <c r="C77" i="5"/>
  <c r="C76" i="5"/>
  <c r="C75" i="5"/>
  <c r="C74" i="5"/>
  <c r="C73" i="5"/>
  <c r="C72" i="5"/>
  <c r="C71" i="5"/>
  <c r="C70" i="5"/>
  <c r="C69" i="5"/>
  <c r="C68" i="5"/>
  <c r="C67" i="5"/>
  <c r="C66" i="5"/>
  <c r="C65" i="5"/>
  <c r="C64" i="5"/>
  <c r="C63" i="5"/>
  <c r="C62" i="5"/>
  <c r="C61" i="5"/>
  <c r="C60" i="5"/>
  <c r="C59" i="5"/>
  <c r="C58" i="5"/>
  <c r="C57" i="5"/>
  <c r="C56" i="5"/>
  <c r="C55" i="5"/>
  <c r="C54" i="5"/>
  <c r="C53" i="5"/>
  <c r="C52" i="5"/>
  <c r="C51" i="5"/>
  <c r="C50" i="5"/>
  <c r="C49" i="5"/>
  <c r="C48" i="5"/>
  <c r="C47" i="5"/>
  <c r="C46" i="5"/>
  <c r="C45" i="5"/>
  <c r="C44" i="5"/>
  <c r="C43" i="5"/>
  <c r="C42" i="5"/>
  <c r="C41" i="5"/>
  <c r="C38" i="5"/>
  <c r="C37" i="5"/>
  <c r="C36" i="5"/>
  <c r="C35" i="5"/>
  <c r="C34" i="5"/>
  <c r="C33" i="5"/>
  <c r="C32" i="5"/>
  <c r="C31" i="5"/>
  <c r="C30" i="5"/>
  <c r="C29" i="5"/>
  <c r="C28" i="5"/>
  <c r="C23" i="5"/>
  <c r="C22" i="5"/>
  <c r="C21" i="5"/>
  <c r="C20" i="5"/>
  <c r="C19" i="5"/>
  <c r="C18" i="5"/>
  <c r="C17" i="5" s="1"/>
  <c r="C13" i="5"/>
  <c r="B13" i="5"/>
  <c r="C12" i="5"/>
  <c r="B12" i="5"/>
  <c r="C11" i="5"/>
  <c r="B11" i="5"/>
  <c r="C10" i="5"/>
  <c r="B10" i="5"/>
  <c r="C9" i="5"/>
  <c r="B9" i="5"/>
  <c r="C8" i="5"/>
  <c r="B8" i="5"/>
  <c r="C7" i="5"/>
  <c r="B7" i="5"/>
  <c r="C6" i="5"/>
  <c r="B6" i="5"/>
  <c r="C5" i="5"/>
  <c r="B5" i="5"/>
  <c r="C4" i="5"/>
  <c r="B4" i="5"/>
  <c r="C223" i="4" l="1"/>
  <c r="C222" i="4"/>
  <c r="C221" i="4"/>
  <c r="C220" i="4"/>
  <c r="C219" i="4"/>
  <c r="C218" i="4"/>
  <c r="C217" i="4"/>
  <c r="C216" i="4"/>
  <c r="C215" i="4"/>
  <c r="C214" i="4"/>
  <c r="C213" i="4"/>
  <c r="C212" i="4"/>
  <c r="C211" i="4"/>
  <c r="C210" i="4"/>
  <c r="C209" i="4"/>
  <c r="C208" i="4"/>
  <c r="C207" i="4"/>
  <c r="C206" i="4"/>
  <c r="C205" i="4"/>
  <c r="C204" i="4"/>
  <c r="C203" i="4"/>
  <c r="C202" i="4"/>
  <c r="C201" i="4"/>
  <c r="C200" i="4"/>
  <c r="C199" i="4"/>
  <c r="C198" i="4"/>
  <c r="C197" i="4"/>
  <c r="C196" i="4"/>
  <c r="C195" i="4"/>
  <c r="C194" i="4"/>
  <c r="C193" i="4"/>
  <c r="C192" i="4"/>
  <c r="C191" i="4"/>
  <c r="C190" i="4"/>
  <c r="C189" i="4"/>
  <c r="C188" i="4"/>
  <c r="C187" i="4"/>
  <c r="C186" i="4"/>
  <c r="C185" i="4"/>
  <c r="C184" i="4"/>
  <c r="C183" i="4"/>
  <c r="C182" i="4"/>
  <c r="C181" i="4"/>
  <c r="C180" i="4"/>
  <c r="C179" i="4"/>
  <c r="C178" i="4"/>
  <c r="C177" i="4"/>
  <c r="C176" i="4"/>
  <c r="C175" i="4"/>
  <c r="C174" i="4"/>
  <c r="C173" i="4"/>
  <c r="C172" i="4"/>
  <c r="C171" i="4"/>
  <c r="C170" i="4"/>
  <c r="C169" i="4"/>
  <c r="C168" i="4"/>
  <c r="C167" i="4"/>
  <c r="C166" i="4"/>
  <c r="C165" i="4"/>
  <c r="C164" i="4"/>
  <c r="C163" i="4"/>
  <c r="C162" i="4"/>
  <c r="C161" i="4"/>
  <c r="C160" i="4"/>
  <c r="C159" i="4"/>
  <c r="C158" i="4"/>
  <c r="C157" i="4"/>
  <c r="C156" i="4"/>
  <c r="C155" i="4"/>
  <c r="C154" i="4"/>
  <c r="C153" i="4"/>
  <c r="C152" i="4"/>
  <c r="C151" i="4"/>
  <c r="C150" i="4"/>
  <c r="C149" i="4"/>
  <c r="C148" i="4"/>
  <c r="C147" i="4"/>
  <c r="C146" i="4"/>
  <c r="C145" i="4"/>
  <c r="C144" i="4"/>
  <c r="B144" i="4"/>
  <c r="B145" i="4" s="1"/>
  <c r="B146" i="4" s="1"/>
  <c r="B147" i="4" s="1"/>
  <c r="B148" i="4" s="1"/>
  <c r="B149" i="4" s="1"/>
  <c r="B150" i="4" s="1"/>
  <c r="B151" i="4" s="1"/>
  <c r="B152" i="4" s="1"/>
  <c r="B153" i="4" s="1"/>
  <c r="B154" i="4" s="1"/>
  <c r="B155" i="4" s="1"/>
  <c r="B156" i="4" s="1"/>
  <c r="B157" i="4" s="1"/>
  <c r="B158" i="4" s="1"/>
  <c r="B159" i="4" s="1"/>
  <c r="B160" i="4" s="1"/>
  <c r="B161" i="4" s="1"/>
  <c r="B162" i="4" s="1"/>
  <c r="B163" i="4" s="1"/>
  <c r="B164" i="4" s="1"/>
  <c r="B165" i="4" s="1"/>
  <c r="B166" i="4" s="1"/>
  <c r="B167" i="4" s="1"/>
  <c r="B168" i="4" s="1"/>
  <c r="B169" i="4" s="1"/>
  <c r="B170" i="4" s="1"/>
  <c r="B171" i="4" s="1"/>
  <c r="B172" i="4" s="1"/>
  <c r="B173" i="4" s="1"/>
  <c r="B174" i="4" s="1"/>
  <c r="B175" i="4" s="1"/>
  <c r="B176" i="4" s="1"/>
  <c r="B177" i="4" s="1"/>
  <c r="B178" i="4" s="1"/>
  <c r="B179" i="4" s="1"/>
  <c r="B180" i="4" s="1"/>
  <c r="B181" i="4" s="1"/>
  <c r="B182" i="4" s="1"/>
  <c r="B183" i="4" s="1"/>
  <c r="B184" i="4" s="1"/>
  <c r="B185" i="4" s="1"/>
  <c r="B186" i="4" s="1"/>
  <c r="B187" i="4" s="1"/>
  <c r="B188" i="4" s="1"/>
  <c r="B189" i="4" s="1"/>
  <c r="B190" i="4" s="1"/>
  <c r="B191" i="4" s="1"/>
  <c r="B192" i="4" s="1"/>
  <c r="B193" i="4" s="1"/>
  <c r="B194" i="4" s="1"/>
  <c r="B195" i="4" s="1"/>
  <c r="B196" i="4" s="1"/>
  <c r="B197" i="4" s="1"/>
  <c r="B198" i="4" s="1"/>
  <c r="B199" i="4" s="1"/>
  <c r="B200" i="4" s="1"/>
  <c r="B201" i="4" s="1"/>
  <c r="B202" i="4" s="1"/>
  <c r="B203" i="4" s="1"/>
  <c r="B204" i="4" s="1"/>
  <c r="B205" i="4" s="1"/>
  <c r="B206" i="4" s="1"/>
  <c r="B207" i="4" s="1"/>
  <c r="B208" i="4" s="1"/>
  <c r="B209" i="4" s="1"/>
  <c r="B210" i="4" s="1"/>
  <c r="B211" i="4" s="1"/>
  <c r="B212" i="4" s="1"/>
  <c r="B213" i="4" s="1"/>
  <c r="B214" i="4" s="1"/>
  <c r="B215" i="4" s="1"/>
  <c r="B216" i="4" s="1"/>
  <c r="B217" i="4" s="1"/>
  <c r="B218" i="4" s="1"/>
  <c r="B219" i="4" s="1"/>
  <c r="B220" i="4" s="1"/>
  <c r="B221" i="4" s="1"/>
  <c r="B222" i="4" s="1"/>
  <c r="B223" i="4" s="1"/>
  <c r="C143" i="4"/>
  <c r="C140" i="4"/>
  <c r="C138" i="4"/>
  <c r="C137" i="4"/>
  <c r="C136" i="4"/>
  <c r="C135" i="4"/>
  <c r="C125" i="4"/>
  <c r="C122" i="4"/>
  <c r="C121" i="4"/>
  <c r="C120" i="4"/>
  <c r="C119" i="4"/>
  <c r="C118" i="4"/>
  <c r="C117" i="4"/>
  <c r="C116" i="4"/>
  <c r="C115" i="4"/>
  <c r="C114" i="4"/>
  <c r="C113" i="4"/>
  <c r="C112" i="4"/>
  <c r="C111" i="4"/>
  <c r="C110" i="4"/>
  <c r="C109" i="4"/>
  <c r="C108" i="4"/>
  <c r="C107" i="4"/>
  <c r="C106" i="4"/>
  <c r="C105" i="4"/>
  <c r="C104" i="4"/>
  <c r="C103" i="4"/>
  <c r="C102" i="4"/>
  <c r="C101" i="4"/>
  <c r="C100" i="4"/>
  <c r="C99" i="4"/>
  <c r="C98" i="4"/>
  <c r="C97" i="4"/>
  <c r="C96" i="4"/>
  <c r="C93" i="4"/>
  <c r="C92" i="4"/>
  <c r="C91" i="4"/>
  <c r="C90" i="4"/>
  <c r="C89" i="4"/>
  <c r="C88" i="4"/>
  <c r="C87" i="4"/>
  <c r="C86" i="4"/>
  <c r="C85" i="4"/>
  <c r="C82" i="4"/>
  <c r="C81" i="4"/>
  <c r="C80" i="4"/>
  <c r="C79" i="4"/>
  <c r="C78" i="4"/>
  <c r="C77" i="4"/>
  <c r="C76" i="4"/>
  <c r="C75" i="4"/>
  <c r="C74" i="4"/>
  <c r="C73" i="4"/>
  <c r="C72" i="4"/>
  <c r="C71" i="4"/>
  <c r="C70" i="4"/>
  <c r="C69" i="4"/>
  <c r="C68" i="4"/>
  <c r="C67" i="4"/>
  <c r="C66" i="4"/>
  <c r="C65" i="4"/>
  <c r="C64" i="4"/>
  <c r="C63" i="4"/>
  <c r="C62" i="4"/>
  <c r="C61" i="4"/>
  <c r="C60" i="4"/>
  <c r="C59" i="4"/>
  <c r="C58" i="4"/>
  <c r="C57" i="4"/>
  <c r="C56" i="4"/>
  <c r="C55" i="4"/>
  <c r="C54" i="4"/>
  <c r="C53" i="4"/>
  <c r="C52" i="4"/>
  <c r="C51" i="4"/>
  <c r="C50" i="4"/>
  <c r="C49" i="4"/>
  <c r="C48" i="4"/>
  <c r="C47" i="4"/>
  <c r="C46" i="4"/>
  <c r="C45" i="4"/>
  <c r="C44" i="4"/>
  <c r="C43" i="4"/>
  <c r="C42" i="4"/>
  <c r="C41" i="4"/>
  <c r="C38" i="4"/>
  <c r="C37" i="4"/>
  <c r="C36" i="4"/>
  <c r="C35" i="4"/>
  <c r="C34" i="4"/>
  <c r="C33" i="4"/>
  <c r="C32" i="4"/>
  <c r="C31" i="4"/>
  <c r="C30" i="4"/>
  <c r="C29" i="4"/>
  <c r="C28" i="4"/>
  <c r="C23" i="4"/>
  <c r="C22" i="4"/>
  <c r="C21" i="4"/>
  <c r="C20" i="4"/>
  <c r="C19" i="4"/>
  <c r="C18" i="4"/>
  <c r="C17" i="4" s="1"/>
  <c r="C13" i="4"/>
  <c r="B13" i="4"/>
  <c r="C12" i="4"/>
  <c r="B12" i="4"/>
  <c r="C11" i="4"/>
  <c r="B11" i="4"/>
  <c r="C10" i="4"/>
  <c r="B10" i="4"/>
  <c r="C9" i="4"/>
  <c r="B9" i="4"/>
  <c r="C8" i="4"/>
  <c r="B8" i="4"/>
  <c r="C7" i="4"/>
  <c r="B7" i="4"/>
  <c r="C6" i="4"/>
  <c r="B6" i="4"/>
  <c r="C5" i="4"/>
  <c r="B5" i="4"/>
  <c r="C4" i="4"/>
  <c r="B4" i="4"/>
  <c r="C223" i="3" l="1"/>
  <c r="C222" i="3"/>
  <c r="C221" i="3"/>
  <c r="C220" i="3"/>
  <c r="C219" i="3"/>
  <c r="C218" i="3"/>
  <c r="C217" i="3"/>
  <c r="C216" i="3"/>
  <c r="C215" i="3"/>
  <c r="C214" i="3"/>
  <c r="C213" i="3"/>
  <c r="C212" i="3"/>
  <c r="C211" i="3"/>
  <c r="C210" i="3"/>
  <c r="C209" i="3"/>
  <c r="C208" i="3"/>
  <c r="C207" i="3"/>
  <c r="C206" i="3"/>
  <c r="C205" i="3"/>
  <c r="C204" i="3"/>
  <c r="C203" i="3"/>
  <c r="C202" i="3"/>
  <c r="C201" i="3"/>
  <c r="C200" i="3"/>
  <c r="C199" i="3"/>
  <c r="C198" i="3"/>
  <c r="C197" i="3"/>
  <c r="C196" i="3"/>
  <c r="C195" i="3"/>
  <c r="C194" i="3"/>
  <c r="C193" i="3"/>
  <c r="C192" i="3"/>
  <c r="C191" i="3"/>
  <c r="C190" i="3"/>
  <c r="C189" i="3"/>
  <c r="C188" i="3"/>
  <c r="C187" i="3"/>
  <c r="C186" i="3"/>
  <c r="C185" i="3"/>
  <c r="C184" i="3"/>
  <c r="C183" i="3"/>
  <c r="C182" i="3"/>
  <c r="C181" i="3"/>
  <c r="C180" i="3"/>
  <c r="C179" i="3"/>
  <c r="C178" i="3"/>
  <c r="C177" i="3"/>
  <c r="C176" i="3"/>
  <c r="C175" i="3"/>
  <c r="C174" i="3"/>
  <c r="C173" i="3"/>
  <c r="C172" i="3"/>
  <c r="C171" i="3"/>
  <c r="C170" i="3"/>
  <c r="C169" i="3"/>
  <c r="C168" i="3"/>
  <c r="C167" i="3"/>
  <c r="C166" i="3"/>
  <c r="C165" i="3"/>
  <c r="C164" i="3"/>
  <c r="C163" i="3"/>
  <c r="C162" i="3"/>
  <c r="C161" i="3"/>
  <c r="C160" i="3"/>
  <c r="C159" i="3"/>
  <c r="C158" i="3"/>
  <c r="C157" i="3"/>
  <c r="C156" i="3"/>
  <c r="C155" i="3"/>
  <c r="C154" i="3"/>
  <c r="C153" i="3"/>
  <c r="C152" i="3"/>
  <c r="C151" i="3"/>
  <c r="C150" i="3"/>
  <c r="C149" i="3"/>
  <c r="C148" i="3"/>
  <c r="C147" i="3"/>
  <c r="C146" i="3"/>
  <c r="C145" i="3"/>
  <c r="C144" i="3"/>
  <c r="B144" i="3"/>
  <c r="B145" i="3" s="1"/>
  <c r="B146" i="3" s="1"/>
  <c r="B147" i="3" s="1"/>
  <c r="B148" i="3" s="1"/>
  <c r="B149" i="3" s="1"/>
  <c r="B150" i="3" s="1"/>
  <c r="B151" i="3" s="1"/>
  <c r="B152" i="3" s="1"/>
  <c r="B153" i="3" s="1"/>
  <c r="B154" i="3" s="1"/>
  <c r="B155" i="3" s="1"/>
  <c r="B156" i="3" s="1"/>
  <c r="B157" i="3" s="1"/>
  <c r="B158" i="3" s="1"/>
  <c r="B159" i="3" s="1"/>
  <c r="B160" i="3" s="1"/>
  <c r="B161" i="3" s="1"/>
  <c r="B162" i="3" s="1"/>
  <c r="B163" i="3" s="1"/>
  <c r="B164" i="3" s="1"/>
  <c r="B165" i="3" s="1"/>
  <c r="B166" i="3" s="1"/>
  <c r="B167" i="3" s="1"/>
  <c r="B168" i="3" s="1"/>
  <c r="B169" i="3" s="1"/>
  <c r="B170" i="3" s="1"/>
  <c r="B171" i="3" s="1"/>
  <c r="B172" i="3" s="1"/>
  <c r="B173" i="3" s="1"/>
  <c r="B174" i="3" s="1"/>
  <c r="B175" i="3" s="1"/>
  <c r="B176" i="3" s="1"/>
  <c r="B177" i="3" s="1"/>
  <c r="B178" i="3" s="1"/>
  <c r="B179" i="3" s="1"/>
  <c r="B180" i="3" s="1"/>
  <c r="B181" i="3" s="1"/>
  <c r="B182" i="3" s="1"/>
  <c r="B183" i="3" s="1"/>
  <c r="B184" i="3" s="1"/>
  <c r="B185" i="3" s="1"/>
  <c r="B186" i="3" s="1"/>
  <c r="B187" i="3" s="1"/>
  <c r="B188" i="3" s="1"/>
  <c r="B189" i="3" s="1"/>
  <c r="B190" i="3" s="1"/>
  <c r="B191" i="3" s="1"/>
  <c r="B192" i="3" s="1"/>
  <c r="B193" i="3" s="1"/>
  <c r="B194" i="3" s="1"/>
  <c r="B195" i="3" s="1"/>
  <c r="B196" i="3" s="1"/>
  <c r="B197" i="3" s="1"/>
  <c r="B198" i="3" s="1"/>
  <c r="B199" i="3" s="1"/>
  <c r="B200" i="3" s="1"/>
  <c r="B201" i="3" s="1"/>
  <c r="B202" i="3" s="1"/>
  <c r="B203" i="3" s="1"/>
  <c r="B204" i="3" s="1"/>
  <c r="B205" i="3" s="1"/>
  <c r="B206" i="3" s="1"/>
  <c r="B207" i="3" s="1"/>
  <c r="B208" i="3" s="1"/>
  <c r="B209" i="3" s="1"/>
  <c r="B210" i="3" s="1"/>
  <c r="B211" i="3" s="1"/>
  <c r="B212" i="3" s="1"/>
  <c r="B213" i="3" s="1"/>
  <c r="B214" i="3" s="1"/>
  <c r="B215" i="3" s="1"/>
  <c r="B216" i="3" s="1"/>
  <c r="B217" i="3" s="1"/>
  <c r="B218" i="3" s="1"/>
  <c r="B219" i="3" s="1"/>
  <c r="B220" i="3" s="1"/>
  <c r="B221" i="3" s="1"/>
  <c r="B222" i="3" s="1"/>
  <c r="B223" i="3" s="1"/>
  <c r="C143" i="3"/>
  <c r="C140" i="3"/>
  <c r="C138" i="3"/>
  <c r="C137" i="3"/>
  <c r="C136" i="3"/>
  <c r="C135" i="3"/>
  <c r="C125" i="3"/>
  <c r="C122" i="3"/>
  <c r="C121" i="3"/>
  <c r="C120" i="3"/>
  <c r="C119" i="3"/>
  <c r="C118" i="3"/>
  <c r="C117" i="3"/>
  <c r="C116" i="3"/>
  <c r="C115" i="3"/>
  <c r="C114" i="3"/>
  <c r="C113" i="3"/>
  <c r="C112" i="3"/>
  <c r="C111" i="3"/>
  <c r="C110" i="3"/>
  <c r="C109" i="3"/>
  <c r="C108" i="3"/>
  <c r="C107" i="3"/>
  <c r="C106" i="3"/>
  <c r="C105" i="3"/>
  <c r="C104" i="3"/>
  <c r="C103" i="3"/>
  <c r="C102" i="3"/>
  <c r="C101" i="3"/>
  <c r="C100" i="3"/>
  <c r="C99" i="3"/>
  <c r="C98" i="3"/>
  <c r="C97" i="3"/>
  <c r="C96" i="3"/>
  <c r="C93" i="3"/>
  <c r="C92" i="3"/>
  <c r="C91" i="3"/>
  <c r="C90" i="3"/>
  <c r="C89" i="3"/>
  <c r="C88" i="3"/>
  <c r="C87" i="3"/>
  <c r="C86" i="3"/>
  <c r="C85" i="3"/>
  <c r="C82" i="3"/>
  <c r="C81" i="3"/>
  <c r="C80" i="3"/>
  <c r="C79" i="3"/>
  <c r="C78" i="3"/>
  <c r="C77" i="3"/>
  <c r="C76" i="3"/>
  <c r="C75" i="3"/>
  <c r="C74" i="3"/>
  <c r="C73" i="3"/>
  <c r="C72" i="3"/>
  <c r="C71" i="3"/>
  <c r="C70" i="3"/>
  <c r="C69" i="3"/>
  <c r="C68" i="3"/>
  <c r="C67" i="3"/>
  <c r="C66" i="3"/>
  <c r="C65" i="3"/>
  <c r="C64" i="3"/>
  <c r="C63" i="3"/>
  <c r="C62" i="3"/>
  <c r="C61" i="3"/>
  <c r="C60" i="3"/>
  <c r="C59" i="3"/>
  <c r="C58" i="3"/>
  <c r="C57" i="3"/>
  <c r="C56" i="3"/>
  <c r="C55" i="3"/>
  <c r="C54" i="3"/>
  <c r="C53" i="3"/>
  <c r="C52" i="3"/>
  <c r="C51" i="3"/>
  <c r="C50" i="3"/>
  <c r="C49" i="3"/>
  <c r="C48" i="3"/>
  <c r="C47" i="3"/>
  <c r="C46" i="3"/>
  <c r="C45" i="3"/>
  <c r="C44" i="3"/>
  <c r="C43" i="3"/>
  <c r="C42" i="3"/>
  <c r="C41" i="3"/>
  <c r="C38" i="3"/>
  <c r="C37" i="3"/>
  <c r="C36" i="3"/>
  <c r="C35" i="3"/>
  <c r="C34" i="3"/>
  <c r="C33" i="3"/>
  <c r="C32" i="3"/>
  <c r="C31" i="3"/>
  <c r="C30" i="3"/>
  <c r="C29" i="3"/>
  <c r="C28" i="3"/>
  <c r="C23" i="3"/>
  <c r="C22" i="3"/>
  <c r="C21" i="3"/>
  <c r="C20" i="3"/>
  <c r="C19" i="3"/>
  <c r="C18" i="3"/>
  <c r="C17" i="3" s="1"/>
  <c r="C13" i="3"/>
  <c r="B13" i="3"/>
  <c r="C12" i="3"/>
  <c r="B12" i="3"/>
  <c r="C11" i="3"/>
  <c r="B11" i="3"/>
  <c r="C10" i="3"/>
  <c r="B10" i="3"/>
  <c r="C9" i="3"/>
  <c r="B9" i="3"/>
  <c r="C8" i="3"/>
  <c r="B8" i="3"/>
  <c r="C7" i="3"/>
  <c r="B7" i="3"/>
  <c r="C6" i="3"/>
  <c r="B6" i="3"/>
  <c r="C5" i="3"/>
  <c r="B5" i="3"/>
  <c r="C4" i="3"/>
  <c r="B4" i="3"/>
  <c r="C223" i="2" l="1"/>
  <c r="C222" i="2"/>
  <c r="C221" i="2"/>
  <c r="C220" i="2"/>
  <c r="C219" i="2"/>
  <c r="C218" i="2"/>
  <c r="C217" i="2"/>
  <c r="C216" i="2"/>
  <c r="C215" i="2"/>
  <c r="C214" i="2"/>
  <c r="C213" i="2"/>
  <c r="C212" i="2"/>
  <c r="C211" i="2"/>
  <c r="C210" i="2"/>
  <c r="C209" i="2"/>
  <c r="C208" i="2"/>
  <c r="C207" i="2"/>
  <c r="C206" i="2"/>
  <c r="C205" i="2"/>
  <c r="C204" i="2"/>
  <c r="C203" i="2"/>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B144" i="2"/>
  <c r="B145" i="2" s="1"/>
  <c r="B146" i="2" s="1"/>
  <c r="B147" i="2" s="1"/>
  <c r="B148" i="2" s="1"/>
  <c r="B149" i="2" s="1"/>
  <c r="B150" i="2" s="1"/>
  <c r="B151" i="2" s="1"/>
  <c r="B152" i="2" s="1"/>
  <c r="B153" i="2" s="1"/>
  <c r="B154" i="2" s="1"/>
  <c r="B155" i="2" s="1"/>
  <c r="B156" i="2" s="1"/>
  <c r="B157" i="2" s="1"/>
  <c r="B158" i="2" s="1"/>
  <c r="B159" i="2" s="1"/>
  <c r="B160" i="2" s="1"/>
  <c r="B161" i="2" s="1"/>
  <c r="B162" i="2" s="1"/>
  <c r="B163" i="2" s="1"/>
  <c r="B164" i="2" s="1"/>
  <c r="B165" i="2" s="1"/>
  <c r="B166" i="2" s="1"/>
  <c r="B167" i="2" s="1"/>
  <c r="B168" i="2" s="1"/>
  <c r="B169" i="2" s="1"/>
  <c r="B170" i="2" s="1"/>
  <c r="B171" i="2" s="1"/>
  <c r="B172" i="2" s="1"/>
  <c r="B173" i="2" s="1"/>
  <c r="B174" i="2" s="1"/>
  <c r="B175" i="2" s="1"/>
  <c r="B176" i="2" s="1"/>
  <c r="B177" i="2" s="1"/>
  <c r="B178" i="2" s="1"/>
  <c r="B179" i="2" s="1"/>
  <c r="B180" i="2" s="1"/>
  <c r="B181" i="2" s="1"/>
  <c r="B182" i="2" s="1"/>
  <c r="B183" i="2" s="1"/>
  <c r="B184" i="2" s="1"/>
  <c r="B185" i="2" s="1"/>
  <c r="B186" i="2" s="1"/>
  <c r="B187" i="2" s="1"/>
  <c r="B188" i="2" s="1"/>
  <c r="B189" i="2" s="1"/>
  <c r="B190" i="2" s="1"/>
  <c r="B191" i="2" s="1"/>
  <c r="B192" i="2" s="1"/>
  <c r="B193" i="2" s="1"/>
  <c r="B194" i="2" s="1"/>
  <c r="B195" i="2" s="1"/>
  <c r="B196" i="2" s="1"/>
  <c r="B197" i="2" s="1"/>
  <c r="B198" i="2" s="1"/>
  <c r="B199" i="2" s="1"/>
  <c r="B200" i="2" s="1"/>
  <c r="B201" i="2" s="1"/>
  <c r="B202" i="2" s="1"/>
  <c r="B203" i="2" s="1"/>
  <c r="B204" i="2" s="1"/>
  <c r="B205" i="2" s="1"/>
  <c r="B206" i="2" s="1"/>
  <c r="B207" i="2" s="1"/>
  <c r="B208" i="2" s="1"/>
  <c r="B209" i="2" s="1"/>
  <c r="B210" i="2" s="1"/>
  <c r="B211" i="2" s="1"/>
  <c r="B212" i="2" s="1"/>
  <c r="B213" i="2" s="1"/>
  <c r="B214" i="2" s="1"/>
  <c r="B215" i="2" s="1"/>
  <c r="B216" i="2" s="1"/>
  <c r="B217" i="2" s="1"/>
  <c r="B218" i="2" s="1"/>
  <c r="B219" i="2" s="1"/>
  <c r="B220" i="2" s="1"/>
  <c r="B221" i="2" s="1"/>
  <c r="B222" i="2" s="1"/>
  <c r="B223" i="2" s="1"/>
  <c r="C143" i="2"/>
  <c r="C140" i="2"/>
  <c r="C138" i="2"/>
  <c r="C137" i="2"/>
  <c r="C136" i="2"/>
  <c r="C135" i="2"/>
  <c r="C125"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3" i="2"/>
  <c r="C92" i="2"/>
  <c r="C91" i="2"/>
  <c r="C90" i="2"/>
  <c r="C89" i="2"/>
  <c r="C88" i="2"/>
  <c r="C87" i="2"/>
  <c r="C86" i="2"/>
  <c r="C85"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38" i="2"/>
  <c r="C37" i="2"/>
  <c r="C36" i="2"/>
  <c r="C35" i="2"/>
  <c r="C34" i="2"/>
  <c r="C33" i="2"/>
  <c r="C32" i="2"/>
  <c r="C31" i="2"/>
  <c r="C30" i="2"/>
  <c r="C29" i="2"/>
  <c r="C28" i="2"/>
  <c r="C23" i="2"/>
  <c r="C22" i="2"/>
  <c r="C21" i="2"/>
  <c r="C20" i="2"/>
  <c r="C19" i="2"/>
  <c r="C18" i="2"/>
  <c r="C17" i="2" s="1"/>
  <c r="C13" i="2"/>
  <c r="B13" i="2"/>
  <c r="C12" i="2"/>
  <c r="B12" i="2"/>
  <c r="C11" i="2"/>
  <c r="B11" i="2"/>
  <c r="C10" i="2"/>
  <c r="B10" i="2"/>
  <c r="C9" i="2"/>
  <c r="B9" i="2"/>
  <c r="C8" i="2"/>
  <c r="B8" i="2"/>
  <c r="C7" i="2"/>
  <c r="B7" i="2"/>
  <c r="C6" i="2"/>
  <c r="B6" i="2"/>
  <c r="C5" i="2"/>
  <c r="B5" i="2"/>
  <c r="C4" i="2"/>
  <c r="B4" i="2"/>
  <c r="C223" i="1" l="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B144" i="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C143" i="1"/>
  <c r="C140" i="1"/>
  <c r="C138" i="1"/>
  <c r="C137" i="1"/>
  <c r="C136" i="1"/>
  <c r="C135" i="1"/>
  <c r="C125"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3" i="1"/>
  <c r="C92" i="1"/>
  <c r="C91" i="1"/>
  <c r="C90" i="1"/>
  <c r="C89" i="1"/>
  <c r="C88" i="1"/>
  <c r="C87" i="1"/>
  <c r="C86" i="1"/>
  <c r="C85"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38" i="1"/>
  <c r="C37" i="1"/>
  <c r="C36" i="1"/>
  <c r="C35" i="1"/>
  <c r="C34" i="1"/>
  <c r="C33" i="1"/>
  <c r="C32" i="1"/>
  <c r="C31" i="1"/>
  <c r="C30" i="1"/>
  <c r="C29" i="1"/>
  <c r="C28" i="1"/>
  <c r="C23" i="1"/>
  <c r="C22" i="1"/>
  <c r="C21" i="1"/>
  <c r="C20" i="1"/>
  <c r="C19" i="1"/>
  <c r="C18" i="1"/>
  <c r="C17" i="1" s="1"/>
  <c r="C13" i="1"/>
  <c r="B13" i="1"/>
  <c r="C12" i="1"/>
  <c r="B12" i="1"/>
  <c r="C11" i="1"/>
  <c r="B11" i="1"/>
  <c r="C10" i="1"/>
  <c r="B10" i="1"/>
  <c r="C9" i="1"/>
  <c r="B9" i="1"/>
  <c r="C8" i="1"/>
  <c r="B8" i="1"/>
  <c r="C7" i="1"/>
  <c r="B7" i="1"/>
  <c r="C6" i="1"/>
  <c r="B6" i="1"/>
  <c r="C5" i="1"/>
  <c r="B5" i="1"/>
  <c r="C4" i="1"/>
  <c r="B4" i="1"/>
</calcChain>
</file>

<file path=xl/sharedStrings.xml><?xml version="1.0" encoding="utf-8"?>
<sst xmlns="http://schemas.openxmlformats.org/spreadsheetml/2006/main" count="3615" uniqueCount="227">
  <si>
    <t>Предельный уровень цены на тепловую энергию (мощность), рассчитанный в соответствии с частью 1 статьи 23.6 Федерального закона от 27.07.2010 № 190-ФЗ "О теплоснабжении" и Постановлением № 1562, а также сведения о параметрах, использованных при расчете</t>
  </si>
  <si>
    <t>Дата:</t>
  </si>
  <si>
    <t>Информация о системе теплоснабжения, в отношении которой выполняется расчет:</t>
  </si>
  <si>
    <t>Предельный уровень цены на тепловую энергию (мощность) и его составляющие, обеспечивающие компенсацию расходов:</t>
  </si>
  <si>
    <t>№пп</t>
  </si>
  <si>
    <t>Наименование</t>
  </si>
  <si>
    <t>Значения</t>
  </si>
  <si>
    <t>Уровень цены на тепловую энергию (мощность) без НДС, руб./Гкал</t>
  </si>
  <si>
    <t>1.1</t>
  </si>
  <si>
    <r>
      <t>Составляющая предельного уровня цены на тепловую энергию (мощность), обеспечивающая компенсацию расходов на топливо при производстве тепловой энергии котельной в i-м расчетном периоде регулирования, руб./Гкал (</t>
    </r>
    <r>
      <rPr>
        <b/>
        <sz val="11"/>
        <color theme="1"/>
        <rFont val="Tahoma"/>
        <family val="2"/>
        <charset val="204"/>
      </rPr>
      <t>РТ</t>
    </r>
    <r>
      <rPr>
        <b/>
        <vertAlign val="subscript"/>
        <sz val="11"/>
        <color theme="1"/>
        <rFont val="Tahoma"/>
        <family val="2"/>
        <charset val="204"/>
      </rPr>
      <t>i</t>
    </r>
    <r>
      <rPr>
        <sz val="10"/>
        <color theme="1"/>
        <rFont val="Tahoma"/>
        <family val="2"/>
        <charset val="204"/>
      </rPr>
      <t>)</t>
    </r>
  </si>
  <si>
    <t>1.2</t>
  </si>
  <si>
    <r>
      <t>Составляющая предельного уровня цены на тепловую энергию (мощность), обеспечивающая возврат капитальных затрат на строительство котельной и тепловых сетей в i-м расчетном периоде регулирования, руб./Гкал (</t>
    </r>
    <r>
      <rPr>
        <b/>
        <sz val="11"/>
        <color theme="1"/>
        <rFont val="Tahoma"/>
        <family val="2"/>
        <charset val="204"/>
      </rPr>
      <t>КР</t>
    </r>
    <r>
      <rPr>
        <b/>
        <vertAlign val="subscript"/>
        <sz val="11"/>
        <color theme="1"/>
        <rFont val="Tahoma"/>
        <family val="2"/>
        <charset val="204"/>
      </rPr>
      <t>i</t>
    </r>
    <r>
      <rPr>
        <sz val="10"/>
        <color theme="1"/>
        <rFont val="Tahoma"/>
        <family val="2"/>
        <charset val="204"/>
      </rPr>
      <t>)</t>
    </r>
  </si>
  <si>
    <t>1.3</t>
  </si>
  <si>
    <r>
      <t>Составляющая предельного уровня цены на тепловую энергию (мощность), обеспечивающая компенсацию расходов на уплату налогов в i-м расчетном периоде регулирования (</t>
    </r>
    <r>
      <rPr>
        <b/>
        <sz val="11"/>
        <color theme="1"/>
        <rFont val="Tahoma"/>
        <family val="2"/>
        <charset val="204"/>
      </rPr>
      <t>Н</t>
    </r>
    <r>
      <rPr>
        <b/>
        <vertAlign val="subscript"/>
        <sz val="11"/>
        <color theme="1"/>
        <rFont val="Tahoma"/>
        <family val="2"/>
        <charset val="204"/>
      </rPr>
      <t>i</t>
    </r>
    <r>
      <rPr>
        <sz val="10"/>
        <color theme="1"/>
        <rFont val="Tahoma"/>
        <family val="2"/>
        <charset val="204"/>
      </rPr>
      <t>)</t>
    </r>
  </si>
  <si>
    <t>1.4</t>
  </si>
  <si>
    <r>
      <t>Составляющая предельного уровня цены на тепловую энергию (мощность), обеспечивающая компенсацию прочих расходов при производстве тепловой энергии котельной в i-м расчетном периоде регулирования, руб./Гкал (</t>
    </r>
    <r>
      <rPr>
        <b/>
        <sz val="11"/>
        <color theme="1"/>
        <rFont val="Tahoma"/>
        <family val="2"/>
        <charset val="204"/>
      </rPr>
      <t>ПР</t>
    </r>
    <r>
      <rPr>
        <b/>
        <vertAlign val="subscript"/>
        <sz val="11"/>
        <color theme="1"/>
        <rFont val="Tahoma"/>
        <family val="2"/>
        <charset val="204"/>
      </rPr>
      <t>i</t>
    </r>
    <r>
      <rPr>
        <sz val="10"/>
        <color theme="1"/>
        <rFont val="Tahoma"/>
        <family val="2"/>
        <charset val="204"/>
      </rPr>
      <t>)</t>
    </r>
  </si>
  <si>
    <t>1.5</t>
  </si>
  <si>
    <r>
      <t>Составляющая предельного уровня цены на тепловую энергию (мощность), обеспечивающая создание резерва по сомнительным долгам в i-м расчетном периоде регулирования, руб./Гкал (</t>
    </r>
    <r>
      <rPr>
        <b/>
        <sz val="11"/>
        <color theme="1"/>
        <rFont val="Tahoma"/>
        <family val="2"/>
        <charset val="204"/>
      </rPr>
      <t>РД</t>
    </r>
    <r>
      <rPr>
        <b/>
        <vertAlign val="subscript"/>
        <sz val="11"/>
        <color theme="1"/>
        <rFont val="Tahoma"/>
        <family val="2"/>
        <charset val="204"/>
      </rPr>
      <t>i</t>
    </r>
    <r>
      <rPr>
        <sz val="10"/>
        <color theme="1"/>
        <rFont val="Tahoma"/>
        <family val="2"/>
        <charset val="204"/>
      </rPr>
      <t>)</t>
    </r>
  </si>
  <si>
    <t>1.6</t>
  </si>
  <si>
    <r>
      <t xml:space="preserve">Составляющая предельного уровня цены на тепловую энергию (мощность), обеспечивающая учет отклонений фактических показателей от прогнозных показателей, используемых при расчете предельного уровня цены на тепловую энергию (мощность), в i-м расчетном периоде регулирования, руб./Гкал </t>
    </r>
    <r>
      <rPr>
        <sz val="10"/>
        <color theme="1"/>
        <rFont val="Tahoma"/>
        <family val="2"/>
        <charset val="204"/>
      </rPr>
      <t>(</t>
    </r>
    <r>
      <rPr>
        <b/>
        <sz val="11"/>
        <color theme="1"/>
        <rFont val="Calibri"/>
        <family val="2"/>
        <charset val="204"/>
      </rPr>
      <t>Δ</t>
    </r>
    <r>
      <rPr>
        <b/>
        <sz val="11"/>
        <color theme="1"/>
        <rFont val="Tahoma"/>
        <family val="2"/>
        <charset val="204"/>
      </rPr>
      <t>B</t>
    </r>
    <r>
      <rPr>
        <b/>
        <vertAlign val="subscript"/>
        <sz val="11"/>
        <color theme="1"/>
        <rFont val="Tahoma"/>
        <family val="2"/>
        <charset val="204"/>
      </rPr>
      <t>i</t>
    </r>
    <r>
      <rPr>
        <sz val="10"/>
        <color theme="1"/>
        <rFont val="Tahoma"/>
        <family val="2"/>
        <charset val="204"/>
      </rPr>
      <t>)</t>
    </r>
  </si>
  <si>
    <t>Параметры, использованные при расчете составляющей предельного уровня цены на тепловую энергию (мощность), обеспечивающей компенсацию расходов на топливо при производстве тепловой энергии котельной в i-м расчетном периоде регулирования</t>
  </si>
  <si>
    <t>Низшая теплота сгорания натурального топлива (угля), ккал/кг</t>
  </si>
  <si>
    <r>
      <t>Фактическая цена на топливо (уголь), используемое при производстве тепловой энергии котельной, с учетом затрат на его доставку, сложившаяся в системе теплоснабжения в (i-2)-м расчетном периоде регулирования, без НДС, руб. / т н.т. (</t>
    </r>
    <r>
      <rPr>
        <b/>
        <sz val="11"/>
        <color theme="1"/>
        <rFont val="Tahoma"/>
        <family val="2"/>
        <charset val="204"/>
      </rPr>
      <t>ЦТ</t>
    </r>
    <r>
      <rPr>
        <b/>
        <vertAlign val="subscript"/>
        <sz val="11"/>
        <color theme="1"/>
        <rFont val="Tahoma"/>
        <family val="2"/>
        <charset val="204"/>
      </rPr>
      <t>i-2,k</t>
    </r>
    <r>
      <rPr>
        <b/>
        <vertAlign val="superscript"/>
        <sz val="11"/>
        <color theme="1"/>
        <rFont val="Tahoma"/>
        <family val="2"/>
        <charset val="204"/>
      </rPr>
      <t>ф, нат.</t>
    </r>
    <r>
      <rPr>
        <sz val="10"/>
        <color theme="1"/>
        <rFont val="Tahoma"/>
        <family val="2"/>
        <charset val="204"/>
      </rPr>
      <t>)</t>
    </r>
  </si>
  <si>
    <r>
      <t>Прогнозный индекс роста цены на топливо в (i-1)-м расчетном периоде регулирования, % (</t>
    </r>
    <r>
      <rPr>
        <b/>
        <sz val="11"/>
        <color theme="1"/>
        <rFont val="Tahoma"/>
        <family val="2"/>
        <charset val="204"/>
      </rPr>
      <t>I</t>
    </r>
    <r>
      <rPr>
        <b/>
        <vertAlign val="subscript"/>
        <sz val="11"/>
        <color theme="1"/>
        <rFont val="Tahoma"/>
        <family val="2"/>
        <charset val="204"/>
      </rPr>
      <t>i-1,k</t>
    </r>
    <r>
      <rPr>
        <b/>
        <vertAlign val="superscript"/>
        <sz val="11"/>
        <color theme="1"/>
        <rFont val="Tahoma"/>
        <family val="2"/>
        <charset val="204"/>
      </rPr>
      <t>П</t>
    </r>
    <r>
      <rPr>
        <sz val="10"/>
        <color theme="1"/>
        <rFont val="Tahoma"/>
        <family val="2"/>
        <charset val="204"/>
      </rPr>
      <t>)</t>
    </r>
  </si>
  <si>
    <r>
      <t>Прогнозный индекс роста цены на топливо в i-м расчетном периоде регулирования, % (</t>
    </r>
    <r>
      <rPr>
        <b/>
        <sz val="11"/>
        <color theme="1"/>
        <rFont val="Tahoma"/>
        <family val="2"/>
        <charset val="204"/>
      </rPr>
      <t>I</t>
    </r>
    <r>
      <rPr>
        <b/>
        <vertAlign val="subscript"/>
        <sz val="11"/>
        <color theme="1"/>
        <rFont val="Tahoma"/>
        <family val="2"/>
        <charset val="204"/>
      </rPr>
      <t>i,k</t>
    </r>
    <r>
      <rPr>
        <b/>
        <vertAlign val="superscript"/>
        <sz val="11"/>
        <color theme="1"/>
        <rFont val="Tahoma"/>
        <family val="2"/>
        <charset val="204"/>
      </rPr>
      <t>П</t>
    </r>
    <r>
      <rPr>
        <sz val="10"/>
        <color theme="1"/>
        <rFont val="Tahoma"/>
        <family val="2"/>
        <charset val="204"/>
      </rPr>
      <t>)</t>
    </r>
  </si>
  <si>
    <r>
      <t>Удельный расход условного топлива при производстве тепловой энергии котельной с использованием угля в i-м расчетном периоде регулирования, кг у.т./Гкал (</t>
    </r>
    <r>
      <rPr>
        <b/>
        <i/>
        <sz val="11"/>
        <color theme="1"/>
        <rFont val="Tahoma"/>
        <family val="2"/>
        <charset val="204"/>
      </rPr>
      <t>b</t>
    </r>
    <r>
      <rPr>
        <b/>
        <i/>
        <vertAlign val="subscript"/>
        <sz val="11"/>
        <color theme="1"/>
        <rFont val="Tahoma"/>
        <family val="2"/>
        <charset val="204"/>
      </rPr>
      <t>i,k</t>
    </r>
    <r>
      <rPr>
        <i/>
        <sz val="10"/>
        <color theme="1"/>
        <rFont val="Tahoma"/>
        <family val="2"/>
        <charset val="204"/>
      </rPr>
      <t>)</t>
    </r>
  </si>
  <si>
    <t>Низшая теплота сгорания 1 кг условного топлива</t>
  </si>
  <si>
    <t>1.7</t>
  </si>
  <si>
    <r>
      <t>Коэффициент перевода натурального топлива в условное топливо, кг у.т./кг (</t>
    </r>
    <r>
      <rPr>
        <b/>
        <sz val="11"/>
        <color theme="1"/>
        <rFont val="Tahoma"/>
        <family val="2"/>
        <charset val="204"/>
      </rPr>
      <t>К</t>
    </r>
    <r>
      <rPr>
        <sz val="10"/>
        <color theme="1"/>
        <rFont val="Tahoma"/>
        <family val="2"/>
        <charset val="204"/>
      </rPr>
      <t>)</t>
    </r>
  </si>
  <si>
    <t>1.8</t>
  </si>
  <si>
    <r>
      <t>Объем отпуска тепловой энергии с коллекторов котельной (</t>
    </r>
    <r>
      <rPr>
        <b/>
        <sz val="11"/>
        <rFont val="Tahoma"/>
        <family val="2"/>
        <charset val="204"/>
      </rPr>
      <t>Q</t>
    </r>
    <r>
      <rPr>
        <b/>
        <vertAlign val="superscript"/>
        <sz val="11"/>
        <rFont val="Tahoma"/>
        <family val="2"/>
        <charset val="204"/>
      </rPr>
      <t>ОТП</t>
    </r>
    <r>
      <rPr>
        <sz val="10"/>
        <rFont val="Tahoma"/>
        <family val="2"/>
        <charset val="204"/>
      </rPr>
      <t>)</t>
    </r>
  </si>
  <si>
    <t>1.8.1</t>
  </si>
  <si>
    <r>
      <t>Объем полезного отпуска тепловой энергии котельной (</t>
    </r>
    <r>
      <rPr>
        <b/>
        <sz val="11"/>
        <color theme="1"/>
        <rFont val="Tahoma"/>
        <family val="2"/>
        <charset val="204"/>
      </rPr>
      <t>Q</t>
    </r>
    <r>
      <rPr>
        <b/>
        <vertAlign val="superscript"/>
        <sz val="11"/>
        <color theme="1"/>
        <rFont val="Tahoma"/>
        <family val="2"/>
        <charset val="204"/>
      </rPr>
      <t>ПО</t>
    </r>
    <r>
      <rPr>
        <sz val="10"/>
        <color theme="1"/>
        <rFont val="Tahoma"/>
        <family val="2"/>
        <charset val="204"/>
      </rPr>
      <t>)</t>
    </r>
  </si>
  <si>
    <t>1.8.2</t>
  </si>
  <si>
    <r>
      <t>Коэффициент учета потерь тепловой энергии в тепловых сетях(</t>
    </r>
    <r>
      <rPr>
        <b/>
        <i/>
        <sz val="10"/>
        <color theme="1"/>
        <rFont val="Tahoma"/>
        <family val="2"/>
        <charset val="204"/>
      </rPr>
      <t>К</t>
    </r>
    <r>
      <rPr>
        <b/>
        <i/>
        <vertAlign val="superscript"/>
        <sz val="10"/>
        <color theme="1"/>
        <rFont val="Tahoma"/>
        <family val="2"/>
        <charset val="204"/>
      </rPr>
      <t>П</t>
    </r>
    <r>
      <rPr>
        <i/>
        <sz val="10"/>
        <color theme="1"/>
        <rFont val="Tahoma"/>
        <family val="2"/>
        <charset val="204"/>
      </rPr>
      <t>)</t>
    </r>
  </si>
  <si>
    <t>1.9</t>
  </si>
  <si>
    <r>
      <t>Коэффициент учета стоимости транспортных услуг, оказываемых на подъездных железнодорожных путях организациями промышленного железнодорожного транспорта и другими хозяйствующими субъектами независимо от организационно-правовой формы, за исключением организаций федерального железнодорожного транспорта (</t>
    </r>
    <r>
      <rPr>
        <b/>
        <i/>
        <sz val="10"/>
        <color theme="1"/>
        <rFont val="Tahoma"/>
        <family val="2"/>
        <charset val="204"/>
      </rPr>
      <t>К</t>
    </r>
    <r>
      <rPr>
        <b/>
        <i/>
        <vertAlign val="superscript"/>
        <sz val="10"/>
        <color theme="1"/>
        <rFont val="Tahoma"/>
        <family val="2"/>
        <charset val="204"/>
      </rPr>
      <t>ппжт</t>
    </r>
    <r>
      <rPr>
        <i/>
        <sz val="10"/>
        <color theme="1"/>
        <rFont val="Tahoma"/>
        <family val="2"/>
        <charset val="204"/>
      </rPr>
      <t xml:space="preserve">) </t>
    </r>
  </si>
  <si>
    <t>2</t>
  </si>
  <si>
    <t>Параметры, использованные при расчете составляющей предельного уровня цены на тепловую энергию (мощность), обеспечивающей возврат капитальных затрат на строительство котельной и тепловых сетей в i-м расчетном периоде регулирования</t>
  </si>
  <si>
    <t>2.1</t>
  </si>
  <si>
    <t>Температурная зона, к которой относится поселение или городской округ, на территории которого находится система теплоснабжения</t>
  </si>
  <si>
    <t>2.2</t>
  </si>
  <si>
    <t>Степень сейсмической опасности сейсмического района, к которому относится поселение или городской округ, на территории которого находится система теплоснабжения</t>
  </si>
  <si>
    <t>2.3</t>
  </si>
  <si>
    <t>Расстояние от границы системы теплоснабжения до границы ближайшего административного центра субъекта Российской Федерации с железнодорожным сообщением, км</t>
  </si>
  <si>
    <t>2.4</t>
  </si>
  <si>
    <t>Поселение, городской округ, на территории которого находится система теплоснабжения, отнесено к территории распространения вечномерзлых грунтов?</t>
  </si>
  <si>
    <t>2.5</t>
  </si>
  <si>
    <r>
      <t>Величина капитальных затрат на строительство тепловых сетей в i-м расчетном периоде регулирования, тыс. руб. (</t>
    </r>
    <r>
      <rPr>
        <b/>
        <sz val="11"/>
        <color theme="1"/>
        <rFont val="Tahoma"/>
        <family val="2"/>
        <charset val="204"/>
      </rPr>
      <t>КЗ</t>
    </r>
    <r>
      <rPr>
        <b/>
        <vertAlign val="subscript"/>
        <sz val="11"/>
        <color theme="1"/>
        <rFont val="Tahoma"/>
        <family val="2"/>
        <charset val="204"/>
      </rPr>
      <t>i</t>
    </r>
    <r>
      <rPr>
        <b/>
        <vertAlign val="superscript"/>
        <sz val="11"/>
        <color theme="1"/>
        <rFont val="Tahoma"/>
        <family val="2"/>
        <charset val="204"/>
      </rPr>
      <t>сети</t>
    </r>
    <r>
      <rPr>
        <sz val="10"/>
        <color theme="1"/>
        <rFont val="Tahoma"/>
        <family val="2"/>
        <charset val="204"/>
      </rPr>
      <t>)</t>
    </r>
  </si>
  <si>
    <t>2.5.1</t>
  </si>
  <si>
    <r>
      <t xml:space="preserve">Базовая величина капитальных затрат на строительство тепловых сетей в базовом (2019) году, тыс. руб. </t>
    </r>
    <r>
      <rPr>
        <sz val="11"/>
        <color theme="1"/>
        <rFont val="Tahoma"/>
        <family val="2"/>
        <charset val="204"/>
      </rPr>
      <t>(</t>
    </r>
    <r>
      <rPr>
        <b/>
        <sz val="11"/>
        <color theme="1"/>
        <rFont val="Tahoma"/>
        <family val="2"/>
        <charset val="204"/>
      </rPr>
      <t>КЗ</t>
    </r>
    <r>
      <rPr>
        <b/>
        <vertAlign val="subscript"/>
        <sz val="11"/>
        <color theme="1"/>
        <rFont val="Tahoma"/>
        <family val="2"/>
        <charset val="204"/>
      </rPr>
      <t>б</t>
    </r>
    <r>
      <rPr>
        <b/>
        <vertAlign val="superscript"/>
        <sz val="11"/>
        <color theme="1"/>
        <rFont val="Tahoma"/>
        <family val="2"/>
        <charset val="204"/>
      </rPr>
      <t>сети(б)</t>
    </r>
    <r>
      <rPr>
        <sz val="11"/>
        <color theme="1"/>
        <rFont val="Tahoma"/>
        <family val="2"/>
        <charset val="204"/>
      </rPr>
      <t>)</t>
    </r>
  </si>
  <si>
    <t>2.5.1.1</t>
  </si>
  <si>
    <t>Расчетная температура наружного воздуха, которая соответствует температуре воздуха наиболее холодной пятидневки, в поселении, городском округе,°C</t>
  </si>
  <si>
    <t>2.5.1.2</t>
  </si>
  <si>
    <t>Поселение, городской округ, на территории которого находится система теплоснабжения, отнесено к районам Крайнего Севера или местностям, приравненным к районам Крайнего Севера?</t>
  </si>
  <si>
    <t>2.5.1.3</t>
  </si>
  <si>
    <r>
      <t>Сметная стоимость строительно-монтажных и пусконаладочных работ по объекту строительства "Внешние инженерные сети теплоснабжения", учитывающая прямые затраты, накладные расходы и сметную прибыль, в ценах 2001 года,тыс. рублей (</t>
    </r>
    <r>
      <rPr>
        <b/>
        <i/>
        <sz val="10"/>
        <color indexed="8"/>
        <rFont val="Tahoma"/>
        <family val="2"/>
        <charset val="204"/>
      </rPr>
      <t>Р</t>
    </r>
    <r>
      <rPr>
        <i/>
        <sz val="10"/>
        <color indexed="8"/>
        <rFont val="Tahoma"/>
        <family val="2"/>
        <charset val="204"/>
      </rPr>
      <t>)</t>
    </r>
  </si>
  <si>
    <t>2.5.1.4</t>
  </si>
  <si>
    <r>
      <t>Индекс изменения сметной стоимости строительно-монтажных и пусконаладочных работ по объекту строительства "Внешние инженерные сети теплоснабжения" на базовый год (</t>
    </r>
    <r>
      <rPr>
        <b/>
        <i/>
        <sz val="10"/>
        <color theme="1"/>
        <rFont val="Tahoma"/>
        <family val="2"/>
        <charset val="204"/>
      </rPr>
      <t>И</t>
    </r>
    <r>
      <rPr>
        <i/>
        <sz val="10"/>
        <color theme="1"/>
        <rFont val="Tahoma"/>
        <family val="2"/>
        <charset val="204"/>
      </rPr>
      <t>)</t>
    </r>
  </si>
  <si>
    <t>2.5.1.5</t>
  </si>
  <si>
    <r>
      <t>Коэффициент, применяемый для учета повышенной нормы накладных расходов к индексам изменения сметной стоимости строительно-монтажных и пусконаладочных работ в базовом году в случае отнесения поселения, городского округа к районам Крайнего Севера или местностям, приравненным к районам Крайнего Севера (</t>
    </r>
    <r>
      <rPr>
        <b/>
        <sz val="10"/>
        <color theme="1"/>
        <rFont val="Tahoma"/>
        <family val="2"/>
        <charset val="204"/>
      </rPr>
      <t>К</t>
    </r>
    <r>
      <rPr>
        <b/>
        <vertAlign val="superscript"/>
        <sz val="10"/>
        <color theme="1"/>
        <rFont val="Tahoma"/>
        <family val="2"/>
        <charset val="204"/>
      </rPr>
      <t>кс</t>
    </r>
    <r>
      <rPr>
        <sz val="10"/>
        <color theme="1"/>
        <rFont val="Tahoma"/>
        <family val="2"/>
        <charset val="204"/>
      </rPr>
      <t>)</t>
    </r>
  </si>
  <si>
    <t>2.5.1.6</t>
  </si>
  <si>
    <r>
      <t>Базовая величина капитальных затрат на основные средства тепловых сетей в базовом году, тыс.рублей (</t>
    </r>
    <r>
      <rPr>
        <b/>
        <i/>
        <sz val="10"/>
        <color theme="1"/>
        <rFont val="Tahoma"/>
        <family val="2"/>
        <charset val="204"/>
      </rPr>
      <t>КЗО</t>
    </r>
    <r>
      <rPr>
        <b/>
        <i/>
        <vertAlign val="subscript"/>
        <sz val="10"/>
        <color theme="1"/>
        <rFont val="Tahoma"/>
        <family val="2"/>
        <charset val="204"/>
      </rPr>
      <t>б</t>
    </r>
    <r>
      <rPr>
        <b/>
        <i/>
        <vertAlign val="superscript"/>
        <sz val="10"/>
        <color theme="1"/>
        <rFont val="Tahoma"/>
        <family val="2"/>
        <charset val="204"/>
      </rPr>
      <t>сети(б)</t>
    </r>
    <r>
      <rPr>
        <i/>
        <sz val="10"/>
        <color theme="1"/>
        <rFont val="Tahoma"/>
        <family val="2"/>
        <charset val="204"/>
      </rPr>
      <t>)</t>
    </r>
  </si>
  <si>
    <t>2.5.1.7</t>
  </si>
  <si>
    <r>
      <t>Сметная норма дополнительных затрат по виду строительства "Энергетическое строительство. Тепловые сети",% (</t>
    </r>
    <r>
      <rPr>
        <b/>
        <sz val="10"/>
        <color theme="1"/>
        <rFont val="Tahoma"/>
        <family val="2"/>
        <charset val="204"/>
      </rPr>
      <t>z</t>
    </r>
    <r>
      <rPr>
        <sz val="10"/>
        <color theme="1"/>
        <rFont val="Tahoma"/>
        <family val="2"/>
        <charset val="204"/>
      </rPr>
      <t>)</t>
    </r>
  </si>
  <si>
    <t>2.5.1.8</t>
  </si>
  <si>
    <r>
      <t>Коэффициент к сметным нормам по видам строительства (</t>
    </r>
    <r>
      <rPr>
        <b/>
        <sz val="10"/>
        <color theme="1"/>
        <rFont val="Tahoma"/>
        <family val="2"/>
        <charset val="204"/>
      </rPr>
      <t>h</t>
    </r>
    <r>
      <rPr>
        <sz val="10"/>
        <color theme="1"/>
        <rFont val="Tahoma"/>
        <family val="2"/>
        <charset val="204"/>
      </rPr>
      <t>)</t>
    </r>
  </si>
  <si>
    <t>2.5.2</t>
  </si>
  <si>
    <r>
      <t>Коэффициент сейсмического влияния для тепловых сетей (</t>
    </r>
    <r>
      <rPr>
        <b/>
        <i/>
        <sz val="11"/>
        <color theme="1"/>
        <rFont val="Tahoma"/>
        <family val="2"/>
        <charset val="204"/>
      </rPr>
      <t>К</t>
    </r>
    <r>
      <rPr>
        <b/>
        <i/>
        <vertAlign val="superscript"/>
        <sz val="11"/>
        <color theme="1"/>
        <rFont val="Tahoma"/>
        <family val="2"/>
        <charset val="204"/>
      </rPr>
      <t>сети,с</t>
    </r>
    <r>
      <rPr>
        <i/>
        <sz val="10"/>
        <color theme="1"/>
        <rFont val="Tahoma"/>
        <family val="2"/>
        <charset val="204"/>
      </rPr>
      <t>)</t>
    </r>
  </si>
  <si>
    <t>2.6</t>
  </si>
  <si>
    <r>
      <t>Величина капитальных затрат на строительство котельной с использованием угля в i-м расчетном периоде регулирования, тыс. руб. (</t>
    </r>
    <r>
      <rPr>
        <b/>
        <sz val="11"/>
        <color theme="1"/>
        <rFont val="Tahoma"/>
        <family val="2"/>
        <charset val="204"/>
      </rPr>
      <t>КЗ</t>
    </r>
    <r>
      <rPr>
        <b/>
        <vertAlign val="subscript"/>
        <sz val="11"/>
        <color theme="1"/>
        <rFont val="Tahoma"/>
        <family val="2"/>
        <charset val="204"/>
      </rPr>
      <t>i,k</t>
    </r>
    <r>
      <rPr>
        <b/>
        <vertAlign val="superscript"/>
        <sz val="11"/>
        <color theme="1"/>
        <rFont val="Tahoma"/>
        <family val="2"/>
        <charset val="204"/>
      </rPr>
      <t>кот</t>
    </r>
    <r>
      <rPr>
        <sz val="10"/>
        <color theme="1"/>
        <rFont val="Tahoma"/>
        <family val="2"/>
        <charset val="204"/>
      </rPr>
      <t>)</t>
    </r>
  </si>
  <si>
    <t>2.6.1</t>
  </si>
  <si>
    <r>
      <t>Базовая величина капитальных затрат на строительство котельной с использованием угля в базовом (2019) году (</t>
    </r>
    <r>
      <rPr>
        <b/>
        <i/>
        <sz val="11"/>
        <color theme="1"/>
        <rFont val="Tahoma"/>
        <family val="2"/>
        <charset val="204"/>
      </rPr>
      <t>КЗ</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</si>
  <si>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t>2.6.2</t>
  </si>
  <si>
    <r>
      <t>Коэффициент температурной зоны для котельной (</t>
    </r>
    <r>
      <rPr>
        <b/>
        <i/>
        <sz val="11"/>
        <color theme="1"/>
        <rFont val="Tahoma"/>
        <family val="2"/>
        <charset val="204"/>
      </rPr>
      <t>К</t>
    </r>
    <r>
      <rPr>
        <b/>
        <i/>
        <vertAlign val="superscript"/>
        <sz val="11"/>
        <color theme="1"/>
        <rFont val="Tahoma"/>
        <family val="2"/>
        <charset val="204"/>
      </rPr>
      <t>кот,т</t>
    </r>
    <r>
      <rPr>
        <i/>
        <sz val="10"/>
        <color theme="1"/>
        <rFont val="Tahoma"/>
        <family val="2"/>
        <charset val="204"/>
      </rPr>
      <t>)</t>
    </r>
  </si>
  <si>
    <t>2.6.3</t>
  </si>
  <si>
    <r>
      <t>Коэффициент сейсмического влияния для котельной(</t>
    </r>
    <r>
      <rPr>
        <b/>
        <i/>
        <sz val="11"/>
        <color theme="1"/>
        <rFont val="Tahoma"/>
        <family val="2"/>
        <charset val="204"/>
      </rPr>
      <t>К</t>
    </r>
    <r>
      <rPr>
        <b/>
        <i/>
        <vertAlign val="superscript"/>
        <sz val="11"/>
        <color theme="1"/>
        <rFont val="Tahoma"/>
        <family val="2"/>
        <charset val="204"/>
      </rPr>
      <t>кот,с</t>
    </r>
    <r>
      <rPr>
        <i/>
        <sz val="10"/>
        <color theme="1"/>
        <rFont val="Tahoma"/>
        <family val="2"/>
        <charset val="204"/>
      </rPr>
      <t>)</t>
    </r>
  </si>
  <si>
    <t>2.6.4</t>
  </si>
  <si>
    <r>
      <t>Коэффициент влияния расстояния на транспортировку основных средств котельной (</t>
    </r>
    <r>
      <rPr>
        <b/>
        <i/>
        <sz val="11"/>
        <color theme="1"/>
        <rFont val="Tahoma"/>
        <family val="2"/>
        <charset val="204"/>
      </rPr>
      <t>К</t>
    </r>
    <r>
      <rPr>
        <b/>
        <i/>
        <vertAlign val="subscript"/>
        <sz val="11"/>
        <color theme="1"/>
        <rFont val="Tahoma"/>
        <family val="2"/>
        <charset val="204"/>
      </rPr>
      <t>тр</t>
    </r>
    <r>
      <rPr>
        <i/>
        <sz val="10"/>
        <color theme="1"/>
        <rFont val="Tahoma"/>
        <family val="2"/>
        <charset val="204"/>
      </rPr>
      <t>)</t>
    </r>
  </si>
  <si>
    <t>2.6.5</t>
  </si>
  <si>
    <r>
      <t>Срок возврата инвестированного капитала, лет (</t>
    </r>
    <r>
      <rPr>
        <b/>
        <i/>
        <sz val="11"/>
        <color theme="1"/>
        <rFont val="Tahoma"/>
        <family val="2"/>
        <charset val="204"/>
      </rPr>
      <t>СВК</t>
    </r>
    <r>
      <rPr>
        <i/>
        <sz val="10"/>
        <color theme="1"/>
        <rFont val="Tahoma"/>
        <family val="2"/>
        <charset val="204"/>
      </rPr>
      <t>)</t>
    </r>
  </si>
  <si>
    <t>2.7</t>
  </si>
  <si>
    <r>
      <t>Стоимость земельного участка для размещения котельной в i-м расчетном периоде регулирования, тыс.руб. (</t>
    </r>
    <r>
      <rPr>
        <b/>
        <sz val="11"/>
        <color theme="1"/>
        <rFont val="Tahoma"/>
        <family val="2"/>
        <charset val="204"/>
      </rPr>
      <t>З</t>
    </r>
    <r>
      <rPr>
        <b/>
        <vertAlign val="subscript"/>
        <sz val="11"/>
        <color theme="1"/>
        <rFont val="Tahoma"/>
        <family val="2"/>
        <charset val="204"/>
      </rPr>
      <t>i,k</t>
    </r>
    <r>
      <rPr>
        <sz val="10"/>
        <color theme="1"/>
        <rFont val="Tahoma"/>
        <family val="2"/>
        <charset val="204"/>
      </rPr>
      <t>)</t>
    </r>
  </si>
  <si>
    <t>2.7.1</t>
  </si>
  <si>
    <r>
      <t>Удельная базовая стоимость земельного участка,тыс. руб./ кв. м (</t>
    </r>
    <r>
      <rPr>
        <b/>
        <sz val="11"/>
        <color theme="1"/>
        <rFont val="Tahoma"/>
        <family val="2"/>
        <charset val="204"/>
      </rPr>
      <t>Р</t>
    </r>
    <r>
      <rPr>
        <b/>
        <vertAlign val="subscript"/>
        <sz val="11"/>
        <color theme="1"/>
        <rFont val="Tahoma"/>
        <family val="2"/>
        <charset val="204"/>
      </rPr>
      <t>k,б</t>
    </r>
    <r>
      <rPr>
        <sz val="10"/>
        <color theme="1"/>
        <rFont val="Tahoma"/>
        <family val="2"/>
        <charset val="204"/>
      </rPr>
      <t>)</t>
    </r>
  </si>
  <si>
    <t>2.7.2</t>
  </si>
  <si>
    <r>
      <t>Площадь земельного участка для размещения котельной с использованием угля, кв. м (</t>
    </r>
    <r>
      <rPr>
        <b/>
        <i/>
        <sz val="11"/>
        <color theme="1"/>
        <rFont val="Tahoma"/>
        <family val="2"/>
        <charset val="204"/>
      </rPr>
      <t>S</t>
    </r>
    <r>
      <rPr>
        <b/>
        <i/>
        <vertAlign val="subscript"/>
        <sz val="11"/>
        <color theme="1"/>
        <rFont val="Tahoma"/>
        <family val="2"/>
        <charset val="204"/>
      </rPr>
      <t>k</t>
    </r>
    <r>
      <rPr>
        <i/>
        <sz val="10"/>
        <color theme="1"/>
        <rFont val="Tahoma"/>
        <family val="2"/>
        <charset val="204"/>
      </rPr>
      <t>)</t>
    </r>
  </si>
  <si>
    <t>2.8</t>
  </si>
  <si>
    <r>
      <t>Затраты на подключение (технологическое присоединение) котельной с использованием угля к электрическим сетям, к централизованной системе водоснабжения и водоотведения в i-м расчетном периоде регулирования, тыс. руб. (</t>
    </r>
    <r>
      <rPr>
        <b/>
        <sz val="11"/>
        <color theme="1"/>
        <rFont val="Tahoma"/>
        <family val="2"/>
        <charset val="204"/>
      </rPr>
      <t>ТП</t>
    </r>
    <r>
      <rPr>
        <b/>
        <vertAlign val="subscript"/>
        <sz val="11"/>
        <color theme="1"/>
        <rFont val="Tahoma"/>
        <family val="2"/>
        <charset val="204"/>
      </rPr>
      <t>i,k</t>
    </r>
    <r>
      <rPr>
        <sz val="10"/>
        <color theme="1"/>
        <rFont val="Tahoma"/>
        <family val="2"/>
        <charset val="204"/>
      </rPr>
      <t>)</t>
    </r>
  </si>
  <si>
    <t>2.8.1</t>
  </si>
  <si>
    <r>
      <t>Базовая величина затрат на подключение (технологическое присоединение) котельной с использованием угля к электрическим сетям (</t>
    </r>
    <r>
      <rPr>
        <b/>
        <i/>
        <sz val="11"/>
        <color theme="1"/>
        <rFont val="Tahoma"/>
        <family val="2"/>
        <charset val="204"/>
      </rPr>
      <t>ТП</t>
    </r>
    <r>
      <rPr>
        <b/>
        <i/>
        <vertAlign val="subscript"/>
        <sz val="11"/>
        <color theme="1"/>
        <rFont val="Tahoma"/>
        <family val="2"/>
        <charset val="204"/>
      </rPr>
      <t>б,k</t>
    </r>
    <r>
      <rPr>
        <b/>
        <i/>
        <vertAlign val="superscript"/>
        <sz val="11"/>
        <color theme="1"/>
        <rFont val="Tahoma"/>
        <family val="2"/>
        <charset val="204"/>
      </rPr>
      <t>эс</t>
    </r>
    <r>
      <rPr>
        <i/>
        <sz val="10"/>
        <color theme="1"/>
        <rFont val="Tahoma"/>
        <family val="2"/>
        <charset val="204"/>
      </rPr>
      <t>)</t>
    </r>
  </si>
  <si>
    <t>2.8.2</t>
  </si>
  <si>
    <r>
      <t>Затраты на подключение (технологическое присоединение) котельной к централизованной системе водоснабжения в базовом (2019) году, тыс. руб. (</t>
    </r>
    <r>
      <rPr>
        <b/>
        <sz val="11"/>
        <color theme="1"/>
        <rFont val="Tahoma"/>
        <family val="2"/>
        <charset val="204"/>
      </rPr>
      <t>ТП</t>
    </r>
    <r>
      <rPr>
        <b/>
        <vertAlign val="subscript"/>
        <sz val="11"/>
        <color theme="1"/>
        <rFont val="Tahoma"/>
        <family val="2"/>
        <charset val="204"/>
      </rPr>
      <t>б</t>
    </r>
    <r>
      <rPr>
        <b/>
        <vertAlign val="superscript"/>
        <sz val="11"/>
        <color theme="1"/>
        <rFont val="Tahoma"/>
        <family val="2"/>
        <charset val="204"/>
      </rPr>
      <t>вс</t>
    </r>
    <r>
      <rPr>
        <sz val="10"/>
        <color theme="1"/>
        <rFont val="Tahoma"/>
        <family val="2"/>
        <charset val="204"/>
      </rPr>
      <t>)</t>
    </r>
  </si>
  <si>
    <t>2.8.2.1</t>
  </si>
  <si>
    <t>Гарантирующая организация в сфере холодного водоснабжения, обеспечивающая максимальный объем отпуска воды в поселении, городском округе, на территории которого находится система теплоснабжения</t>
  </si>
  <si>
    <t>2.8.2.2</t>
  </si>
  <si>
    <t>Величина подключаемой (технологически присоединяемой) нагрузки к централизованной системе водоснабжения, куб. м/сут</t>
  </si>
  <si>
    <t>2.8.2.3</t>
  </si>
  <si>
    <t>Протяженность сетей от котельной до места подключения к централизованной системе водоснабжения и водоотведения, м</t>
  </si>
  <si>
    <t>2.8.2.4</t>
  </si>
  <si>
    <t>Ставка тарифа за подключаемую (технологически присоединяемую) нагрузку водопроводной сети, действующая на день окончания базового (2019) года, без НДС, руб./куб. м/сут</t>
  </si>
  <si>
    <t>2.8.2.5</t>
  </si>
  <si>
    <t>Ставка тарифа за расстояние от точки подключения (технологического присоединения) котельной до точки подключения водопроводных сетей к централизованной системе водоснабжения, действующих на день окончания базового (2019) года, без НДС, руб./м</t>
  </si>
  <si>
    <t>2.8.3</t>
  </si>
  <si>
    <r>
      <t>Затраты на подключение (технологическое присоединение) котельной к централизованной системе водоотведения в базовом (2019) году, тыс. руб. (</t>
    </r>
    <r>
      <rPr>
        <b/>
        <sz val="11"/>
        <color theme="1"/>
        <rFont val="Tahoma"/>
        <family val="2"/>
        <charset val="204"/>
      </rPr>
      <t>ТП</t>
    </r>
    <r>
      <rPr>
        <b/>
        <vertAlign val="subscript"/>
        <sz val="11"/>
        <color theme="1"/>
        <rFont val="Tahoma"/>
        <family val="2"/>
        <charset val="204"/>
      </rPr>
      <t>б</t>
    </r>
    <r>
      <rPr>
        <b/>
        <vertAlign val="superscript"/>
        <sz val="11"/>
        <color theme="1"/>
        <rFont val="Tahoma"/>
        <family val="2"/>
        <charset val="204"/>
      </rPr>
      <t>во</t>
    </r>
    <r>
      <rPr>
        <sz val="10"/>
        <color theme="1"/>
        <rFont val="Tahoma"/>
        <family val="2"/>
        <charset val="204"/>
      </rPr>
      <t>)</t>
    </r>
  </si>
  <si>
    <t>2.8.3.1</t>
  </si>
  <si>
    <t>Гарантирующая организация в сфере холодного водоотведения, обеспечивающая максимальный объем принятых сточных вод в поселении, городском округе, на территории которого находится система теплоснабжения</t>
  </si>
  <si>
    <t>2.8.3.2</t>
  </si>
  <si>
    <t>Величина подключаемой (технологически присоединяемой) нагрузки к централизованной системе водоотведения, куб. м/сут</t>
  </si>
  <si>
    <t>2.8.3.3</t>
  </si>
  <si>
    <t>2.8.3.4</t>
  </si>
  <si>
    <t>Ставка тарифа за подключаемую (технологически присоединяемую) нагрузку канализационной сети, действующая на день окончания базового (2019) года, без НДС, руб./куб. м/сут</t>
  </si>
  <si>
    <t>2.8.3.5</t>
  </si>
  <si>
    <t>Ставка тарифа за расстояние от точки подключения (технологического присоединения) котельной до точки подключения канализационных сетей к централизованной системе водоотведения, действующая на день окончания базового (2019) года, без НДС, руб./м</t>
  </si>
  <si>
    <t>2.9</t>
  </si>
  <si>
    <r>
      <t>Норма доходности инвестированного капитала в i-м расчетном периоде регулирования, % (</t>
    </r>
    <r>
      <rPr>
        <b/>
        <sz val="11"/>
        <color theme="1"/>
        <rFont val="Tahoma"/>
        <family val="2"/>
        <charset val="204"/>
      </rPr>
      <t>НД</t>
    </r>
    <r>
      <rPr>
        <b/>
        <vertAlign val="subscript"/>
        <sz val="11"/>
        <color theme="1"/>
        <rFont val="Tahoma"/>
        <family val="2"/>
        <charset val="204"/>
      </rPr>
      <t>i</t>
    </r>
    <r>
      <rPr>
        <sz val="10"/>
        <color theme="1"/>
        <rFont val="Tahoma"/>
        <family val="2"/>
        <charset val="204"/>
      </rPr>
      <t>)</t>
    </r>
  </si>
  <si>
    <t>2.9.1</t>
  </si>
  <si>
    <r>
      <t>Средневзвешенная по дням 9 месяцев (i-1)-го расчетного периода регулирования ключевая ставка Центрального банка Российской Федерации, % (</t>
    </r>
    <r>
      <rPr>
        <b/>
        <sz val="11"/>
        <color theme="1"/>
        <rFont val="Tahoma"/>
        <family val="2"/>
        <charset val="204"/>
      </rPr>
      <t>КС</t>
    </r>
    <r>
      <rPr>
        <b/>
        <vertAlign val="subscript"/>
        <sz val="11"/>
        <color theme="1"/>
        <rFont val="Tahoma"/>
        <family val="2"/>
        <charset val="204"/>
      </rPr>
      <t>i-1</t>
    </r>
    <r>
      <rPr>
        <sz val="10"/>
        <color theme="1"/>
        <rFont val="Tahoma"/>
        <family val="2"/>
        <charset val="204"/>
      </rPr>
      <t>)</t>
    </r>
  </si>
  <si>
    <t>2.9.2</t>
  </si>
  <si>
    <r>
      <t>Базовый уровень нормы доходности инвестированного капитала,% (</t>
    </r>
    <r>
      <rPr>
        <b/>
        <i/>
        <sz val="11"/>
        <color theme="1"/>
        <rFont val="Tahoma"/>
        <family val="2"/>
        <charset val="204"/>
      </rPr>
      <t>НД</t>
    </r>
    <r>
      <rPr>
        <b/>
        <i/>
        <vertAlign val="subscript"/>
        <sz val="11"/>
        <color theme="1"/>
        <rFont val="Tahoma"/>
        <family val="2"/>
        <charset val="204"/>
      </rPr>
      <t>б</t>
    </r>
    <r>
      <rPr>
        <i/>
        <sz val="10"/>
        <color theme="1"/>
        <rFont val="Tahoma"/>
        <family val="2"/>
        <charset val="204"/>
      </rPr>
      <t>)</t>
    </r>
  </si>
  <si>
    <t>2.9.3</t>
  </si>
  <si>
    <r>
      <t>Базовый уровень ключевой ставки Центрального банка Российской Федерации, % (</t>
    </r>
    <r>
      <rPr>
        <b/>
        <i/>
        <sz val="11"/>
        <color theme="1"/>
        <rFont val="Tahoma"/>
        <family val="2"/>
        <charset val="204"/>
      </rPr>
      <t>КС</t>
    </r>
    <r>
      <rPr>
        <b/>
        <i/>
        <vertAlign val="subscript"/>
        <sz val="11"/>
        <color theme="1"/>
        <rFont val="Tahoma"/>
        <family val="2"/>
        <charset val="204"/>
      </rPr>
      <t>б</t>
    </r>
    <r>
      <rPr>
        <i/>
        <sz val="10"/>
        <color theme="1"/>
        <rFont val="Tahoma"/>
        <family val="2"/>
        <charset val="204"/>
      </rPr>
      <t>)</t>
    </r>
  </si>
  <si>
    <t>3</t>
  </si>
  <si>
    <t>Параметры, использованные при расчете составляющей предельного уровня цены на тепловую энергию (мощность), обеспечивающей компенсацию расходов на уплату налогов в i-м расчетном периоде регулирования</t>
  </si>
  <si>
    <t>3.1</t>
  </si>
  <si>
    <r>
      <t>Расходы на уплату налога на прибыль от деятельности, связанной с производством и поставкой тепловой энергии (мощности), в i-м расчетном периоде регулирования, тыс. руб. (</t>
    </r>
    <r>
      <rPr>
        <b/>
        <sz val="11"/>
        <color theme="1"/>
        <rFont val="Tahoma"/>
        <family val="2"/>
        <charset val="204"/>
      </rPr>
      <t>Н</t>
    </r>
    <r>
      <rPr>
        <b/>
        <vertAlign val="subscript"/>
        <sz val="11"/>
        <color theme="1"/>
        <rFont val="Tahoma"/>
        <family val="2"/>
        <charset val="204"/>
      </rPr>
      <t>i</t>
    </r>
    <r>
      <rPr>
        <b/>
        <vertAlign val="superscript"/>
        <sz val="11"/>
        <color theme="1"/>
        <rFont val="Tahoma"/>
        <family val="2"/>
        <charset val="204"/>
      </rPr>
      <t>п</t>
    </r>
    <r>
      <rPr>
        <sz val="10"/>
        <color theme="1"/>
        <rFont val="Tahoma"/>
        <family val="2"/>
        <charset val="204"/>
      </rPr>
      <t>)</t>
    </r>
  </si>
  <si>
    <t>3.1.1</t>
  </si>
  <si>
    <r>
      <t>Ставка налога на прибыль от деятельности, связанной с производством и поставкой тепловой энергии (мощности), установленная в соответствии с законодательством Российской Федерации о налогах и сборах и действующая в i-м расчетном периоде регулирования, % (</t>
    </r>
    <r>
      <rPr>
        <b/>
        <sz val="11"/>
        <color theme="1"/>
        <rFont val="Tahoma"/>
        <family val="2"/>
        <charset val="204"/>
      </rPr>
      <t>t</t>
    </r>
    <r>
      <rPr>
        <b/>
        <vertAlign val="subscript"/>
        <sz val="11"/>
        <color theme="1"/>
        <rFont val="Tahoma"/>
        <family val="2"/>
        <charset val="204"/>
      </rPr>
      <t>i</t>
    </r>
    <r>
      <rPr>
        <b/>
        <vertAlign val="superscript"/>
        <sz val="11"/>
        <color theme="1"/>
        <rFont val="Tahoma"/>
        <family val="2"/>
        <charset val="204"/>
      </rPr>
      <t>п</t>
    </r>
    <r>
      <rPr>
        <sz val="10"/>
        <color theme="1"/>
        <rFont val="Tahoma"/>
        <family val="2"/>
        <charset val="204"/>
      </rPr>
      <t>)</t>
    </r>
  </si>
  <si>
    <t>3.1.2</t>
  </si>
  <si>
    <r>
      <t>Период амортизации котельной и тепловых сетей, лет (</t>
    </r>
    <r>
      <rPr>
        <b/>
        <i/>
        <sz val="11"/>
        <color theme="1"/>
        <rFont val="Tahoma"/>
        <family val="2"/>
        <charset val="204"/>
      </rPr>
      <t>ПА</t>
    </r>
    <r>
      <rPr>
        <i/>
        <sz val="10"/>
        <color theme="1"/>
        <rFont val="Tahoma"/>
        <family val="2"/>
        <charset val="204"/>
      </rPr>
      <t>)</t>
    </r>
  </si>
  <si>
    <t>3.2</t>
  </si>
  <si>
    <r>
      <t>Расходы на уплату налога на имущество в i-м расчетном периоде регулирования, тыс. руб. (</t>
    </r>
    <r>
      <rPr>
        <b/>
        <sz val="11"/>
        <color theme="1"/>
        <rFont val="Tahoma"/>
        <family val="2"/>
        <charset val="204"/>
      </rPr>
      <t>Н</t>
    </r>
    <r>
      <rPr>
        <b/>
        <vertAlign val="subscript"/>
        <sz val="11"/>
        <color theme="1"/>
        <rFont val="Tahoma"/>
        <family val="2"/>
        <charset val="204"/>
      </rPr>
      <t>i</t>
    </r>
    <r>
      <rPr>
        <b/>
        <vertAlign val="superscript"/>
        <sz val="11"/>
        <color theme="1"/>
        <rFont val="Tahoma"/>
        <family val="2"/>
        <charset val="204"/>
      </rPr>
      <t>им</t>
    </r>
    <r>
      <rPr>
        <sz val="10"/>
        <color theme="1"/>
        <rFont val="Tahoma"/>
        <family val="2"/>
        <charset val="204"/>
      </rPr>
      <t>)</t>
    </r>
  </si>
  <si>
    <t>3.2.1</t>
  </si>
  <si>
    <r>
      <t>Ставка налога на имущество, установленная в соответствующем субъекте Российской Федерации (без учета специальных льгот по налогу на имущество организаций) в соответствии с законодательством Российской Федерации о налогах и сборах и действующая в i-м расчетном периоде регулирования, % (</t>
    </r>
    <r>
      <rPr>
        <b/>
        <sz val="11"/>
        <color theme="1"/>
        <rFont val="Tahoma"/>
        <family val="2"/>
        <charset val="204"/>
      </rPr>
      <t>t</t>
    </r>
    <r>
      <rPr>
        <b/>
        <vertAlign val="subscript"/>
        <sz val="11"/>
        <color theme="1"/>
        <rFont val="Tahoma"/>
        <family val="2"/>
        <charset val="204"/>
      </rPr>
      <t>i</t>
    </r>
    <r>
      <rPr>
        <b/>
        <vertAlign val="superscript"/>
        <sz val="11"/>
        <color theme="1"/>
        <rFont val="Tahoma"/>
        <family val="2"/>
        <charset val="204"/>
      </rPr>
      <t>им</t>
    </r>
    <r>
      <rPr>
        <sz val="10"/>
        <color theme="1"/>
        <rFont val="Tahoma"/>
        <family val="2"/>
        <charset val="204"/>
      </rPr>
      <t>)</t>
    </r>
  </si>
  <si>
    <t>3.2.2</t>
  </si>
  <si>
    <t>3.3</t>
  </si>
  <si>
    <r>
      <t>Расходы на уплату земельного налога в i-м расчетном периоде регулирования, тыс. руб. (</t>
    </r>
    <r>
      <rPr>
        <b/>
        <sz val="11"/>
        <color indexed="8"/>
        <rFont val="Tahoma"/>
        <family val="2"/>
        <charset val="204"/>
      </rPr>
      <t>Н</t>
    </r>
    <r>
      <rPr>
        <b/>
        <vertAlign val="subscript"/>
        <sz val="11"/>
        <color theme="1"/>
        <rFont val="Tahoma"/>
        <family val="2"/>
        <charset val="204"/>
      </rPr>
      <t>i</t>
    </r>
    <r>
      <rPr>
        <b/>
        <vertAlign val="superscript"/>
        <sz val="11"/>
        <color theme="1"/>
        <rFont val="Tahoma"/>
        <family val="2"/>
        <charset val="204"/>
      </rPr>
      <t>з</t>
    </r>
    <r>
      <rPr>
        <sz val="10"/>
        <color theme="1"/>
        <rFont val="Tahoma"/>
        <family val="2"/>
        <charset val="204"/>
      </rPr>
      <t>)</t>
    </r>
  </si>
  <si>
    <t>3.3.1</t>
  </si>
  <si>
    <r>
      <t>Ставка земельного налога, установленная в соответствии с законодательством Российской Федерации о налогах и сборах и нормативными правовыми актами представительных органов муниципального образования, на территории которого находится система теплоснабжения, и действующая в i-м расчетном периоде регулирования, % (</t>
    </r>
    <r>
      <rPr>
        <b/>
        <sz val="11"/>
        <color theme="1"/>
        <rFont val="Tahoma"/>
        <family val="2"/>
        <charset val="204"/>
      </rPr>
      <t>t</t>
    </r>
    <r>
      <rPr>
        <b/>
        <vertAlign val="subscript"/>
        <sz val="11"/>
        <color theme="1"/>
        <rFont val="Tahoma"/>
        <family val="2"/>
        <charset val="204"/>
      </rPr>
      <t>i</t>
    </r>
    <r>
      <rPr>
        <b/>
        <vertAlign val="superscript"/>
        <sz val="11"/>
        <color theme="1"/>
        <rFont val="Tahoma"/>
        <family val="2"/>
        <charset val="204"/>
      </rPr>
      <t>з</t>
    </r>
    <r>
      <rPr>
        <sz val="10"/>
        <color theme="1"/>
        <rFont val="Tahoma"/>
        <family val="2"/>
        <charset val="204"/>
      </rPr>
      <t>)</t>
    </r>
  </si>
  <si>
    <t>3.3.2</t>
  </si>
  <si>
    <r>
      <t>Стоимость земельного участка для размещения котельной в i-м расчетном периоде регулирования, тыс.руб. (</t>
    </r>
    <r>
      <rPr>
        <b/>
        <sz val="10"/>
        <color theme="1"/>
        <rFont val="Tahoma"/>
        <family val="2"/>
        <charset val="204"/>
      </rPr>
      <t>З</t>
    </r>
    <r>
      <rPr>
        <b/>
        <vertAlign val="subscript"/>
        <sz val="10"/>
        <color theme="1"/>
        <rFont val="Tahoma"/>
        <family val="2"/>
        <charset val="204"/>
      </rPr>
      <t>i,k</t>
    </r>
    <r>
      <rPr>
        <sz val="10"/>
        <color theme="1"/>
        <rFont val="Tahoma"/>
        <family val="2"/>
        <charset val="204"/>
      </rPr>
      <t>)</t>
    </r>
  </si>
  <si>
    <t>4</t>
  </si>
  <si>
    <t>Параметры, использованные при расчете составляющей предельного уровня цены на тепловую энергию (мощность), обеспечивающей компенсацию прочих расходов при производстве тепловой энергии котельной в i-м расчетном периоде регулирования</t>
  </si>
  <si>
    <t>4.1</t>
  </si>
  <si>
    <r>
      <t>Расходы на техническое обслуживание и ремонт основных средств котельной с использованием угля и тепловых сетей в базовом (2019) году, тыс. руб. (</t>
    </r>
    <r>
      <rPr>
        <b/>
        <sz val="11"/>
        <color theme="1"/>
        <rFont val="Tahoma"/>
        <family val="2"/>
        <charset val="204"/>
      </rPr>
      <t>ТО</t>
    </r>
    <r>
      <rPr>
        <b/>
        <vertAlign val="subscript"/>
        <sz val="11"/>
        <color theme="1"/>
        <rFont val="Tahoma"/>
        <family val="2"/>
        <charset val="204"/>
      </rPr>
      <t>б,k</t>
    </r>
    <r>
      <rPr>
        <sz val="10"/>
        <color theme="1"/>
        <rFont val="Tahoma"/>
        <family val="2"/>
        <charset val="204"/>
      </rPr>
      <t>)</t>
    </r>
  </si>
  <si>
    <t>4.1.1</t>
  </si>
  <si>
    <r>
      <t>Базовая величина капитальных затрат на основные средства котельной с использованием угля в базовом году, тыс. руб. (</t>
    </r>
    <r>
      <rPr>
        <b/>
        <i/>
        <sz val="11"/>
        <color theme="1"/>
        <rFont val="Tahoma"/>
        <family val="2"/>
        <charset val="204"/>
      </rPr>
      <t>КЗО</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</si>
  <si>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t>4.1.2</t>
  </si>
  <si>
    <r>
      <t>Коэффициент расходов на техническое обслуживание и ремонт основных средств котельной (</t>
    </r>
    <r>
      <rPr>
        <b/>
        <i/>
        <sz val="11"/>
        <color theme="1"/>
        <rFont val="Tahoma"/>
        <family val="2"/>
        <charset val="204"/>
      </rPr>
      <t>К</t>
    </r>
    <r>
      <rPr>
        <b/>
        <i/>
        <vertAlign val="subscript"/>
        <sz val="11"/>
        <color theme="1"/>
        <rFont val="Tahoma"/>
        <family val="2"/>
        <charset val="204"/>
      </rPr>
      <t>k</t>
    </r>
    <r>
      <rPr>
        <b/>
        <i/>
        <vertAlign val="superscript"/>
        <sz val="11"/>
        <color theme="1"/>
        <rFont val="Tahoma"/>
        <family val="2"/>
        <charset val="204"/>
      </rPr>
      <t>кот, ТО</t>
    </r>
    <r>
      <rPr>
        <i/>
        <sz val="10"/>
        <color theme="1"/>
        <rFont val="Tahoma"/>
        <family val="2"/>
        <charset val="204"/>
      </rPr>
      <t>)</t>
    </r>
  </si>
  <si>
    <t>4.1.3</t>
  </si>
  <si>
    <r>
      <t>Базовая величина капитальных затрат на основные средства тепловых сетей в базовом году, тыс. руб. (</t>
    </r>
    <r>
      <rPr>
        <b/>
        <i/>
        <sz val="11"/>
        <color theme="1"/>
        <rFont val="Tahoma"/>
        <family val="2"/>
        <charset val="204"/>
      </rPr>
      <t>КЗО</t>
    </r>
    <r>
      <rPr>
        <b/>
        <i/>
        <vertAlign val="subscript"/>
        <sz val="11"/>
        <color theme="1"/>
        <rFont val="Tahoma"/>
        <family val="2"/>
        <charset val="204"/>
      </rPr>
      <t>б</t>
    </r>
    <r>
      <rPr>
        <b/>
        <i/>
        <vertAlign val="superscript"/>
        <sz val="11"/>
        <color theme="1"/>
        <rFont val="Tahoma"/>
        <family val="2"/>
        <charset val="204"/>
      </rPr>
      <t>сети(б)</t>
    </r>
    <r>
      <rPr>
        <i/>
        <sz val="10"/>
        <color theme="1"/>
        <rFont val="Tahoma"/>
        <family val="2"/>
        <charset val="204"/>
      </rPr>
      <t>)</t>
    </r>
  </si>
  <si>
    <t>4.1.4</t>
  </si>
  <si>
    <r>
      <t>Коэффициент расходов на техническое обслуживание и ремонт основных средств тепловых сетей (</t>
    </r>
    <r>
      <rPr>
        <b/>
        <i/>
        <sz val="11"/>
        <color theme="1"/>
        <rFont val="Tahoma"/>
        <family val="2"/>
        <charset val="204"/>
      </rPr>
      <t>К</t>
    </r>
    <r>
      <rPr>
        <b/>
        <i/>
        <vertAlign val="superscript"/>
        <sz val="11"/>
        <color theme="1"/>
        <rFont val="Tahoma"/>
        <family val="2"/>
        <charset val="204"/>
      </rPr>
      <t>сети, ТО</t>
    </r>
    <r>
      <rPr>
        <i/>
        <sz val="10"/>
        <color theme="1"/>
        <rFont val="Tahoma"/>
        <family val="2"/>
        <charset val="204"/>
      </rPr>
      <t>)</t>
    </r>
  </si>
  <si>
    <t>4.2</t>
  </si>
  <si>
    <r>
      <t>Расходы на электрическую энергию на собственные нужды котельной с использованием угля в базовом (2019) году, тыс. руб. (</t>
    </r>
    <r>
      <rPr>
        <b/>
        <sz val="11"/>
        <color theme="1"/>
        <rFont val="Tahoma"/>
        <family val="2"/>
        <charset val="204"/>
      </rPr>
      <t>РЭ</t>
    </r>
    <r>
      <rPr>
        <b/>
        <vertAlign val="subscript"/>
        <sz val="11"/>
        <color theme="1"/>
        <rFont val="Tahoma"/>
        <family val="2"/>
        <charset val="204"/>
      </rPr>
      <t>б,k</t>
    </r>
    <r>
      <rPr>
        <sz val="10"/>
        <color theme="1"/>
        <rFont val="Tahoma"/>
        <family val="2"/>
        <charset val="204"/>
      </rPr>
      <t>)</t>
    </r>
  </si>
  <si>
    <t>4.2.1</t>
  </si>
  <si>
    <t>Наименование гарантирующего поставщика</t>
  </si>
  <si>
    <t>4.2.2</t>
  </si>
  <si>
    <r>
      <t>Среднеарифметическая величина из значений цен (тарифов) на электрическую энергию (мощность), поставляемую покупателям на розничном рынке, функционирующем в поселении или городском округе, на территории которого находится система теплоснабжения, в базовом (2019) году для категории потребителей, установленной технико-экономическими параметрами работы котельных и тепловых сетей, без НДС, руб./кВтч (</t>
    </r>
    <r>
      <rPr>
        <b/>
        <sz val="11"/>
        <color theme="1"/>
        <rFont val="Tahoma"/>
        <family val="2"/>
        <charset val="204"/>
      </rPr>
      <t>ЦЭ</t>
    </r>
    <r>
      <rPr>
        <b/>
        <vertAlign val="subscript"/>
        <sz val="11"/>
        <color theme="1"/>
        <rFont val="Tahoma"/>
        <family val="2"/>
        <charset val="204"/>
      </rPr>
      <t>б</t>
    </r>
    <r>
      <rPr>
        <sz val="10"/>
        <color theme="1"/>
        <rFont val="Tahoma"/>
        <family val="2"/>
        <charset val="204"/>
      </rPr>
      <t>)</t>
    </r>
  </si>
  <si>
    <t>4.2.3</t>
  </si>
  <si>
    <r>
      <t>Общая максимальная мощность энергопринимающих устройств котельной с использованием угля, кВт (</t>
    </r>
    <r>
      <rPr>
        <b/>
        <i/>
        <sz val="11"/>
        <color theme="1"/>
        <rFont val="Tahoma"/>
        <family val="2"/>
        <charset val="204"/>
      </rPr>
      <t>Э</t>
    </r>
    <r>
      <rPr>
        <b/>
        <i/>
        <vertAlign val="subscript"/>
        <sz val="11"/>
        <color theme="1"/>
        <rFont val="Tahoma"/>
        <family val="2"/>
        <charset val="204"/>
      </rPr>
      <t>k</t>
    </r>
    <r>
      <rPr>
        <i/>
        <sz val="10"/>
        <color theme="1"/>
        <rFont val="Tahoma"/>
        <family val="2"/>
        <charset val="204"/>
      </rPr>
      <t>)</t>
    </r>
  </si>
  <si>
    <t>4.2.4</t>
  </si>
  <si>
    <r>
      <t>Продолжительность годовой работы оборудования котельной с учетом коэффициента готовности, ч (</t>
    </r>
    <r>
      <rPr>
        <b/>
        <sz val="11"/>
        <color theme="1"/>
        <rFont val="Tahoma"/>
        <family val="2"/>
        <charset val="204"/>
      </rPr>
      <t>ГР</t>
    </r>
    <r>
      <rPr>
        <sz val="10"/>
        <color theme="1"/>
        <rFont val="Tahoma"/>
        <family val="2"/>
        <charset val="204"/>
      </rPr>
      <t>)</t>
    </r>
  </si>
  <si>
    <t>4.2.5</t>
  </si>
  <si>
    <r>
      <t>Коэффициент использования установленной тепловой мощности котельной (</t>
    </r>
    <r>
      <rPr>
        <b/>
        <i/>
        <sz val="11"/>
        <color theme="1"/>
        <rFont val="Tahoma"/>
        <family val="2"/>
        <charset val="204"/>
      </rPr>
      <t>КИУМ</t>
    </r>
    <r>
      <rPr>
        <i/>
        <sz val="10"/>
        <color theme="1"/>
        <rFont val="Tahoma"/>
        <family val="2"/>
        <charset val="204"/>
      </rPr>
      <t>)</t>
    </r>
  </si>
  <si>
    <t>4.3</t>
  </si>
  <si>
    <r>
      <t>Расходы на водоподготовку и водоотведение котельной в базовом (2019) году, тыс. руб. (</t>
    </r>
    <r>
      <rPr>
        <b/>
        <sz val="11"/>
        <color theme="1"/>
        <rFont val="Tahoma"/>
        <family val="2"/>
        <charset val="204"/>
      </rPr>
      <t>РВ</t>
    </r>
    <r>
      <rPr>
        <b/>
        <vertAlign val="subscript"/>
        <sz val="11"/>
        <color theme="1"/>
        <rFont val="Tahoma"/>
        <family val="2"/>
        <charset val="204"/>
      </rPr>
      <t>б</t>
    </r>
    <r>
      <rPr>
        <sz val="10"/>
        <color theme="1"/>
        <rFont val="Tahoma"/>
        <family val="2"/>
        <charset val="204"/>
      </rPr>
      <t>)</t>
    </r>
  </si>
  <si>
    <t>4.3.1</t>
  </si>
  <si>
    <t>4.3.2</t>
  </si>
  <si>
    <t>Тариф на питьевую воду (питьевое водоснабжение), действующий на день окончания базового (2019) года, без НДС, руб./куб. м</t>
  </si>
  <si>
    <t>4.3.3</t>
  </si>
  <si>
    <t>4.3.4</t>
  </si>
  <si>
    <t>Тариф на водоотведение, действующий на день окончания базового (2019) года, без НДС, руб./куб. м</t>
  </si>
  <si>
    <t>4.3.5</t>
  </si>
  <si>
    <t>Расход воды на водоподготовку, куб.м/год</t>
  </si>
  <si>
    <t>4.3.6</t>
  </si>
  <si>
    <t>Расход воды на собственные нужды котельной, куб.м/год</t>
  </si>
  <si>
    <t>4.3.7</t>
  </si>
  <si>
    <t>Объем водоотведения, куб.м/год</t>
  </si>
  <si>
    <t>4.4</t>
  </si>
  <si>
    <r>
      <t>Расходы на оплату труда персонала котельной с использованием угля в базовом (2019) году, тыс. руб. (</t>
    </r>
    <r>
      <rPr>
        <b/>
        <sz val="11"/>
        <color theme="1"/>
        <rFont val="Tahoma"/>
        <family val="2"/>
        <charset val="204"/>
      </rPr>
      <t>РП</t>
    </r>
    <r>
      <rPr>
        <b/>
        <vertAlign val="subscript"/>
        <sz val="11"/>
        <color theme="1"/>
        <rFont val="Tahoma"/>
        <family val="2"/>
        <charset val="204"/>
      </rPr>
      <t>б,k</t>
    </r>
    <r>
      <rPr>
        <sz val="10"/>
        <color theme="1"/>
        <rFont val="Tahoma"/>
        <family val="2"/>
        <charset val="204"/>
      </rPr>
      <t>)</t>
    </r>
  </si>
  <si>
    <t>4.4.1</t>
  </si>
  <si>
    <t>Заработная плата сотрудников котельной, производящей тепловую энергию с использованием угля, в базовом (2019) году, тыс. руб.</t>
  </si>
  <si>
    <t>4.4.2</t>
  </si>
  <si>
    <r>
      <t>Расходы на уплату в базовом (2019) году страховых взносов по персоналу котельной, определяемые в соответствии с требованиями законодательства Российской Федерации о страховых взносах исходя из расходов на оплату труда персонала котельной, тыс. руб. (</t>
    </r>
    <r>
      <rPr>
        <b/>
        <sz val="11"/>
        <color theme="1"/>
        <rFont val="Tahoma"/>
        <family val="2"/>
        <charset val="204"/>
      </rPr>
      <t>Р</t>
    </r>
    <r>
      <rPr>
        <b/>
        <vertAlign val="subscript"/>
        <sz val="11"/>
        <color theme="1"/>
        <rFont val="Tahoma"/>
        <family val="2"/>
        <charset val="204"/>
      </rPr>
      <t>б,k</t>
    </r>
    <r>
      <rPr>
        <b/>
        <vertAlign val="superscript"/>
        <sz val="11"/>
        <color theme="1"/>
        <rFont val="Tahoma"/>
        <family val="2"/>
        <charset val="204"/>
      </rPr>
      <t>СВ</t>
    </r>
    <r>
      <rPr>
        <sz val="10"/>
        <color theme="1"/>
        <rFont val="Tahoma"/>
        <family val="2"/>
        <charset val="204"/>
      </rPr>
      <t>)</t>
    </r>
  </si>
  <si>
    <t>4.5</t>
  </si>
  <si>
    <r>
      <t>Иные прочие расходы при производстве тепловой энергии котельной в i-м расчетном периоде регулирования, тыс. руб. (</t>
    </r>
    <r>
      <rPr>
        <b/>
        <sz val="11"/>
        <color theme="1"/>
        <rFont val="Tahoma"/>
        <family val="2"/>
        <charset val="204"/>
      </rPr>
      <t>ПР</t>
    </r>
    <r>
      <rPr>
        <b/>
        <vertAlign val="subscript"/>
        <sz val="11"/>
        <color theme="1"/>
        <rFont val="Tahoma"/>
        <family val="2"/>
        <charset val="204"/>
      </rPr>
      <t>i</t>
    </r>
    <r>
      <rPr>
        <b/>
        <vertAlign val="superscript"/>
        <sz val="11"/>
        <color theme="1"/>
        <rFont val="Tahoma"/>
        <family val="2"/>
        <charset val="204"/>
      </rPr>
      <t>иные</t>
    </r>
    <r>
      <rPr>
        <sz val="11"/>
        <color theme="1"/>
        <rFont val="Tahoma"/>
        <family val="2"/>
        <charset val="204"/>
      </rPr>
      <t>)</t>
    </r>
  </si>
  <si>
    <t>4.5.1</t>
  </si>
  <si>
    <r>
      <t>Расходы на плату за выбросы загрязняющих веществ в атмосферный воздух в пределах установленных нормативов и (или) лимитов, на утилизацию и размещение золы и шлака для котельной с использованием угля в i-м расчетном периоде регулирования, тыс. руб. (</t>
    </r>
    <r>
      <rPr>
        <b/>
        <sz val="11"/>
        <color theme="1"/>
        <rFont val="Tahoma"/>
        <family val="2"/>
        <charset val="204"/>
      </rPr>
      <t>ЗВ</t>
    </r>
    <r>
      <rPr>
        <b/>
        <vertAlign val="subscript"/>
        <sz val="11"/>
        <color theme="1"/>
        <rFont val="Tahoma"/>
        <family val="2"/>
        <charset val="204"/>
      </rPr>
      <t>i</t>
    </r>
    <r>
      <rPr>
        <b/>
        <vertAlign val="superscript"/>
        <sz val="11"/>
        <color theme="1"/>
        <rFont val="Tahoma"/>
        <family val="2"/>
        <charset val="204"/>
      </rPr>
      <t>уголь</t>
    </r>
    <r>
      <rPr>
        <sz val="10"/>
        <color theme="1"/>
        <rFont val="Tahoma"/>
        <family val="2"/>
        <charset val="204"/>
      </rPr>
      <t>)</t>
    </r>
  </si>
  <si>
    <t>4.5.1.1</t>
  </si>
  <si>
    <r>
      <t>Дополнительные расходы на плату за выбросы загрязняющих веществ в атмосферный воздух в пределах установленных нормативов и (или) лимитов для котельной с использованием угля (</t>
    </r>
    <r>
      <rPr>
        <b/>
        <sz val="11"/>
        <color theme="1"/>
        <rFont val="Tahoma"/>
        <family val="2"/>
        <charset val="204"/>
      </rPr>
      <t>Y</t>
    </r>
    <r>
      <rPr>
        <b/>
        <vertAlign val="subscript"/>
        <sz val="11"/>
        <color theme="1"/>
        <rFont val="Tahoma"/>
        <family val="2"/>
        <charset val="204"/>
      </rPr>
      <t>i</t>
    </r>
    <r>
      <rPr>
        <b/>
        <vertAlign val="superscript"/>
        <sz val="11"/>
        <color theme="1"/>
        <rFont val="Tahoma"/>
        <family val="2"/>
        <charset val="204"/>
      </rPr>
      <t>уголь</t>
    </r>
    <r>
      <rPr>
        <sz val="10"/>
        <color theme="1"/>
        <rFont val="Tahoma"/>
        <family val="2"/>
        <charset val="204"/>
      </rPr>
      <t>)</t>
    </r>
  </si>
  <si>
    <t>4.5.1.1.1</t>
  </si>
  <si>
    <r>
      <t>Базовая величина платы за выбросы загрязняющих веществ в атмосферный воздух, руб. (</t>
    </r>
    <r>
      <rPr>
        <b/>
        <i/>
        <sz val="10"/>
        <color theme="1"/>
        <rFont val="Tahoma"/>
        <family val="2"/>
        <charset val="204"/>
      </rPr>
      <t>ПВ</t>
    </r>
    <r>
      <rPr>
        <b/>
        <i/>
        <vertAlign val="subscript"/>
        <sz val="10"/>
        <color theme="1"/>
        <rFont val="Tahoma"/>
        <family val="2"/>
        <charset val="204"/>
      </rPr>
      <t>б</t>
    </r>
    <r>
      <rPr>
        <i/>
        <sz val="10"/>
        <color theme="1"/>
        <rFont val="Tahoma"/>
        <family val="2"/>
        <charset val="204"/>
      </rPr>
      <t>)</t>
    </r>
  </si>
  <si>
    <t>4.5.1.1.2</t>
  </si>
  <si>
    <r>
      <t>Коэффициент, применяемый к базовой величине платы за выбросы загрязняющих веществ в атмосферный воздух (</t>
    </r>
    <r>
      <rPr>
        <b/>
        <sz val="10"/>
        <color theme="1"/>
        <rFont val="Tahoma"/>
        <family val="2"/>
        <charset val="204"/>
      </rPr>
      <t>К</t>
    </r>
    <r>
      <rPr>
        <b/>
        <vertAlign val="subscript"/>
        <sz val="10"/>
        <color theme="1"/>
        <rFont val="Tahoma"/>
        <family val="2"/>
        <charset val="204"/>
      </rPr>
      <t>i</t>
    </r>
    <r>
      <rPr>
        <b/>
        <vertAlign val="superscript"/>
        <sz val="10"/>
        <color theme="1"/>
        <rFont val="Tahoma"/>
        <family val="2"/>
        <charset val="204"/>
      </rPr>
      <t>ОС</t>
    </r>
    <r>
      <rPr>
        <sz val="10"/>
        <color theme="1"/>
        <rFont val="Tahoma"/>
        <family val="2"/>
        <charset val="204"/>
      </rPr>
      <t>)</t>
    </r>
  </si>
  <si>
    <t>5</t>
  </si>
  <si>
    <t>Параметры, использованные при расчете составляющей предельного уровня цены на тепловую энергию (мощность), обеспечивающей создание резерва по сомнительным долгам в i-м расчетном периоде регулирования</t>
  </si>
  <si>
    <t>5.1</t>
  </si>
  <si>
    <r>
      <t>Коэффициент, отражающий размер резерва по сомнительным долгам (</t>
    </r>
    <r>
      <rPr>
        <b/>
        <sz val="11"/>
        <color theme="1"/>
        <rFont val="Tahoma"/>
        <family val="2"/>
        <charset val="204"/>
      </rPr>
      <t>k</t>
    </r>
    <r>
      <rPr>
        <b/>
        <vertAlign val="superscript"/>
        <sz val="11"/>
        <color theme="1"/>
        <rFont val="Tahoma"/>
        <family val="2"/>
        <charset val="204"/>
      </rPr>
      <t>РД</t>
    </r>
    <r>
      <rPr>
        <sz val="10"/>
        <color theme="1"/>
        <rFont val="Tahoma"/>
        <family val="2"/>
        <charset val="204"/>
      </rPr>
      <t>)</t>
    </r>
  </si>
  <si>
    <t>6</t>
  </si>
  <si>
    <t>Параметры, использованные при расчете составляющей предельного уровня цены на тепловую энергию (мощность), обеспечивающей учет отклонений фактических показателей от прогнозных показателей, используемых при расчете предельного уровня цены на тепловую энергию (мощность), в i-м расчетном периоде регулирования</t>
  </si>
  <si>
    <t>6.1</t>
  </si>
  <si>
    <r>
      <t xml:space="preserve">Составляющая предельного уровня цены на тепловую энергию (мощность), обеспечивающая учет отклонений фактических показателей от прогнозных показателей при расчете составляющей предельного уровня цены на тепловую энергию (мощность), обеспечивающей компенсацию расходов на топливо при производстве тепловой энергии котельной в (i-2)-м расчетном периоде регулирования, определяемой в  i-м расчетном периоде регулирования, руб./Гкал </t>
    </r>
    <r>
      <rPr>
        <sz val="11"/>
        <color theme="1"/>
        <rFont val="Tahoma"/>
        <family val="2"/>
        <charset val="204"/>
      </rPr>
      <t>(</t>
    </r>
    <r>
      <rPr>
        <b/>
        <sz val="11"/>
        <color theme="1"/>
        <rFont val="Tahoma"/>
        <family val="2"/>
        <charset val="204"/>
      </rPr>
      <t>ΔPT</t>
    </r>
    <r>
      <rPr>
        <b/>
        <vertAlign val="subscript"/>
        <sz val="11"/>
        <color theme="1"/>
        <rFont val="Tahoma"/>
        <family val="2"/>
        <charset val="204"/>
      </rPr>
      <t>i-2</t>
    </r>
    <r>
      <rPr>
        <sz val="11"/>
        <color theme="1"/>
        <rFont val="Tahoma"/>
        <family val="2"/>
        <charset val="204"/>
      </rPr>
      <t>)</t>
    </r>
  </si>
  <si>
    <t>-</t>
  </si>
  <si>
    <t>6.1.1</t>
  </si>
  <si>
    <r>
      <t>Фактическая цена на k-й вид топлива, используемый при производстве тепловой энергии котельной, с учетом затрат на его доставку, сложившаяся в системе теплоснабжения в (i-2)-м расчетном периоде регулирования, без НДС,  руб./т н. т. (руб./тыс. куб. м) (</t>
    </r>
    <r>
      <rPr>
        <b/>
        <sz val="11"/>
        <color theme="1"/>
        <rFont val="Tahoma"/>
        <family val="2"/>
        <charset val="204"/>
      </rPr>
      <t>ЦТ</t>
    </r>
    <r>
      <rPr>
        <b/>
        <vertAlign val="subscript"/>
        <sz val="11"/>
        <color theme="1"/>
        <rFont val="Tahoma"/>
        <family val="2"/>
        <charset val="204"/>
      </rPr>
      <t>i-2,k</t>
    </r>
    <r>
      <rPr>
        <b/>
        <vertAlign val="superscript"/>
        <sz val="11"/>
        <color theme="1"/>
        <rFont val="Tahoma"/>
        <family val="2"/>
        <charset val="204"/>
      </rPr>
      <t>ф, нат.</t>
    </r>
    <r>
      <rPr>
        <sz val="10"/>
        <color theme="1"/>
        <rFont val="Tahoma"/>
        <family val="2"/>
        <charset val="204"/>
      </rPr>
      <t>)</t>
    </r>
  </si>
  <si>
    <t>6.2</t>
  </si>
  <si>
    <r>
      <t>Составляющая предельного уровня цены на тепловую энергию (мощность), обеспечивающая учет отклонений фактических показателей от прогнозных показателей при расчете составляющей предельного уровня цены на тепловую энергию (мощность), обеспечивающей компенсацию расходов на уплату налогов  в (i-2)-м расчетном периоде регулирования, определяемой в  i-м расчетном периоде регулирования, руб./Гкал (</t>
    </r>
    <r>
      <rPr>
        <b/>
        <sz val="11"/>
        <color theme="1"/>
        <rFont val="Tahoma"/>
        <family val="2"/>
        <charset val="204"/>
      </rPr>
      <t>ΔH</t>
    </r>
    <r>
      <rPr>
        <b/>
        <vertAlign val="subscript"/>
        <sz val="11"/>
        <color theme="1"/>
        <rFont val="Tahoma"/>
        <family val="2"/>
        <charset val="204"/>
      </rPr>
      <t>i-2</t>
    </r>
    <r>
      <rPr>
        <sz val="10"/>
        <color theme="1"/>
        <rFont val="Tahoma"/>
        <family val="2"/>
        <charset val="204"/>
      </rPr>
      <t>)</t>
    </r>
  </si>
  <si>
    <t>6.2.1</t>
  </si>
  <si>
    <r>
      <t>Фактическая ставка налога на прибыль от деятельности, связанной с производством и поставкой тепловой энергии (мощности), установленная в соответствии с законодательством Российской Федерации о налогах и сборах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п</t>
    </r>
    <r>
      <rPr>
        <sz val="10"/>
        <color theme="1"/>
        <rFont val="Tahoma"/>
        <family val="2"/>
        <charset val="204"/>
      </rPr>
      <t>)</t>
    </r>
  </si>
  <si>
    <t>6.2.2</t>
  </si>
  <si>
    <r>
      <t>Фактическая ставка налога на имущество, установленная в соответствующем субъекте Российской Федерации (без учета специальных льгот по налогу на имущество организаций) в соответствии с законодательством Российской Федерации о налогах и сборах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им</t>
    </r>
    <r>
      <rPr>
        <sz val="10"/>
        <color theme="1"/>
        <rFont val="Tahoma"/>
        <family val="2"/>
        <charset val="204"/>
      </rPr>
      <t>)</t>
    </r>
  </si>
  <si>
    <t>6.2.3</t>
  </si>
  <si>
    <r>
      <t>Фактическая ставка земельного налога, установленная в соответствии с законодательством Российской Федерации о налогах и сборах и нормативными правовыми актами представительных органов муниципального образования, на территории которого находится система теплоснабжения,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з</t>
    </r>
    <r>
      <rPr>
        <sz val="10"/>
        <color theme="1"/>
        <rFont val="Tahoma"/>
        <family val="2"/>
        <charset val="204"/>
      </rPr>
      <t>)</t>
    </r>
  </si>
  <si>
    <t>7</t>
  </si>
  <si>
    <r>
      <t>Объем полезного отпуска тепловой энергии котельной,  тыс. Гкал (</t>
    </r>
    <r>
      <rPr>
        <b/>
        <sz val="11"/>
        <color theme="1"/>
        <rFont val="Tahoma"/>
        <family val="2"/>
        <charset val="204"/>
      </rPr>
      <t>Q</t>
    </r>
    <r>
      <rPr>
        <b/>
        <vertAlign val="superscript"/>
        <sz val="11"/>
        <color theme="1"/>
        <rFont val="Tahoma"/>
        <family val="2"/>
        <charset val="204"/>
      </rPr>
      <t>ПО</t>
    </r>
    <r>
      <rPr>
        <b/>
        <sz val="10"/>
        <color theme="1"/>
        <rFont val="Tahoma"/>
        <family val="2"/>
        <charset val="204"/>
      </rPr>
      <t>)</t>
    </r>
  </si>
  <si>
    <t>7.1</t>
  </si>
  <si>
    <r>
      <t>Установленная тепловая мощность котельной, Гкал/ч (</t>
    </r>
    <r>
      <rPr>
        <b/>
        <i/>
        <sz val="11"/>
        <color theme="1"/>
        <rFont val="Tahoma"/>
        <family val="2"/>
        <charset val="204"/>
      </rPr>
      <t>p</t>
    </r>
    <r>
      <rPr>
        <i/>
        <sz val="10"/>
        <color theme="1"/>
        <rFont val="Tahoma"/>
        <family val="2"/>
        <charset val="204"/>
      </rPr>
      <t>)</t>
    </r>
  </si>
  <si>
    <t>7.2</t>
  </si>
  <si>
    <r>
      <t>Коэффициент готовности, учитывающий продолжительность годовой работы оборудования (</t>
    </r>
    <r>
      <rPr>
        <b/>
        <i/>
        <sz val="11"/>
        <color theme="1"/>
        <rFont val="Tahoma"/>
        <family val="2"/>
        <charset val="204"/>
      </rPr>
      <t>К</t>
    </r>
    <r>
      <rPr>
        <b/>
        <i/>
        <vertAlign val="subscript"/>
        <sz val="11"/>
        <color theme="1"/>
        <rFont val="Tahoma"/>
        <family val="2"/>
        <charset val="204"/>
      </rPr>
      <t>r</t>
    </r>
    <r>
      <rPr>
        <i/>
        <sz val="10"/>
        <color theme="1"/>
        <rFont val="Tahoma"/>
        <family val="2"/>
        <charset val="204"/>
      </rPr>
      <t>)</t>
    </r>
  </si>
  <si>
    <t>7.3</t>
  </si>
  <si>
    <r>
      <t>Коэффициент использования установленной тепловой мощности котельной (</t>
    </r>
    <r>
      <rPr>
        <b/>
        <i/>
        <sz val="11"/>
        <rFont val="Tahoma"/>
        <family val="2"/>
        <charset val="204"/>
      </rPr>
      <t>КИУМ</t>
    </r>
    <r>
      <rPr>
        <i/>
        <sz val="10"/>
        <rFont val="Tahoma"/>
        <family val="2"/>
        <charset val="204"/>
      </rPr>
      <t>)</t>
    </r>
  </si>
  <si>
    <t>8</t>
  </si>
  <si>
    <r>
      <t>Прогнозный индекс цен производителей промышленной продукции (накопленным итогом), % (</t>
    </r>
    <r>
      <rPr>
        <b/>
        <sz val="11"/>
        <rFont val="Tahoma"/>
        <family val="2"/>
        <charset val="204"/>
      </rPr>
      <t>ИЦП</t>
    </r>
    <r>
      <rPr>
        <b/>
        <vertAlign val="subscript"/>
        <sz val="11"/>
        <rFont val="Tahoma"/>
        <family val="2"/>
        <charset val="204"/>
      </rPr>
      <t>i</t>
    </r>
    <r>
      <rPr>
        <b/>
        <sz val="10"/>
        <rFont val="Tahoma"/>
        <family val="2"/>
        <charset val="204"/>
      </rPr>
      <t>)</t>
    </r>
  </si>
  <si>
    <t>8.1</t>
  </si>
  <si>
    <r>
      <t>Индекс цен производителей промышленной продукции (в среднем за год к предыдущему году), % г/г (</t>
    </r>
    <r>
      <rPr>
        <b/>
        <sz val="11"/>
        <color indexed="8"/>
        <rFont val="Tahoma"/>
        <family val="2"/>
        <charset val="204"/>
      </rPr>
      <t>ИЦП</t>
    </r>
    <r>
      <rPr>
        <b/>
        <vertAlign val="superscript"/>
        <sz val="11"/>
        <color indexed="8"/>
        <rFont val="Tahoma"/>
        <family val="2"/>
        <charset val="204"/>
      </rPr>
      <t>п</t>
    </r>
    <r>
      <rPr>
        <b/>
        <vertAlign val="subscript"/>
        <sz val="11"/>
        <color indexed="8"/>
        <rFont val="Tahoma"/>
        <family val="2"/>
        <charset val="204"/>
      </rPr>
      <t>б+1</t>
    </r>
    <r>
      <rPr>
        <b/>
        <sz val="11"/>
        <color indexed="8"/>
        <rFont val="Tahoma"/>
        <family val="2"/>
        <charset val="204"/>
      </rPr>
      <t>, ИЦП</t>
    </r>
    <r>
      <rPr>
        <b/>
        <vertAlign val="superscript"/>
        <sz val="11"/>
        <color indexed="8"/>
        <rFont val="Tahoma"/>
        <family val="2"/>
        <charset val="204"/>
      </rPr>
      <t>п</t>
    </r>
    <r>
      <rPr>
        <b/>
        <vertAlign val="subscript"/>
        <sz val="11"/>
        <color indexed="8"/>
        <rFont val="Tahoma"/>
        <family val="2"/>
        <charset val="204"/>
      </rPr>
      <t>б+2</t>
    </r>
    <r>
      <rPr>
        <b/>
        <sz val="11"/>
        <color indexed="8"/>
        <rFont val="Tahoma"/>
        <family val="2"/>
        <charset val="204"/>
      </rPr>
      <t>,…,ИЦП</t>
    </r>
    <r>
      <rPr>
        <b/>
        <vertAlign val="superscript"/>
        <sz val="11"/>
        <color indexed="8"/>
        <rFont val="Tahoma"/>
        <family val="2"/>
        <charset val="204"/>
      </rPr>
      <t>п</t>
    </r>
    <r>
      <rPr>
        <b/>
        <vertAlign val="subscript"/>
        <sz val="11"/>
        <color indexed="8"/>
        <rFont val="Tahoma"/>
        <family val="2"/>
        <charset val="204"/>
      </rPr>
      <t>i</t>
    </r>
    <r>
      <rPr>
        <sz val="10"/>
        <color indexed="8"/>
        <rFont val="Tahoma"/>
        <family val="2"/>
        <charset val="204"/>
      </rPr>
      <t>)</t>
    </r>
  </si>
  <si>
    <t>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</si>
</sst>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0.0%"/>
  </numFmts>
  <fonts count="34" x14ac:knownFonts="1">
    <font>
      <sz val="11"/>
      <color theme="1"/>
      <name val="Calibri"/>
      <family val="2"/>
      <charset val="204"/>
      <scheme val="minor"/>
    </font>
    <font>
      <sz val="11"/>
      <color theme="1"/>
      <name val="Calibri"/>
      <family val="2"/>
      <charset val="204"/>
      <scheme val="minor"/>
    </font>
    <font>
      <sz val="11"/>
      <color rgb="FF000000"/>
      <name val="Calibri"/>
      <family val="2"/>
      <charset val="204"/>
    </font>
    <font>
      <sz val="10"/>
      <color indexed="8"/>
      <name val="Tahoma"/>
      <family val="2"/>
      <charset val="204"/>
    </font>
    <font>
      <b/>
      <sz val="11"/>
      <name val="Tahoma"/>
      <family val="2"/>
      <charset val="204"/>
    </font>
    <font>
      <b/>
      <sz val="10"/>
      <color indexed="8"/>
      <name val="Tahoma"/>
      <family val="2"/>
      <charset val="204"/>
    </font>
    <font>
      <b/>
      <sz val="11"/>
      <color theme="1"/>
      <name val="Tahoma"/>
      <family val="2"/>
      <charset val="204"/>
    </font>
    <font>
      <b/>
      <vertAlign val="subscript"/>
      <sz val="11"/>
      <color theme="1"/>
      <name val="Tahoma"/>
      <family val="2"/>
      <charset val="204"/>
    </font>
    <font>
      <sz val="10"/>
      <color theme="1"/>
      <name val="Tahoma"/>
      <family val="2"/>
      <charset val="204"/>
    </font>
    <font>
      <b/>
      <sz val="11"/>
      <color theme="1"/>
      <name val="Calibri"/>
      <family val="2"/>
      <charset val="204"/>
    </font>
    <font>
      <b/>
      <vertAlign val="superscript"/>
      <sz val="11"/>
      <color theme="1"/>
      <name val="Tahoma"/>
      <family val="2"/>
      <charset val="204"/>
    </font>
    <font>
      <i/>
      <sz val="10"/>
      <color indexed="8"/>
      <name val="Tahoma"/>
      <family val="2"/>
      <charset val="204"/>
    </font>
    <font>
      <b/>
      <i/>
      <sz val="11"/>
      <color theme="1"/>
      <name val="Tahoma"/>
      <family val="2"/>
      <charset val="204"/>
    </font>
    <font>
      <b/>
      <i/>
      <vertAlign val="subscript"/>
      <sz val="11"/>
      <color theme="1"/>
      <name val="Tahoma"/>
      <family val="2"/>
      <charset val="204"/>
    </font>
    <font>
      <i/>
      <sz val="10"/>
      <color theme="1"/>
      <name val="Tahoma"/>
      <family val="2"/>
      <charset val="204"/>
    </font>
    <font>
      <sz val="10"/>
      <name val="Tahoma"/>
      <family val="2"/>
      <charset val="204"/>
    </font>
    <font>
      <b/>
      <vertAlign val="superscript"/>
      <sz val="11"/>
      <name val="Tahoma"/>
      <family val="2"/>
      <charset val="204"/>
    </font>
    <font>
      <b/>
      <i/>
      <sz val="10"/>
      <color theme="1"/>
      <name val="Tahoma"/>
      <family val="2"/>
      <charset val="204"/>
    </font>
    <font>
      <b/>
      <i/>
      <vertAlign val="superscript"/>
      <sz val="10"/>
      <color theme="1"/>
      <name val="Tahoma"/>
      <family val="2"/>
      <charset val="204"/>
    </font>
    <font>
      <sz val="11"/>
      <color theme="1"/>
      <name val="Tahoma"/>
      <family val="2"/>
      <charset val="204"/>
    </font>
    <font>
      <b/>
      <i/>
      <sz val="10"/>
      <color indexed="8"/>
      <name val="Tahoma"/>
      <family val="2"/>
      <charset val="204"/>
    </font>
    <font>
      <b/>
      <sz val="10"/>
      <color theme="1"/>
      <name val="Tahoma"/>
      <family val="2"/>
      <charset val="204"/>
    </font>
    <font>
      <b/>
      <vertAlign val="superscript"/>
      <sz val="10"/>
      <color theme="1"/>
      <name val="Tahoma"/>
      <family val="2"/>
      <charset val="204"/>
    </font>
    <font>
      <b/>
      <i/>
      <vertAlign val="subscript"/>
      <sz val="10"/>
      <color theme="1"/>
      <name val="Tahoma"/>
      <family val="2"/>
      <charset val="204"/>
    </font>
    <font>
      <b/>
      <i/>
      <vertAlign val="superscript"/>
      <sz val="11"/>
      <color theme="1"/>
      <name val="Tahoma"/>
      <family val="2"/>
      <charset val="204"/>
    </font>
    <font>
      <b/>
      <sz val="11"/>
      <color indexed="8"/>
      <name val="Tahoma"/>
      <family val="2"/>
      <charset val="204"/>
    </font>
    <font>
      <b/>
      <vertAlign val="subscript"/>
      <sz val="10"/>
      <color theme="1"/>
      <name val="Tahoma"/>
      <family val="2"/>
      <charset val="204"/>
    </font>
    <font>
      <b/>
      <i/>
      <sz val="11"/>
      <name val="Tahoma"/>
      <family val="2"/>
      <charset val="204"/>
    </font>
    <font>
      <i/>
      <sz val="10"/>
      <name val="Tahoma"/>
      <family val="2"/>
      <charset val="204"/>
    </font>
    <font>
      <sz val="10"/>
      <name val="Arial Cyr"/>
      <charset val="204"/>
    </font>
    <font>
      <b/>
      <sz val="10"/>
      <name val="Tahoma"/>
      <family val="2"/>
      <charset val="204"/>
    </font>
    <font>
      <b/>
      <vertAlign val="subscript"/>
      <sz val="11"/>
      <name val="Tahoma"/>
      <family val="2"/>
      <charset val="204"/>
    </font>
    <font>
      <b/>
      <vertAlign val="superscript"/>
      <sz val="11"/>
      <color indexed="8"/>
      <name val="Tahoma"/>
      <family val="2"/>
      <charset val="204"/>
    </font>
    <font>
      <b/>
      <vertAlign val="subscript"/>
      <sz val="11"/>
      <color indexed="8"/>
      <name val="Tahoma"/>
      <family val="2"/>
      <charset val="204"/>
    </font>
  </fonts>
  <fills count="3">
    <fill>
      <patternFill patternType="none"/>
    </fill>
    <fill>
      <patternFill patternType="gray125"/>
    </fill>
    <fill>
      <patternFill patternType="solid">
        <fgColor theme="0"/>
        <bgColor indexed="64"/>
      </patternFill>
    </fill>
  </fills>
  <borders count="22">
    <border>
      <left/>
      <right/>
      <top/>
      <bottom/>
      <diagonal/>
    </border>
    <border>
      <left/>
      <right/>
      <top/>
      <bottom style="medium">
        <color indexed="64"/>
      </bottom>
      <diagonal/>
    </border>
    <border>
      <left style="medium">
        <color indexed="64"/>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auto="1"/>
      </right>
      <top style="medium">
        <color indexed="64"/>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auto="1"/>
      </left>
      <right style="thin">
        <color auto="1"/>
      </right>
      <top/>
      <bottom/>
      <diagonal/>
    </border>
    <border>
      <left style="thin">
        <color indexed="64"/>
      </left>
      <right style="medium">
        <color indexed="64"/>
      </right>
      <top/>
      <bottom/>
      <diagonal/>
    </border>
  </borders>
  <cellStyleXfs count="4">
    <xf numFmtId="0" fontId="0" fillId="0" borderId="0"/>
    <xf numFmtId="9" fontId="1" fillId="0" borderId="0" applyFont="0" applyFill="0" applyBorder="0" applyAlignment="0" applyProtection="0"/>
    <xf numFmtId="0" fontId="1" fillId="0" borderId="0"/>
    <xf numFmtId="0" fontId="29" fillId="0" borderId="0"/>
  </cellStyleXfs>
  <cellXfs count="124">
    <xf numFmtId="0" fontId="0" fillId="0" borderId="0" xfId="0"/>
    <xf numFmtId="10" fontId="3" fillId="2" borderId="0" xfId="2" applyNumberFormat="1" applyFont="1" applyFill="1" applyAlignment="1">
      <alignment wrapText="1"/>
    </xf>
    <xf numFmtId="0" fontId="3" fillId="2" borderId="0" xfId="2" applyFont="1" applyFill="1"/>
    <xf numFmtId="0" fontId="3" fillId="2" borderId="0" xfId="2" applyFont="1" applyFill="1" applyAlignment="1">
      <alignment wrapText="1"/>
    </xf>
    <xf numFmtId="0" fontId="3" fillId="2" borderId="0" xfId="2" applyFont="1" applyFill="1" applyAlignment="1">
      <alignment horizontal="right"/>
    </xf>
    <xf numFmtId="14" fontId="3" fillId="2" borderId="0" xfId="2" applyNumberFormat="1" applyFont="1" applyFill="1" applyAlignment="1">
      <alignment horizontal="center" vertical="center" wrapText="1"/>
    </xf>
    <xf numFmtId="0" fontId="5" fillId="2" borderId="0" xfId="2" applyFont="1" applyFill="1" applyAlignment="1">
      <alignment horizontal="left"/>
    </xf>
    <xf numFmtId="0" fontId="3" fillId="2" borderId="0" xfId="2" applyFont="1" applyFill="1" applyAlignment="1">
      <alignment horizontal="center" vertical="center"/>
    </xf>
    <xf numFmtId="0" fontId="3" fillId="2" borderId="0" xfId="2" applyFont="1" applyFill="1" applyBorder="1" applyAlignment="1">
      <alignment wrapText="1"/>
    </xf>
    <xf numFmtId="0" fontId="3" fillId="2" borderId="0" xfId="2" applyFont="1" applyFill="1" applyBorder="1" applyAlignment="1">
      <alignment horizontal="left" vertical="center" wrapText="1"/>
    </xf>
    <xf numFmtId="0" fontId="3" fillId="2" borderId="0" xfId="2" applyNumberFormat="1" applyFont="1" applyFill="1" applyBorder="1" applyAlignment="1">
      <alignment horizontal="center" vertical="center" wrapText="1"/>
    </xf>
    <xf numFmtId="49" fontId="3" fillId="2" borderId="0" xfId="2" applyNumberFormat="1" applyFont="1" applyFill="1" applyBorder="1" applyAlignment="1">
      <alignment horizontal="center" vertical="center" wrapText="1"/>
    </xf>
    <xf numFmtId="0" fontId="3" fillId="2" borderId="0" xfId="2" applyFont="1" applyFill="1" applyBorder="1" applyAlignment="1">
      <alignment vertical="center" wrapText="1"/>
    </xf>
    <xf numFmtId="0" fontId="3" fillId="2" borderId="0" xfId="2" applyFont="1" applyFill="1" applyBorder="1" applyAlignment="1">
      <alignment horizontal="center" vertical="center" wrapText="1"/>
    </xf>
    <xf numFmtId="1" fontId="3" fillId="2" borderId="0" xfId="2" applyNumberFormat="1" applyFont="1" applyFill="1" applyBorder="1" applyAlignment="1">
      <alignment horizontal="center" vertical="center" wrapText="1"/>
    </xf>
    <xf numFmtId="4" fontId="3" fillId="2" borderId="0" xfId="2" applyNumberFormat="1" applyFont="1" applyFill="1" applyBorder="1" applyAlignment="1">
      <alignment horizontal="center" vertical="center" wrapText="1"/>
    </xf>
    <xf numFmtId="4" fontId="5" fillId="2" borderId="2" xfId="2" applyNumberFormat="1" applyFont="1" applyFill="1" applyBorder="1" applyAlignment="1">
      <alignment horizontal="center" vertical="center" wrapText="1"/>
    </xf>
    <xf numFmtId="4" fontId="5" fillId="0" borderId="3" xfId="2" applyNumberFormat="1" applyFont="1" applyFill="1" applyBorder="1" applyAlignment="1">
      <alignment horizontal="center" vertical="center" wrapText="1"/>
    </xf>
    <xf numFmtId="4" fontId="5" fillId="0" borderId="4" xfId="2" applyNumberFormat="1" applyFont="1" applyFill="1" applyBorder="1" applyAlignment="1">
      <alignment horizontal="center" vertical="center" wrapText="1"/>
    </xf>
    <xf numFmtId="0" fontId="5" fillId="2" borderId="5" xfId="2" applyFont="1" applyFill="1" applyBorder="1" applyAlignment="1">
      <alignment horizontal="center" vertical="center" wrapText="1"/>
    </xf>
    <xf numFmtId="0" fontId="5" fillId="0" borderId="6" xfId="2" applyFont="1" applyBorder="1" applyAlignment="1">
      <alignment horizontal="center" vertical="center" wrapText="1"/>
    </xf>
    <xf numFmtId="0" fontId="5" fillId="0" borderId="7" xfId="2" applyFont="1" applyBorder="1" applyAlignment="1">
      <alignment horizontal="center" vertical="center" wrapText="1"/>
    </xf>
    <xf numFmtId="49" fontId="3" fillId="2" borderId="5" xfId="2" applyNumberFormat="1" applyFont="1" applyFill="1" applyBorder="1" applyAlignment="1">
      <alignment horizontal="right" vertical="center" wrapText="1"/>
    </xf>
    <xf numFmtId="0" fontId="5" fillId="2" borderId="6" xfId="2" applyFont="1" applyFill="1" applyBorder="1" applyAlignment="1">
      <alignment vertical="center" wrapText="1"/>
    </xf>
    <xf numFmtId="4" fontId="5" fillId="2" borderId="7" xfId="2" applyNumberFormat="1" applyFont="1" applyFill="1" applyBorder="1" applyAlignment="1">
      <alignment horizontal="center" vertical="center" wrapText="1"/>
    </xf>
    <xf numFmtId="0" fontId="3" fillId="2" borderId="6" xfId="2" applyFont="1" applyFill="1" applyBorder="1" applyAlignment="1">
      <alignment horizontal="left" vertical="center" wrapText="1"/>
    </xf>
    <xf numFmtId="4" fontId="3" fillId="2" borderId="7" xfId="2" applyNumberFormat="1" applyFont="1" applyFill="1" applyBorder="1" applyAlignment="1">
      <alignment horizontal="center" vertical="center" wrapText="1"/>
    </xf>
    <xf numFmtId="49" fontId="3" fillId="2" borderId="8" xfId="2" applyNumberFormat="1" applyFont="1" applyFill="1" applyBorder="1" applyAlignment="1">
      <alignment horizontal="right" vertical="center" wrapText="1"/>
    </xf>
    <xf numFmtId="4" fontId="3" fillId="2" borderId="10" xfId="2" applyNumberFormat="1" applyFont="1" applyFill="1" applyBorder="1" applyAlignment="1">
      <alignment horizontal="center" vertical="center" wrapText="1"/>
    </xf>
    <xf numFmtId="4" fontId="5" fillId="2" borderId="11" xfId="2" applyNumberFormat="1" applyFont="1" applyFill="1" applyBorder="1" applyAlignment="1">
      <alignment horizontal="center" vertical="center" wrapText="1"/>
    </xf>
    <xf numFmtId="4" fontId="5" fillId="2" borderId="3" xfId="2" applyNumberFormat="1" applyFont="1" applyFill="1" applyBorder="1" applyAlignment="1">
      <alignment horizontal="center" vertical="center" wrapText="1"/>
    </xf>
    <xf numFmtId="3" fontId="5" fillId="2" borderId="12" xfId="2" applyNumberFormat="1" applyFont="1" applyFill="1" applyBorder="1" applyAlignment="1">
      <alignment horizontal="center" vertical="center" wrapText="1"/>
    </xf>
    <xf numFmtId="3" fontId="5" fillId="2" borderId="6" xfId="2" applyNumberFormat="1" applyFont="1" applyFill="1" applyBorder="1" applyAlignment="1">
      <alignment horizontal="center" vertical="center" wrapText="1"/>
    </xf>
    <xf numFmtId="0" fontId="3" fillId="2" borderId="12" xfId="2" applyFont="1" applyFill="1" applyBorder="1" applyAlignment="1">
      <alignment horizontal="left" vertical="center" wrapText="1" indent="2"/>
    </xf>
    <xf numFmtId="4" fontId="3" fillId="2" borderId="6" xfId="2" applyNumberFormat="1" applyFont="1" applyFill="1" applyBorder="1" applyAlignment="1">
      <alignment horizontal="center" vertical="center" wrapText="1"/>
    </xf>
    <xf numFmtId="10" fontId="3" fillId="2" borderId="6" xfId="1" applyNumberFormat="1" applyFont="1" applyFill="1" applyBorder="1" applyAlignment="1">
      <alignment horizontal="center" vertical="center" wrapText="1"/>
    </xf>
    <xf numFmtId="0" fontId="11" fillId="2" borderId="12" xfId="2" applyFont="1" applyFill="1" applyBorder="1" applyAlignment="1">
      <alignment horizontal="left" vertical="center" wrapText="1" indent="2"/>
    </xf>
    <xf numFmtId="4" fontId="3" fillId="2" borderId="6" xfId="2" applyNumberFormat="1" applyFont="1" applyFill="1" applyBorder="1" applyAlignment="1">
      <alignment horizontal="center" vertical="center"/>
    </xf>
    <xf numFmtId="3" fontId="3" fillId="2" borderId="6" xfId="2" applyNumberFormat="1" applyFont="1" applyFill="1" applyBorder="1" applyAlignment="1">
      <alignment horizontal="center" vertical="center"/>
    </xf>
    <xf numFmtId="0" fontId="3" fillId="2" borderId="6" xfId="2" applyFont="1" applyFill="1" applyBorder="1" applyAlignment="1">
      <alignment horizontal="left" vertical="center" wrapText="1" indent="2"/>
    </xf>
    <xf numFmtId="164" fontId="3" fillId="2" borderId="6" xfId="2" applyNumberFormat="1" applyFont="1" applyFill="1" applyBorder="1" applyAlignment="1">
      <alignment horizontal="center" vertical="center" wrapText="1"/>
    </xf>
    <xf numFmtId="49" fontId="8" fillId="2" borderId="5" xfId="0" applyNumberFormat="1" applyFont="1" applyFill="1" applyBorder="1" applyAlignment="1">
      <alignment horizontal="right" vertical="center"/>
    </xf>
    <xf numFmtId="0" fontId="15" fillId="0" borderId="6" xfId="0" applyFont="1" applyFill="1" applyBorder="1" applyAlignment="1">
      <alignment horizontal="left" vertical="center" wrapText="1" indent="3"/>
    </xf>
    <xf numFmtId="0" fontId="8" fillId="2" borderId="6" xfId="0" applyFont="1" applyFill="1" applyBorder="1" applyAlignment="1">
      <alignment horizontal="left" vertical="center" wrapText="1" indent="5"/>
    </xf>
    <xf numFmtId="0" fontId="14" fillId="2" borderId="6" xfId="0" applyFont="1" applyFill="1" applyBorder="1" applyAlignment="1">
      <alignment horizontal="left" vertical="center" wrapText="1" indent="5"/>
    </xf>
    <xf numFmtId="0" fontId="11" fillId="2" borderId="14" xfId="2" applyFont="1" applyFill="1" applyBorder="1" applyAlignment="1">
      <alignment horizontal="left" vertical="center" wrapText="1" indent="2"/>
    </xf>
    <xf numFmtId="164" fontId="3" fillId="2" borderId="9" xfId="2" applyNumberFormat="1" applyFont="1" applyFill="1" applyBorder="1" applyAlignment="1">
      <alignment horizontal="center" vertical="center" wrapText="1"/>
    </xf>
    <xf numFmtId="49" fontId="3" fillId="2" borderId="15" xfId="2" applyNumberFormat="1" applyFont="1" applyFill="1" applyBorder="1" applyAlignment="1">
      <alignment horizontal="right" vertical="center" wrapText="1"/>
    </xf>
    <xf numFmtId="0" fontId="3" fillId="0" borderId="0" xfId="2" applyFont="1" applyFill="1" applyBorder="1" applyAlignment="1">
      <alignment horizontal="left" vertical="center" wrapText="1" indent="2"/>
    </xf>
    <xf numFmtId="4" fontId="3" fillId="0" borderId="0" xfId="2" applyNumberFormat="1" applyFont="1" applyFill="1" applyBorder="1" applyAlignment="1">
      <alignment horizontal="center" vertical="center" wrapText="1"/>
    </xf>
    <xf numFmtId="49" fontId="3" fillId="2" borderId="2" xfId="2" applyNumberFormat="1" applyFont="1" applyFill="1" applyBorder="1" applyAlignment="1">
      <alignment horizontal="right" vertical="center" wrapText="1"/>
    </xf>
    <xf numFmtId="49" fontId="3" fillId="2" borderId="6" xfId="2" applyNumberFormat="1" applyFont="1" applyFill="1" applyBorder="1" applyAlignment="1">
      <alignment horizontal="center" vertical="center" wrapText="1"/>
    </xf>
    <xf numFmtId="0" fontId="3" fillId="2" borderId="6" xfId="2" applyFont="1" applyFill="1" applyBorder="1" applyAlignment="1">
      <alignment horizontal="center" vertical="center" wrapText="1"/>
    </xf>
    <xf numFmtId="0" fontId="3" fillId="2" borderId="12" xfId="2" applyFont="1" applyFill="1" applyBorder="1" applyAlignment="1">
      <alignment horizontal="left" vertical="center" wrapText="1" indent="4"/>
    </xf>
    <xf numFmtId="0" fontId="3" fillId="2" borderId="12" xfId="2" applyFont="1" applyFill="1" applyBorder="1" applyAlignment="1">
      <alignment horizontal="left" vertical="center" wrapText="1" indent="7"/>
    </xf>
    <xf numFmtId="0" fontId="11" fillId="2" borderId="12" xfId="2" applyFont="1" applyFill="1" applyBorder="1" applyAlignment="1">
      <alignment horizontal="left" vertical="center" wrapText="1" indent="7"/>
    </xf>
    <xf numFmtId="0" fontId="14" fillId="2" borderId="6" xfId="0" applyFont="1" applyFill="1" applyBorder="1" applyAlignment="1">
      <alignment horizontal="left" vertical="center" wrapText="1" indent="7"/>
    </xf>
    <xf numFmtId="0" fontId="8" fillId="2" borderId="6" xfId="0" applyFont="1" applyFill="1" applyBorder="1" applyAlignment="1">
      <alignment horizontal="left" vertical="center" wrapText="1" indent="7"/>
    </xf>
    <xf numFmtId="0" fontId="11" fillId="2" borderId="12" xfId="2" applyFont="1" applyFill="1" applyBorder="1" applyAlignment="1">
      <alignment horizontal="left" vertical="center" wrapText="1" indent="4"/>
    </xf>
    <xf numFmtId="49" fontId="3" fillId="2" borderId="5" xfId="2" applyNumberFormat="1" applyFont="1" applyFill="1" applyBorder="1" applyAlignment="1">
      <alignment horizontal="right" vertical="center"/>
    </xf>
    <xf numFmtId="0" fontId="14" fillId="2" borderId="6" xfId="0" applyFont="1" applyFill="1" applyBorder="1" applyAlignment="1">
      <alignment horizontal="left" vertical="center" wrapText="1" indent="4"/>
    </xf>
    <xf numFmtId="0" fontId="14" fillId="2" borderId="6" xfId="0" applyFont="1" applyFill="1" applyBorder="1" applyAlignment="1">
      <alignment horizontal="left" vertical="center" wrapText="1" indent="3"/>
    </xf>
    <xf numFmtId="3" fontId="3" fillId="2" borderId="6" xfId="2" applyNumberFormat="1" applyFont="1" applyFill="1" applyBorder="1" applyAlignment="1">
      <alignment horizontal="center" vertical="center" wrapText="1"/>
    </xf>
    <xf numFmtId="0" fontId="15" fillId="2" borderId="0" xfId="2" applyFont="1" applyFill="1"/>
    <xf numFmtId="0" fontId="8" fillId="2" borderId="6" xfId="0" applyFont="1" applyFill="1" applyBorder="1" applyAlignment="1">
      <alignment horizontal="left" vertical="center" wrapText="1" indent="2"/>
    </xf>
    <xf numFmtId="0" fontId="3" fillId="2" borderId="12" xfId="2" applyFont="1" applyFill="1" applyBorder="1" applyAlignment="1">
      <alignment horizontal="left" vertical="center" wrapText="1" indent="5"/>
    </xf>
    <xf numFmtId="0" fontId="11" fillId="2" borderId="12" xfId="2" applyFont="1" applyFill="1" applyBorder="1" applyAlignment="1">
      <alignment horizontal="left" vertical="center" wrapText="1" indent="5"/>
    </xf>
    <xf numFmtId="165" fontId="3" fillId="2" borderId="6" xfId="2" applyNumberFormat="1" applyFont="1" applyFill="1" applyBorder="1" applyAlignment="1">
      <alignment horizontal="center" vertical="center" wrapText="1"/>
    </xf>
    <xf numFmtId="4" fontId="15" fillId="2" borderId="6" xfId="2" applyNumberFormat="1" applyFont="1" applyFill="1" applyBorder="1" applyAlignment="1">
      <alignment horizontal="center" vertical="center"/>
    </xf>
    <xf numFmtId="0" fontId="3" fillId="2" borderId="12" xfId="2" applyFont="1" applyFill="1" applyBorder="1" applyAlignment="1">
      <alignment horizontal="left" wrapText="1" indent="5"/>
    </xf>
    <xf numFmtId="10" fontId="15" fillId="2" borderId="6" xfId="1" applyNumberFormat="1" applyFont="1" applyFill="1" applyBorder="1" applyAlignment="1">
      <alignment horizontal="center" vertical="center"/>
    </xf>
    <xf numFmtId="0" fontId="14" fillId="2" borderId="12" xfId="2" applyFont="1" applyFill="1" applyBorder="1" applyAlignment="1">
      <alignment horizontal="left" vertical="center" wrapText="1" indent="4"/>
    </xf>
    <xf numFmtId="49" fontId="3" fillId="2" borderId="8" xfId="2" applyNumberFormat="1" applyFont="1" applyFill="1" applyBorder="1" applyAlignment="1">
      <alignment horizontal="right" vertical="center"/>
    </xf>
    <xf numFmtId="0" fontId="11" fillId="2" borderId="14" xfId="2" applyFont="1" applyFill="1" applyBorder="1" applyAlignment="1">
      <alignment horizontal="left" vertical="center" wrapText="1" indent="4"/>
    </xf>
    <xf numFmtId="10" fontId="3" fillId="2" borderId="9" xfId="1" applyNumberFormat="1" applyFont="1" applyFill="1" applyBorder="1" applyAlignment="1">
      <alignment horizontal="center" vertical="center" wrapText="1"/>
    </xf>
    <xf numFmtId="0" fontId="3" fillId="2" borderId="0" xfId="2" applyFont="1" applyFill="1" applyBorder="1" applyAlignment="1">
      <alignment horizontal="left" vertical="center" wrapText="1" indent="2"/>
    </xf>
    <xf numFmtId="49" fontId="15" fillId="2" borderId="2" xfId="2" applyNumberFormat="1" applyFont="1" applyFill="1" applyBorder="1" applyAlignment="1">
      <alignment horizontal="right" vertical="center"/>
    </xf>
    <xf numFmtId="49" fontId="15" fillId="2" borderId="5" xfId="2" applyNumberFormat="1" applyFont="1" applyFill="1" applyBorder="1" applyAlignment="1">
      <alignment horizontal="right" vertical="center"/>
    </xf>
    <xf numFmtId="9" fontId="3" fillId="2" borderId="6" xfId="1" applyFont="1" applyFill="1" applyBorder="1" applyAlignment="1">
      <alignment horizontal="center" vertical="center" wrapText="1"/>
    </xf>
    <xf numFmtId="0" fontId="11" fillId="0" borderId="12" xfId="2" applyFont="1" applyFill="1" applyBorder="1" applyAlignment="1">
      <alignment horizontal="left" vertical="center" wrapText="1" indent="4"/>
    </xf>
    <xf numFmtId="166" fontId="3" fillId="2" borderId="6" xfId="1" applyNumberFormat="1" applyFont="1" applyFill="1" applyBorder="1" applyAlignment="1">
      <alignment horizontal="center" vertical="center" wrapText="1"/>
    </xf>
    <xf numFmtId="49" fontId="15" fillId="2" borderId="8" xfId="2" applyNumberFormat="1" applyFont="1" applyFill="1" applyBorder="1" applyAlignment="1">
      <alignment horizontal="right" vertical="center"/>
    </xf>
    <xf numFmtId="0" fontId="8" fillId="2" borderId="9" xfId="0" applyFont="1" applyFill="1" applyBorder="1" applyAlignment="1">
      <alignment horizontal="left" vertical="center" wrapText="1" indent="4"/>
    </xf>
    <xf numFmtId="4" fontId="3" fillId="2" borderId="9" xfId="2" applyNumberFormat="1" applyFont="1" applyFill="1" applyBorder="1" applyAlignment="1">
      <alignment horizontal="center" vertical="center" wrapText="1"/>
    </xf>
    <xf numFmtId="49" fontId="3" fillId="2" borderId="2" xfId="2" applyNumberFormat="1" applyFont="1" applyFill="1" applyBorder="1" applyAlignment="1">
      <alignment horizontal="right" vertical="center"/>
    </xf>
    <xf numFmtId="0" fontId="3" fillId="2" borderId="6" xfId="2" applyNumberFormat="1" applyFont="1" applyFill="1" applyBorder="1" applyAlignment="1">
      <alignment horizontal="center" vertical="center" wrapText="1"/>
    </xf>
    <xf numFmtId="0" fontId="3" fillId="2" borderId="6" xfId="2" applyFont="1" applyFill="1" applyBorder="1" applyAlignment="1">
      <alignment horizontal="left" vertical="center" wrapText="1" indent="4"/>
    </xf>
    <xf numFmtId="0" fontId="8" fillId="2" borderId="6" xfId="0" applyFont="1" applyFill="1" applyBorder="1" applyAlignment="1">
      <alignment horizontal="left" vertical="center" wrapText="1" indent="6"/>
    </xf>
    <xf numFmtId="0" fontId="8" fillId="2" borderId="9" xfId="0" applyFont="1" applyFill="1" applyBorder="1" applyAlignment="1">
      <alignment horizontal="left" vertical="center" wrapText="1" indent="7"/>
    </xf>
    <xf numFmtId="0" fontId="3" fillId="2" borderId="0" xfId="2" applyFont="1" applyFill="1" applyBorder="1"/>
    <xf numFmtId="0" fontId="3" fillId="2" borderId="14" xfId="2" applyFont="1" applyFill="1" applyBorder="1" applyAlignment="1">
      <alignment horizontal="left" vertical="center" wrapText="1" indent="2"/>
    </xf>
    <xf numFmtId="0" fontId="15" fillId="2" borderId="6" xfId="2" applyFont="1" applyFill="1" applyBorder="1" applyAlignment="1">
      <alignment horizontal="left" vertical="center" wrapText="1" indent="2"/>
    </xf>
    <xf numFmtId="4" fontId="3" fillId="2" borderId="6" xfId="1" applyNumberFormat="1" applyFont="1" applyFill="1" applyBorder="1" applyAlignment="1">
      <alignment horizontal="center" vertical="center" wrapText="1"/>
    </xf>
    <xf numFmtId="0" fontId="15" fillId="2" borderId="9" xfId="2" applyFont="1" applyFill="1" applyBorder="1" applyAlignment="1">
      <alignment horizontal="left" vertical="center" wrapText="1" indent="2"/>
    </xf>
    <xf numFmtId="4" fontId="15" fillId="2" borderId="9" xfId="2" applyNumberFormat="1" applyFont="1" applyFill="1" applyBorder="1" applyAlignment="1">
      <alignment horizontal="center" vertical="center" wrapText="1"/>
    </xf>
    <xf numFmtId="49" fontId="3" fillId="2" borderId="17" xfId="2" applyNumberFormat="1" applyFont="1" applyFill="1" applyBorder="1" applyAlignment="1">
      <alignment horizontal="right" vertical="center"/>
    </xf>
    <xf numFmtId="0" fontId="3" fillId="2" borderId="18" xfId="2" applyFont="1" applyFill="1" applyBorder="1" applyAlignment="1">
      <alignment horizontal="left" vertical="center" wrapText="1" indent="4"/>
    </xf>
    <xf numFmtId="10" fontId="3" fillId="2" borderId="18" xfId="1" applyNumberFormat="1" applyFont="1" applyFill="1" applyBorder="1" applyAlignment="1">
      <alignment horizontal="center" vertical="center" wrapText="1"/>
    </xf>
    <xf numFmtId="0" fontId="3" fillId="2" borderId="9" xfId="2" applyFont="1" applyFill="1" applyBorder="1" applyAlignment="1">
      <alignment horizontal="left" vertical="center" wrapText="1" indent="4"/>
    </xf>
    <xf numFmtId="0" fontId="21" fillId="2" borderId="3" xfId="0" applyFont="1" applyFill="1" applyBorder="1" applyAlignment="1">
      <alignment horizontal="left" vertical="center" wrapText="1"/>
    </xf>
    <xf numFmtId="4" fontId="3" fillId="2" borderId="3" xfId="2" applyNumberFormat="1" applyFont="1" applyFill="1" applyBorder="1" applyAlignment="1">
      <alignment horizontal="center" vertical="center" wrapText="1"/>
    </xf>
    <xf numFmtId="0" fontId="11" fillId="2" borderId="6" xfId="2" applyFont="1" applyFill="1" applyBorder="1" applyAlignment="1">
      <alignment horizontal="left" vertical="center" wrapText="1" indent="4"/>
    </xf>
    <xf numFmtId="0" fontId="11" fillId="2" borderId="9" xfId="2" applyFont="1" applyFill="1" applyBorder="1" applyAlignment="1">
      <alignment horizontal="left" vertical="center" wrapText="1" indent="4"/>
    </xf>
    <xf numFmtId="0" fontId="30" fillId="2" borderId="3" xfId="3" applyFont="1" applyFill="1" applyBorder="1" applyAlignment="1">
      <alignment horizontal="left" vertical="center" wrapText="1"/>
    </xf>
    <xf numFmtId="10" fontId="3" fillId="2" borderId="3" xfId="1" applyNumberFormat="1" applyFont="1" applyFill="1" applyBorder="1" applyAlignment="1">
      <alignment horizontal="center" vertical="center" wrapText="1"/>
    </xf>
    <xf numFmtId="0" fontId="3" fillId="2" borderId="9" xfId="2" applyFont="1" applyFill="1" applyBorder="1" applyAlignment="1">
      <alignment horizontal="left" vertical="center" wrapText="1"/>
    </xf>
    <xf numFmtId="0" fontId="3" fillId="2" borderId="0" xfId="2" applyFont="1" applyFill="1" applyBorder="1" applyAlignment="1">
      <alignment horizontal="right" vertical="center"/>
    </xf>
    <xf numFmtId="0" fontId="3" fillId="2" borderId="20" xfId="2" applyFont="1" applyFill="1" applyBorder="1" applyAlignment="1">
      <alignment horizontal="right" wrapText="1" indent="1"/>
    </xf>
    <xf numFmtId="0" fontId="3" fillId="2" borderId="21" xfId="2" applyFont="1" applyFill="1" applyBorder="1" applyAlignment="1">
      <alignment horizontal="center" vertical="center" wrapText="1"/>
    </xf>
    <xf numFmtId="0" fontId="3" fillId="2" borderId="2" xfId="2" applyFont="1" applyFill="1" applyBorder="1"/>
    <xf numFmtId="10" fontId="15" fillId="2" borderId="4" xfId="2" applyNumberFormat="1" applyFont="1" applyFill="1" applyBorder="1" applyAlignment="1" applyProtection="1">
      <alignment vertical="center"/>
    </xf>
    <xf numFmtId="0" fontId="3" fillId="2" borderId="5" xfId="2" applyFont="1" applyFill="1" applyBorder="1"/>
    <xf numFmtId="10" fontId="15" fillId="2" borderId="7" xfId="2" applyNumberFormat="1" applyFont="1" applyFill="1" applyBorder="1" applyAlignment="1" applyProtection="1">
      <alignment vertical="center"/>
    </xf>
    <xf numFmtId="0" fontId="3" fillId="2" borderId="8" xfId="2" applyFont="1" applyFill="1" applyBorder="1"/>
    <xf numFmtId="10" fontId="15" fillId="2" borderId="10" xfId="2" applyNumberFormat="1" applyFont="1" applyFill="1" applyBorder="1" applyAlignment="1" applyProtection="1">
      <alignment vertical="center"/>
    </xf>
    <xf numFmtId="0" fontId="3" fillId="2" borderId="17" xfId="2" applyFont="1" applyFill="1" applyBorder="1"/>
    <xf numFmtId="10" fontId="15" fillId="2" borderId="19" xfId="2" applyNumberFormat="1" applyFont="1" applyFill="1" applyBorder="1" applyAlignment="1" applyProtection="1">
      <alignment vertical="center"/>
    </xf>
    <xf numFmtId="0" fontId="3" fillId="2" borderId="0" xfId="2" applyFont="1" applyFill="1" applyAlignment="1" applyProtection="1">
      <alignment horizontal="center" vertical="center"/>
    </xf>
    <xf numFmtId="0" fontId="3" fillId="2" borderId="9" xfId="2" applyFont="1" applyFill="1" applyBorder="1" applyAlignment="1">
      <alignment horizontal="left" vertical="center" wrapText="1"/>
    </xf>
    <xf numFmtId="0" fontId="5" fillId="2" borderId="1" xfId="2" applyFont="1" applyFill="1" applyBorder="1" applyAlignment="1">
      <alignment horizontal="left" wrapText="1"/>
    </xf>
    <xf numFmtId="0" fontId="4" fillId="2" borderId="0" xfId="2" applyFont="1" applyFill="1" applyBorder="1" applyAlignment="1">
      <alignment horizontal="center" vertical="center" wrapText="1"/>
    </xf>
    <xf numFmtId="0" fontId="5" fillId="2" borderId="13" xfId="2" applyFont="1" applyFill="1" applyBorder="1" applyAlignment="1">
      <alignment horizontal="left" vertical="center" wrapText="1"/>
    </xf>
    <xf numFmtId="0" fontId="5" fillId="2" borderId="16" xfId="2" applyFont="1" applyFill="1" applyBorder="1" applyAlignment="1">
      <alignment horizontal="left" vertical="center" wrapText="1"/>
    </xf>
    <xf numFmtId="0" fontId="5" fillId="2" borderId="3" xfId="2" applyFont="1" applyFill="1" applyBorder="1" applyAlignment="1">
      <alignment horizontal="left" vertical="center" wrapText="1"/>
    </xf>
  </cellXfs>
  <cellStyles count="4">
    <cellStyle name="Обычный" xfId="0" builtinId="0"/>
    <cellStyle name="Обычный 80" xfId="2"/>
    <cellStyle name="Обычный_Копия Condition-все вар13.12.08-утнах17-50" xfId="3"/>
    <cellStyle name="Процентный"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9" Type="http://schemas.openxmlformats.org/officeDocument/2006/relationships/externalLink" Target="externalLinks/externalLink24.xml"/><Relationship Id="rId3" Type="http://schemas.openxmlformats.org/officeDocument/2006/relationships/worksheet" Target="worksheets/sheet3.xml"/><Relationship Id="rId21" Type="http://schemas.openxmlformats.org/officeDocument/2006/relationships/externalLink" Target="externalLinks/externalLink6.xml"/><Relationship Id="rId34" Type="http://schemas.openxmlformats.org/officeDocument/2006/relationships/externalLink" Target="externalLinks/externalLink19.xml"/><Relationship Id="rId42" Type="http://schemas.openxmlformats.org/officeDocument/2006/relationships/externalLink" Target="externalLinks/externalLink27.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externalLink" Target="externalLinks/externalLink18.xml"/><Relationship Id="rId38" Type="http://schemas.openxmlformats.org/officeDocument/2006/relationships/externalLink" Target="externalLinks/externalLink23.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externalLink" Target="externalLinks/externalLink14.xml"/><Relationship Id="rId41" Type="http://schemas.openxmlformats.org/officeDocument/2006/relationships/externalLink" Target="externalLinks/externalLink2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externalLink" Target="externalLinks/externalLink17.xml"/><Relationship Id="rId37" Type="http://schemas.openxmlformats.org/officeDocument/2006/relationships/externalLink" Target="externalLinks/externalLink22.xml"/><Relationship Id="rId40" Type="http://schemas.openxmlformats.org/officeDocument/2006/relationships/externalLink" Target="externalLinks/externalLink25.xml"/><Relationship Id="rId45" Type="http://schemas.openxmlformats.org/officeDocument/2006/relationships/externalLink" Target="externalLinks/externalLink3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36" Type="http://schemas.openxmlformats.org/officeDocument/2006/relationships/externalLink" Target="externalLinks/externalLink21.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externalLink" Target="externalLinks/externalLink16.xml"/><Relationship Id="rId44" Type="http://schemas.openxmlformats.org/officeDocument/2006/relationships/externalLink" Target="externalLinks/externalLink2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 Id="rId35" Type="http://schemas.openxmlformats.org/officeDocument/2006/relationships/externalLink" Target="externalLinks/externalLink20.xml"/><Relationship Id="rId43" Type="http://schemas.openxmlformats.org/officeDocument/2006/relationships/externalLink" Target="externalLinks/externalLink28.xml"/><Relationship Id="rId48" Type="http://schemas.openxmlformats.org/officeDocument/2006/relationships/sharedStrings" Target="sharedStrings.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0</xdr:row>
          <xdr:rowOff>85725</xdr:rowOff>
        </xdr:from>
        <xdr:to>
          <xdr:col>4</xdr:col>
          <xdr:colOff>0</xdr:colOff>
          <xdr:row>0</xdr:row>
          <xdr:rowOff>238125</xdr:rowOff>
        </xdr:to>
        <xdr:sp macro="" textlink="">
          <xdr:nvSpPr>
            <xdr:cNvPr id="1025" name="Button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1026" name="Button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0</xdr:row>
          <xdr:rowOff>85725</xdr:rowOff>
        </xdr:from>
        <xdr:to>
          <xdr:col>4</xdr:col>
          <xdr:colOff>0</xdr:colOff>
          <xdr:row>0</xdr:row>
          <xdr:rowOff>238125</xdr:rowOff>
        </xdr:to>
        <xdr:sp macro="" textlink="">
          <xdr:nvSpPr>
            <xdr:cNvPr id="10241" name="Button 1" hidden="1">
              <a:extLst>
                <a:ext uri="{63B3BB69-23CF-44E3-9099-C40C66FF867C}">
                  <a14:compatExt spid="_x0000_s10241"/>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10242" name="Button 2" hidden="1">
              <a:extLst>
                <a:ext uri="{63B3BB69-23CF-44E3-9099-C40C66FF867C}">
                  <a14:compatExt spid="_x0000_s10242"/>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0</xdr:row>
          <xdr:rowOff>85725</xdr:rowOff>
        </xdr:from>
        <xdr:to>
          <xdr:col>4</xdr:col>
          <xdr:colOff>0</xdr:colOff>
          <xdr:row>0</xdr:row>
          <xdr:rowOff>238125</xdr:rowOff>
        </xdr:to>
        <xdr:sp macro="" textlink="">
          <xdr:nvSpPr>
            <xdr:cNvPr id="11265" name="Button 1" hidden="1">
              <a:extLst>
                <a:ext uri="{63B3BB69-23CF-44E3-9099-C40C66FF867C}">
                  <a14:compatExt spid="_x0000_s1126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11266" name="Button 2" hidden="1">
              <a:extLst>
                <a:ext uri="{63B3BB69-23CF-44E3-9099-C40C66FF867C}">
                  <a14:compatExt spid="_x0000_s11266"/>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0</xdr:row>
          <xdr:rowOff>85725</xdr:rowOff>
        </xdr:from>
        <xdr:to>
          <xdr:col>4</xdr:col>
          <xdr:colOff>0</xdr:colOff>
          <xdr:row>0</xdr:row>
          <xdr:rowOff>238125</xdr:rowOff>
        </xdr:to>
        <xdr:sp macro="" textlink="">
          <xdr:nvSpPr>
            <xdr:cNvPr id="12289" name="Button 1" hidden="1">
              <a:extLst>
                <a:ext uri="{63B3BB69-23CF-44E3-9099-C40C66FF867C}">
                  <a14:compatExt spid="_x0000_s12289"/>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12290" name="Button 2" hidden="1">
              <a:extLst>
                <a:ext uri="{63B3BB69-23CF-44E3-9099-C40C66FF867C}">
                  <a14:compatExt spid="_x0000_s12290"/>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0</xdr:row>
          <xdr:rowOff>85725</xdr:rowOff>
        </xdr:from>
        <xdr:to>
          <xdr:col>4</xdr:col>
          <xdr:colOff>0</xdr:colOff>
          <xdr:row>0</xdr:row>
          <xdr:rowOff>238125</xdr:rowOff>
        </xdr:to>
        <xdr:sp macro="" textlink="">
          <xdr:nvSpPr>
            <xdr:cNvPr id="13313" name="Button 1" hidden="1">
              <a:extLst>
                <a:ext uri="{63B3BB69-23CF-44E3-9099-C40C66FF867C}">
                  <a14:compatExt spid="_x0000_s13313"/>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13314" name="Button 2" hidden="1">
              <a:extLst>
                <a:ext uri="{63B3BB69-23CF-44E3-9099-C40C66FF867C}">
                  <a14:compatExt spid="_x0000_s13314"/>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0</xdr:row>
          <xdr:rowOff>85725</xdr:rowOff>
        </xdr:from>
        <xdr:to>
          <xdr:col>4</xdr:col>
          <xdr:colOff>0</xdr:colOff>
          <xdr:row>0</xdr:row>
          <xdr:rowOff>238125</xdr:rowOff>
        </xdr:to>
        <xdr:sp macro="" textlink="">
          <xdr:nvSpPr>
            <xdr:cNvPr id="14337" name="Button 1" hidden="1">
              <a:extLst>
                <a:ext uri="{63B3BB69-23CF-44E3-9099-C40C66FF867C}">
                  <a14:compatExt spid="_x0000_s14337"/>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14338" name="Button 2" hidden="1">
              <a:extLst>
                <a:ext uri="{63B3BB69-23CF-44E3-9099-C40C66FF867C}">
                  <a14:compatExt spid="_x0000_s14338"/>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0</xdr:row>
          <xdr:rowOff>85725</xdr:rowOff>
        </xdr:from>
        <xdr:to>
          <xdr:col>4</xdr:col>
          <xdr:colOff>0</xdr:colOff>
          <xdr:row>0</xdr:row>
          <xdr:rowOff>238125</xdr:rowOff>
        </xdr:to>
        <xdr:sp macro="" textlink="">
          <xdr:nvSpPr>
            <xdr:cNvPr id="15361" name="Button 1" hidden="1">
              <a:extLst>
                <a:ext uri="{63B3BB69-23CF-44E3-9099-C40C66FF867C}">
                  <a14:compatExt spid="_x0000_s15361"/>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15362" name="Button 2" hidden="1">
              <a:extLst>
                <a:ext uri="{63B3BB69-23CF-44E3-9099-C40C66FF867C}">
                  <a14:compatExt spid="_x0000_s15362"/>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0</xdr:row>
          <xdr:rowOff>85725</xdr:rowOff>
        </xdr:from>
        <xdr:to>
          <xdr:col>4</xdr:col>
          <xdr:colOff>0</xdr:colOff>
          <xdr:row>0</xdr:row>
          <xdr:rowOff>238125</xdr:rowOff>
        </xdr:to>
        <xdr:sp macro="" textlink="">
          <xdr:nvSpPr>
            <xdr:cNvPr id="2049" name="Button 1" hidden="1">
              <a:extLst>
                <a:ext uri="{63B3BB69-23CF-44E3-9099-C40C66FF867C}">
                  <a14:compatExt spid="_x0000_s2049"/>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2050" name="Button 2" hidden="1">
              <a:extLst>
                <a:ext uri="{63B3BB69-23CF-44E3-9099-C40C66FF867C}">
                  <a14:compatExt spid="_x0000_s2050"/>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0</xdr:row>
          <xdr:rowOff>85725</xdr:rowOff>
        </xdr:from>
        <xdr:to>
          <xdr:col>4</xdr:col>
          <xdr:colOff>0</xdr:colOff>
          <xdr:row>0</xdr:row>
          <xdr:rowOff>238125</xdr:rowOff>
        </xdr:to>
        <xdr:sp macro="" textlink="">
          <xdr:nvSpPr>
            <xdr:cNvPr id="3073" name="Button 1" hidden="1">
              <a:extLst>
                <a:ext uri="{63B3BB69-23CF-44E3-9099-C40C66FF867C}">
                  <a14:compatExt spid="_x0000_s3073"/>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3074" name="Button 2" hidden="1">
              <a:extLst>
                <a:ext uri="{63B3BB69-23CF-44E3-9099-C40C66FF867C}">
                  <a14:compatExt spid="_x0000_s3074"/>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0</xdr:row>
          <xdr:rowOff>85725</xdr:rowOff>
        </xdr:from>
        <xdr:to>
          <xdr:col>4</xdr:col>
          <xdr:colOff>0</xdr:colOff>
          <xdr:row>0</xdr:row>
          <xdr:rowOff>238125</xdr:rowOff>
        </xdr:to>
        <xdr:sp macro="" textlink="">
          <xdr:nvSpPr>
            <xdr:cNvPr id="4097" name="Button 1" hidden="1">
              <a:extLst>
                <a:ext uri="{63B3BB69-23CF-44E3-9099-C40C66FF867C}">
                  <a14:compatExt spid="_x0000_s4097"/>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4098" name="Button 2" hidden="1">
              <a:extLst>
                <a:ext uri="{63B3BB69-23CF-44E3-9099-C40C66FF867C}">
                  <a14:compatExt spid="_x0000_s4098"/>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0</xdr:row>
          <xdr:rowOff>85725</xdr:rowOff>
        </xdr:from>
        <xdr:to>
          <xdr:col>4</xdr:col>
          <xdr:colOff>0</xdr:colOff>
          <xdr:row>0</xdr:row>
          <xdr:rowOff>238125</xdr:rowOff>
        </xdr:to>
        <xdr:sp macro="" textlink="">
          <xdr:nvSpPr>
            <xdr:cNvPr id="5121" name="Button 1" hidden="1">
              <a:extLst>
                <a:ext uri="{63B3BB69-23CF-44E3-9099-C40C66FF867C}">
                  <a14:compatExt spid="_x0000_s5121"/>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5122" name="Button 2" hidden="1">
              <a:extLst>
                <a:ext uri="{63B3BB69-23CF-44E3-9099-C40C66FF867C}">
                  <a14:compatExt spid="_x0000_s5122"/>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0</xdr:row>
          <xdr:rowOff>85725</xdr:rowOff>
        </xdr:from>
        <xdr:to>
          <xdr:col>4</xdr:col>
          <xdr:colOff>0</xdr:colOff>
          <xdr:row>0</xdr:row>
          <xdr:rowOff>238125</xdr:rowOff>
        </xdr:to>
        <xdr:sp macro="" textlink="">
          <xdr:nvSpPr>
            <xdr:cNvPr id="6145" name="Button 1" hidden="1">
              <a:extLst>
                <a:ext uri="{63B3BB69-23CF-44E3-9099-C40C66FF867C}">
                  <a14:compatExt spid="_x0000_s614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6146" name="Button 2" hidden="1">
              <a:extLst>
                <a:ext uri="{63B3BB69-23CF-44E3-9099-C40C66FF867C}">
                  <a14:compatExt spid="_x0000_s6146"/>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0</xdr:row>
          <xdr:rowOff>85725</xdr:rowOff>
        </xdr:from>
        <xdr:to>
          <xdr:col>4</xdr:col>
          <xdr:colOff>0</xdr:colOff>
          <xdr:row>0</xdr:row>
          <xdr:rowOff>238125</xdr:rowOff>
        </xdr:to>
        <xdr:sp macro="" textlink="">
          <xdr:nvSpPr>
            <xdr:cNvPr id="7169" name="Button 1" hidden="1">
              <a:extLst>
                <a:ext uri="{63B3BB69-23CF-44E3-9099-C40C66FF867C}">
                  <a14:compatExt spid="_x0000_s7169"/>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7170" name="Button 2" hidden="1">
              <a:extLst>
                <a:ext uri="{63B3BB69-23CF-44E3-9099-C40C66FF867C}">
                  <a14:compatExt spid="_x0000_s7170"/>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0</xdr:row>
          <xdr:rowOff>85725</xdr:rowOff>
        </xdr:from>
        <xdr:to>
          <xdr:col>4</xdr:col>
          <xdr:colOff>0</xdr:colOff>
          <xdr:row>0</xdr:row>
          <xdr:rowOff>238125</xdr:rowOff>
        </xdr:to>
        <xdr:sp macro="" textlink="">
          <xdr:nvSpPr>
            <xdr:cNvPr id="8193" name="Button 1" hidden="1">
              <a:extLst>
                <a:ext uri="{63B3BB69-23CF-44E3-9099-C40C66FF867C}">
                  <a14:compatExt spid="_x0000_s8193"/>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8194" name="Button 2" hidden="1">
              <a:extLst>
                <a:ext uri="{63B3BB69-23CF-44E3-9099-C40C66FF867C}">
                  <a14:compatExt spid="_x0000_s8194"/>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0</xdr:row>
          <xdr:rowOff>85725</xdr:rowOff>
        </xdr:from>
        <xdr:to>
          <xdr:col>4</xdr:col>
          <xdr:colOff>0</xdr:colOff>
          <xdr:row>0</xdr:row>
          <xdr:rowOff>238125</xdr:rowOff>
        </xdr:to>
        <xdr:sp macro="" textlink="">
          <xdr:nvSpPr>
            <xdr:cNvPr id="9217" name="Button 1" hidden="1">
              <a:extLst>
                <a:ext uri="{63B3BB69-23CF-44E3-9099-C40C66FF867C}">
                  <a14:compatExt spid="_x0000_s9217"/>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9218" name="Button 2" hidden="1">
              <a:extLst>
                <a:ext uri="{63B3BB69-23CF-44E3-9099-C40C66FF867C}">
                  <a14:compatExt spid="_x0000_s9218"/>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EDEL.PRICE.NCZ.WARM/2024/&#1088;&#1072;&#1089;&#1095;&#1077;&#1090;&#1099;/&#1057;&#1091;&#1079;&#1091;&#1085;&#1089;&#1082;&#1080;&#1081;/&#1064;&#1072;&#1073;&#1083;&#1086;&#1085;%20&#1062;&#1040;&#1050;_&#1091;&#1075;&#1086;&#1083;&#1100;_&#1062;&#1055;%20(&#1073;&#1077;&#1079;%20&#1053;&#1044;&#1057;)_2&#1087;&#1075;2024&#1075;_&#1084;&#1077;&#1085;&#1077;&#1077;%2050%20&#1090;&#1099;&#1089;%20&#1088;.&#1087;.%20&#1057;&#1091;&#1079;&#1091;&#1085;.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1057;&#1091;&#1079;&#1091;&#1085;&#1089;&#1082;&#1080;&#1081;%20&#1042;&#1077;&#1088;&#1093;-&#1057;&#1091;&#1079;&#1091;&#1085;&#1089;&#1082;&#1080;&#1081;.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REDEL.PRICE.NCZ.WARM/2024/&#1088;&#1072;&#1089;&#1095;&#1077;&#1090;&#1099;/&#1057;&#1091;&#1079;&#1091;&#1085;&#1089;&#1082;&#1080;&#1081;/&#1064;&#1072;&#1073;&#1083;&#1086;&#1085;%20&#1062;&#1040;&#1050;_&#1091;&#1075;&#1086;&#1083;&#1100;_&#1062;&#1055;%20(&#1073;&#1077;&#1079;%20&#1053;&#1044;&#1057;)_2&#1087;&#1075;2024&#1075;_&#1084;&#1077;&#1085;&#1077;&#1077;%2050%20&#1090;&#1099;&#1089;%20&#1047;&#1072;&#1082;&#1086;&#1074;&#1088;&#1103;&#1078;&#1077;&#1085;&#1089;&#1082;&#1080;&#1081;.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1057;&#1091;&#1079;&#1091;&#1085;&#1089;&#1082;&#1080;&#1081;%20&#1047;&#1072;&#1082;&#1086;&#1074;&#1088;&#1103;&#1078;&#1077;&#1085;&#1089;&#1082;&#1080;&#1081;.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PREDEL.PRICE.NCZ.WARM/2024/&#1088;&#1072;&#1089;&#1095;&#1077;&#1090;&#1099;/&#1057;&#1091;&#1079;&#1091;&#1085;&#1089;&#1082;&#1080;&#1081;/&#1064;&#1072;&#1073;&#1083;&#1086;&#1085;%20&#1062;&#1040;&#1050;_&#1091;&#1075;&#1086;&#1083;&#1100;_&#1062;&#1055;%20(&#1073;&#1077;&#1079;%20&#1053;&#1044;&#1057;)_2&#1087;&#1075;2024&#1075;_&#1084;&#1077;&#1085;&#1077;&#1077;%2050%20&#1090;&#1099;&#1089;%20&#1050;&#1072;&#1088;&#1075;&#1072;&#1087;&#1086;&#1083;&#1086;&#1074;&#1089;&#1082;&#1080;&#1081;.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1057;&#1091;&#1079;&#1091;&#1085;&#1089;&#1082;&#1080;&#1081;%20&#1050;&#1072;&#1088;&#1075;&#1072;&#1087;&#1086;&#1083;&#1086;&#1074;&#1089;&#1082;&#1080;&#1081;.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PREDEL.PRICE.NCZ.WARM/2024/&#1088;&#1072;&#1089;&#1095;&#1077;&#1090;&#1099;/&#1057;&#1091;&#1079;&#1091;&#1085;&#1089;&#1082;&#1080;&#1081;/&#1064;&#1072;&#1073;&#1083;&#1086;&#1085;%20&#1062;&#1040;&#1050;_&#1091;&#1075;&#1086;&#1083;&#1100;_&#1062;&#1055;%20(&#1073;&#1077;&#1079;%20&#1053;&#1044;&#1057;)_2&#1087;&#1075;2024&#1075;_&#1084;&#1077;&#1085;&#1077;&#1077;%2050%20&#1090;&#1099;&#1089;%20&#1050;&#1083;&#1102;&#1095;&#1080;&#1082;&#1086;&#1074;&#1089;&#1082;&#1080;&#1081;.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1057;&#1091;&#1079;&#1091;&#1085;&#1089;&#1082;&#1080;&#1081;%20&#1050;&#1083;&#1102;&#1095;&#1080;&#1082;&#1086;&#1074;&#1089;&#1082;&#1080;&#1081;.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PREDEL.PRICE.NCZ.WARM/2024/&#1088;&#1072;&#1089;&#1095;&#1077;&#1090;&#1099;/&#1057;&#1091;&#1079;&#1091;&#1085;&#1089;&#1082;&#1080;&#1081;/&#1064;&#1072;&#1073;&#1083;&#1086;&#1085;%20&#1062;&#1040;&#1050;_&#1091;&#1075;&#1086;&#1083;&#1100;_&#1062;&#1055;%20(&#1073;&#1077;&#1079;%20&#1053;&#1044;&#1057;)_2&#1087;&#1075;2024&#1075;_&#1084;&#1077;&#1085;&#1077;&#1077;%2050%20&#1090;&#1099;&#1089;%20&#1052;&#1072;&#1102;&#1088;&#1086;&#1074;&#1089;&#1082;&#1080;&#1081;.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1057;&#1091;&#1079;&#1091;&#1085;&#1089;&#1082;&#1080;&#1081;%20&#1052;&#1072;&#1081;&#1102;&#1088;&#1086;&#1074;&#1089;&#1082;&#1080;&#1081;.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PREDEL.PRICE.NCZ.WARM/2024/&#1088;&#1072;&#1089;&#1095;&#1077;&#1090;&#1099;/&#1057;&#1091;&#1079;&#1091;&#1085;&#1089;&#1082;&#1080;&#1081;/&#1064;&#1072;&#1073;&#1083;&#1086;&#1085;%20&#1062;&#1040;&#1050;_&#1091;&#1075;&#1086;&#1083;&#1100;_&#1062;&#1055;%20(&#1073;&#1077;&#1079;%20&#1053;&#1044;&#1057;)_2&#1087;&#1075;2024&#1075;_&#1084;&#1077;&#1085;&#1077;&#1077;%2050%20&#1090;&#1099;&#1089;%20&#1052;&#1072;&#1083;&#1099;&#1096;&#1077;&#1074;&#1089;&#1082;&#1080;&#108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88;&#1087;%20&#1057;&#1091;&#1079;&#1091;&#1085;.xlsm"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1057;&#1091;&#1079;&#1091;&#1085;&#1089;&#1082;&#1080;&#1081;%20&#1052;&#1072;&#1083;&#1099;&#1096;&#1077;&#1074;&#1089;&#1082;&#1080;&#1081;.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PREDEL.PRICE.NCZ.WARM/2024/&#1088;&#1072;&#1089;&#1095;&#1077;&#1090;&#1099;/&#1057;&#1091;&#1079;&#1091;&#1085;&#1089;&#1082;&#1080;&#1081;/&#1064;&#1072;&#1073;&#1083;&#1086;&#1085;%20&#1062;&#1040;&#1050;_&#1091;&#1075;&#1086;&#1083;&#1100;_&#1062;&#1055;%20(&#1073;&#1077;&#1079;%20&#1053;&#1044;&#1057;)_2&#1087;&#1075;2024&#1075;_&#1084;&#1077;&#1085;&#1077;&#1077;%2050%20&#1090;&#1099;&#1089;%20&#1052;&#1077;&#1088;&#1077;&#1090;&#1077;&#1094;&#1082;&#1080;&#1081;.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1057;&#1091;&#1079;&#1091;&#1085;&#1089;&#1082;&#1080;&#1081;%20&#1052;&#1077;&#1088;&#1077;&#1090;&#1077;&#1094;&#1082;&#1080;&#1081;.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PREDEL.PRICE.NCZ.WARM/2024/&#1088;&#1072;&#1089;&#1095;&#1077;&#1090;&#1099;/&#1057;&#1091;&#1079;&#1091;&#1085;&#1089;&#1082;&#1080;&#1081;/&#1064;&#1072;&#1073;&#1083;&#1086;&#1085;%20&#1062;&#1040;&#1050;_&#1091;&#1075;&#1086;&#1083;&#1100;_&#1062;&#1055;%20(&#1073;&#1077;&#1079;%20&#1053;&#1044;&#1057;)_2&#1087;&#1075;2024&#1075;_&#1084;&#1077;&#1085;&#1077;&#1077;%2050%20&#1090;&#1099;&#1089;%20&#1052;&#1099;&#1096;&#1083;&#1072;&#1085;&#1089;&#1082;&#1080;&#1081;.xlsm"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1057;&#1091;&#1079;&#1091;&#1085;&#1089;&#1082;&#1080;&#1081;%20&#1052;&#1099;&#1096;&#1083;&#1072;&#1085;&#1089;&#1082;&#1080;&#1081;.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PREDEL.PRICE.NCZ.WARM/2024/&#1088;&#1072;&#1089;&#1095;&#1077;&#1090;&#1099;/&#1057;&#1091;&#1079;&#1091;&#1085;&#1089;&#1082;&#1080;&#1081;/&#1064;&#1072;&#1073;&#1083;&#1086;&#1085;%20&#1062;&#1040;&#1050;_&#1091;&#1075;&#1086;&#1083;&#1100;_&#1062;&#1055;%20(&#1073;&#1077;&#1079;%20&#1053;&#1044;&#1057;)_2&#1087;&#1075;2024&#1075;_&#1084;&#1077;&#1085;&#1077;&#1077;%2050%20&#1090;&#1099;&#1089;%20&#1064;&#1072;&#1081;&#1076;&#1091;&#1088;&#1086;&#1074;&#1089;&#1082;&#1080;&#1081;.xlsm"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1057;&#1091;&#1079;&#1091;&#1085;&#1089;&#1082;&#1080;&#1081;%20&#1064;&#1072;&#1081;&#1076;&#1091;&#1088;&#1086;&#1074;&#1089;&#1082;&#1080;&#1081;.xlsm"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PREDEL.PRICE.NCZ.WARM/2024/&#1088;&#1072;&#1089;&#1095;&#1077;&#1090;&#1099;/&#1057;&#1091;&#1079;&#1091;&#1085;&#1089;&#1082;&#1080;&#1081;/&#1064;&#1072;&#1073;&#1083;&#1086;&#1085;%20&#1062;&#1040;&#1050;_&#1091;&#1075;&#1086;&#1083;&#1100;_&#1062;&#1055;%20(&#1073;&#1077;&#1079;%20&#1053;&#1044;&#1057;)_2&#1087;&#1075;2024&#1075;_&#1084;&#1077;&#1085;&#1077;&#1077;%2050%20&#1090;&#1099;&#1089;%20&#1064;&#1072;&#1088;&#1095;&#1080;&#1085;&#1089;&#1082;&#1080;&#1081;.xlsm"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1057;&#1091;&#1079;&#1091;&#1085;&#1089;&#1082;&#1080;&#1081;%20&#1064;&#1072;&#1088;&#1095;&#1080;&#1085;&#1089;&#1082;&#1080;&#1081;.xlsm"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PREDEL.PRICE.NCZ.WARM/2024/&#1088;&#1072;&#1089;&#1095;&#1077;&#1090;&#1099;/&#1057;&#1091;&#1079;&#1091;&#1085;&#1089;&#1082;&#1080;&#1081;/&#1064;&#1072;&#1073;&#1083;&#1086;&#1085;%20&#1062;&#1040;&#1050;_&#1091;&#1075;&#1086;&#1083;&#1100;_&#1062;&#1055;%20(&#1073;&#1077;&#1079;%20&#1053;&#1044;&#1057;)_2&#1087;&#1075;2024&#1075;_&#1084;&#1077;&#1085;&#1077;&#1077;%2050%20&#1090;&#1099;&#1089;%20&#1064;&#1080;&#1087;&#1091;&#1085;&#1086;&#1074;&#1089;&#1082;&#1080;&#108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EDEL.PRICE.NCZ.WARM/2024/&#1088;&#1072;&#1089;&#1095;&#1077;&#1090;&#1099;/&#1057;&#1091;&#1079;&#1091;&#1085;&#1089;&#1082;&#1080;&#1081;/&#1064;&#1072;&#1073;&#1083;&#1086;&#1085;%20&#1062;&#1040;&#1050;_&#1091;&#1075;&#1086;&#1083;&#1100;_&#1062;&#1055;%20(&#1073;&#1077;&#1079;%20&#1053;&#1044;&#1057;)_2&#1087;&#1075;2024&#1075;_&#1084;&#1077;&#1085;&#1077;&#1077;%2050%20&#1090;&#1099;&#1089;%20&#1041;&#1080;&#1090;&#1082;&#1086;&#1074;&#1089;&#1082;&#1080;&#1081;.xlsm"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1057;&#1091;&#1079;&#1091;&#1085;&#1089;&#1082;&#1080;&#1081;%20&#1064;&#1080;&#1087;&#1091;&#1085;&#1086;&#1074;&#1089;&#1082;&#1080;&#108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57;&#1091;&#1079;&#1091;&#1085;&#1089;&#1082;&#1080;&#1081;%20&#1041;&#1080;&#1090;&#1082;&#1086;&#1074;&#1089;&#1082;&#1080;&#108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REDEL.PRICE.NCZ.WARM/2024/&#1088;&#1072;&#1089;&#1095;&#1077;&#1090;&#1099;/&#1057;&#1091;&#1079;&#1091;&#1085;&#1089;&#1082;&#1080;&#1081;/&#1064;&#1072;&#1073;&#1083;&#1086;&#1085;%20&#1062;&#1040;&#1050;_&#1091;&#1075;&#1086;&#1083;&#1100;_&#1062;&#1055;%20(&#1073;&#1077;&#1079;%20&#1053;&#1044;&#1057;)_2&#1087;&#1075;2024&#1075;_&#1084;&#1077;&#1085;&#1077;&#1077;%2050%20&#1090;&#1099;&#1089;%20&#1041;&#1086;&#1073;&#1088;&#1086;&#1074;&#1089;&#1082;&#1080;&#108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057;&#1091;&#1079;&#1091;&#1085;&#1089;&#1082;&#1080;&#1081;%20&#1041;&#1086;&#1073;&#1088;&#1086;&#1074;&#1089;&#1082;&#1080;&#1081;.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REDEL.PRICE.NCZ.WARM/2024/&#1088;&#1072;&#1089;&#1095;&#1077;&#1090;&#1099;/&#1057;&#1091;&#1079;&#1091;&#1085;&#1089;&#1082;&#1080;&#1081;/&#1064;&#1072;&#1073;&#1083;&#1086;&#1085;%20&#1062;&#1040;&#1050;_&#1091;&#1075;&#1086;&#1083;&#1100;_&#1062;&#1055;%20(&#1073;&#1077;&#1079;%20&#1053;&#1044;&#1057;)_2&#1087;&#1075;2024&#1075;_&#1084;&#1077;&#1085;&#1077;&#1077;%2050%20&#1090;&#1099;&#1089;%20&#1041;&#1086;&#1083;&#1090;&#1086;&#1074;&#1089;&#1082;&#1080;&#1081;.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057;&#1091;&#1079;&#1091;&#1085;&#1089;&#1082;&#1080;&#1081;%20&#1041;&#1086;&#1083;&#1090;&#1086;&#1074;&#1089;&#1082;&#1080;&#1081;.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REDEL.PRICE.NCZ.WARM/2024/&#1088;&#1072;&#1089;&#1095;&#1077;&#1090;&#1099;/&#1057;&#1091;&#1079;&#1091;&#1085;&#1089;&#1082;&#1080;&#1081;/&#1064;&#1072;&#1073;&#1083;&#1086;&#1085;%20&#1062;&#1040;&#1050;_&#1091;&#1075;&#1086;&#1083;&#1100;_&#1062;&#1055;%20(&#1073;&#1077;&#1079;%20&#1053;&#1044;&#1057;)_2&#1087;&#1075;2024&#1075;_&#1084;&#1077;&#1085;&#1077;&#1077;%2050%20&#1090;&#1099;&#1089;%20&#1042;&#1077;&#1088;&#1093;-&#1057;&#1091;&#1079;&#1091;&#1085;&#1089;&#1082;&#1080;&#108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Шаблон ЦАК_уголь_ЦП (без НДС)_2"/>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рабочий поселок Сузун, Сузунский муниципальный район</v>
          </cell>
        </row>
        <row r="15">
          <cell r="D15" t="str">
            <v/>
          </cell>
        </row>
        <row r="16">
          <cell r="D16" t="str">
            <v>Код ОКТМО</v>
          </cell>
          <cell r="E16" t="str">
            <v>(50648151051)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634.60103650030874</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-0.19900000000000001</v>
          </cell>
        </row>
        <row r="20">
          <cell r="E20">
            <v>5.7000000000000002E-2</v>
          </cell>
        </row>
        <row r="27">
          <cell r="E27">
            <v>2851.29</v>
          </cell>
        </row>
      </sheetData>
      <sheetData sheetId="9" refreshError="1"/>
      <sheetData sheetId="10" refreshError="1"/>
      <sheetData sheetId="11"/>
      <sheetData sheetId="12" refreshError="1"/>
      <sheetData sheetId="13">
        <row r="12">
          <cell r="F12">
            <v>1990.8616285605142</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1543.3634896839897</v>
          </cell>
        </row>
        <row r="27">
          <cell r="F27">
            <v>0.24536656199999998</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sheetData sheetId="22" refreshError="1"/>
      <sheetData sheetId="23">
        <row r="12">
          <cell r="F12">
            <v>473.18998182045129</v>
          </cell>
        </row>
        <row r="14">
          <cell r="F14">
            <v>6068.1437898865324</v>
          </cell>
        </row>
        <row r="15">
          <cell r="F15">
            <v>0.2</v>
          </cell>
        </row>
        <row r="18">
          <cell r="F18">
            <v>15</v>
          </cell>
        </row>
        <row r="19">
          <cell r="F19">
            <v>3778.1614077800232</v>
          </cell>
        </row>
        <row r="20">
          <cell r="F20">
            <v>2.1999999999999999E-2</v>
          </cell>
        </row>
        <row r="21">
          <cell r="F21">
            <v>10</v>
          </cell>
        </row>
        <row r="22">
          <cell r="F22">
            <v>4.6300904690519689</v>
          </cell>
        </row>
        <row r="23">
          <cell r="F23">
            <v>3.0000000000000001E-3</v>
          </cell>
        </row>
        <row r="24">
          <cell r="F24">
            <v>1543.3634896839897</v>
          </cell>
        </row>
      </sheetData>
      <sheetData sheetId="24"/>
      <sheetData sheetId="25">
        <row r="12">
          <cell r="F12">
            <v>436.82678463956296</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85.988129999999998</v>
          </cell>
        </row>
        <row r="27">
          <cell r="F27">
            <v>1291.2863994686898</v>
          </cell>
        </row>
        <row r="28">
          <cell r="F28">
            <v>991.77142816335618</v>
          </cell>
        </row>
        <row r="29">
          <cell r="F29">
            <v>299.51497130533357</v>
          </cell>
        </row>
        <row r="30">
          <cell r="F30">
            <v>1661.2459219705661</v>
          </cell>
        </row>
        <row r="33">
          <cell r="F33">
            <v>941.82560654059751</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20.350000000000001</v>
          </cell>
        </row>
        <row r="19">
          <cell r="E19">
            <v>71.67</v>
          </cell>
        </row>
      </sheetData>
      <sheetData sheetId="29" refreshError="1"/>
      <sheetData sheetId="30">
        <row r="12">
          <cell r="F12">
            <v>70.709588630416746</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Сузунский Верх-Сузунски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row>
      </sheetData>
      <sheetData sheetId="4" refreshError="1"/>
      <sheetData sheetId="5" refreshError="1"/>
      <sheetData sheetId="6" refreshError="1"/>
      <sheetData sheetId="7">
        <row r="12">
          <cell r="F12">
            <v>856.84388130877142</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sheetData>
      <sheetData sheetId="9" refreshError="1"/>
      <sheetData sheetId="10" refreshError="1"/>
      <sheetData sheetId="11"/>
      <sheetData sheetId="12" refreshError="1"/>
      <sheetData sheetId="13">
        <row r="12">
          <cell r="F12">
            <v>2108.7102251987935</v>
          </cell>
        </row>
      </sheetData>
      <sheetData sheetId="14">
        <row r="12">
          <cell r="E12" t="str">
            <v>V</v>
          </cell>
        </row>
      </sheetData>
      <sheetData sheetId="15" refreshError="1"/>
      <sheetData sheetId="16">
        <row r="10">
          <cell r="E10">
            <v>1287</v>
          </cell>
        </row>
      </sheetData>
      <sheetData sheetId="17">
        <row r="11">
          <cell r="E11">
            <v>9.89</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row>
      </sheetData>
      <sheetData sheetId="21">
        <row r="11">
          <cell r="G11" t="str">
            <v>Информация с официального сайта Банка России</v>
          </cell>
        </row>
      </sheetData>
      <sheetData sheetId="22" refreshError="1"/>
      <sheetData sheetId="23">
        <row r="12">
          <cell r="F12">
            <v>504.54115631660852</v>
          </cell>
        </row>
      </sheetData>
      <sheetData sheetId="24"/>
      <sheetData sheetId="25">
        <row r="12">
          <cell r="F12">
            <v>408.78616497582124</v>
          </cell>
        </row>
      </sheetData>
      <sheetData sheetId="26">
        <row r="12">
          <cell r="F12" t="str">
            <v>пп № 274 от 01.03.2022</v>
          </cell>
        </row>
      </sheetData>
      <sheetData sheetId="27">
        <row r="8">
          <cell r="F8" t="str">
            <v>нет</v>
          </cell>
        </row>
      </sheetData>
      <sheetData sheetId="28">
        <row r="11">
          <cell r="E11">
            <v>1871</v>
          </cell>
        </row>
      </sheetData>
      <sheetData sheetId="29" refreshError="1"/>
      <sheetData sheetId="30">
        <row r="12">
          <cell r="F12">
            <v>77.577628555999894</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Шаблон ЦАК_уголь_ЦП (без НДС)_2"/>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 xml:space="preserve">село Заковряжино, Сузунский муниципальный район </v>
          </cell>
        </row>
        <row r="15">
          <cell r="D15" t="str">
            <v/>
          </cell>
        </row>
        <row r="16">
          <cell r="D16" t="str">
            <v>Код ОКТМО</v>
          </cell>
          <cell r="E16" t="str">
            <v>(50648416101)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588.54687792316247</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-0.19900000000000001</v>
          </cell>
        </row>
        <row r="20">
          <cell r="E20">
            <v>5.7000000000000002E-2</v>
          </cell>
        </row>
        <row r="27">
          <cell r="E27">
            <v>2644.3666666666668</v>
          </cell>
        </row>
      </sheetData>
      <sheetData sheetId="9" refreshError="1"/>
      <sheetData sheetId="10" refreshError="1"/>
      <sheetData sheetId="11"/>
      <sheetData sheetId="12" refreshError="1"/>
      <sheetData sheetId="13">
        <row r="12">
          <cell r="F12">
            <v>1990.8616285605142</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1543.3634896839897</v>
          </cell>
        </row>
        <row r="27">
          <cell r="F27">
            <v>0.24536656199999998</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row r="11">
          <cell r="G11" t="str">
            <v>Информация с официального сайта Банка России</v>
          </cell>
        </row>
      </sheetData>
      <sheetData sheetId="22" refreshError="1"/>
      <sheetData sheetId="23">
        <row r="12">
          <cell r="F12">
            <v>473.18998182045129</v>
          </cell>
        </row>
        <row r="14">
          <cell r="F14">
            <v>6068.1437898865324</v>
          </cell>
        </row>
        <row r="15">
          <cell r="F15">
            <v>0.2</v>
          </cell>
        </row>
        <row r="18">
          <cell r="F18">
            <v>15</v>
          </cell>
        </row>
        <row r="19">
          <cell r="F19">
            <v>3778.1614077800232</v>
          </cell>
        </row>
        <row r="20">
          <cell r="F20">
            <v>2.1999999999999999E-2</v>
          </cell>
        </row>
        <row r="21">
          <cell r="F21">
            <v>10</v>
          </cell>
        </row>
        <row r="22">
          <cell r="F22">
            <v>4.6300904690519689</v>
          </cell>
        </row>
        <row r="23">
          <cell r="F23">
            <v>3.0000000000000001E-3</v>
          </cell>
        </row>
        <row r="24">
          <cell r="F24">
            <v>1543.3634896839897</v>
          </cell>
        </row>
      </sheetData>
      <sheetData sheetId="24"/>
      <sheetData sheetId="25">
        <row r="12">
          <cell r="F12">
            <v>433.6029935391627</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85.988129999999998</v>
          </cell>
        </row>
        <row r="27">
          <cell r="F27">
            <v>1291.2863994686898</v>
          </cell>
        </row>
        <row r="28">
          <cell r="F28">
            <v>991.77142816335618</v>
          </cell>
        </row>
        <row r="29">
          <cell r="F29">
            <v>299.51497130533357</v>
          </cell>
        </row>
        <row r="30">
          <cell r="F30">
            <v>1594.13258751168</v>
          </cell>
        </row>
        <row r="33">
          <cell r="F33">
            <v>874.71227208171138</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sheetData>
      <sheetData sheetId="28">
        <row r="11">
          <cell r="E11">
            <v>1871</v>
          </cell>
        </row>
        <row r="12">
          <cell r="E12">
            <v>1636</v>
          </cell>
        </row>
        <row r="13">
          <cell r="E13">
            <v>204</v>
          </cell>
        </row>
        <row r="17">
          <cell r="E17">
            <v>20.350000000000001</v>
          </cell>
        </row>
        <row r="19">
          <cell r="E19">
            <v>71.67</v>
          </cell>
        </row>
      </sheetData>
      <sheetData sheetId="29" refreshError="1"/>
      <sheetData sheetId="30">
        <row r="12">
          <cell r="F12">
            <v>69.724029636865822</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Сузунский Заковряженски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row>
      </sheetData>
      <sheetData sheetId="4" refreshError="1"/>
      <sheetData sheetId="5" refreshError="1"/>
      <sheetData sheetId="6" refreshError="1"/>
      <sheetData sheetId="7">
        <row r="12">
          <cell r="F12">
            <v>853.50414231976902</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sheetData>
      <sheetData sheetId="9" refreshError="1"/>
      <sheetData sheetId="10" refreshError="1"/>
      <sheetData sheetId="11"/>
      <sheetData sheetId="12" refreshError="1"/>
      <sheetData sheetId="13">
        <row r="12">
          <cell r="F12">
            <v>2108.7102251987935</v>
          </cell>
        </row>
      </sheetData>
      <sheetData sheetId="14">
        <row r="12">
          <cell r="E12" t="str">
            <v>V</v>
          </cell>
        </row>
      </sheetData>
      <sheetData sheetId="15" refreshError="1"/>
      <sheetData sheetId="16">
        <row r="10">
          <cell r="E10">
            <v>1287</v>
          </cell>
        </row>
      </sheetData>
      <sheetData sheetId="17">
        <row r="11">
          <cell r="E11">
            <v>9.89</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row>
      </sheetData>
      <sheetData sheetId="21">
        <row r="11">
          <cell r="G11" t="str">
            <v>Информация с официального сайта Банка России</v>
          </cell>
        </row>
      </sheetData>
      <sheetData sheetId="22" refreshError="1"/>
      <sheetData sheetId="23">
        <row r="12">
          <cell r="F12">
            <v>504.54115631660852</v>
          </cell>
        </row>
      </sheetData>
      <sheetData sheetId="24"/>
      <sheetData sheetId="25">
        <row r="12">
          <cell r="F12">
            <v>408.16851944655633</v>
          </cell>
        </row>
      </sheetData>
      <sheetData sheetId="26">
        <row r="12">
          <cell r="F12" t="str">
            <v>пп № 274 от 01.03.2022</v>
          </cell>
        </row>
      </sheetData>
      <sheetData sheetId="27">
        <row r="8">
          <cell r="F8" t="str">
            <v>нет</v>
          </cell>
        </row>
      </sheetData>
      <sheetData sheetId="28">
        <row r="11">
          <cell r="E11">
            <v>1871</v>
          </cell>
        </row>
      </sheetData>
      <sheetData sheetId="29" refreshError="1"/>
      <sheetData sheetId="30">
        <row r="12">
          <cell r="F12">
            <v>77.498480865634548</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Шаблон ЦАК_уголь_ЦП (без НДС)_2"/>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 xml:space="preserve">село Каргаполово, Сузунский муниципальный район </v>
          </cell>
        </row>
        <row r="15">
          <cell r="D15" t="str">
            <v/>
          </cell>
        </row>
        <row r="16">
          <cell r="D16" t="str">
            <v>Код ОКТМО</v>
          </cell>
          <cell r="E16" t="str">
            <v>(50648419101)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473.17593215690317</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-0.19900000000000001</v>
          </cell>
        </row>
        <row r="20">
          <cell r="E20">
            <v>5.7000000000000002E-2</v>
          </cell>
        </row>
        <row r="27">
          <cell r="E27">
            <v>2126</v>
          </cell>
        </row>
      </sheetData>
      <sheetData sheetId="9" refreshError="1"/>
      <sheetData sheetId="10" refreshError="1"/>
      <sheetData sheetId="11"/>
      <sheetData sheetId="12" refreshError="1"/>
      <sheetData sheetId="13">
        <row r="12">
          <cell r="F12">
            <v>1990.8616285605142</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1543.3634896839897</v>
          </cell>
        </row>
        <row r="27">
          <cell r="F27">
            <v>0.24536656199999998</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row r="11">
          <cell r="G11" t="str">
            <v>Информация с официального сайта Банка России</v>
          </cell>
        </row>
      </sheetData>
      <sheetData sheetId="22" refreshError="1"/>
      <sheetData sheetId="23">
        <row r="12">
          <cell r="F12">
            <v>473.18998182045129</v>
          </cell>
        </row>
        <row r="14">
          <cell r="F14">
            <v>6068.1437898865324</v>
          </cell>
        </row>
        <row r="15">
          <cell r="F15">
            <v>0.2</v>
          </cell>
        </row>
        <row r="18">
          <cell r="F18">
            <v>15</v>
          </cell>
        </row>
        <row r="19">
          <cell r="F19">
            <v>3778.1614077800232</v>
          </cell>
        </row>
        <row r="20">
          <cell r="F20">
            <v>2.1999999999999999E-2</v>
          </cell>
        </row>
        <row r="21">
          <cell r="F21">
            <v>10</v>
          </cell>
        </row>
        <row r="22">
          <cell r="F22">
            <v>4.6300904690519689</v>
          </cell>
        </row>
        <row r="23">
          <cell r="F23">
            <v>3.0000000000000001E-3</v>
          </cell>
        </row>
        <row r="24">
          <cell r="F24">
            <v>1543.3634896839897</v>
          </cell>
        </row>
      </sheetData>
      <sheetData sheetId="24"/>
      <sheetData sheetId="25">
        <row r="12">
          <cell r="F12">
            <v>425.52702733552456</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85.988129999999998</v>
          </cell>
        </row>
        <row r="27">
          <cell r="F27">
            <v>1291.2863994686898</v>
          </cell>
        </row>
        <row r="28">
          <cell r="F28">
            <v>991.77142816335618</v>
          </cell>
        </row>
        <row r="29">
          <cell r="F29">
            <v>299.51497130533357</v>
          </cell>
        </row>
        <row r="30">
          <cell r="F30">
            <v>1426.0059924490722</v>
          </cell>
        </row>
        <row r="33">
          <cell r="F33">
            <v>706.58567701910374</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sheetData>
      <sheetData sheetId="28">
        <row r="11">
          <cell r="E11">
            <v>1871</v>
          </cell>
        </row>
        <row r="12">
          <cell r="E12">
            <v>1636</v>
          </cell>
        </row>
        <row r="13">
          <cell r="E13">
            <v>204</v>
          </cell>
        </row>
        <row r="17">
          <cell r="E17">
            <v>20.350000000000001</v>
          </cell>
        </row>
        <row r="19">
          <cell r="E19">
            <v>71.67</v>
          </cell>
        </row>
      </sheetData>
      <sheetData sheetId="29" refreshError="1"/>
      <sheetData sheetId="30">
        <row r="12">
          <cell r="F12">
            <v>67.255091397467865</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Сузунский Каргаполовски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row>
      </sheetData>
      <sheetData sheetId="4" refreshError="1"/>
      <sheetData sheetId="5" refreshError="1"/>
      <sheetData sheetId="6" refreshError="1"/>
      <sheetData sheetId="7">
        <row r="12">
          <cell r="F12">
            <v>935.30967902419013</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sheetData>
      <sheetData sheetId="9" refreshError="1"/>
      <sheetData sheetId="10" refreshError="1"/>
      <sheetData sheetId="11"/>
      <sheetData sheetId="12" refreshError="1"/>
      <sheetData sheetId="13">
        <row r="12">
          <cell r="F12">
            <v>2108.7102251987935</v>
          </cell>
        </row>
      </sheetData>
      <sheetData sheetId="14">
        <row r="12">
          <cell r="E12" t="str">
            <v>V</v>
          </cell>
        </row>
      </sheetData>
      <sheetData sheetId="15" refreshError="1"/>
      <sheetData sheetId="16">
        <row r="10">
          <cell r="E10">
            <v>1287</v>
          </cell>
        </row>
      </sheetData>
      <sheetData sheetId="17">
        <row r="11">
          <cell r="E11">
            <v>9.89</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row>
      </sheetData>
      <sheetData sheetId="21">
        <row r="11">
          <cell r="G11" t="str">
            <v>Информация с официального сайта Банка России</v>
          </cell>
        </row>
      </sheetData>
      <sheetData sheetId="22" refreshError="1"/>
      <sheetData sheetId="23">
        <row r="12">
          <cell r="F12">
            <v>504.54115631660852</v>
          </cell>
        </row>
      </sheetData>
      <sheetData sheetId="24"/>
      <sheetData sheetId="25">
        <row r="12">
          <cell r="F12">
            <v>414.07828144263408</v>
          </cell>
        </row>
      </sheetData>
      <sheetData sheetId="26">
        <row r="12">
          <cell r="F12" t="str">
            <v>пп № 274 от 01.03.2022</v>
          </cell>
        </row>
      </sheetData>
      <sheetData sheetId="27">
        <row r="8">
          <cell r="F8" t="str">
            <v>нет</v>
          </cell>
        </row>
      </sheetData>
      <sheetData sheetId="28">
        <row r="11">
          <cell r="E11">
            <v>1871</v>
          </cell>
        </row>
      </sheetData>
      <sheetData sheetId="29" refreshError="1"/>
      <sheetData sheetId="30">
        <row r="12">
          <cell r="F12">
            <v>79.252786839644529</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Шаблон ЦАК_уголь_ЦП (без НДС)_2"/>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 xml:space="preserve">село Ключики, Сузунский муниципальный район </v>
          </cell>
        </row>
        <row r="15">
          <cell r="D15" t="str">
            <v/>
          </cell>
        </row>
        <row r="16">
          <cell r="D16" t="str">
            <v>Код ОКТМО</v>
          </cell>
          <cell r="E16" t="str">
            <v>(50648422101)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592.04858754966051</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-0.19900000000000001</v>
          </cell>
        </row>
        <row r="20">
          <cell r="E20">
            <v>5.7000000000000002E-2</v>
          </cell>
        </row>
        <row r="27">
          <cell r="E27">
            <v>2660.1</v>
          </cell>
        </row>
      </sheetData>
      <sheetData sheetId="9" refreshError="1"/>
      <sheetData sheetId="10" refreshError="1"/>
      <sheetData sheetId="11"/>
      <sheetData sheetId="12" refreshError="1"/>
      <sheetData sheetId="13">
        <row r="12">
          <cell r="F12">
            <v>1990.8616285605142</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1543.3634896839897</v>
          </cell>
        </row>
        <row r="27">
          <cell r="F27">
            <v>0.24536656199999998</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sheetData sheetId="22" refreshError="1"/>
      <sheetData sheetId="23">
        <row r="12">
          <cell r="F12">
            <v>473.18998182045129</v>
          </cell>
        </row>
        <row r="14">
          <cell r="F14">
            <v>6068.1437898865324</v>
          </cell>
        </row>
        <row r="15">
          <cell r="F15">
            <v>0.2</v>
          </cell>
        </row>
        <row r="18">
          <cell r="F18">
            <v>15</v>
          </cell>
        </row>
        <row r="19">
          <cell r="F19">
            <v>3778.1614077800232</v>
          </cell>
        </row>
        <row r="20">
          <cell r="F20">
            <v>2.1999999999999999E-2</v>
          </cell>
        </row>
        <row r="21">
          <cell r="F21">
            <v>10</v>
          </cell>
        </row>
        <row r="22">
          <cell r="F22">
            <v>4.6300904690519689</v>
          </cell>
        </row>
        <row r="23">
          <cell r="F23">
            <v>3.0000000000000001E-3</v>
          </cell>
        </row>
        <row r="24">
          <cell r="F24">
            <v>1543.3634896839897</v>
          </cell>
        </row>
      </sheetData>
      <sheetData sheetId="24"/>
      <sheetData sheetId="25">
        <row r="12">
          <cell r="F12">
            <v>433.84811321301754</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85.988129999999998</v>
          </cell>
        </row>
        <row r="27">
          <cell r="F27">
            <v>1291.2863994686898</v>
          </cell>
        </row>
        <row r="28">
          <cell r="F28">
            <v>991.77142816335618</v>
          </cell>
        </row>
        <row r="29">
          <cell r="F29">
            <v>299.51497130533357</v>
          </cell>
        </row>
        <row r="30">
          <cell r="F30">
            <v>1599.2355231987444</v>
          </cell>
        </row>
        <row r="33">
          <cell r="F33">
            <v>879.81520776877608</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20.350000000000001</v>
          </cell>
        </row>
        <row r="19">
          <cell r="E19">
            <v>71.67</v>
          </cell>
        </row>
      </sheetData>
      <sheetData sheetId="29" refreshError="1"/>
      <sheetData sheetId="30">
        <row r="12">
          <cell r="F12">
            <v>69.798966222872863</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Сузунский Ключиковски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row>
      </sheetData>
      <sheetData sheetId="4" refreshError="1"/>
      <sheetData sheetId="5" refreshError="1"/>
      <sheetData sheetId="6" refreshError="1"/>
      <sheetData sheetId="7">
        <row r="12">
          <cell r="F12">
            <v>840.12287184935565</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sheetData>
      <sheetData sheetId="9" refreshError="1"/>
      <sheetData sheetId="10" refreshError="1"/>
      <sheetData sheetId="11"/>
      <sheetData sheetId="12" refreshError="1"/>
      <sheetData sheetId="13">
        <row r="12">
          <cell r="F12">
            <v>2108.7102251987935</v>
          </cell>
        </row>
      </sheetData>
      <sheetData sheetId="14">
        <row r="12">
          <cell r="E12" t="str">
            <v>V</v>
          </cell>
        </row>
      </sheetData>
      <sheetData sheetId="15" refreshError="1"/>
      <sheetData sheetId="16">
        <row r="10">
          <cell r="E10">
            <v>1287</v>
          </cell>
        </row>
      </sheetData>
      <sheetData sheetId="17">
        <row r="11">
          <cell r="E11">
            <v>9.89</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row>
      </sheetData>
      <sheetData sheetId="21">
        <row r="11">
          <cell r="G11" t="str">
            <v>Информация с официального сайта Банка России</v>
          </cell>
        </row>
      </sheetData>
      <sheetData sheetId="22" refreshError="1"/>
      <sheetData sheetId="23">
        <row r="12">
          <cell r="F12">
            <v>504.54115631660852</v>
          </cell>
        </row>
      </sheetData>
      <sheetData sheetId="24"/>
      <sheetData sheetId="25">
        <row r="12">
          <cell r="F12">
            <v>402.42008555523057</v>
          </cell>
        </row>
      </sheetData>
      <sheetData sheetId="26">
        <row r="12">
          <cell r="F12" t="str">
            <v>пп № 274 от 01.03.2022</v>
          </cell>
        </row>
      </sheetData>
      <sheetData sheetId="27">
        <row r="8">
          <cell r="F8" t="str">
            <v>нет</v>
          </cell>
        </row>
      </sheetData>
      <sheetData sheetId="28">
        <row r="11">
          <cell r="E11">
            <v>1871</v>
          </cell>
        </row>
      </sheetData>
      <sheetData sheetId="29" refreshError="1"/>
      <sheetData sheetId="30">
        <row r="12">
          <cell r="F12">
            <v>77.115886778399769</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Шаблон ЦАК_уголь_ЦП (без НДС)_2"/>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 xml:space="preserve">село Маюрово, Сузунский муниципальный район </v>
          </cell>
        </row>
        <row r="15">
          <cell r="D15" t="str">
            <v/>
          </cell>
        </row>
        <row r="16">
          <cell r="D16" t="str">
            <v>Код ОКТМО</v>
          </cell>
          <cell r="E16" t="str">
            <v>(50648428101)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491.38185466416314</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-0.19900000000000001</v>
          </cell>
        </row>
        <row r="20">
          <cell r="E20">
            <v>5.7000000000000002E-2</v>
          </cell>
        </row>
        <row r="27">
          <cell r="E27">
            <v>2207.8000000000002</v>
          </cell>
        </row>
      </sheetData>
      <sheetData sheetId="9" refreshError="1"/>
      <sheetData sheetId="10" refreshError="1"/>
      <sheetData sheetId="11"/>
      <sheetData sheetId="12" refreshError="1"/>
      <sheetData sheetId="13">
        <row r="12">
          <cell r="F12">
            <v>1990.8616285605142</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1543.3634896839897</v>
          </cell>
        </row>
        <row r="27">
          <cell r="F27">
            <v>0.24536656199999998</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sheetData sheetId="22" refreshError="1"/>
      <sheetData sheetId="23">
        <row r="12">
          <cell r="F12">
            <v>473.18998182045129</v>
          </cell>
        </row>
        <row r="14">
          <cell r="F14">
            <v>6068.1437898865324</v>
          </cell>
        </row>
        <row r="15">
          <cell r="F15">
            <v>0.2</v>
          </cell>
        </row>
        <row r="18">
          <cell r="F18">
            <v>15</v>
          </cell>
        </row>
        <row r="19">
          <cell r="F19">
            <v>3778.1614077800232</v>
          </cell>
        </row>
        <row r="20">
          <cell r="F20">
            <v>2.1999999999999999E-2</v>
          </cell>
        </row>
        <row r="21">
          <cell r="F21">
            <v>10</v>
          </cell>
        </row>
        <row r="22">
          <cell r="F22">
            <v>4.6300904690519689</v>
          </cell>
        </row>
        <row r="23">
          <cell r="F23">
            <v>3.0000000000000001E-3</v>
          </cell>
        </row>
        <row r="24">
          <cell r="F24">
            <v>1543.3634896839897</v>
          </cell>
        </row>
      </sheetData>
      <sheetData sheetId="24"/>
      <sheetData sheetId="25">
        <row r="12">
          <cell r="F12">
            <v>426.80144191103278</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85.988129999999998</v>
          </cell>
        </row>
        <row r="27">
          <cell r="F27">
            <v>1291.2863994686898</v>
          </cell>
        </row>
        <row r="28">
          <cell r="F28">
            <v>991.77142816335618</v>
          </cell>
        </row>
        <row r="29">
          <cell r="F29">
            <v>299.51497130533357</v>
          </cell>
        </row>
        <row r="30">
          <cell r="F30">
            <v>1452.5369335000423</v>
          </cell>
        </row>
        <row r="33">
          <cell r="F33">
            <v>733.11661807007397</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20.350000000000001</v>
          </cell>
        </row>
        <row r="19">
          <cell r="E19">
            <v>71.67</v>
          </cell>
        </row>
      </sheetData>
      <sheetData sheetId="29" refreshError="1"/>
      <sheetData sheetId="30">
        <row r="12">
          <cell r="F12">
            <v>67.644698139123221</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Сузунский Майюровски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row>
      </sheetData>
      <sheetData sheetId="4" refreshError="1"/>
      <sheetData sheetId="5" refreshError="1"/>
      <sheetData sheetId="6" refreshError="1"/>
      <sheetData sheetId="7">
        <row r="12">
          <cell r="F12">
            <v>804.92390358480577</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sheetData>
      <sheetData sheetId="9" refreshError="1"/>
      <sheetData sheetId="10" refreshError="1"/>
      <sheetData sheetId="11"/>
      <sheetData sheetId="12" refreshError="1"/>
      <sheetData sheetId="13">
        <row r="12">
          <cell r="F12">
            <v>2108.7102251987935</v>
          </cell>
        </row>
      </sheetData>
      <sheetData sheetId="14">
        <row r="12">
          <cell r="E12" t="str">
            <v>V</v>
          </cell>
        </row>
      </sheetData>
      <sheetData sheetId="15" refreshError="1"/>
      <sheetData sheetId="16">
        <row r="10">
          <cell r="E10">
            <v>1287</v>
          </cell>
        </row>
      </sheetData>
      <sheetData sheetId="17">
        <row r="11">
          <cell r="E11">
            <v>9.89</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row>
      </sheetData>
      <sheetData sheetId="21">
        <row r="11">
          <cell r="G11" t="str">
            <v>Информация с официального сайта Банка России</v>
          </cell>
        </row>
      </sheetData>
      <sheetData sheetId="22" refreshError="1"/>
      <sheetData sheetId="23">
        <row r="12">
          <cell r="F12">
            <v>504.54115631660852</v>
          </cell>
        </row>
      </sheetData>
      <sheetData sheetId="24"/>
      <sheetData sheetId="25">
        <row r="12">
          <cell r="F12">
            <v>405.33758595426866</v>
          </cell>
        </row>
      </sheetData>
      <sheetData sheetId="26">
        <row r="12">
          <cell r="F12" t="str">
            <v>пп № 274 от 01.03.2022</v>
          </cell>
        </row>
      </sheetData>
      <sheetData sheetId="27">
        <row r="8">
          <cell r="F8" t="str">
            <v>нет</v>
          </cell>
        </row>
      </sheetData>
      <sheetData sheetId="28">
        <row r="11">
          <cell r="E11">
            <v>1871</v>
          </cell>
        </row>
      </sheetData>
      <sheetData sheetId="29" refreshError="1"/>
      <sheetData sheetId="30">
        <row r="12">
          <cell r="F12">
            <v>76.470257421089542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Шаблон ЦАК_уголь_ЦП (без НДС)_2"/>
    </sheetNames>
    <definedNames>
      <definedName name="Лист29.PrintBlock"/>
    </definedNames>
    <sheetDataSet>
      <sheetData sheetId="0"/>
      <sheetData sheetId="1"/>
      <sheetData sheetId="2"/>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 xml:space="preserve">село Малышево, Сузунский муниципальный район </v>
          </cell>
        </row>
        <row r="15">
          <cell r="D15" t="str">
            <v/>
          </cell>
        </row>
        <row r="16">
          <cell r="D16" t="str">
            <v>Код ОКТМО</v>
          </cell>
          <cell r="E16" t="str">
            <v>(50648425101)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sheetData sheetId="5"/>
      <sheetData sheetId="6"/>
      <sheetData sheetId="7">
        <row r="12">
          <cell r="F12">
            <v>491.38185466416314</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-0.19900000000000001</v>
          </cell>
        </row>
        <row r="20">
          <cell r="E20">
            <v>5.7000000000000002E-2</v>
          </cell>
        </row>
        <row r="27">
          <cell r="E27">
            <v>2207.8000000000002</v>
          </cell>
        </row>
      </sheetData>
      <sheetData sheetId="9"/>
      <sheetData sheetId="10"/>
      <sheetData sheetId="11"/>
      <sheetData sheetId="12"/>
      <sheetData sheetId="13">
        <row r="12">
          <cell r="F12">
            <v>1990.8616285605142</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1543.3634896839897</v>
          </cell>
        </row>
        <row r="27">
          <cell r="F27">
            <v>0.24536656199999998</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sheetData sheetId="22"/>
      <sheetData sheetId="23">
        <row r="12">
          <cell r="F12">
            <v>473.18998182045129</v>
          </cell>
        </row>
        <row r="14">
          <cell r="F14">
            <v>6068.1437898865324</v>
          </cell>
        </row>
        <row r="15">
          <cell r="F15">
            <v>0.2</v>
          </cell>
        </row>
        <row r="18">
          <cell r="F18">
            <v>15</v>
          </cell>
        </row>
        <row r="19">
          <cell r="F19">
            <v>3778.1614077800232</v>
          </cell>
        </row>
        <row r="20">
          <cell r="F20">
            <v>2.1999999999999999E-2</v>
          </cell>
        </row>
        <row r="21">
          <cell r="F21">
            <v>10</v>
          </cell>
        </row>
        <row r="22">
          <cell r="F22">
            <v>4.6300904690519689</v>
          </cell>
        </row>
        <row r="23">
          <cell r="F23">
            <v>3.0000000000000001E-3</v>
          </cell>
        </row>
        <row r="24">
          <cell r="F24">
            <v>1543.3634896839897</v>
          </cell>
        </row>
      </sheetData>
      <sheetData sheetId="24"/>
      <sheetData sheetId="25">
        <row r="12">
          <cell r="F12">
            <v>426.80144191103278</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85.988129999999998</v>
          </cell>
        </row>
        <row r="27">
          <cell r="F27">
            <v>1291.2863994686898</v>
          </cell>
        </row>
        <row r="28">
          <cell r="F28">
            <v>991.77142816335618</v>
          </cell>
        </row>
        <row r="29">
          <cell r="F29">
            <v>299.51497130533357</v>
          </cell>
        </row>
        <row r="30">
          <cell r="F30">
            <v>1452.5369335000423</v>
          </cell>
        </row>
        <row r="33">
          <cell r="F33">
            <v>733.11661807007397</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20.350000000000001</v>
          </cell>
        </row>
        <row r="19">
          <cell r="E19">
            <v>71.67</v>
          </cell>
        </row>
      </sheetData>
      <sheetData sheetId="29"/>
      <sheetData sheetId="30">
        <row r="12">
          <cell r="F12">
            <v>67.644698139123221</v>
          </cell>
        </row>
        <row r="17">
          <cell r="F17">
            <v>0.02</v>
          </cell>
        </row>
      </sheetData>
      <sheetData sheetId="31">
        <row r="12">
          <cell r="F12" t="str">
            <v>-</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рп Сузун"/>
    </sheetNames>
    <definedNames>
      <definedName name="Лист29.PrintBlock"/>
    </definedNames>
    <sheetDataSet>
      <sheetData sheetId="0" refreshError="1"/>
      <sheetData sheetId="1" refreshError="1"/>
      <sheetData sheetId="2" refreshError="1"/>
      <sheetData sheetId="3">
        <row r="8">
          <cell r="D8" t="str">
            <v>Период регулирования (i)-й</v>
          </cell>
        </row>
      </sheetData>
      <sheetData sheetId="4" refreshError="1"/>
      <sheetData sheetId="5" refreshError="1"/>
      <sheetData sheetId="6" refreshError="1"/>
      <sheetData sheetId="7">
        <row r="12">
          <cell r="F12">
            <v>828.61602058880612</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sheetData>
      <sheetData sheetId="9" refreshError="1"/>
      <sheetData sheetId="10" refreshError="1"/>
      <sheetData sheetId="11"/>
      <sheetData sheetId="12" refreshError="1"/>
      <sheetData sheetId="13">
        <row r="12">
          <cell r="F12">
            <v>2108.7102251987935</v>
          </cell>
        </row>
      </sheetData>
      <sheetData sheetId="14">
        <row r="12">
          <cell r="E12" t="str">
            <v>V</v>
          </cell>
        </row>
      </sheetData>
      <sheetData sheetId="15" refreshError="1"/>
      <sheetData sheetId="16">
        <row r="10">
          <cell r="E10">
            <v>1287</v>
          </cell>
        </row>
      </sheetData>
      <sheetData sheetId="17">
        <row r="11">
          <cell r="E11">
            <v>9.89</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row>
      </sheetData>
      <sheetData sheetId="21">
        <row r="11">
          <cell r="G11" t="str">
            <v>Информация с официального сайта Банка России</v>
          </cell>
        </row>
      </sheetData>
      <sheetData sheetId="22" refreshError="1"/>
      <sheetData sheetId="23">
        <row r="12">
          <cell r="F12">
            <v>504.54115631660852</v>
          </cell>
        </row>
      </sheetData>
      <sheetData sheetId="24"/>
      <sheetData sheetId="25">
        <row r="12">
          <cell r="F12">
            <v>407.73931182104906</v>
          </cell>
        </row>
      </sheetData>
      <sheetData sheetId="26">
        <row r="12">
          <cell r="F12" t="str">
            <v>пп № 274 от 01.03.2022</v>
          </cell>
        </row>
      </sheetData>
      <sheetData sheetId="27">
        <row r="8">
          <cell r="F8" t="str">
            <v>нет</v>
          </cell>
        </row>
      </sheetData>
      <sheetData sheetId="28">
        <row r="11">
          <cell r="E11">
            <v>1871</v>
          </cell>
        </row>
      </sheetData>
      <sheetData sheetId="29" refreshError="1"/>
      <sheetData sheetId="30">
        <row r="12">
          <cell r="F12">
            <v>76.992134278505148</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Сузунский Малышевски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row>
      </sheetData>
      <sheetData sheetId="4" refreshError="1"/>
      <sheetData sheetId="5" refreshError="1"/>
      <sheetData sheetId="6" refreshError="1"/>
      <sheetData sheetId="7">
        <row r="12">
          <cell r="F12">
            <v>804.92390358480577</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sheetData>
      <sheetData sheetId="9" refreshError="1"/>
      <sheetData sheetId="10" refreshError="1"/>
      <sheetData sheetId="11"/>
      <sheetData sheetId="12" refreshError="1"/>
      <sheetData sheetId="13">
        <row r="12">
          <cell r="F12">
            <v>2108.7102251987935</v>
          </cell>
        </row>
      </sheetData>
      <sheetData sheetId="14">
        <row r="12">
          <cell r="E12" t="str">
            <v>V</v>
          </cell>
        </row>
      </sheetData>
      <sheetData sheetId="15" refreshError="1"/>
      <sheetData sheetId="16">
        <row r="10">
          <cell r="E10">
            <v>1287</v>
          </cell>
        </row>
      </sheetData>
      <sheetData sheetId="17">
        <row r="11">
          <cell r="E11">
            <v>9.89</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row>
      </sheetData>
      <sheetData sheetId="21">
        <row r="11">
          <cell r="G11" t="str">
            <v>Информация с официального сайта Банка России</v>
          </cell>
        </row>
      </sheetData>
      <sheetData sheetId="22" refreshError="1"/>
      <sheetData sheetId="23">
        <row r="12">
          <cell r="F12">
            <v>504.54115631660852</v>
          </cell>
        </row>
      </sheetData>
      <sheetData sheetId="24"/>
      <sheetData sheetId="25">
        <row r="12">
          <cell r="F12">
            <v>405.01240197079983</v>
          </cell>
        </row>
      </sheetData>
      <sheetData sheetId="26">
        <row r="12">
          <cell r="F12" t="str">
            <v>пп № 274 от 01.03.2022</v>
          </cell>
        </row>
      </sheetData>
      <sheetData sheetId="27">
        <row r="8">
          <cell r="F8" t="str">
            <v>нет</v>
          </cell>
        </row>
      </sheetData>
      <sheetData sheetId="28">
        <row r="11">
          <cell r="E11">
            <v>1871</v>
          </cell>
        </row>
      </sheetData>
      <sheetData sheetId="29" refreshError="1"/>
      <sheetData sheetId="30">
        <row r="12">
          <cell r="F12">
            <v>76.463753741420149</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Шаблон ЦАК_уголь_ЦП (без НДС)_2"/>
    </sheetNames>
    <definedNames>
      <definedName name="Лист29.PrintBlock"/>
    </definedNames>
    <sheetDataSet>
      <sheetData sheetId="0"/>
      <sheetData sheetId="1"/>
      <sheetData sheetId="2"/>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Мереть, Сузунский муниципальный район</v>
          </cell>
        </row>
        <row r="15">
          <cell r="D15" t="str">
            <v/>
          </cell>
        </row>
        <row r="16">
          <cell r="D16" t="str">
            <v>Код ОКТМО</v>
          </cell>
          <cell r="E16" t="str">
            <v xml:space="preserve"> (50648430101)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sheetData sheetId="5"/>
      <sheetData sheetId="6"/>
      <sheetData sheetId="7">
        <row r="12">
          <cell r="F12">
            <v>491.38185466416314</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-0.19900000000000001</v>
          </cell>
        </row>
        <row r="20">
          <cell r="E20">
            <v>5.7000000000000002E-2</v>
          </cell>
        </row>
        <row r="27">
          <cell r="E27">
            <v>2207.8000000000002</v>
          </cell>
        </row>
      </sheetData>
      <sheetData sheetId="9"/>
      <sheetData sheetId="10"/>
      <sheetData sheetId="11"/>
      <sheetData sheetId="12"/>
      <sheetData sheetId="13">
        <row r="12">
          <cell r="F12">
            <v>1990.8616285605142</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1543.3634896839897</v>
          </cell>
        </row>
        <row r="27">
          <cell r="F27">
            <v>0.24536656199999998</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sheetData sheetId="22"/>
      <sheetData sheetId="23">
        <row r="12">
          <cell r="F12">
            <v>473.18998182045129</v>
          </cell>
        </row>
        <row r="14">
          <cell r="F14">
            <v>6068.1437898865324</v>
          </cell>
        </row>
        <row r="15">
          <cell r="F15">
            <v>0.2</v>
          </cell>
        </row>
        <row r="18">
          <cell r="F18">
            <v>15</v>
          </cell>
        </row>
        <row r="19">
          <cell r="F19">
            <v>3778.1614077800232</v>
          </cell>
        </row>
        <row r="20">
          <cell r="F20">
            <v>2.1999999999999999E-2</v>
          </cell>
        </row>
        <row r="21">
          <cell r="F21">
            <v>10</v>
          </cell>
        </row>
        <row r="22">
          <cell r="F22">
            <v>4.6300904690519689</v>
          </cell>
        </row>
        <row r="23">
          <cell r="F23">
            <v>3.0000000000000001E-3</v>
          </cell>
        </row>
        <row r="24">
          <cell r="F24">
            <v>1543.3634896839897</v>
          </cell>
        </row>
      </sheetData>
      <sheetData sheetId="24"/>
      <sheetData sheetId="25">
        <row r="12">
          <cell r="F12">
            <v>426.80144191103278</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85.988129999999998</v>
          </cell>
        </row>
        <row r="27">
          <cell r="F27">
            <v>1291.2863994686898</v>
          </cell>
        </row>
        <row r="28">
          <cell r="F28">
            <v>991.77142816335618</v>
          </cell>
        </row>
        <row r="29">
          <cell r="F29">
            <v>299.51497130533357</v>
          </cell>
        </row>
        <row r="30">
          <cell r="F30">
            <v>1452.5369335000423</v>
          </cell>
        </row>
        <row r="33">
          <cell r="F33">
            <v>733.11661807007397</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20.350000000000001</v>
          </cell>
        </row>
        <row r="19">
          <cell r="E19">
            <v>71.67</v>
          </cell>
        </row>
      </sheetData>
      <sheetData sheetId="29"/>
      <sheetData sheetId="30">
        <row r="12">
          <cell r="F12">
            <v>67.644698139123221</v>
          </cell>
        </row>
        <row r="17">
          <cell r="F17">
            <v>0.02</v>
          </cell>
        </row>
      </sheetData>
      <sheetData sheetId="31">
        <row r="12">
          <cell r="F12" t="str">
            <v>-</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Сузунский Меретецки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row>
      </sheetData>
      <sheetData sheetId="4" refreshError="1"/>
      <sheetData sheetId="5" refreshError="1"/>
      <sheetData sheetId="6" refreshError="1"/>
      <sheetData sheetId="7">
        <row r="12">
          <cell r="F12">
            <v>804.92390358480577</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sheetData>
      <sheetData sheetId="9" refreshError="1"/>
      <sheetData sheetId="10" refreshError="1"/>
      <sheetData sheetId="11"/>
      <sheetData sheetId="12" refreshError="1"/>
      <sheetData sheetId="13">
        <row r="12">
          <cell r="F12">
            <v>2108.7102251987935</v>
          </cell>
        </row>
      </sheetData>
      <sheetData sheetId="14">
        <row r="12">
          <cell r="E12" t="str">
            <v>V</v>
          </cell>
        </row>
      </sheetData>
      <sheetData sheetId="15" refreshError="1"/>
      <sheetData sheetId="16">
        <row r="10">
          <cell r="E10">
            <v>1287</v>
          </cell>
        </row>
      </sheetData>
      <sheetData sheetId="17">
        <row r="11">
          <cell r="E11">
            <v>9.89</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row>
      </sheetData>
      <sheetData sheetId="21">
        <row r="11">
          <cell r="G11" t="str">
            <v>Информация с официального сайта Банка России</v>
          </cell>
        </row>
      </sheetData>
      <sheetData sheetId="22" refreshError="1"/>
      <sheetData sheetId="23">
        <row r="12">
          <cell r="F12">
            <v>504.54115631660852</v>
          </cell>
        </row>
      </sheetData>
      <sheetData sheetId="24"/>
      <sheetData sheetId="25">
        <row r="12">
          <cell r="F12">
            <v>405.15176653514362</v>
          </cell>
        </row>
      </sheetData>
      <sheetData sheetId="26">
        <row r="12">
          <cell r="F12" t="str">
            <v>пп № 274 от 01.03.2022</v>
          </cell>
        </row>
      </sheetData>
      <sheetData sheetId="27">
        <row r="8">
          <cell r="F8" t="str">
            <v>нет</v>
          </cell>
        </row>
      </sheetData>
      <sheetData sheetId="28">
        <row r="11">
          <cell r="E11">
            <v>1871</v>
          </cell>
        </row>
      </sheetData>
      <sheetData sheetId="29" refreshError="1"/>
      <sheetData sheetId="30">
        <row r="12">
          <cell r="F12">
            <v>76.466541032707028</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Шаблон ЦАК_уголь_ЦП (без НДС)_2"/>
    </sheetNames>
    <definedNames>
      <definedName name="Лист29.PrintBlock"/>
    </definedNames>
    <sheetDataSet>
      <sheetData sheetId="0"/>
      <sheetData sheetId="1"/>
      <sheetData sheetId="2"/>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Мышланка, Сузунский муниципальный район</v>
          </cell>
        </row>
        <row r="15">
          <cell r="D15" t="str">
            <v/>
          </cell>
        </row>
        <row r="16">
          <cell r="D16" t="str">
            <v>Код ОКТМО</v>
          </cell>
          <cell r="E16" t="str">
            <v xml:space="preserve"> (50648432101)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sheetData sheetId="5"/>
      <sheetData sheetId="6"/>
      <sheetData sheetId="7">
        <row r="12">
          <cell r="F12">
            <v>482.65169194598138</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-0.19900000000000001</v>
          </cell>
        </row>
        <row r="20">
          <cell r="E20">
            <v>5.7000000000000002E-2</v>
          </cell>
        </row>
        <row r="27">
          <cell r="E27">
            <v>2168.5750000000003</v>
          </cell>
        </row>
      </sheetData>
      <sheetData sheetId="9"/>
      <sheetData sheetId="10"/>
      <sheetData sheetId="11"/>
      <sheetData sheetId="12"/>
      <sheetData sheetId="13">
        <row r="12">
          <cell r="F12">
            <v>1990.8616285605142</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1543.3634896839897</v>
          </cell>
        </row>
        <row r="27">
          <cell r="F27">
            <v>0.24536656199999998</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sheetData sheetId="22"/>
      <sheetData sheetId="23">
        <row r="12">
          <cell r="F12">
            <v>473.18998182045129</v>
          </cell>
        </row>
        <row r="14">
          <cell r="F14">
            <v>6068.1437898865324</v>
          </cell>
        </row>
        <row r="15">
          <cell r="F15">
            <v>0.2</v>
          </cell>
        </row>
        <row r="18">
          <cell r="F18">
            <v>15</v>
          </cell>
        </row>
        <row r="19">
          <cell r="F19">
            <v>3778.1614077800232</v>
          </cell>
        </row>
        <row r="20">
          <cell r="F20">
            <v>2.1999999999999999E-2</v>
          </cell>
        </row>
        <row r="21">
          <cell r="F21">
            <v>10</v>
          </cell>
        </row>
        <row r="22">
          <cell r="F22">
            <v>4.6300904690519689</v>
          </cell>
        </row>
        <row r="23">
          <cell r="F23">
            <v>3.0000000000000001E-3</v>
          </cell>
        </row>
        <row r="24">
          <cell r="F24">
            <v>1543.3634896839897</v>
          </cell>
        </row>
      </sheetData>
      <sheetData sheetId="24"/>
      <sheetData sheetId="25">
        <row r="12">
          <cell r="F12">
            <v>426.19033052076003</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85.988129999999998</v>
          </cell>
        </row>
        <row r="27">
          <cell r="F27">
            <v>1291.2863994686898</v>
          </cell>
        </row>
        <row r="28">
          <cell r="F28">
            <v>991.77142816335618</v>
          </cell>
        </row>
        <row r="29">
          <cell r="F29">
            <v>299.51497130533357</v>
          </cell>
        </row>
        <row r="30">
          <cell r="F30">
            <v>1439.81473102175</v>
          </cell>
        </row>
        <row r="33">
          <cell r="F33">
            <v>720.39441559178169</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20.350000000000001</v>
          </cell>
        </row>
        <row r="19">
          <cell r="E19">
            <v>71.67</v>
          </cell>
        </row>
      </sheetData>
      <sheetData sheetId="29"/>
      <sheetData sheetId="30">
        <row r="12">
          <cell r="F12">
            <v>67.457872656954137</v>
          </cell>
        </row>
        <row r="17">
          <cell r="F17">
            <v>0.02</v>
          </cell>
        </row>
      </sheetData>
      <sheetData sheetId="31">
        <row r="12">
          <cell r="F12" t="str">
            <v>-</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Сузунский Мышлански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row>
      </sheetData>
      <sheetData sheetId="4" refreshError="1"/>
      <sheetData sheetId="5" refreshError="1"/>
      <sheetData sheetId="6" refreshError="1"/>
      <sheetData sheetId="7">
        <row r="12">
          <cell r="F12">
            <v>856.36411924910419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sheetData>
      <sheetData sheetId="9" refreshError="1"/>
      <sheetData sheetId="10" refreshError="1"/>
      <sheetData sheetId="11"/>
      <sheetData sheetId="12" refreshError="1"/>
      <sheetData sheetId="13">
        <row r="12">
          <cell r="F12">
            <v>2108.7102251987935</v>
          </cell>
        </row>
      </sheetData>
      <sheetData sheetId="14">
        <row r="12">
          <cell r="E12" t="str">
            <v>V</v>
          </cell>
        </row>
      </sheetData>
      <sheetData sheetId="15" refreshError="1"/>
      <sheetData sheetId="16">
        <row r="10">
          <cell r="E10">
            <v>1287</v>
          </cell>
        </row>
      </sheetData>
      <sheetData sheetId="17">
        <row r="11">
          <cell r="E11">
            <v>9.89</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row>
      </sheetData>
      <sheetData sheetId="21">
        <row r="11">
          <cell r="G11" t="str">
            <v>Информация с официального сайта Банка России</v>
          </cell>
        </row>
      </sheetData>
      <sheetData sheetId="22" refreshError="1"/>
      <sheetData sheetId="23">
        <row r="12">
          <cell r="F12">
            <v>504.54115631660852</v>
          </cell>
        </row>
      </sheetData>
      <sheetData sheetId="24"/>
      <sheetData sheetId="25">
        <row r="12">
          <cell r="F12">
            <v>408.04597884049787</v>
          </cell>
        </row>
      </sheetData>
      <sheetData sheetId="26">
        <row r="12">
          <cell r="F12" t="str">
            <v>пп № 274 от 01.03.2022</v>
          </cell>
        </row>
      </sheetData>
      <sheetData sheetId="27">
        <row r="8">
          <cell r="F8" t="str">
            <v>нет</v>
          </cell>
        </row>
      </sheetData>
      <sheetData sheetId="28">
        <row r="11">
          <cell r="E11">
            <v>1871</v>
          </cell>
        </row>
      </sheetData>
      <sheetData sheetId="29" refreshError="1"/>
      <sheetData sheetId="30">
        <row r="12">
          <cell r="F12">
            <v>77.553229592100081</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Шаблон ЦАК_уголь_ЦП (без НДС)_2"/>
    </sheetNames>
    <definedNames>
      <definedName name="Лист29.PrintBlock"/>
    </definedNames>
    <sheetDataSet>
      <sheetData sheetId="0"/>
      <sheetData sheetId="1"/>
      <sheetData sheetId="2"/>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 xml:space="preserve">село Шайдурово, Сузунский муниципальный район </v>
          </cell>
        </row>
        <row r="15">
          <cell r="D15" t="str">
            <v/>
          </cell>
        </row>
        <row r="16">
          <cell r="D16" t="str">
            <v>Код ОКТМО</v>
          </cell>
          <cell r="E16" t="str">
            <v>(50648434101)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sheetData sheetId="5"/>
      <sheetData sheetId="6"/>
      <sheetData sheetId="7">
        <row r="12">
          <cell r="F12">
            <v>599.92557949019965</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-0.19900000000000001</v>
          </cell>
        </row>
        <row r="20">
          <cell r="E20">
            <v>5.7000000000000002E-2</v>
          </cell>
        </row>
        <row r="27">
          <cell r="E27">
            <v>2695.4916666666668</v>
          </cell>
        </row>
      </sheetData>
      <sheetData sheetId="9"/>
      <sheetData sheetId="10"/>
      <sheetData sheetId="11"/>
      <sheetData sheetId="12"/>
      <sheetData sheetId="13">
        <row r="12">
          <cell r="F12">
            <v>1990.8616285605142</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1543.3634896839897</v>
          </cell>
        </row>
        <row r="27">
          <cell r="F27">
            <v>0.24536656199999998</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sheetData sheetId="22"/>
      <sheetData sheetId="23">
        <row r="12">
          <cell r="F12">
            <v>473.18998182045129</v>
          </cell>
        </row>
        <row r="14">
          <cell r="F14">
            <v>6068.1437898865324</v>
          </cell>
        </row>
        <row r="15">
          <cell r="F15">
            <v>0.2</v>
          </cell>
        </row>
        <row r="18">
          <cell r="F18">
            <v>15</v>
          </cell>
        </row>
        <row r="19">
          <cell r="F19">
            <v>3778.1614077800232</v>
          </cell>
        </row>
        <row r="20">
          <cell r="F20">
            <v>2.1999999999999999E-2</v>
          </cell>
        </row>
        <row r="21">
          <cell r="F21">
            <v>10</v>
          </cell>
        </row>
        <row r="22">
          <cell r="F22">
            <v>4.6300904690519689</v>
          </cell>
        </row>
        <row r="23">
          <cell r="F23">
            <v>3.0000000000000001E-3</v>
          </cell>
        </row>
        <row r="24">
          <cell r="F24">
            <v>1543.3634896839897</v>
          </cell>
        </row>
      </sheetData>
      <sheetData sheetId="24"/>
      <sheetData sheetId="25">
        <row r="12">
          <cell r="F12">
            <v>434.39950264885528</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85.988129999999998</v>
          </cell>
        </row>
        <row r="27">
          <cell r="F27">
            <v>1291.2863994686898</v>
          </cell>
        </row>
        <row r="28">
          <cell r="F28">
            <v>991.77142816335618</v>
          </cell>
        </row>
        <row r="29">
          <cell r="F29">
            <v>299.51497130533357</v>
          </cell>
        </row>
        <row r="30">
          <cell r="F30">
            <v>1610.7144256685356</v>
          </cell>
        </row>
        <row r="33">
          <cell r="F33">
            <v>891.29411023856721</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20.350000000000001</v>
          </cell>
        </row>
        <row r="19">
          <cell r="E19">
            <v>71.67</v>
          </cell>
        </row>
      </sheetData>
      <sheetData sheetId="29"/>
      <sheetData sheetId="30">
        <row r="12">
          <cell r="F12">
            <v>69.9675338504004</v>
          </cell>
        </row>
        <row r="17">
          <cell r="F17">
            <v>0.02</v>
          </cell>
        </row>
      </sheetData>
      <sheetData sheetId="31">
        <row r="12">
          <cell r="F12" t="str">
            <v>-</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Сузунский Шайдуровски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row>
      </sheetData>
      <sheetData sheetId="4" refreshError="1"/>
      <sheetData sheetId="5" refreshError="1"/>
      <sheetData sheetId="6" refreshError="1"/>
      <sheetData sheetId="7">
        <row r="12">
          <cell r="F12">
            <v>864.00312134644389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sheetData>
      <sheetData sheetId="9" refreshError="1"/>
      <sheetData sheetId="10" refreshError="1"/>
      <sheetData sheetId="11"/>
      <sheetData sheetId="12" refreshError="1"/>
      <sheetData sheetId="13">
        <row r="12">
          <cell r="F12">
            <v>2108.7102251987935</v>
          </cell>
        </row>
      </sheetData>
      <sheetData sheetId="14">
        <row r="12">
          <cell r="E12" t="str">
            <v>V</v>
          </cell>
        </row>
      </sheetData>
      <sheetData sheetId="15" refreshError="1"/>
      <sheetData sheetId="16">
        <row r="10">
          <cell r="E10">
            <v>1287</v>
          </cell>
        </row>
      </sheetData>
      <sheetData sheetId="17">
        <row r="11">
          <cell r="E11">
            <v>9.89</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row>
      </sheetData>
      <sheetData sheetId="21">
        <row r="11">
          <cell r="G11" t="str">
            <v>Информация с официального сайта Банка России</v>
          </cell>
        </row>
      </sheetData>
      <sheetData sheetId="22" refreshError="1"/>
      <sheetData sheetId="23">
        <row r="12">
          <cell r="F12">
            <v>504.54115631660852</v>
          </cell>
        </row>
      </sheetData>
      <sheetData sheetId="24"/>
      <sheetData sheetId="25">
        <row r="12">
          <cell r="F12">
            <v>408.57337401024085</v>
          </cell>
        </row>
      </sheetData>
      <sheetData sheetId="26">
        <row r="12">
          <cell r="F12" t="str">
            <v>пп № 274 от 01.03.2022</v>
          </cell>
        </row>
      </sheetData>
      <sheetData sheetId="27">
        <row r="8">
          <cell r="F8" t="str">
            <v>нет</v>
          </cell>
        </row>
      </sheetData>
      <sheetData sheetId="28">
        <row r="11">
          <cell r="E11">
            <v>1871</v>
          </cell>
        </row>
      </sheetData>
      <sheetData sheetId="29" refreshError="1"/>
      <sheetData sheetId="30">
        <row r="12">
          <cell r="F12">
            <v>77.716557537441744</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Шаблон ЦАК_уголь_ЦП (без НДС)_2"/>
    </sheetNames>
    <definedNames>
      <definedName name="Лист29.PrintBlock"/>
    </definedNames>
    <sheetDataSet>
      <sheetData sheetId="0"/>
      <sheetData sheetId="1"/>
      <sheetData sheetId="2"/>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Шарчино, Сузунский муниципальный район</v>
          </cell>
        </row>
        <row r="15">
          <cell r="D15" t="str">
            <v/>
          </cell>
        </row>
        <row r="16">
          <cell r="D16" t="str">
            <v>Код ОКТМО</v>
          </cell>
          <cell r="E16" t="str">
            <v xml:space="preserve"> (50648437101)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sheetData sheetId="5"/>
      <sheetData sheetId="6"/>
      <sheetData sheetId="7">
        <row r="12">
          <cell r="F12">
            <v>716.94537052020712</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-0.19900000000000001</v>
          </cell>
        </row>
        <row r="20">
          <cell r="E20">
            <v>5.7000000000000002E-2</v>
          </cell>
        </row>
        <row r="27">
          <cell r="E27">
            <v>3221.2666666666669</v>
          </cell>
        </row>
      </sheetData>
      <sheetData sheetId="9"/>
      <sheetData sheetId="10"/>
      <sheetData sheetId="11"/>
      <sheetData sheetId="12"/>
      <sheetData sheetId="13">
        <row r="12">
          <cell r="F12">
            <v>1990.8616285605142</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1543.3634896839897</v>
          </cell>
        </row>
        <row r="27">
          <cell r="F27">
            <v>0.24536656199999998</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sheetData sheetId="22"/>
      <sheetData sheetId="23">
        <row r="12">
          <cell r="F12">
            <v>473.18998182045129</v>
          </cell>
        </row>
        <row r="14">
          <cell r="F14">
            <v>6068.1437898865324</v>
          </cell>
        </row>
        <row r="15">
          <cell r="F15">
            <v>0.2</v>
          </cell>
        </row>
        <row r="18">
          <cell r="F18">
            <v>15</v>
          </cell>
        </row>
        <row r="19">
          <cell r="F19">
            <v>3778.1614077800232</v>
          </cell>
        </row>
        <row r="20">
          <cell r="F20">
            <v>2.1999999999999999E-2</v>
          </cell>
        </row>
        <row r="21">
          <cell r="F21">
            <v>10</v>
          </cell>
        </row>
        <row r="22">
          <cell r="F22">
            <v>4.6300904690519689</v>
          </cell>
        </row>
        <row r="23">
          <cell r="F23">
            <v>3.0000000000000001E-3</v>
          </cell>
        </row>
        <row r="24">
          <cell r="F24">
            <v>1543.3634896839897</v>
          </cell>
        </row>
      </sheetData>
      <sheetData sheetId="24"/>
      <sheetData sheetId="25">
        <row r="12">
          <cell r="F12">
            <v>442.59088802095584</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85.988129999999998</v>
          </cell>
        </row>
        <row r="27">
          <cell r="F27">
            <v>1291.2863994686898</v>
          </cell>
        </row>
        <row r="28">
          <cell r="F28">
            <v>991.77142816335618</v>
          </cell>
        </row>
        <row r="29">
          <cell r="F29">
            <v>299.51497130533357</v>
          </cell>
        </row>
        <row r="30">
          <cell r="F30">
            <v>1781.2438331388764</v>
          </cell>
        </row>
        <row r="33">
          <cell r="F33">
            <v>1061.823517708908</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20.350000000000001</v>
          </cell>
        </row>
        <row r="19">
          <cell r="E19">
            <v>71.67</v>
          </cell>
        </row>
      </sheetData>
      <sheetData sheetId="29"/>
      <sheetData sheetId="30">
        <row r="12">
          <cell r="F12">
            <v>72.471757378442575</v>
          </cell>
        </row>
        <row r="17">
          <cell r="F17">
            <v>0.02</v>
          </cell>
        </row>
      </sheetData>
      <sheetData sheetId="31">
        <row r="12">
          <cell r="F12" t="str">
            <v>-</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Сузунский Шарчински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row>
      </sheetData>
      <sheetData sheetId="4" refreshError="1"/>
      <sheetData sheetId="5" refreshError="1"/>
      <sheetData sheetId="6" refreshError="1"/>
      <sheetData sheetId="7">
        <row r="12">
          <cell r="F12">
            <v>866.26804455836213</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sheetData>
      <sheetData sheetId="9" refreshError="1"/>
      <sheetData sheetId="10" refreshError="1"/>
      <sheetData sheetId="11"/>
      <sheetData sheetId="12" refreshError="1"/>
      <sheetData sheetId="13">
        <row r="12">
          <cell r="F12">
            <v>2108.7102251987935</v>
          </cell>
        </row>
      </sheetData>
      <sheetData sheetId="14">
        <row r="12">
          <cell r="E12" t="str">
            <v>V</v>
          </cell>
        </row>
      </sheetData>
      <sheetData sheetId="15" refreshError="1"/>
      <sheetData sheetId="16">
        <row r="10">
          <cell r="E10">
            <v>1287</v>
          </cell>
        </row>
      </sheetData>
      <sheetData sheetId="17">
        <row r="11">
          <cell r="E11">
            <v>9.89</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row>
      </sheetData>
      <sheetData sheetId="21">
        <row r="11">
          <cell r="G11" t="str">
            <v>Информация с официального сайта Банка России</v>
          </cell>
        </row>
      </sheetData>
      <sheetData sheetId="22" refreshError="1"/>
      <sheetData sheetId="23">
        <row r="12">
          <cell r="F12">
            <v>504.54115631660852</v>
          </cell>
        </row>
      </sheetData>
      <sheetData sheetId="24"/>
      <sheetData sheetId="25">
        <row r="12">
          <cell r="F12">
            <v>409.46052635743399</v>
          </cell>
        </row>
      </sheetData>
      <sheetData sheetId="26">
        <row r="12">
          <cell r="F12" t="str">
            <v>пп № 274 от 01.03.2022</v>
          </cell>
        </row>
      </sheetData>
      <sheetData sheetId="27">
        <row r="8">
          <cell r="F8" t="str">
            <v>нет</v>
          </cell>
        </row>
      </sheetData>
      <sheetData sheetId="28">
        <row r="11">
          <cell r="E11">
            <v>1871</v>
          </cell>
        </row>
      </sheetData>
      <sheetData sheetId="29" refreshError="1"/>
      <sheetData sheetId="30">
        <row r="12">
          <cell r="F12">
            <v>77.779599048623965</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Шаблон ЦАК_уголь_ЦП (без НДС)_2"/>
    </sheetNames>
    <definedNames>
      <definedName name="Лист29.PrintBlock"/>
    </definedNames>
    <sheetDataSet>
      <sheetData sheetId="0"/>
      <sheetData sheetId="1"/>
      <sheetData sheetId="2"/>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Шипуново, Сузунский муниципальный район</v>
          </cell>
        </row>
        <row r="15">
          <cell r="D15" t="str">
            <v/>
          </cell>
        </row>
        <row r="16">
          <cell r="D16" t="str">
            <v>Код ОКТМО</v>
          </cell>
          <cell r="E16" t="str">
            <v xml:space="preserve"> (50648440101)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sheetData sheetId="5"/>
      <sheetData sheetId="6"/>
      <sheetData sheetId="7">
        <row r="12">
          <cell r="F12">
            <v>619.38714681585975</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-0.19900000000000001</v>
          </cell>
        </row>
        <row r="20">
          <cell r="E20">
            <v>5.7000000000000002E-2</v>
          </cell>
        </row>
        <row r="27">
          <cell r="E27">
            <v>2782.9333333333334</v>
          </cell>
        </row>
      </sheetData>
      <sheetData sheetId="9"/>
      <sheetData sheetId="10"/>
      <sheetData sheetId="11"/>
      <sheetData sheetId="12"/>
      <sheetData sheetId="13">
        <row r="12">
          <cell r="F12">
            <v>1990.8616285605142</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1543.3634896839897</v>
          </cell>
        </row>
        <row r="27">
          <cell r="F27">
            <v>0.24536656199999998</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sheetData sheetId="22"/>
      <sheetData sheetId="23">
        <row r="12">
          <cell r="F12">
            <v>473.18998182045129</v>
          </cell>
        </row>
        <row r="14">
          <cell r="F14">
            <v>6068.1437898865324</v>
          </cell>
        </row>
        <row r="15">
          <cell r="F15">
            <v>0.2</v>
          </cell>
        </row>
        <row r="18">
          <cell r="F18">
            <v>15</v>
          </cell>
        </row>
        <row r="19">
          <cell r="F19">
            <v>3778.1614077800232</v>
          </cell>
        </row>
        <row r="20">
          <cell r="F20">
            <v>2.1999999999999999E-2</v>
          </cell>
        </row>
        <row r="21">
          <cell r="F21">
            <v>10</v>
          </cell>
        </row>
        <row r="22">
          <cell r="F22">
            <v>4.6300904690519689</v>
          </cell>
        </row>
        <row r="23">
          <cell r="F23">
            <v>3.0000000000000001E-3</v>
          </cell>
        </row>
        <row r="24">
          <cell r="F24">
            <v>1543.3634896839897</v>
          </cell>
        </row>
      </sheetData>
      <sheetData sheetId="24"/>
      <sheetData sheetId="25">
        <row r="12">
          <cell r="F12">
            <v>435.76181236165155</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85.988129999999998</v>
          </cell>
        </row>
        <row r="27">
          <cell r="F27">
            <v>1291.2863994686898</v>
          </cell>
        </row>
        <row r="28">
          <cell r="F28">
            <v>991.77142816335618</v>
          </cell>
        </row>
        <row r="29">
          <cell r="F29">
            <v>299.51497130533357</v>
          </cell>
        </row>
        <row r="30">
          <cell r="F30">
            <v>1639.0751799928869</v>
          </cell>
        </row>
        <row r="33">
          <cell r="F33">
            <v>919.65486456291842</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20.350000000000001</v>
          </cell>
        </row>
        <row r="19">
          <cell r="E19">
            <v>71.67</v>
          </cell>
        </row>
      </sheetData>
      <sheetData sheetId="29"/>
      <sheetData sheetId="30">
        <row r="12">
          <cell r="F12">
            <v>70.384011391169551</v>
          </cell>
        </row>
        <row r="17">
          <cell r="F17">
            <v>0.02</v>
          </cell>
        </row>
      </sheetData>
      <sheetData sheetId="31">
        <row r="12">
          <cell r="F12" t="str">
            <v>-</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Шаблон ЦАК_уголь_ЦП (без НДС)_2"/>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 xml:space="preserve">село Битки, Сузунский муниципальный район </v>
          </cell>
        </row>
        <row r="15">
          <cell r="D15" t="str">
            <v/>
          </cell>
        </row>
        <row r="16">
          <cell r="D16" t="str">
            <v>Код ОКТМО</v>
          </cell>
          <cell r="E16" t="str">
            <v>(50648402101)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611.9645610503693</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-0.19900000000000001</v>
          </cell>
        </row>
        <row r="20">
          <cell r="E20">
            <v>5.7000000000000002E-2</v>
          </cell>
        </row>
        <row r="27">
          <cell r="E27">
            <v>2749.5833333333335</v>
          </cell>
        </row>
      </sheetData>
      <sheetData sheetId="9" refreshError="1"/>
      <sheetData sheetId="10" refreshError="1"/>
      <sheetData sheetId="11"/>
      <sheetData sheetId="12" refreshError="1"/>
      <sheetData sheetId="13">
        <row r="12">
          <cell r="F12">
            <v>1990.8616285605142</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1543.3634896839897</v>
          </cell>
        </row>
        <row r="27">
          <cell r="F27">
            <v>0.24536656199999998</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sheetData sheetId="22" refreshError="1"/>
      <sheetData sheetId="23">
        <row r="12">
          <cell r="F12">
            <v>473.18998182045129</v>
          </cell>
        </row>
        <row r="14">
          <cell r="F14">
            <v>6068.1437898865324</v>
          </cell>
        </row>
        <row r="15">
          <cell r="F15">
            <v>0.2</v>
          </cell>
        </row>
        <row r="18">
          <cell r="F18">
            <v>15</v>
          </cell>
        </row>
        <row r="19">
          <cell r="F19">
            <v>3778.1614077800232</v>
          </cell>
        </row>
        <row r="20">
          <cell r="F20">
            <v>2.1999999999999999E-2</v>
          </cell>
        </row>
        <row r="21">
          <cell r="F21">
            <v>10</v>
          </cell>
        </row>
        <row r="22">
          <cell r="F22">
            <v>4.6300904690519689</v>
          </cell>
        </row>
        <row r="23">
          <cell r="F23">
            <v>3.0000000000000001E-3</v>
          </cell>
        </row>
        <row r="24">
          <cell r="F24">
            <v>1543.3634896839897</v>
          </cell>
        </row>
      </sheetData>
      <sheetData sheetId="24"/>
      <sheetData sheetId="25">
        <row r="12">
          <cell r="F12">
            <v>435.24223135806722</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85.988129999999998</v>
          </cell>
        </row>
        <row r="27">
          <cell r="F27">
            <v>1291.2863994686898</v>
          </cell>
        </row>
        <row r="28">
          <cell r="F28">
            <v>991.77142816335618</v>
          </cell>
        </row>
        <row r="29">
          <cell r="F29">
            <v>299.51497130533357</v>
          </cell>
        </row>
        <row r="30">
          <cell r="F30">
            <v>1628.2584699189279</v>
          </cell>
        </row>
        <row r="33">
          <cell r="F33">
            <v>908.83815448895939</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20.350000000000001</v>
          </cell>
        </row>
        <row r="19">
          <cell r="E19">
            <v>71.67</v>
          </cell>
        </row>
      </sheetData>
      <sheetData sheetId="29" refreshError="1"/>
      <sheetData sheetId="30">
        <row r="12">
          <cell r="F12">
            <v>70.225168055788032</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Сузунский Шипуновский"/>
    </sheetNames>
    <definedNames>
      <definedName name="Лист29.PrintBlock"/>
    </definedNames>
    <sheetDataSet>
      <sheetData sheetId="0"/>
      <sheetData sheetId="1"/>
      <sheetData sheetId="2"/>
      <sheetData sheetId="3">
        <row r="8">
          <cell r="D8" t="str">
            <v>Период регулирования (i)-й</v>
          </cell>
        </row>
      </sheetData>
      <sheetData sheetId="4"/>
      <sheetData sheetId="5"/>
      <sheetData sheetId="6"/>
      <sheetData sheetId="7">
        <row r="12">
          <cell r="F12">
            <v>925.6767200709744</v>
          </cell>
        </row>
      </sheetData>
      <sheetData sheetId="8">
        <row r="13">
          <cell r="E13" t="str">
            <v>уголь (вид угля не указан в топливном балансе)</v>
          </cell>
        </row>
      </sheetData>
      <sheetData sheetId="9"/>
      <sheetData sheetId="10"/>
      <sheetData sheetId="11"/>
      <sheetData sheetId="12"/>
      <sheetData sheetId="13">
        <row r="12">
          <cell r="F12">
            <v>2108.7102251987935</v>
          </cell>
        </row>
      </sheetData>
      <sheetData sheetId="14">
        <row r="12">
          <cell r="E12" t="str">
            <v>V</v>
          </cell>
        </row>
      </sheetData>
      <sheetData sheetId="15"/>
      <sheetData sheetId="16">
        <row r="10">
          <cell r="E10">
            <v>1287</v>
          </cell>
        </row>
      </sheetData>
      <sheetData sheetId="17">
        <row r="11">
          <cell r="E11">
            <v>9.89</v>
          </cell>
        </row>
      </sheetData>
      <sheetData sheetId="18"/>
      <sheetData sheetId="19"/>
      <sheetData sheetId="20">
        <row r="11">
          <cell r="E11">
            <v>-2.9000000000000026E-2</v>
          </cell>
        </row>
      </sheetData>
      <sheetData sheetId="21"/>
      <sheetData sheetId="22"/>
      <sheetData sheetId="23">
        <row r="12">
          <cell r="F12">
            <v>504.54115631660852</v>
          </cell>
        </row>
      </sheetData>
      <sheetData sheetId="24"/>
      <sheetData sheetId="25">
        <row r="12">
          <cell r="F12">
            <v>412.86118601267515</v>
          </cell>
        </row>
      </sheetData>
      <sheetData sheetId="26"/>
      <sheetData sheetId="27">
        <row r="8">
          <cell r="F8" t="str">
            <v>нет</v>
          </cell>
        </row>
      </sheetData>
      <sheetData sheetId="28">
        <row r="11">
          <cell r="E11">
            <v>1871</v>
          </cell>
        </row>
      </sheetData>
      <sheetData sheetId="29"/>
      <sheetData sheetId="30">
        <row r="12">
          <cell r="F12">
            <v>79.035785751981038</v>
          </cell>
        </row>
      </sheetData>
      <sheetData sheetId="31">
        <row r="12">
          <cell r="F12" t="str">
            <v>-</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Сузунский Битковски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row>
      </sheetData>
      <sheetData sheetId="4" refreshError="1"/>
      <sheetData sheetId="5" refreshError="1"/>
      <sheetData sheetId="6" refreshError="1"/>
      <sheetData sheetId="7">
        <row r="12">
          <cell r="F12">
            <v>904.61553756014928</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sheetData>
      <sheetData sheetId="9" refreshError="1"/>
      <sheetData sheetId="10" refreshError="1"/>
      <sheetData sheetId="11"/>
      <sheetData sheetId="12" refreshError="1"/>
      <sheetData sheetId="13">
        <row r="12">
          <cell r="F12">
            <v>2108.7102251987935</v>
          </cell>
        </row>
      </sheetData>
      <sheetData sheetId="14">
        <row r="12">
          <cell r="E12" t="str">
            <v>V</v>
          </cell>
        </row>
      </sheetData>
      <sheetData sheetId="15" refreshError="1"/>
      <sheetData sheetId="16">
        <row r="10">
          <cell r="E10">
            <v>1287</v>
          </cell>
        </row>
      </sheetData>
      <sheetData sheetId="17">
        <row r="11">
          <cell r="E11">
            <v>9.89</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row>
      </sheetData>
      <sheetData sheetId="21">
        <row r="11">
          <cell r="G11" t="str">
            <v>Информация с официального сайта Банка России</v>
          </cell>
        </row>
      </sheetData>
      <sheetData sheetId="22" refreshError="1"/>
      <sheetData sheetId="23">
        <row r="12">
          <cell r="F12">
            <v>504.54115631660852</v>
          </cell>
        </row>
      </sheetData>
      <sheetData sheetId="24"/>
      <sheetData sheetId="25">
        <row r="12">
          <cell r="F12">
            <v>411.4211331299141</v>
          </cell>
        </row>
      </sheetData>
      <sheetData sheetId="26">
        <row r="12">
          <cell r="F12" t="str">
            <v>пп № 274 от 01.03.2022</v>
          </cell>
        </row>
      </sheetData>
      <sheetData sheetId="27">
        <row r="8">
          <cell r="F8" t="str">
            <v>нет</v>
          </cell>
        </row>
      </sheetData>
      <sheetData sheetId="28">
        <row r="11">
          <cell r="E11">
            <v>1871</v>
          </cell>
        </row>
      </sheetData>
      <sheetData sheetId="29" refreshError="1"/>
      <sheetData sheetId="30">
        <row r="12">
          <cell r="F12">
            <v>78.585761044109319</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Шаблон ЦАК_уголь_ЦП (без НДС)_2"/>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 xml:space="preserve">село Бобровка, Сузунский муниципальный район </v>
          </cell>
        </row>
        <row r="15">
          <cell r="D15" t="str">
            <v/>
          </cell>
        </row>
        <row r="16">
          <cell r="D16" t="str">
            <v>Код ОКТМО</v>
          </cell>
          <cell r="E16" t="str">
            <v>(50648404101)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575.27450817357442</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-0.19900000000000001</v>
          </cell>
        </row>
        <row r="20">
          <cell r="E20">
            <v>5.7000000000000002E-2</v>
          </cell>
        </row>
        <row r="27">
          <cell r="E27">
            <v>2584.7333333333331</v>
          </cell>
        </row>
      </sheetData>
      <sheetData sheetId="9" refreshError="1"/>
      <sheetData sheetId="10" refreshError="1"/>
      <sheetData sheetId="11"/>
      <sheetData sheetId="12" refreshError="1"/>
      <sheetData sheetId="13">
        <row r="12">
          <cell r="F12">
            <v>1990.8616285605142</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1543.3634896839897</v>
          </cell>
        </row>
        <row r="27">
          <cell r="F27">
            <v>0.24536656199999998</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sheetData sheetId="22" refreshError="1"/>
      <sheetData sheetId="23">
        <row r="12">
          <cell r="F12">
            <v>473.18998182045129</v>
          </cell>
        </row>
        <row r="14">
          <cell r="F14">
            <v>6068.1437898865324</v>
          </cell>
        </row>
        <row r="15">
          <cell r="F15">
            <v>0.2</v>
          </cell>
        </row>
        <row r="18">
          <cell r="F18">
            <v>15</v>
          </cell>
        </row>
        <row r="19">
          <cell r="F19">
            <v>3778.1614077800232</v>
          </cell>
        </row>
        <row r="20">
          <cell r="F20">
            <v>2.1999999999999999E-2</v>
          </cell>
        </row>
        <row r="21">
          <cell r="F21">
            <v>10</v>
          </cell>
        </row>
        <row r="22">
          <cell r="F22">
            <v>4.6300904690519689</v>
          </cell>
        </row>
        <row r="23">
          <cell r="F23">
            <v>3.0000000000000001E-3</v>
          </cell>
        </row>
        <row r="24">
          <cell r="F24">
            <v>1543.3634896839897</v>
          </cell>
        </row>
      </sheetData>
      <sheetData sheetId="24"/>
      <sheetData sheetId="25">
        <row r="12">
          <cell r="F12">
            <v>432.67392765669149</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85.988129999999998</v>
          </cell>
        </row>
        <row r="27">
          <cell r="F27">
            <v>1291.2863994686898</v>
          </cell>
        </row>
        <row r="28">
          <cell r="F28">
            <v>991.77142816335618</v>
          </cell>
        </row>
        <row r="29">
          <cell r="F29">
            <v>299.51497130533357</v>
          </cell>
        </row>
        <row r="30">
          <cell r="F30">
            <v>1574.7911639011716</v>
          </cell>
        </row>
        <row r="33">
          <cell r="F33">
            <v>855.37084847120309</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20.350000000000001</v>
          </cell>
        </row>
        <row r="19">
          <cell r="E19">
            <v>71.67</v>
          </cell>
        </row>
      </sheetData>
      <sheetData sheetId="29" refreshError="1"/>
      <sheetData sheetId="30">
        <row r="12">
          <cell r="F12">
            <v>69.44000092422462</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Сузунский Бобровски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row>
      </sheetData>
      <sheetData sheetId="4" refreshError="1"/>
      <sheetData sheetId="5" refreshError="1"/>
      <sheetData sheetId="6" refreshError="1"/>
      <sheetData sheetId="7">
        <row r="12">
          <cell r="F12">
            <v>869.9759730350163</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sheetData>
      <sheetData sheetId="9" refreshError="1"/>
      <sheetData sheetId="10" refreshError="1"/>
      <sheetData sheetId="11"/>
      <sheetData sheetId="12" refreshError="1"/>
      <sheetData sheetId="13">
        <row r="12">
          <cell r="F12">
            <v>2108.7102251987935</v>
          </cell>
        </row>
      </sheetData>
      <sheetData sheetId="14">
        <row r="12">
          <cell r="E12" t="str">
            <v>V</v>
          </cell>
        </row>
      </sheetData>
      <sheetData sheetId="15" refreshError="1"/>
      <sheetData sheetId="16">
        <row r="10">
          <cell r="E10">
            <v>1287</v>
          </cell>
        </row>
      </sheetData>
      <sheetData sheetId="17">
        <row r="11">
          <cell r="E11">
            <v>9.89</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row>
      </sheetData>
      <sheetData sheetId="21">
        <row r="11">
          <cell r="G11" t="str">
            <v>Информация с официального сайта Банка России</v>
          </cell>
        </row>
      </sheetData>
      <sheetData sheetId="22" refreshError="1"/>
      <sheetData sheetId="23">
        <row r="12">
          <cell r="F12">
            <v>504.54115631660852</v>
          </cell>
        </row>
      </sheetData>
      <sheetData sheetId="24"/>
      <sheetData sheetId="25">
        <row r="12">
          <cell r="F12">
            <v>409.36555745904809</v>
          </cell>
        </row>
      </sheetData>
      <sheetData sheetId="26">
        <row r="12">
          <cell r="F12" t="str">
            <v>пп № 274 от 01.03.2022</v>
          </cell>
        </row>
      </sheetData>
      <sheetData sheetId="27">
        <row r="8">
          <cell r="F8" t="str">
            <v>нет</v>
          </cell>
        </row>
      </sheetData>
      <sheetData sheetId="28">
        <row r="11">
          <cell r="E11">
            <v>1871</v>
          </cell>
        </row>
      </sheetData>
      <sheetData sheetId="29" refreshError="1"/>
      <sheetData sheetId="30">
        <row r="12">
          <cell r="F12">
            <v>77.85185824018933</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Шаблон ЦАК_уголь_ЦП (без НДС)_2"/>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Болтово, Сузунский муниципальный район</v>
          </cell>
        </row>
        <row r="15">
          <cell r="D15" t="str">
            <v/>
          </cell>
        </row>
        <row r="16">
          <cell r="D16" t="str">
            <v>Код ОКТМО</v>
          </cell>
          <cell r="E16" t="str">
            <v xml:space="preserve"> (50648407101)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585.45691593283061</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-0.19900000000000001</v>
          </cell>
        </row>
        <row r="20">
          <cell r="E20">
            <v>5.7000000000000002E-2</v>
          </cell>
        </row>
        <row r="27">
          <cell r="E27">
            <v>2630.4833333333336</v>
          </cell>
        </row>
      </sheetData>
      <sheetData sheetId="9" refreshError="1"/>
      <sheetData sheetId="10" refreshError="1"/>
      <sheetData sheetId="11"/>
      <sheetData sheetId="12" refreshError="1"/>
      <sheetData sheetId="13">
        <row r="12">
          <cell r="F12">
            <v>1990.8616285605142</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1543.3634896839897</v>
          </cell>
        </row>
        <row r="27">
          <cell r="F27">
            <v>0.24536656199999998</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sheetData sheetId="22" refreshError="1"/>
      <sheetData sheetId="23">
        <row r="12">
          <cell r="F12">
            <v>473.18998182045129</v>
          </cell>
        </row>
        <row r="14">
          <cell r="F14">
            <v>6068.1437898865324</v>
          </cell>
        </row>
        <row r="15">
          <cell r="F15">
            <v>0.2</v>
          </cell>
        </row>
        <row r="18">
          <cell r="F18">
            <v>15</v>
          </cell>
        </row>
        <row r="19">
          <cell r="F19">
            <v>3778.1614077800232</v>
          </cell>
        </row>
        <row r="20">
          <cell r="F20">
            <v>2.1999999999999999E-2</v>
          </cell>
        </row>
        <row r="21">
          <cell r="F21">
            <v>10</v>
          </cell>
        </row>
        <row r="22">
          <cell r="F22">
            <v>4.6300904690519689</v>
          </cell>
        </row>
        <row r="23">
          <cell r="F23">
            <v>3.0000000000000001E-3</v>
          </cell>
        </row>
        <row r="24">
          <cell r="F24">
            <v>1543.3634896839897</v>
          </cell>
        </row>
      </sheetData>
      <sheetData sheetId="24"/>
      <sheetData sheetId="25">
        <row r="12">
          <cell r="F12">
            <v>433.38669619983943</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85.988129999999998</v>
          </cell>
        </row>
        <row r="27">
          <cell r="F27">
            <v>1291.2863994686898</v>
          </cell>
        </row>
        <row r="28">
          <cell r="F28">
            <v>991.77142816335618</v>
          </cell>
        </row>
        <row r="29">
          <cell r="F29">
            <v>299.51497130533357</v>
          </cell>
        </row>
        <row r="30">
          <cell r="F30">
            <v>1589.6296792200212</v>
          </cell>
        </row>
        <row r="33">
          <cell r="F33">
            <v>870.20936379005275</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20.350000000000001</v>
          </cell>
        </row>
        <row r="19">
          <cell r="E19">
            <v>71.67</v>
          </cell>
        </row>
      </sheetData>
      <sheetData sheetId="29" refreshError="1"/>
      <sheetData sheetId="30">
        <row r="12">
          <cell r="F12">
            <v>69.65790445027271</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Сузунский Болтовски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row>
      </sheetData>
      <sheetData sheetId="4" refreshError="1"/>
      <sheetData sheetId="5" refreshError="1"/>
      <sheetData sheetId="6" refreshError="1"/>
      <sheetData sheetId="7">
        <row r="12">
          <cell r="F12">
            <v>881.42331892382447</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sheetData>
      <sheetData sheetId="9" refreshError="1"/>
      <sheetData sheetId="10" refreshError="1"/>
      <sheetData sheetId="11"/>
      <sheetData sheetId="12" refreshError="1"/>
      <sheetData sheetId="13">
        <row r="12">
          <cell r="F12">
            <v>2108.7102251987935</v>
          </cell>
        </row>
      </sheetData>
      <sheetData sheetId="14">
        <row r="12">
          <cell r="E12" t="str">
            <v>V</v>
          </cell>
        </row>
      </sheetData>
      <sheetData sheetId="15" refreshError="1"/>
      <sheetData sheetId="16">
        <row r="10">
          <cell r="E10">
            <v>1287</v>
          </cell>
        </row>
      </sheetData>
      <sheetData sheetId="17">
        <row r="11">
          <cell r="E11">
            <v>9.89</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row>
      </sheetData>
      <sheetData sheetId="21">
        <row r="11">
          <cell r="G11" t="str">
            <v>Информация с официального сайта Банка России</v>
          </cell>
        </row>
      </sheetData>
      <sheetData sheetId="22" refreshError="1"/>
      <sheetData sheetId="23">
        <row r="12">
          <cell r="F12">
            <v>504.54115631660852</v>
          </cell>
        </row>
      </sheetData>
      <sheetData sheetId="24"/>
      <sheetData sheetId="25">
        <row r="12">
          <cell r="F12">
            <v>404.31811112653935</v>
          </cell>
        </row>
      </sheetData>
      <sheetData sheetId="26">
        <row r="12">
          <cell r="F12" t="str">
            <v>пп № 274 от 01.03.2022</v>
          </cell>
        </row>
      </sheetData>
      <sheetData sheetId="27">
        <row r="8">
          <cell r="F8" t="str">
            <v>нет</v>
          </cell>
        </row>
      </sheetData>
      <sheetData sheetId="28">
        <row r="11">
          <cell r="E11">
            <v>1871</v>
          </cell>
        </row>
      </sheetData>
      <sheetData sheetId="29" refreshError="1"/>
      <sheetData sheetId="30">
        <row r="12">
          <cell r="F12">
            <v>77.979856231315324</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Шаблон ЦАК_уголь_ЦП (без НДС)_2"/>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 xml:space="preserve">село Верх-Сузун, Сузунский муниципальный район </v>
          </cell>
        </row>
        <row r="15">
          <cell r="D15" t="str">
            <v/>
          </cell>
        </row>
        <row r="16">
          <cell r="D16" t="str">
            <v>Код ОКТМО</v>
          </cell>
          <cell r="E16" t="str">
            <v>(50648410101)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625.61714821173234</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-0.19900000000000001</v>
          </cell>
        </row>
        <row r="20">
          <cell r="E20">
            <v>5.7000000000000002E-2</v>
          </cell>
        </row>
        <row r="27">
          <cell r="E27">
            <v>2810.9250000000002</v>
          </cell>
        </row>
      </sheetData>
      <sheetData sheetId="9" refreshError="1"/>
      <sheetData sheetId="10" refreshError="1"/>
      <sheetData sheetId="11"/>
      <sheetData sheetId="12" refreshError="1"/>
      <sheetData sheetId="13">
        <row r="12">
          <cell r="F12">
            <v>1990.8616285605142</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1543.3634896839897</v>
          </cell>
        </row>
        <row r="27">
          <cell r="F27">
            <v>0.24536656199999998</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sheetData sheetId="22" refreshError="1"/>
      <sheetData sheetId="23">
        <row r="12">
          <cell r="F12">
            <v>473.18998182045129</v>
          </cell>
        </row>
        <row r="14">
          <cell r="F14">
            <v>6068.1437898865324</v>
          </cell>
        </row>
        <row r="15">
          <cell r="F15">
            <v>0.2</v>
          </cell>
        </row>
        <row r="18">
          <cell r="F18">
            <v>15</v>
          </cell>
        </row>
        <row r="19">
          <cell r="F19">
            <v>3778.1614077800232</v>
          </cell>
        </row>
        <row r="20">
          <cell r="F20">
            <v>2.1999999999999999E-2</v>
          </cell>
        </row>
        <row r="21">
          <cell r="F21">
            <v>10</v>
          </cell>
        </row>
        <row r="22">
          <cell r="F22">
            <v>4.6300904690519689</v>
          </cell>
        </row>
        <row r="23">
          <cell r="F23">
            <v>3.0000000000000001E-3</v>
          </cell>
        </row>
        <row r="24">
          <cell r="F24">
            <v>1543.3634896839897</v>
          </cell>
        </row>
      </sheetData>
      <sheetData sheetId="24"/>
      <sheetData sheetId="25">
        <row r="12">
          <cell r="F12">
            <v>436.19791245936256</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85.988129999999998</v>
          </cell>
        </row>
        <row r="27">
          <cell r="F27">
            <v>1291.2863994686898</v>
          </cell>
        </row>
        <row r="28">
          <cell r="F28">
            <v>991.77142816335618</v>
          </cell>
        </row>
        <row r="29">
          <cell r="F29">
            <v>299.51497130533357</v>
          </cell>
        </row>
        <row r="30">
          <cell r="F30">
            <v>1648.1539728810499</v>
          </cell>
        </row>
        <row r="33">
          <cell r="F33">
            <v>928.7336574510814</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20.350000000000001</v>
          </cell>
        </row>
        <row r="19">
          <cell r="E19">
            <v>71.67</v>
          </cell>
        </row>
      </sheetData>
      <sheetData sheetId="29" refreshError="1"/>
      <sheetData sheetId="30">
        <row r="12">
          <cell r="F12">
            <v>70.517333421041201</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trlProp" Target="../ctrlProps/ctrlProp2.xml"/></Relationships>
</file>

<file path=xl/worksheets/_rels/sheet10.xml.rels><?xml version="1.0" encoding="UTF-8" standalone="yes"?>
<Relationships xmlns="http://schemas.openxmlformats.org/package/2006/relationships"><Relationship Id="rId3" Type="http://schemas.openxmlformats.org/officeDocument/2006/relationships/ctrlProp" Target="../ctrlProps/ctrlProp19.xml"/><Relationship Id="rId2" Type="http://schemas.openxmlformats.org/officeDocument/2006/relationships/vmlDrawing" Target="../drawings/vmlDrawing10.vml"/><Relationship Id="rId1" Type="http://schemas.openxmlformats.org/officeDocument/2006/relationships/drawing" Target="../drawings/drawing10.xml"/><Relationship Id="rId4" Type="http://schemas.openxmlformats.org/officeDocument/2006/relationships/ctrlProp" Target="../ctrlProps/ctrlProp20.xml"/></Relationships>
</file>

<file path=xl/worksheets/_rels/sheet11.xml.rels><?xml version="1.0" encoding="UTF-8" standalone="yes"?>
<Relationships xmlns="http://schemas.openxmlformats.org/package/2006/relationships"><Relationship Id="rId3" Type="http://schemas.openxmlformats.org/officeDocument/2006/relationships/ctrlProp" Target="../ctrlProps/ctrlProp21.xml"/><Relationship Id="rId2" Type="http://schemas.openxmlformats.org/officeDocument/2006/relationships/vmlDrawing" Target="../drawings/vmlDrawing11.vml"/><Relationship Id="rId1" Type="http://schemas.openxmlformats.org/officeDocument/2006/relationships/drawing" Target="../drawings/drawing11.xml"/><Relationship Id="rId4" Type="http://schemas.openxmlformats.org/officeDocument/2006/relationships/ctrlProp" Target="../ctrlProps/ctrlProp22.xml"/></Relationships>
</file>

<file path=xl/worksheets/_rels/sheet12.xml.rels><?xml version="1.0" encoding="UTF-8" standalone="yes"?>
<Relationships xmlns="http://schemas.openxmlformats.org/package/2006/relationships"><Relationship Id="rId3" Type="http://schemas.openxmlformats.org/officeDocument/2006/relationships/ctrlProp" Target="../ctrlProps/ctrlProp23.xml"/><Relationship Id="rId2" Type="http://schemas.openxmlformats.org/officeDocument/2006/relationships/vmlDrawing" Target="../drawings/vmlDrawing12.vml"/><Relationship Id="rId1" Type="http://schemas.openxmlformats.org/officeDocument/2006/relationships/drawing" Target="../drawings/drawing12.xml"/><Relationship Id="rId4" Type="http://schemas.openxmlformats.org/officeDocument/2006/relationships/ctrlProp" Target="../ctrlProps/ctrlProp24.xml"/></Relationships>
</file>

<file path=xl/worksheets/_rels/sheet13.xml.rels><?xml version="1.0" encoding="UTF-8" standalone="yes"?>
<Relationships xmlns="http://schemas.openxmlformats.org/package/2006/relationships"><Relationship Id="rId3" Type="http://schemas.openxmlformats.org/officeDocument/2006/relationships/ctrlProp" Target="../ctrlProps/ctrlProp25.xml"/><Relationship Id="rId2" Type="http://schemas.openxmlformats.org/officeDocument/2006/relationships/vmlDrawing" Target="../drawings/vmlDrawing13.vml"/><Relationship Id="rId1" Type="http://schemas.openxmlformats.org/officeDocument/2006/relationships/drawing" Target="../drawings/drawing13.xml"/><Relationship Id="rId4" Type="http://schemas.openxmlformats.org/officeDocument/2006/relationships/ctrlProp" Target="../ctrlProps/ctrlProp26.xml"/></Relationships>
</file>

<file path=xl/worksheets/_rels/sheet14.xml.rels><?xml version="1.0" encoding="UTF-8" standalone="yes"?>
<Relationships xmlns="http://schemas.openxmlformats.org/package/2006/relationships"><Relationship Id="rId3" Type="http://schemas.openxmlformats.org/officeDocument/2006/relationships/ctrlProp" Target="../ctrlProps/ctrlProp27.xml"/><Relationship Id="rId2" Type="http://schemas.openxmlformats.org/officeDocument/2006/relationships/vmlDrawing" Target="../drawings/vmlDrawing14.vml"/><Relationship Id="rId1" Type="http://schemas.openxmlformats.org/officeDocument/2006/relationships/drawing" Target="../drawings/drawing14.xml"/><Relationship Id="rId4" Type="http://schemas.openxmlformats.org/officeDocument/2006/relationships/ctrlProp" Target="../ctrlProps/ctrlProp28.xml"/></Relationships>
</file>

<file path=xl/worksheets/_rels/sheet15.xml.rels><?xml version="1.0" encoding="UTF-8" standalone="yes"?>
<Relationships xmlns="http://schemas.openxmlformats.org/package/2006/relationships"><Relationship Id="rId3" Type="http://schemas.openxmlformats.org/officeDocument/2006/relationships/ctrlProp" Target="../ctrlProps/ctrlProp29.xml"/><Relationship Id="rId2" Type="http://schemas.openxmlformats.org/officeDocument/2006/relationships/vmlDrawing" Target="../drawings/vmlDrawing15.vml"/><Relationship Id="rId1" Type="http://schemas.openxmlformats.org/officeDocument/2006/relationships/drawing" Target="../drawings/drawing15.xml"/><Relationship Id="rId4" Type="http://schemas.openxmlformats.org/officeDocument/2006/relationships/ctrlProp" Target="../ctrlProps/ctrlProp30.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3.vml"/><Relationship Id="rId1" Type="http://schemas.openxmlformats.org/officeDocument/2006/relationships/drawing" Target="../drawings/drawing3.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7.xml"/><Relationship Id="rId2" Type="http://schemas.openxmlformats.org/officeDocument/2006/relationships/vmlDrawing" Target="../drawings/vmlDrawing4.vml"/><Relationship Id="rId1" Type="http://schemas.openxmlformats.org/officeDocument/2006/relationships/drawing" Target="../drawings/drawing4.xml"/><Relationship Id="rId4"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9.xml"/><Relationship Id="rId2" Type="http://schemas.openxmlformats.org/officeDocument/2006/relationships/vmlDrawing" Target="../drawings/vmlDrawing5.vml"/><Relationship Id="rId1" Type="http://schemas.openxmlformats.org/officeDocument/2006/relationships/drawing" Target="../drawings/drawing5.xml"/><Relationship Id="rId4" Type="http://schemas.openxmlformats.org/officeDocument/2006/relationships/ctrlProp" Target="../ctrlProps/ctrlProp10.xml"/></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11.xml"/><Relationship Id="rId2" Type="http://schemas.openxmlformats.org/officeDocument/2006/relationships/vmlDrawing" Target="../drawings/vmlDrawing6.vml"/><Relationship Id="rId1" Type="http://schemas.openxmlformats.org/officeDocument/2006/relationships/drawing" Target="../drawings/drawing6.xml"/><Relationship Id="rId4" Type="http://schemas.openxmlformats.org/officeDocument/2006/relationships/ctrlProp" Target="../ctrlProps/ctrlProp12.xml"/></Relationships>
</file>

<file path=xl/worksheets/_rels/sheet7.xml.rels><?xml version="1.0" encoding="UTF-8" standalone="yes"?>
<Relationships xmlns="http://schemas.openxmlformats.org/package/2006/relationships"><Relationship Id="rId3" Type="http://schemas.openxmlformats.org/officeDocument/2006/relationships/ctrlProp" Target="../ctrlProps/ctrlProp13.xml"/><Relationship Id="rId2" Type="http://schemas.openxmlformats.org/officeDocument/2006/relationships/vmlDrawing" Target="../drawings/vmlDrawing7.vml"/><Relationship Id="rId1" Type="http://schemas.openxmlformats.org/officeDocument/2006/relationships/drawing" Target="../drawings/drawing7.xml"/><Relationship Id="rId4" Type="http://schemas.openxmlformats.org/officeDocument/2006/relationships/ctrlProp" Target="../ctrlProps/ctrlProp14.xml"/></Relationships>
</file>

<file path=xl/worksheets/_rels/sheet8.xml.rels><?xml version="1.0" encoding="UTF-8" standalone="yes"?>
<Relationships xmlns="http://schemas.openxmlformats.org/package/2006/relationships"><Relationship Id="rId3" Type="http://schemas.openxmlformats.org/officeDocument/2006/relationships/ctrlProp" Target="../ctrlProps/ctrlProp15.xml"/><Relationship Id="rId2" Type="http://schemas.openxmlformats.org/officeDocument/2006/relationships/vmlDrawing" Target="../drawings/vmlDrawing8.vml"/><Relationship Id="rId1" Type="http://schemas.openxmlformats.org/officeDocument/2006/relationships/drawing" Target="../drawings/drawing8.xml"/><Relationship Id="rId4" Type="http://schemas.openxmlformats.org/officeDocument/2006/relationships/ctrlProp" Target="../ctrlProps/ctrlProp16.xml"/></Relationships>
</file>

<file path=xl/worksheets/_rels/sheet9.xml.rels><?xml version="1.0" encoding="UTF-8" standalone="yes"?>
<Relationships xmlns="http://schemas.openxmlformats.org/package/2006/relationships"><Relationship Id="rId3" Type="http://schemas.openxmlformats.org/officeDocument/2006/relationships/ctrlProp" Target="../ctrlProps/ctrlProp17.xml"/><Relationship Id="rId2" Type="http://schemas.openxmlformats.org/officeDocument/2006/relationships/vmlDrawing" Target="../drawings/vmlDrawing9.vml"/><Relationship Id="rId1" Type="http://schemas.openxmlformats.org/officeDocument/2006/relationships/drawing" Target="../drawings/drawing9.xml"/><Relationship Id="rId4"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C2" sqref="C2"/>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20" t="s">
        <v>0</v>
      </c>
      <c r="C1" s="120"/>
    </row>
    <row r="2" spans="1:3" x14ac:dyDescent="0.2">
      <c r="A2" s="3"/>
      <c r="B2" s="4" t="s">
        <v>1</v>
      </c>
      <c r="C2" s="5">
        <v>45317</v>
      </c>
    </row>
    <row r="3" spans="1:3" x14ac:dyDescent="0.2">
      <c r="A3" s="3"/>
      <c r="B3" s="6" t="s">
        <v>2</v>
      </c>
    </row>
    <row r="4" spans="1:3" ht="25.5" x14ac:dyDescent="0.2">
      <c r="A4" s="8"/>
      <c r="B4" s="9" t="str">
        <f>[1]И1!D13</f>
        <v>Субъект Российской Федерации</v>
      </c>
      <c r="C4" s="10" t="str">
        <f>[1]И1!E13</f>
        <v>Новосибирская область</v>
      </c>
    </row>
    <row r="5" spans="1:3" ht="46.9" customHeight="1" x14ac:dyDescent="0.2">
      <c r="A5" s="8"/>
      <c r="B5" s="9" t="str">
        <f>[1]И1!D14</f>
        <v>Тип муниципального образования (выберите из списка)</v>
      </c>
      <c r="C5" s="10" t="str">
        <f>[1]И1!E14</f>
        <v>рабочий поселок Сузун, Сузунский муниципальный район</v>
      </c>
    </row>
    <row r="6" spans="1:3" x14ac:dyDescent="0.2">
      <c r="A6" s="8"/>
      <c r="B6" s="9" t="str">
        <f>IF([1]И1!E15="","",[1]И1!D15)</f>
        <v/>
      </c>
      <c r="C6" s="10" t="str">
        <f>IF([1]И1!E15="","",[1]И1!E15)</f>
        <v/>
      </c>
    </row>
    <row r="7" spans="1:3" x14ac:dyDescent="0.2">
      <c r="A7" s="8"/>
      <c r="B7" s="9" t="str">
        <f>[1]И1!D16</f>
        <v>Код ОКТМО</v>
      </c>
      <c r="C7" s="11" t="str">
        <f>[1]И1!E16</f>
        <v>(50648151051)</v>
      </c>
    </row>
    <row r="8" spans="1:3" x14ac:dyDescent="0.2">
      <c r="A8" s="8"/>
      <c r="B8" s="12" t="str">
        <f>[1]И1!D17</f>
        <v>Система теплоснабжения</v>
      </c>
      <c r="C8" s="13">
        <f>[1]И1!E17</f>
        <v>0</v>
      </c>
    </row>
    <row r="9" spans="1:3" x14ac:dyDescent="0.2">
      <c r="A9" s="8"/>
      <c r="B9" s="9" t="str">
        <f>[1]И1!D8</f>
        <v>Период регулирования (i)-й</v>
      </c>
      <c r="C9" s="14">
        <f>[1]И1!E8</f>
        <v>2024</v>
      </c>
    </row>
    <row r="10" spans="1:3" x14ac:dyDescent="0.2">
      <c r="A10" s="8"/>
      <c r="B10" s="9" t="str">
        <f>[1]И1!D9</f>
        <v>Период регулирования (i-1)-й</v>
      </c>
      <c r="C10" s="14">
        <f>[1]И1!E9</f>
        <v>2023</v>
      </c>
    </row>
    <row r="11" spans="1:3" x14ac:dyDescent="0.2">
      <c r="A11" s="8"/>
      <c r="B11" s="9" t="str">
        <f>[1]И1!D10</f>
        <v>Период регулирования (i-2)-й</v>
      </c>
      <c r="C11" s="14">
        <f>[1]И1!E10</f>
        <v>2022</v>
      </c>
    </row>
    <row r="12" spans="1:3" x14ac:dyDescent="0.2">
      <c r="A12" s="8"/>
      <c r="B12" s="9" t="str">
        <f>[1]И1!D11</f>
        <v>Базовый год (б)</v>
      </c>
      <c r="C12" s="14">
        <f>[1]И1!E11</f>
        <v>2019</v>
      </c>
    </row>
    <row r="13" spans="1:3" ht="38.25" x14ac:dyDescent="0.2">
      <c r="A13" s="8"/>
      <c r="B13" s="9" t="str">
        <f>[1]И1!D18</f>
        <v>Вид топлива, использование которого преобладает в системе теплоснабжения</v>
      </c>
      <c r="C13" s="15" t="str">
        <f>[1]С1.1!E13</f>
        <v>уголь (вид угля не указан в топливном балансе)</v>
      </c>
    </row>
    <row r="14" spans="1:3" ht="31.7" customHeight="1" thickBot="1" x14ac:dyDescent="0.25">
      <c r="A14" s="119" t="s">
        <v>3</v>
      </c>
      <c r="B14" s="119"/>
      <c r="C14" s="119"/>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3606.1890201512542</v>
      </c>
    </row>
    <row r="18" spans="1:3" ht="42.75" x14ac:dyDescent="0.2">
      <c r="A18" s="22" t="s">
        <v>8</v>
      </c>
      <c r="B18" s="25" t="s">
        <v>9</v>
      </c>
      <c r="C18" s="26">
        <f>[1]С1!F12</f>
        <v>634.60103650030874</v>
      </c>
    </row>
    <row r="19" spans="1:3" ht="42.75" x14ac:dyDescent="0.2">
      <c r="A19" s="22" t="s">
        <v>10</v>
      </c>
      <c r="B19" s="25" t="s">
        <v>11</v>
      </c>
      <c r="C19" s="26">
        <f>[1]С2!F12</f>
        <v>1990.8616285605142</v>
      </c>
    </row>
    <row r="20" spans="1:3" ht="30" x14ac:dyDescent="0.2">
      <c r="A20" s="22" t="s">
        <v>12</v>
      </c>
      <c r="B20" s="25" t="s">
        <v>13</v>
      </c>
      <c r="C20" s="26">
        <f>[1]С3!F12</f>
        <v>473.18998182045129</v>
      </c>
    </row>
    <row r="21" spans="1:3" ht="42.75" x14ac:dyDescent="0.2">
      <c r="A21" s="22" t="s">
        <v>14</v>
      </c>
      <c r="B21" s="25" t="s">
        <v>15</v>
      </c>
      <c r="C21" s="26">
        <f>[1]С4!F12</f>
        <v>436.82678463956296</v>
      </c>
    </row>
    <row r="22" spans="1:3" ht="30" x14ac:dyDescent="0.2">
      <c r="A22" s="22" t="s">
        <v>16</v>
      </c>
      <c r="B22" s="25" t="s">
        <v>17</v>
      </c>
      <c r="C22" s="26">
        <f>[1]С5!F12</f>
        <v>70.709588630416746</v>
      </c>
    </row>
    <row r="23" spans="1:3" ht="43.5" thickBot="1" x14ac:dyDescent="0.25">
      <c r="A23" s="27" t="s">
        <v>18</v>
      </c>
      <c r="B23" s="105" t="s">
        <v>19</v>
      </c>
      <c r="C23" s="28" t="str">
        <f>[1]С6!F12</f>
        <v>-</v>
      </c>
    </row>
    <row r="24" spans="1:3" ht="13.5" thickBot="1" x14ac:dyDescent="0.25">
      <c r="A24" s="3"/>
    </row>
    <row r="25" spans="1:3" x14ac:dyDescent="0.2">
      <c r="A25" s="16" t="s">
        <v>4</v>
      </c>
      <c r="B25" s="29" t="s">
        <v>5</v>
      </c>
      <c r="C25" s="30" t="s">
        <v>6</v>
      </c>
    </row>
    <row r="26" spans="1:3" x14ac:dyDescent="0.2">
      <c r="A26" s="19">
        <v>1</v>
      </c>
      <c r="B26" s="31">
        <v>2</v>
      </c>
      <c r="C26" s="32">
        <v>3</v>
      </c>
    </row>
    <row r="27" spans="1:3" ht="30" customHeight="1" x14ac:dyDescent="0.2">
      <c r="A27" s="22">
        <v>1</v>
      </c>
      <c r="B27" s="121" t="s">
        <v>20</v>
      </c>
      <c r="C27" s="121"/>
    </row>
    <row r="28" spans="1:3" x14ac:dyDescent="0.2">
      <c r="A28" s="22" t="s">
        <v>8</v>
      </c>
      <c r="B28" s="33" t="s">
        <v>21</v>
      </c>
      <c r="C28" s="34">
        <f>[1]С1.1!E16</f>
        <v>5100</v>
      </c>
    </row>
    <row r="29" spans="1:3" ht="42.75" x14ac:dyDescent="0.2">
      <c r="A29" s="22" t="s">
        <v>10</v>
      </c>
      <c r="B29" s="33" t="s">
        <v>22</v>
      </c>
      <c r="C29" s="34">
        <f>[1]С1.1!E27</f>
        <v>2851.29</v>
      </c>
    </row>
    <row r="30" spans="1:3" ht="17.25" x14ac:dyDescent="0.2">
      <c r="A30" s="22" t="s">
        <v>12</v>
      </c>
      <c r="B30" s="33" t="s">
        <v>23</v>
      </c>
      <c r="C30" s="35">
        <f>[1]С1.1!E19</f>
        <v>-0.19900000000000001</v>
      </c>
    </row>
    <row r="31" spans="1:3" ht="17.25" x14ac:dyDescent="0.2">
      <c r="A31" s="22" t="s">
        <v>14</v>
      </c>
      <c r="B31" s="33" t="s">
        <v>24</v>
      </c>
      <c r="C31" s="35">
        <f>[1]С1.1!E20</f>
        <v>5.7000000000000002E-2</v>
      </c>
    </row>
    <row r="32" spans="1:3" ht="30" x14ac:dyDescent="0.2">
      <c r="A32" s="22" t="s">
        <v>16</v>
      </c>
      <c r="B32" s="36" t="s">
        <v>25</v>
      </c>
      <c r="C32" s="37">
        <f>[1]С1!F13</f>
        <v>176.4</v>
      </c>
    </row>
    <row r="33" spans="1:3" x14ac:dyDescent="0.2">
      <c r="A33" s="22" t="s">
        <v>18</v>
      </c>
      <c r="B33" s="36" t="s">
        <v>26</v>
      </c>
      <c r="C33" s="38">
        <f>[1]С1!F16</f>
        <v>7000</v>
      </c>
    </row>
    <row r="34" spans="1:3" ht="14.25" x14ac:dyDescent="0.2">
      <c r="A34" s="22" t="s">
        <v>27</v>
      </c>
      <c r="B34" s="39" t="s">
        <v>28</v>
      </c>
      <c r="C34" s="40">
        <f>[1]С1!F17</f>
        <v>0.72857142857142854</v>
      </c>
    </row>
    <row r="35" spans="1:3" ht="15.75" x14ac:dyDescent="0.2">
      <c r="A35" s="41" t="s">
        <v>29</v>
      </c>
      <c r="B35" s="42" t="s">
        <v>30</v>
      </c>
      <c r="C35" s="40">
        <f>[1]С1!F20</f>
        <v>21.588411179999994</v>
      </c>
    </row>
    <row r="36" spans="1:3" ht="15.75" x14ac:dyDescent="0.2">
      <c r="A36" s="41" t="s">
        <v>31</v>
      </c>
      <c r="B36" s="43" t="s">
        <v>32</v>
      </c>
      <c r="C36" s="40">
        <f>[1]С1!F21</f>
        <v>20.818139999999996</v>
      </c>
    </row>
    <row r="37" spans="1:3" ht="14.25" x14ac:dyDescent="0.2">
      <c r="A37" s="41" t="s">
        <v>33</v>
      </c>
      <c r="B37" s="44" t="s">
        <v>34</v>
      </c>
      <c r="C37" s="40">
        <f>[1]С1!F22</f>
        <v>1.0369999999999999</v>
      </c>
    </row>
    <row r="38" spans="1:3" ht="53.25" thickBot="1" x14ac:dyDescent="0.25">
      <c r="A38" s="27" t="s">
        <v>35</v>
      </c>
      <c r="B38" s="45" t="s">
        <v>36</v>
      </c>
      <c r="C38" s="46">
        <f>[1]С1!F23</f>
        <v>1.0469999999999999</v>
      </c>
    </row>
    <row r="39" spans="1:3" ht="13.5" thickBot="1" x14ac:dyDescent="0.25">
      <c r="A39" s="47"/>
      <c r="B39" s="48"/>
      <c r="C39" s="49"/>
    </row>
    <row r="40" spans="1:3" ht="30" customHeight="1" x14ac:dyDescent="0.2">
      <c r="A40" s="50" t="s">
        <v>37</v>
      </c>
      <c r="B40" s="122" t="s">
        <v>38</v>
      </c>
      <c r="C40" s="122"/>
    </row>
    <row r="41" spans="1:3" ht="25.5" x14ac:dyDescent="0.2">
      <c r="A41" s="22" t="s">
        <v>39</v>
      </c>
      <c r="B41" s="36" t="s">
        <v>40</v>
      </c>
      <c r="C41" s="51" t="str">
        <f>[1]С2.1!E12</f>
        <v>V</v>
      </c>
    </row>
    <row r="42" spans="1:3" ht="25.5" x14ac:dyDescent="0.2">
      <c r="A42" s="22" t="s">
        <v>41</v>
      </c>
      <c r="B42" s="33" t="s">
        <v>42</v>
      </c>
      <c r="C42" s="51" t="str">
        <f>[1]С2.1!E13</f>
        <v>6 и менее баллов</v>
      </c>
    </row>
    <row r="43" spans="1:3" ht="25.5" x14ac:dyDescent="0.2">
      <c r="A43" s="22" t="s">
        <v>43</v>
      </c>
      <c r="B43" s="33" t="s">
        <v>44</v>
      </c>
      <c r="C43" s="51" t="str">
        <f>[1]С2.1!E14</f>
        <v>от 200 до 500</v>
      </c>
    </row>
    <row r="44" spans="1:3" ht="25.5" x14ac:dyDescent="0.2">
      <c r="A44" s="22" t="s">
        <v>45</v>
      </c>
      <c r="B44" s="33" t="s">
        <v>46</v>
      </c>
      <c r="C44" s="52" t="str">
        <f>[1]С2.1!E15</f>
        <v>нет</v>
      </c>
    </row>
    <row r="45" spans="1:3" ht="30" x14ac:dyDescent="0.2">
      <c r="A45" s="22" t="s">
        <v>47</v>
      </c>
      <c r="B45" s="33" t="s">
        <v>48</v>
      </c>
      <c r="C45" s="34">
        <f>[1]С2!F18</f>
        <v>35106.652004551666</v>
      </c>
    </row>
    <row r="46" spans="1:3" ht="30" x14ac:dyDescent="0.2">
      <c r="A46" s="22" t="s">
        <v>49</v>
      </c>
      <c r="B46" s="53" t="s">
        <v>50</v>
      </c>
      <c r="C46" s="34">
        <f>IF([1]С2!F19&gt;0,[1]С2!F19,[1]С2!F20)</f>
        <v>23441.524932855718</v>
      </c>
    </row>
    <row r="47" spans="1:3" ht="25.5" x14ac:dyDescent="0.2">
      <c r="A47" s="22" t="s">
        <v>51</v>
      </c>
      <c r="B47" s="54" t="s">
        <v>52</v>
      </c>
      <c r="C47" s="34">
        <f>[1]С2.1!E19</f>
        <v>-38</v>
      </c>
    </row>
    <row r="48" spans="1:3" ht="25.5" x14ac:dyDescent="0.2">
      <c r="A48" s="22" t="s">
        <v>53</v>
      </c>
      <c r="B48" s="54" t="s">
        <v>54</v>
      </c>
      <c r="C48" s="34" t="str">
        <f>[1]С2.1!E22</f>
        <v>нет</v>
      </c>
    </row>
    <row r="49" spans="1:3" ht="38.25" x14ac:dyDescent="0.2">
      <c r="A49" s="22" t="s">
        <v>55</v>
      </c>
      <c r="B49" s="55" t="s">
        <v>56</v>
      </c>
      <c r="C49" s="34">
        <f>[1]С2.2!E10</f>
        <v>1287</v>
      </c>
    </row>
    <row r="50" spans="1:3" ht="25.5" x14ac:dyDescent="0.2">
      <c r="A50" s="22" t="s">
        <v>57</v>
      </c>
      <c r="B50" s="56" t="s">
        <v>58</v>
      </c>
      <c r="C50" s="34">
        <f>[1]С2.2!E12</f>
        <v>5.97</v>
      </c>
    </row>
    <row r="51" spans="1:3" ht="52.5" x14ac:dyDescent="0.2">
      <c r="A51" s="22" t="s">
        <v>59</v>
      </c>
      <c r="B51" s="57" t="s">
        <v>60</v>
      </c>
      <c r="C51" s="34">
        <f>[1]С2.2!E13</f>
        <v>1</v>
      </c>
    </row>
    <row r="52" spans="1:3" ht="27.75" x14ac:dyDescent="0.2">
      <c r="A52" s="22" t="s">
        <v>61</v>
      </c>
      <c r="B52" s="56" t="s">
        <v>62</v>
      </c>
      <c r="C52" s="34">
        <f>[1]С2.2!E14</f>
        <v>12104</v>
      </c>
    </row>
    <row r="53" spans="1:3" ht="25.5" x14ac:dyDescent="0.2">
      <c r="A53" s="22" t="s">
        <v>63</v>
      </c>
      <c r="B53" s="57" t="s">
        <v>64</v>
      </c>
      <c r="C53" s="35">
        <f>[1]С2.2!E15</f>
        <v>4.8000000000000001E-2</v>
      </c>
    </row>
    <row r="54" spans="1:3" x14ac:dyDescent="0.2">
      <c r="A54" s="22" t="s">
        <v>65</v>
      </c>
      <c r="B54" s="57" t="s">
        <v>66</v>
      </c>
      <c r="C54" s="34">
        <f>[1]С2.2!E16</f>
        <v>1</v>
      </c>
    </row>
    <row r="55" spans="1:3" ht="15.75" x14ac:dyDescent="0.2">
      <c r="A55" s="22" t="s">
        <v>67</v>
      </c>
      <c r="B55" s="58" t="s">
        <v>68</v>
      </c>
      <c r="C55" s="34">
        <f>[1]С2!F21</f>
        <v>1</v>
      </c>
    </row>
    <row r="56" spans="1:3" ht="30" x14ac:dyDescent="0.2">
      <c r="A56" s="59" t="s">
        <v>69</v>
      </c>
      <c r="B56" s="33" t="s">
        <v>70</v>
      </c>
      <c r="C56" s="34">
        <f>[1]С2!F13</f>
        <v>183796.83936385796</v>
      </c>
    </row>
    <row r="57" spans="1:3" ht="30" x14ac:dyDescent="0.2">
      <c r="A57" s="59" t="s">
        <v>71</v>
      </c>
      <c r="B57" s="58" t="s">
        <v>72</v>
      </c>
      <c r="C57" s="34">
        <f>[1]С2!F14</f>
        <v>113455</v>
      </c>
    </row>
    <row r="58" spans="1:3" ht="15.75" x14ac:dyDescent="0.2">
      <c r="A58" s="59" t="s">
        <v>73</v>
      </c>
      <c r="B58" s="60" t="s">
        <v>74</v>
      </c>
      <c r="C58" s="40">
        <f>[1]С2!F15</f>
        <v>1.071</v>
      </c>
    </row>
    <row r="59" spans="1:3" ht="15.75" x14ac:dyDescent="0.2">
      <c r="A59" s="59" t="s">
        <v>75</v>
      </c>
      <c r="B59" s="60" t="s">
        <v>76</v>
      </c>
      <c r="C59" s="40">
        <f>[1]С2!F16</f>
        <v>1</v>
      </c>
    </row>
    <row r="60" spans="1:3" ht="17.25" x14ac:dyDescent="0.2">
      <c r="A60" s="59" t="s">
        <v>77</v>
      </c>
      <c r="B60" s="58" t="s">
        <v>78</v>
      </c>
      <c r="C60" s="34">
        <f>[1]С2!F17</f>
        <v>1.01</v>
      </c>
    </row>
    <row r="61" spans="1:3" s="63" customFormat="1" ht="14.25" x14ac:dyDescent="0.2">
      <c r="A61" s="59" t="s">
        <v>79</v>
      </c>
      <c r="B61" s="61" t="s">
        <v>80</v>
      </c>
      <c r="C61" s="62">
        <f>[1]С2!F33</f>
        <v>10</v>
      </c>
    </row>
    <row r="62" spans="1:3" ht="30" x14ac:dyDescent="0.2">
      <c r="A62" s="59" t="s">
        <v>81</v>
      </c>
      <c r="B62" s="64" t="s">
        <v>82</v>
      </c>
      <c r="C62" s="34">
        <f>[1]С2!F26</f>
        <v>1543.3634896839897</v>
      </c>
    </row>
    <row r="63" spans="1:3" ht="17.25" x14ac:dyDescent="0.2">
      <c r="A63" s="59" t="s">
        <v>83</v>
      </c>
      <c r="B63" s="53" t="s">
        <v>84</v>
      </c>
      <c r="C63" s="34">
        <f>[1]С2!F27</f>
        <v>0.24536656199999998</v>
      </c>
    </row>
    <row r="64" spans="1:3" ht="17.25" x14ac:dyDescent="0.2">
      <c r="A64" s="59" t="s">
        <v>85</v>
      </c>
      <c r="B64" s="58" t="s">
        <v>86</v>
      </c>
      <c r="C64" s="62">
        <f>[1]С2!F28</f>
        <v>4200</v>
      </c>
    </row>
    <row r="65" spans="1:3" ht="42.75" x14ac:dyDescent="0.2">
      <c r="A65" s="59" t="s">
        <v>87</v>
      </c>
      <c r="B65" s="33" t="s">
        <v>88</v>
      </c>
      <c r="C65" s="34">
        <f>[1]С2!F22</f>
        <v>38698.422798410109</v>
      </c>
    </row>
    <row r="66" spans="1:3" ht="30" x14ac:dyDescent="0.2">
      <c r="A66" s="59" t="s">
        <v>89</v>
      </c>
      <c r="B66" s="60" t="s">
        <v>90</v>
      </c>
      <c r="C66" s="34">
        <f>[1]С2!F23</f>
        <v>1990</v>
      </c>
    </row>
    <row r="67" spans="1:3" ht="30" x14ac:dyDescent="0.2">
      <c r="A67" s="59" t="s">
        <v>91</v>
      </c>
      <c r="B67" s="53" t="s">
        <v>92</v>
      </c>
      <c r="C67" s="34">
        <f>[1]С2.1!E27</f>
        <v>14307.876789999998</v>
      </c>
    </row>
    <row r="68" spans="1:3" ht="38.25" x14ac:dyDescent="0.2">
      <c r="A68" s="59" t="s">
        <v>93</v>
      </c>
      <c r="B68" s="65" t="s">
        <v>94</v>
      </c>
      <c r="C68" s="52">
        <f>[1]С2.3!E21</f>
        <v>0</v>
      </c>
    </row>
    <row r="69" spans="1:3" ht="25.5" x14ac:dyDescent="0.2">
      <c r="A69" s="59" t="s">
        <v>95</v>
      </c>
      <c r="B69" s="66" t="s">
        <v>96</v>
      </c>
      <c r="C69" s="67">
        <f>[1]С2.3!E11</f>
        <v>9.89</v>
      </c>
    </row>
    <row r="70" spans="1:3" ht="25.5" x14ac:dyDescent="0.2">
      <c r="A70" s="59" t="s">
        <v>97</v>
      </c>
      <c r="B70" s="66" t="s">
        <v>98</v>
      </c>
      <c r="C70" s="62">
        <f>[1]С2.3!E13</f>
        <v>300</v>
      </c>
    </row>
    <row r="71" spans="1:3" ht="25.5" x14ac:dyDescent="0.2">
      <c r="A71" s="59" t="s">
        <v>99</v>
      </c>
      <c r="B71" s="65" t="s">
        <v>100</v>
      </c>
      <c r="C71" s="68">
        <f>IF([1]С2.3!E22&gt;0,[1]С2.3!E22,[1]С2.3!E14)</f>
        <v>61211</v>
      </c>
    </row>
    <row r="72" spans="1:3" ht="38.25" x14ac:dyDescent="0.2">
      <c r="A72" s="59" t="s">
        <v>101</v>
      </c>
      <c r="B72" s="65" t="s">
        <v>102</v>
      </c>
      <c r="C72" s="68">
        <f>IF([1]С2.3!E23&gt;0,[1]С2.3!E23,[1]С2.3!E15)</f>
        <v>45675</v>
      </c>
    </row>
    <row r="73" spans="1:3" ht="30" x14ac:dyDescent="0.2">
      <c r="A73" s="59" t="s">
        <v>103</v>
      </c>
      <c r="B73" s="53" t="s">
        <v>104</v>
      </c>
      <c r="C73" s="34">
        <f>[1]С2.1!E28</f>
        <v>9541.9567200000001</v>
      </c>
    </row>
    <row r="74" spans="1:3" ht="38.25" x14ac:dyDescent="0.2">
      <c r="A74" s="59" t="s">
        <v>105</v>
      </c>
      <c r="B74" s="65" t="s">
        <v>106</v>
      </c>
      <c r="C74" s="52">
        <f>[1]С2.3!E25</f>
        <v>0</v>
      </c>
    </row>
    <row r="75" spans="1:3" ht="25.5" x14ac:dyDescent="0.2">
      <c r="A75" s="59" t="s">
        <v>107</v>
      </c>
      <c r="B75" s="66" t="s">
        <v>108</v>
      </c>
      <c r="C75" s="67">
        <f>[1]С2.3!E12</f>
        <v>0.56000000000000005</v>
      </c>
    </row>
    <row r="76" spans="1:3" ht="25.5" x14ac:dyDescent="0.2">
      <c r="A76" s="59" t="s">
        <v>109</v>
      </c>
      <c r="B76" s="66" t="s">
        <v>98</v>
      </c>
      <c r="C76" s="62">
        <f>[1]С2.3!E13</f>
        <v>300</v>
      </c>
    </row>
    <row r="77" spans="1:3" ht="25.5" x14ac:dyDescent="0.2">
      <c r="A77" s="59" t="s">
        <v>110</v>
      </c>
      <c r="B77" s="69" t="s">
        <v>111</v>
      </c>
      <c r="C77" s="68">
        <f>IF([1]С2.3!E26&gt;0,[1]С2.3!E26,[1]С2.3!E16)</f>
        <v>65637</v>
      </c>
    </row>
    <row r="78" spans="1:3" ht="38.25" x14ac:dyDescent="0.2">
      <c r="A78" s="59" t="s">
        <v>112</v>
      </c>
      <c r="B78" s="69" t="s">
        <v>113</v>
      </c>
      <c r="C78" s="68">
        <f>IF([1]С2.3!E27&gt;0,[1]С2.3!E27,[1]С2.3!E17)</f>
        <v>31684</v>
      </c>
    </row>
    <row r="79" spans="1:3" ht="17.25" x14ac:dyDescent="0.2">
      <c r="A79" s="59" t="s">
        <v>114</v>
      </c>
      <c r="B79" s="33" t="s">
        <v>115</v>
      </c>
      <c r="C79" s="35">
        <f>[1]С2!F29</f>
        <v>9.5962865259740182E-2</v>
      </c>
    </row>
    <row r="80" spans="1:3" ht="30" x14ac:dyDescent="0.2">
      <c r="A80" s="59" t="s">
        <v>116</v>
      </c>
      <c r="B80" s="53" t="s">
        <v>117</v>
      </c>
      <c r="C80" s="70">
        <f>[1]С2!F30</f>
        <v>8.4029304029304031E-2</v>
      </c>
    </row>
    <row r="81" spans="1:3" ht="17.25" x14ac:dyDescent="0.2">
      <c r="A81" s="59" t="s">
        <v>118</v>
      </c>
      <c r="B81" s="71" t="s">
        <v>119</v>
      </c>
      <c r="C81" s="35">
        <f>[1]С2!F31</f>
        <v>0.13880000000000001</v>
      </c>
    </row>
    <row r="82" spans="1:3" s="63" customFormat="1" ht="18" thickBot="1" x14ac:dyDescent="0.25">
      <c r="A82" s="72" t="s">
        <v>120</v>
      </c>
      <c r="B82" s="73" t="s">
        <v>121</v>
      </c>
      <c r="C82" s="74">
        <f>[1]С2!F32</f>
        <v>0.12640000000000001</v>
      </c>
    </row>
    <row r="83" spans="1:3" ht="13.5" thickBot="1" x14ac:dyDescent="0.25">
      <c r="A83" s="47"/>
      <c r="B83" s="75"/>
      <c r="C83" s="15"/>
    </row>
    <row r="84" spans="1:3" s="63" customFormat="1" ht="30" customHeight="1" x14ac:dyDescent="0.2">
      <c r="A84" s="76" t="s">
        <v>122</v>
      </c>
      <c r="B84" s="122" t="s">
        <v>123</v>
      </c>
      <c r="C84" s="122"/>
    </row>
    <row r="85" spans="1:3" s="63" customFormat="1" ht="30" x14ac:dyDescent="0.2">
      <c r="A85" s="77" t="s">
        <v>124</v>
      </c>
      <c r="B85" s="33" t="s">
        <v>125</v>
      </c>
      <c r="C85" s="34">
        <f>[1]С3!F14</f>
        <v>6068.1437898865324</v>
      </c>
    </row>
    <row r="86" spans="1:3" s="63" customFormat="1" ht="42.75" x14ac:dyDescent="0.2">
      <c r="A86" s="77" t="s">
        <v>126</v>
      </c>
      <c r="B86" s="53" t="s">
        <v>127</v>
      </c>
      <c r="C86" s="78">
        <f>[1]С3!F15</f>
        <v>0.2</v>
      </c>
    </row>
    <row r="87" spans="1:3" s="63" customFormat="1" ht="14.25" x14ac:dyDescent="0.2">
      <c r="A87" s="77" t="s">
        <v>128</v>
      </c>
      <c r="B87" s="79" t="s">
        <v>129</v>
      </c>
      <c r="C87" s="62">
        <f>[1]С3!F18</f>
        <v>15</v>
      </c>
    </row>
    <row r="88" spans="1:3" s="63" customFormat="1" ht="17.25" x14ac:dyDescent="0.2">
      <c r="A88" s="77" t="s">
        <v>130</v>
      </c>
      <c r="B88" s="33" t="s">
        <v>131</v>
      </c>
      <c r="C88" s="34">
        <f>[1]С3!F19</f>
        <v>3778.1614077800232</v>
      </c>
    </row>
    <row r="89" spans="1:3" s="63" customFormat="1" ht="55.5" x14ac:dyDescent="0.2">
      <c r="A89" s="77" t="s">
        <v>132</v>
      </c>
      <c r="B89" s="53" t="s">
        <v>133</v>
      </c>
      <c r="C89" s="80">
        <f>[1]С3!F20</f>
        <v>2.1999999999999999E-2</v>
      </c>
    </row>
    <row r="90" spans="1:3" s="63" customFormat="1" ht="14.25" x14ac:dyDescent="0.2">
      <c r="A90" s="77" t="s">
        <v>134</v>
      </c>
      <c r="B90" s="58" t="s">
        <v>80</v>
      </c>
      <c r="C90" s="62">
        <f>[1]С3!F21</f>
        <v>10</v>
      </c>
    </row>
    <row r="91" spans="1:3" s="63" customFormat="1" ht="17.25" x14ac:dyDescent="0.2">
      <c r="A91" s="77" t="s">
        <v>135</v>
      </c>
      <c r="B91" s="33" t="s">
        <v>136</v>
      </c>
      <c r="C91" s="34">
        <f>[1]С3!F22</f>
        <v>4.6300904690519689</v>
      </c>
    </row>
    <row r="92" spans="1:3" s="63" customFormat="1" ht="55.5" x14ac:dyDescent="0.2">
      <c r="A92" s="77" t="s">
        <v>137</v>
      </c>
      <c r="B92" s="53" t="s">
        <v>138</v>
      </c>
      <c r="C92" s="80">
        <f>[1]С3!F23</f>
        <v>3.0000000000000001E-3</v>
      </c>
    </row>
    <row r="93" spans="1:3" s="63" customFormat="1" ht="27.75" thickBot="1" x14ac:dyDescent="0.25">
      <c r="A93" s="81" t="s">
        <v>139</v>
      </c>
      <c r="B93" s="82" t="s">
        <v>140</v>
      </c>
      <c r="C93" s="83">
        <f>[1]С3!F24</f>
        <v>1543.3634896839897</v>
      </c>
    </row>
    <row r="94" spans="1:3" ht="13.5" thickBot="1" x14ac:dyDescent="0.25">
      <c r="A94" s="47"/>
      <c r="B94" s="75"/>
      <c r="C94" s="15"/>
    </row>
    <row r="95" spans="1:3" ht="30" customHeight="1" x14ac:dyDescent="0.2">
      <c r="A95" s="84" t="s">
        <v>141</v>
      </c>
      <c r="B95" s="122" t="s">
        <v>142</v>
      </c>
      <c r="C95" s="122"/>
    </row>
    <row r="96" spans="1:3" ht="30" x14ac:dyDescent="0.2">
      <c r="A96" s="59" t="s">
        <v>143</v>
      </c>
      <c r="B96" s="33" t="s">
        <v>144</v>
      </c>
      <c r="C96" s="34">
        <f>[1]С4!F16</f>
        <v>1652.5</v>
      </c>
    </row>
    <row r="97" spans="1:3" ht="30" x14ac:dyDescent="0.2">
      <c r="A97" s="59" t="s">
        <v>145</v>
      </c>
      <c r="B97" s="58" t="s">
        <v>146</v>
      </c>
      <c r="C97" s="34">
        <f>[1]С4!F17</f>
        <v>73547</v>
      </c>
    </row>
    <row r="98" spans="1:3" ht="17.25" x14ac:dyDescent="0.2">
      <c r="A98" s="59" t="s">
        <v>147</v>
      </c>
      <c r="B98" s="58" t="s">
        <v>148</v>
      </c>
      <c r="C98" s="40">
        <f>[1]С4!F18</f>
        <v>0.02</v>
      </c>
    </row>
    <row r="99" spans="1:3" ht="30" x14ac:dyDescent="0.2">
      <c r="A99" s="59" t="s">
        <v>149</v>
      </c>
      <c r="B99" s="58" t="s">
        <v>150</v>
      </c>
      <c r="C99" s="34">
        <f>[1]С4!F19</f>
        <v>12104</v>
      </c>
    </row>
    <row r="100" spans="1:3" ht="31.5" x14ac:dyDescent="0.2">
      <c r="A100" s="59" t="s">
        <v>151</v>
      </c>
      <c r="B100" s="58" t="s">
        <v>152</v>
      </c>
      <c r="C100" s="40">
        <f>[1]С4!F20</f>
        <v>1.4999999999999999E-2</v>
      </c>
    </row>
    <row r="101" spans="1:3" ht="30" x14ac:dyDescent="0.2">
      <c r="A101" s="59" t="s">
        <v>153</v>
      </c>
      <c r="B101" s="33" t="s">
        <v>154</v>
      </c>
      <c r="C101" s="34">
        <f>[1]С4!F21</f>
        <v>1933.1949342509995</v>
      </c>
    </row>
    <row r="102" spans="1:3" ht="24" customHeight="1" x14ac:dyDescent="0.2">
      <c r="A102" s="59" t="s">
        <v>155</v>
      </c>
      <c r="B102" s="53" t="s">
        <v>156</v>
      </c>
      <c r="C102" s="85">
        <f>IF([1]С4.2!F8="да",[1]С4.2!D21,[1]С4.2!D15)</f>
        <v>0</v>
      </c>
    </row>
    <row r="103" spans="1:3" ht="68.25" x14ac:dyDescent="0.2">
      <c r="A103" s="59" t="s">
        <v>157</v>
      </c>
      <c r="B103" s="53" t="s">
        <v>158</v>
      </c>
      <c r="C103" s="34">
        <f>[1]С4!F22</f>
        <v>3.6112641666666665</v>
      </c>
    </row>
    <row r="104" spans="1:3" ht="30" x14ac:dyDescent="0.2">
      <c r="A104" s="59" t="s">
        <v>159</v>
      </c>
      <c r="B104" s="58" t="s">
        <v>160</v>
      </c>
      <c r="C104" s="34">
        <f>[1]С4!F23</f>
        <v>180</v>
      </c>
    </row>
    <row r="105" spans="1:3" ht="14.25" x14ac:dyDescent="0.2">
      <c r="A105" s="59" t="s">
        <v>161</v>
      </c>
      <c r="B105" s="53" t="s">
        <v>162</v>
      </c>
      <c r="C105" s="34">
        <f>[1]С4!F24</f>
        <v>8497.1999999999989</v>
      </c>
    </row>
    <row r="106" spans="1:3" ht="14.25" x14ac:dyDescent="0.2">
      <c r="A106" s="59" t="s">
        <v>163</v>
      </c>
      <c r="B106" s="58" t="s">
        <v>164</v>
      </c>
      <c r="C106" s="40">
        <f>[1]С4!F25</f>
        <v>0.35</v>
      </c>
    </row>
    <row r="107" spans="1:3" ht="17.25" x14ac:dyDescent="0.2">
      <c r="A107" s="59" t="s">
        <v>165</v>
      </c>
      <c r="B107" s="33" t="s">
        <v>166</v>
      </c>
      <c r="C107" s="34">
        <f>[1]С4!F26</f>
        <v>85.988129999999998</v>
      </c>
    </row>
    <row r="108" spans="1:3" ht="25.5" x14ac:dyDescent="0.2">
      <c r="A108" s="59" t="s">
        <v>167</v>
      </c>
      <c r="B108" s="53" t="s">
        <v>94</v>
      </c>
      <c r="C108" s="85">
        <f>[1]С4.3!E16</f>
        <v>0</v>
      </c>
    </row>
    <row r="109" spans="1:3" ht="25.5" x14ac:dyDescent="0.2">
      <c r="A109" s="59" t="s">
        <v>168</v>
      </c>
      <c r="B109" s="53" t="s">
        <v>169</v>
      </c>
      <c r="C109" s="34">
        <f>[1]С4.3!E17</f>
        <v>20.350000000000001</v>
      </c>
    </row>
    <row r="110" spans="1:3" ht="38.25" x14ac:dyDescent="0.2">
      <c r="A110" s="59" t="s">
        <v>170</v>
      </c>
      <c r="B110" s="53" t="s">
        <v>106</v>
      </c>
      <c r="C110" s="85">
        <f>[1]С4.3!E18</f>
        <v>0</v>
      </c>
    </row>
    <row r="111" spans="1:3" x14ac:dyDescent="0.2">
      <c r="A111" s="59" t="s">
        <v>171</v>
      </c>
      <c r="B111" s="53" t="s">
        <v>172</v>
      </c>
      <c r="C111" s="34">
        <f>[1]С4.3!E19</f>
        <v>71.67</v>
      </c>
    </row>
    <row r="112" spans="1:3" x14ac:dyDescent="0.2">
      <c r="A112" s="59" t="s">
        <v>173</v>
      </c>
      <c r="B112" s="58" t="s">
        <v>174</v>
      </c>
      <c r="C112" s="34">
        <f>[1]С4.3!E11</f>
        <v>1871</v>
      </c>
    </row>
    <row r="113" spans="1:3" x14ac:dyDescent="0.2">
      <c r="A113" s="59" t="s">
        <v>175</v>
      </c>
      <c r="B113" s="58" t="s">
        <v>176</v>
      </c>
      <c r="C113" s="52">
        <f>[1]С4.3!E12</f>
        <v>1636</v>
      </c>
    </row>
    <row r="114" spans="1:3" x14ac:dyDescent="0.2">
      <c r="A114" s="59" t="s">
        <v>177</v>
      </c>
      <c r="B114" s="58" t="s">
        <v>178</v>
      </c>
      <c r="C114" s="52">
        <f>[1]С4.3!E13</f>
        <v>204</v>
      </c>
    </row>
    <row r="115" spans="1:3" ht="30" x14ac:dyDescent="0.2">
      <c r="A115" s="59" t="s">
        <v>179</v>
      </c>
      <c r="B115" s="33" t="s">
        <v>180</v>
      </c>
      <c r="C115" s="34">
        <f>[1]С4!F27</f>
        <v>1291.2863994686898</v>
      </c>
    </row>
    <row r="116" spans="1:3" ht="25.5" x14ac:dyDescent="0.2">
      <c r="A116" s="59" t="s">
        <v>181</v>
      </c>
      <c r="B116" s="53" t="s">
        <v>182</v>
      </c>
      <c r="C116" s="34">
        <f>[1]С4!F28</f>
        <v>991.77142816335618</v>
      </c>
    </row>
    <row r="117" spans="1:3" ht="42.75" x14ac:dyDescent="0.2">
      <c r="A117" s="59" t="s">
        <v>183</v>
      </c>
      <c r="B117" s="53" t="s">
        <v>184</v>
      </c>
      <c r="C117" s="34">
        <f>[1]С4!F29</f>
        <v>299.51497130533357</v>
      </c>
    </row>
    <row r="118" spans="1:3" ht="30" x14ac:dyDescent="0.2">
      <c r="A118" s="59" t="s">
        <v>185</v>
      </c>
      <c r="B118" s="39" t="s">
        <v>186</v>
      </c>
      <c r="C118" s="34">
        <f>[1]С4!F30</f>
        <v>1661.2459219705661</v>
      </c>
    </row>
    <row r="119" spans="1:3" ht="42.75" x14ac:dyDescent="0.2">
      <c r="A119" s="59" t="s">
        <v>187</v>
      </c>
      <c r="B119" s="86" t="s">
        <v>188</v>
      </c>
      <c r="C119" s="34">
        <f>[1]С4!F33</f>
        <v>941.82560654059751</v>
      </c>
    </row>
    <row r="120" spans="1:3" ht="30" x14ac:dyDescent="0.2">
      <c r="A120" s="59" t="s">
        <v>189</v>
      </c>
      <c r="B120" s="87" t="s">
        <v>190</v>
      </c>
      <c r="C120" s="34">
        <f>[1]С4!F35</f>
        <v>17.040680999999999</v>
      </c>
    </row>
    <row r="121" spans="1:3" ht="14.25" x14ac:dyDescent="0.2">
      <c r="A121" s="59" t="s">
        <v>191</v>
      </c>
      <c r="B121" s="56" t="s">
        <v>192</v>
      </c>
      <c r="C121" s="34">
        <f>[1]С4!F36</f>
        <v>14319.9</v>
      </c>
    </row>
    <row r="122" spans="1:3" ht="28.5" thickBot="1" x14ac:dyDescent="0.25">
      <c r="A122" s="72" t="s">
        <v>193</v>
      </c>
      <c r="B122" s="88" t="s">
        <v>194</v>
      </c>
      <c r="C122" s="83">
        <f>[1]С4!F37</f>
        <v>1.19</v>
      </c>
    </row>
    <row r="123" spans="1:3" s="89" customFormat="1" ht="13.5" thickBot="1" x14ac:dyDescent="0.25">
      <c r="A123" s="47"/>
      <c r="B123" s="75"/>
      <c r="C123" s="15"/>
    </row>
    <row r="124" spans="1:3" s="63" customFormat="1" ht="30" customHeight="1" x14ac:dyDescent="0.2">
      <c r="A124" s="76" t="s">
        <v>195</v>
      </c>
      <c r="B124" s="122" t="s">
        <v>196</v>
      </c>
      <c r="C124" s="122"/>
    </row>
    <row r="125" spans="1:3" ht="16.5" thickBot="1" x14ac:dyDescent="0.25">
      <c r="A125" s="27" t="s">
        <v>197</v>
      </c>
      <c r="B125" s="90" t="s">
        <v>198</v>
      </c>
      <c r="C125" s="83">
        <f>[1]С5!F17</f>
        <v>0.02</v>
      </c>
    </row>
    <row r="126" spans="1:3" s="89" customFormat="1" ht="13.5" thickBot="1" x14ac:dyDescent="0.25">
      <c r="A126" s="47"/>
      <c r="B126" s="75"/>
      <c r="C126" s="15"/>
    </row>
    <row r="127" spans="1:3" ht="42.75" customHeight="1" x14ac:dyDescent="0.2">
      <c r="A127" s="84" t="s">
        <v>199</v>
      </c>
      <c r="B127" s="123" t="s">
        <v>200</v>
      </c>
      <c r="C127" s="123"/>
    </row>
    <row r="128" spans="1:3" ht="68.25" x14ac:dyDescent="0.2">
      <c r="A128" s="59" t="s">
        <v>201</v>
      </c>
      <c r="B128" s="91" t="s">
        <v>202</v>
      </c>
      <c r="C128" s="34" t="s">
        <v>203</v>
      </c>
    </row>
    <row r="129" spans="1:4" ht="42.75" hidden="1" x14ac:dyDescent="0.2">
      <c r="A129" s="59" t="s">
        <v>204</v>
      </c>
      <c r="B129" s="86" t="s">
        <v>205</v>
      </c>
      <c r="C129" s="92"/>
    </row>
    <row r="130" spans="1:4" ht="69" thickBot="1" x14ac:dyDescent="0.25">
      <c r="A130" s="72" t="s">
        <v>206</v>
      </c>
      <c r="B130" s="93" t="s">
        <v>207</v>
      </c>
      <c r="C130" s="94" t="s">
        <v>203</v>
      </c>
    </row>
    <row r="131" spans="1:4" ht="62.25" hidden="1" customHeight="1" x14ac:dyDescent="0.2">
      <c r="A131" s="95" t="s">
        <v>208</v>
      </c>
      <c r="B131" s="96" t="s">
        <v>209</v>
      </c>
      <c r="C131" s="97"/>
    </row>
    <row r="132" spans="1:4" ht="68.25" hidden="1" x14ac:dyDescent="0.2">
      <c r="A132" s="59" t="s">
        <v>210</v>
      </c>
      <c r="B132" s="86" t="s">
        <v>211</v>
      </c>
      <c r="C132" s="35"/>
    </row>
    <row r="133" spans="1:4" ht="69" hidden="1" thickBot="1" x14ac:dyDescent="0.25">
      <c r="A133" s="72" t="s">
        <v>212</v>
      </c>
      <c r="B133" s="98" t="s">
        <v>213</v>
      </c>
      <c r="C133" s="74"/>
    </row>
    <row r="134" spans="1:4" s="89" customFormat="1" ht="13.5" thickBot="1" x14ac:dyDescent="0.25">
      <c r="A134" s="47"/>
      <c r="B134" s="75"/>
      <c r="C134" s="15"/>
    </row>
    <row r="135" spans="1:4" ht="26.25" customHeight="1" x14ac:dyDescent="0.2">
      <c r="A135" s="84" t="s">
        <v>214</v>
      </c>
      <c r="B135" s="99" t="s">
        <v>215</v>
      </c>
      <c r="C135" s="100">
        <f>[1]С2!F37</f>
        <v>20.818139999999996</v>
      </c>
    </row>
    <row r="136" spans="1:4" ht="14.25" x14ac:dyDescent="0.2">
      <c r="A136" s="59" t="s">
        <v>216</v>
      </c>
      <c r="B136" s="101" t="s">
        <v>217</v>
      </c>
      <c r="C136" s="34">
        <f>[1]С2!F38</f>
        <v>7</v>
      </c>
    </row>
    <row r="137" spans="1:4" ht="17.25" x14ac:dyDescent="0.2">
      <c r="A137" s="59" t="s">
        <v>218</v>
      </c>
      <c r="B137" s="101" t="s">
        <v>219</v>
      </c>
      <c r="C137" s="34">
        <f>[1]С2!F40</f>
        <v>0.97</v>
      </c>
    </row>
    <row r="138" spans="1:4" ht="15" thickBot="1" x14ac:dyDescent="0.25">
      <c r="A138" s="72" t="s">
        <v>220</v>
      </c>
      <c r="B138" s="102" t="s">
        <v>221</v>
      </c>
      <c r="C138" s="46">
        <f>[1]С2!F42</f>
        <v>0.35</v>
      </c>
    </row>
    <row r="139" spans="1:4" s="89" customFormat="1" ht="13.5" thickBot="1" x14ac:dyDescent="0.25">
      <c r="A139" s="47"/>
      <c r="B139" s="75"/>
      <c r="C139" s="15"/>
    </row>
    <row r="140" spans="1:4" ht="30" x14ac:dyDescent="0.2">
      <c r="A140" s="84" t="s">
        <v>222</v>
      </c>
      <c r="B140" s="103" t="s">
        <v>223</v>
      </c>
      <c r="C140" s="104">
        <f>[1]С2!F35</f>
        <v>1.4976266307379205</v>
      </c>
      <c r="D140" s="89"/>
    </row>
    <row r="141" spans="1:4" ht="22.7" customHeight="1" thickBot="1" x14ac:dyDescent="0.25">
      <c r="A141" s="72" t="s">
        <v>224</v>
      </c>
      <c r="B141" s="118" t="s">
        <v>225</v>
      </c>
      <c r="C141" s="118"/>
      <c r="D141" s="89"/>
    </row>
    <row r="142" spans="1:4" ht="13.5" thickBot="1" x14ac:dyDescent="0.25">
      <c r="A142" s="106"/>
      <c r="B142" s="107" t="s">
        <v>226</v>
      </c>
      <c r="C142" s="108"/>
      <c r="D142" s="89"/>
    </row>
    <row r="143" spans="1:4" x14ac:dyDescent="0.2">
      <c r="A143" s="106"/>
      <c r="B143" s="109">
        <v>2020</v>
      </c>
      <c r="C143" s="110">
        <f>[1]С2.5!$E$11</f>
        <v>-2.9000000000000026E-2</v>
      </c>
      <c r="D143" s="89"/>
    </row>
    <row r="144" spans="1:4" x14ac:dyDescent="0.2">
      <c r="A144" s="106"/>
      <c r="B144" s="111">
        <f>B143+1</f>
        <v>2021</v>
      </c>
      <c r="C144" s="112">
        <f>[1]С2.5!$F$11</f>
        <v>0.245</v>
      </c>
      <c r="D144" s="89"/>
    </row>
    <row r="145" spans="1:4" x14ac:dyDescent="0.2">
      <c r="A145" s="106"/>
      <c r="B145" s="111">
        <f t="shared" ref="B145:B208" si="0">B144+1</f>
        <v>2022</v>
      </c>
      <c r="C145" s="112">
        <f>[1]С2.5!$G$11</f>
        <v>0.114</v>
      </c>
      <c r="D145" s="89"/>
    </row>
    <row r="146" spans="1:4" ht="13.5" thickBot="1" x14ac:dyDescent="0.25">
      <c r="A146" s="106"/>
      <c r="B146" s="113">
        <f t="shared" si="0"/>
        <v>2023</v>
      </c>
      <c r="C146" s="114">
        <f>[1]С2.5!$H$11</f>
        <v>2.4E-2</v>
      </c>
      <c r="D146" s="89"/>
    </row>
    <row r="147" spans="1:4" x14ac:dyDescent="0.2">
      <c r="A147" s="106"/>
      <c r="B147" s="115">
        <f t="shared" si="0"/>
        <v>2024</v>
      </c>
      <c r="C147" s="116">
        <f>[1]С2.5!$I$11</f>
        <v>8.5999999999999993E-2</v>
      </c>
      <c r="D147" s="89"/>
    </row>
    <row r="148" spans="1:4" hidden="1" x14ac:dyDescent="0.2">
      <c r="A148" s="106"/>
      <c r="B148" s="111">
        <f t="shared" si="0"/>
        <v>2025</v>
      </c>
      <c r="C148" s="112">
        <f>[1]С2.5!$J$11</f>
        <v>0.21215960863291</v>
      </c>
      <c r="D148" s="89"/>
    </row>
    <row r="149" spans="1:4" hidden="1" x14ac:dyDescent="0.2">
      <c r="A149" s="106"/>
      <c r="B149" s="111">
        <f t="shared" si="0"/>
        <v>2026</v>
      </c>
      <c r="C149" s="112">
        <f>[1]С2.5!$K$11</f>
        <v>3.5813361771260002E-2</v>
      </c>
      <c r="D149" s="89"/>
    </row>
    <row r="150" spans="1:4" hidden="1" x14ac:dyDescent="0.2">
      <c r="A150" s="106"/>
      <c r="B150" s="111">
        <f t="shared" si="0"/>
        <v>2027</v>
      </c>
      <c r="C150" s="112">
        <f>[1]С2.5!$L$11</f>
        <v>3.2682303599220003E-2</v>
      </c>
      <c r="D150" s="89"/>
    </row>
    <row r="151" spans="1:4" hidden="1" x14ac:dyDescent="0.2">
      <c r="A151" s="106"/>
      <c r="B151" s="111">
        <f t="shared" si="0"/>
        <v>2028</v>
      </c>
      <c r="C151" s="112">
        <f>[1]С2.5!$M$11</f>
        <v>0</v>
      </c>
      <c r="D151" s="89"/>
    </row>
    <row r="152" spans="1:4" hidden="1" x14ac:dyDescent="0.2">
      <c r="A152" s="106"/>
      <c r="B152" s="111">
        <f t="shared" si="0"/>
        <v>2029</v>
      </c>
      <c r="C152" s="112">
        <f>[1]С2.5!$N$11</f>
        <v>0</v>
      </c>
      <c r="D152" s="89"/>
    </row>
    <row r="153" spans="1:4" hidden="1" x14ac:dyDescent="0.2">
      <c r="A153" s="106"/>
      <c r="B153" s="111">
        <f t="shared" si="0"/>
        <v>2030</v>
      </c>
      <c r="C153" s="112">
        <f>[1]С2.5!$O$11</f>
        <v>0</v>
      </c>
      <c r="D153" s="89"/>
    </row>
    <row r="154" spans="1:4" hidden="1" x14ac:dyDescent="0.2">
      <c r="A154" s="106"/>
      <c r="B154" s="111">
        <f t="shared" si="0"/>
        <v>2031</v>
      </c>
      <c r="C154" s="112">
        <f>[1]С2.5!$P$11</f>
        <v>0</v>
      </c>
      <c r="D154" s="89"/>
    </row>
    <row r="155" spans="1:4" hidden="1" x14ac:dyDescent="0.2">
      <c r="A155" s="89"/>
      <c r="B155" s="111">
        <f t="shared" si="0"/>
        <v>2032</v>
      </c>
      <c r="C155" s="112">
        <f>[1]С2.5!$Q$11</f>
        <v>0</v>
      </c>
      <c r="D155" s="89"/>
    </row>
    <row r="156" spans="1:4" hidden="1" x14ac:dyDescent="0.2">
      <c r="A156" s="89"/>
      <c r="B156" s="111">
        <f t="shared" si="0"/>
        <v>2033</v>
      </c>
      <c r="C156" s="112">
        <f>[1]С2.5!$R$11</f>
        <v>0</v>
      </c>
      <c r="D156" s="89"/>
    </row>
    <row r="157" spans="1:4" hidden="1" x14ac:dyDescent="0.2">
      <c r="B157" s="111">
        <f t="shared" si="0"/>
        <v>2034</v>
      </c>
      <c r="C157" s="112">
        <f>[1]С2.5!$S$11</f>
        <v>0</v>
      </c>
    </row>
    <row r="158" spans="1:4" hidden="1" x14ac:dyDescent="0.2">
      <c r="B158" s="111">
        <f t="shared" si="0"/>
        <v>2035</v>
      </c>
      <c r="C158" s="112">
        <f>[1]С2.5!$T$11</f>
        <v>0</v>
      </c>
    </row>
    <row r="159" spans="1:4" hidden="1" x14ac:dyDescent="0.2">
      <c r="B159" s="111">
        <f t="shared" si="0"/>
        <v>2036</v>
      </c>
      <c r="C159" s="112">
        <f>[1]С2.5!$U$11</f>
        <v>0</v>
      </c>
    </row>
    <row r="160" spans="1:4" hidden="1" x14ac:dyDescent="0.2">
      <c r="B160" s="111">
        <f t="shared" si="0"/>
        <v>2037</v>
      </c>
      <c r="C160" s="112">
        <f>[1]С2.5!$V$11</f>
        <v>0</v>
      </c>
    </row>
    <row r="161" spans="2:3" hidden="1" x14ac:dyDescent="0.2">
      <c r="B161" s="111">
        <f t="shared" si="0"/>
        <v>2038</v>
      </c>
      <c r="C161" s="112">
        <f>[1]С2.5!$W$11</f>
        <v>0</v>
      </c>
    </row>
    <row r="162" spans="2:3" hidden="1" x14ac:dyDescent="0.2">
      <c r="B162" s="111">
        <f t="shared" si="0"/>
        <v>2039</v>
      </c>
      <c r="C162" s="112">
        <f>[1]С2.5!$X$11</f>
        <v>0</v>
      </c>
    </row>
    <row r="163" spans="2:3" hidden="1" x14ac:dyDescent="0.2">
      <c r="B163" s="111">
        <f t="shared" si="0"/>
        <v>2040</v>
      </c>
      <c r="C163" s="112">
        <f>[1]С2.5!$Y$11</f>
        <v>0</v>
      </c>
    </row>
    <row r="164" spans="2:3" hidden="1" x14ac:dyDescent="0.2">
      <c r="B164" s="111">
        <f t="shared" si="0"/>
        <v>2041</v>
      </c>
      <c r="C164" s="112">
        <f>[1]С2.5!$Z$11</f>
        <v>0</v>
      </c>
    </row>
    <row r="165" spans="2:3" hidden="1" x14ac:dyDescent="0.2">
      <c r="B165" s="111">
        <f t="shared" si="0"/>
        <v>2042</v>
      </c>
      <c r="C165" s="112">
        <f>[1]С2.5!$AA$11</f>
        <v>0</v>
      </c>
    </row>
    <row r="166" spans="2:3" hidden="1" x14ac:dyDescent="0.2">
      <c r="B166" s="111">
        <f t="shared" si="0"/>
        <v>2043</v>
      </c>
      <c r="C166" s="112">
        <f>[1]С2.5!$AB$11</f>
        <v>0</v>
      </c>
    </row>
    <row r="167" spans="2:3" hidden="1" x14ac:dyDescent="0.2">
      <c r="B167" s="111">
        <f t="shared" si="0"/>
        <v>2044</v>
      </c>
      <c r="C167" s="112">
        <f>[1]С2.5!$AC$11</f>
        <v>0</v>
      </c>
    </row>
    <row r="168" spans="2:3" hidden="1" x14ac:dyDescent="0.2">
      <c r="B168" s="111">
        <f t="shared" si="0"/>
        <v>2045</v>
      </c>
      <c r="C168" s="112">
        <f>[1]С2.5!$AD$11</f>
        <v>0</v>
      </c>
    </row>
    <row r="169" spans="2:3" hidden="1" x14ac:dyDescent="0.2">
      <c r="B169" s="111">
        <f t="shared" si="0"/>
        <v>2046</v>
      </c>
      <c r="C169" s="112">
        <f>[1]С2.5!$AE$11</f>
        <v>0</v>
      </c>
    </row>
    <row r="170" spans="2:3" hidden="1" x14ac:dyDescent="0.2">
      <c r="B170" s="111">
        <f t="shared" si="0"/>
        <v>2047</v>
      </c>
      <c r="C170" s="112">
        <f>[1]С2.5!$AF$11</f>
        <v>0</v>
      </c>
    </row>
    <row r="171" spans="2:3" hidden="1" x14ac:dyDescent="0.2">
      <c r="B171" s="111">
        <f t="shared" si="0"/>
        <v>2048</v>
      </c>
      <c r="C171" s="112">
        <f>[1]С2.5!$AG$11</f>
        <v>0</v>
      </c>
    </row>
    <row r="172" spans="2:3" hidden="1" x14ac:dyDescent="0.2">
      <c r="B172" s="111">
        <f t="shared" si="0"/>
        <v>2049</v>
      </c>
      <c r="C172" s="112">
        <f>[1]С2.5!$AH$11</f>
        <v>0</v>
      </c>
    </row>
    <row r="173" spans="2:3" hidden="1" x14ac:dyDescent="0.2">
      <c r="B173" s="111">
        <f t="shared" si="0"/>
        <v>2050</v>
      </c>
      <c r="C173" s="112">
        <f>[1]С2.5!$AI$11</f>
        <v>0</v>
      </c>
    </row>
    <row r="174" spans="2:3" hidden="1" x14ac:dyDescent="0.2">
      <c r="B174" s="111">
        <f t="shared" si="0"/>
        <v>2051</v>
      </c>
      <c r="C174" s="112">
        <f>[1]С2.5!$AJ$11</f>
        <v>0</v>
      </c>
    </row>
    <row r="175" spans="2:3" hidden="1" x14ac:dyDescent="0.2">
      <c r="B175" s="111">
        <f t="shared" si="0"/>
        <v>2052</v>
      </c>
      <c r="C175" s="112">
        <f>[1]С2.5!$AK$11</f>
        <v>0</v>
      </c>
    </row>
    <row r="176" spans="2:3" hidden="1" x14ac:dyDescent="0.2">
      <c r="B176" s="111">
        <f t="shared" si="0"/>
        <v>2053</v>
      </c>
      <c r="C176" s="112">
        <f>[1]С2.5!$AL$11</f>
        <v>0</v>
      </c>
    </row>
    <row r="177" spans="2:3" hidden="1" x14ac:dyDescent="0.2">
      <c r="B177" s="111">
        <f t="shared" si="0"/>
        <v>2054</v>
      </c>
      <c r="C177" s="112">
        <f>[1]С2.5!$AM$11</f>
        <v>0</v>
      </c>
    </row>
    <row r="178" spans="2:3" hidden="1" x14ac:dyDescent="0.2">
      <c r="B178" s="111">
        <f t="shared" si="0"/>
        <v>2055</v>
      </c>
      <c r="C178" s="112">
        <f>[1]С2.5!$AN$11</f>
        <v>0</v>
      </c>
    </row>
    <row r="179" spans="2:3" hidden="1" x14ac:dyDescent="0.2">
      <c r="B179" s="111">
        <f t="shared" si="0"/>
        <v>2056</v>
      </c>
      <c r="C179" s="112">
        <f>[1]С2.5!$AO$11</f>
        <v>0</v>
      </c>
    </row>
    <row r="180" spans="2:3" hidden="1" x14ac:dyDescent="0.2">
      <c r="B180" s="111">
        <f t="shared" si="0"/>
        <v>2057</v>
      </c>
      <c r="C180" s="112">
        <f>[1]С2.5!$AP$11</f>
        <v>0</v>
      </c>
    </row>
    <row r="181" spans="2:3" hidden="1" x14ac:dyDescent="0.2">
      <c r="B181" s="111">
        <f t="shared" si="0"/>
        <v>2058</v>
      </c>
      <c r="C181" s="112">
        <f>[1]С2.5!$AQ$11</f>
        <v>0</v>
      </c>
    </row>
    <row r="182" spans="2:3" hidden="1" x14ac:dyDescent="0.2">
      <c r="B182" s="111">
        <f t="shared" si="0"/>
        <v>2059</v>
      </c>
      <c r="C182" s="112">
        <f>[1]С2.5!$AR$11</f>
        <v>0</v>
      </c>
    </row>
    <row r="183" spans="2:3" hidden="1" x14ac:dyDescent="0.2">
      <c r="B183" s="111">
        <f t="shared" si="0"/>
        <v>2060</v>
      </c>
      <c r="C183" s="112">
        <f>[1]С2.5!$AS$11</f>
        <v>0</v>
      </c>
    </row>
    <row r="184" spans="2:3" hidden="1" x14ac:dyDescent="0.2">
      <c r="B184" s="111">
        <f t="shared" si="0"/>
        <v>2061</v>
      </c>
      <c r="C184" s="112">
        <f>[1]С2.5!$AT$11</f>
        <v>0</v>
      </c>
    </row>
    <row r="185" spans="2:3" hidden="1" x14ac:dyDescent="0.2">
      <c r="B185" s="111">
        <f t="shared" si="0"/>
        <v>2062</v>
      </c>
      <c r="C185" s="112">
        <f>[1]С2.5!$AU$11</f>
        <v>0</v>
      </c>
    </row>
    <row r="186" spans="2:3" hidden="1" x14ac:dyDescent="0.2">
      <c r="B186" s="111">
        <f t="shared" si="0"/>
        <v>2063</v>
      </c>
      <c r="C186" s="112">
        <f>[1]С2.5!$AV$11</f>
        <v>0</v>
      </c>
    </row>
    <row r="187" spans="2:3" hidden="1" x14ac:dyDescent="0.2">
      <c r="B187" s="111">
        <f t="shared" si="0"/>
        <v>2064</v>
      </c>
      <c r="C187" s="112">
        <f>[1]С2.5!$AW$11</f>
        <v>0</v>
      </c>
    </row>
    <row r="188" spans="2:3" hidden="1" x14ac:dyDescent="0.2">
      <c r="B188" s="111">
        <f t="shared" si="0"/>
        <v>2065</v>
      </c>
      <c r="C188" s="112">
        <f>[1]С2.5!$AX$11</f>
        <v>0</v>
      </c>
    </row>
    <row r="189" spans="2:3" hidden="1" x14ac:dyDescent="0.2">
      <c r="B189" s="111">
        <f t="shared" si="0"/>
        <v>2066</v>
      </c>
      <c r="C189" s="112">
        <f>[1]С2.5!$AY$11</f>
        <v>0</v>
      </c>
    </row>
    <row r="190" spans="2:3" hidden="1" x14ac:dyDescent="0.2">
      <c r="B190" s="111">
        <f t="shared" si="0"/>
        <v>2067</v>
      </c>
      <c r="C190" s="112">
        <f>[1]С2.5!$AZ$11</f>
        <v>0</v>
      </c>
    </row>
    <row r="191" spans="2:3" hidden="1" x14ac:dyDescent="0.2">
      <c r="B191" s="111">
        <f t="shared" si="0"/>
        <v>2068</v>
      </c>
      <c r="C191" s="112">
        <f>[1]С2.5!$BA$11</f>
        <v>0</v>
      </c>
    </row>
    <row r="192" spans="2:3" hidden="1" x14ac:dyDescent="0.2">
      <c r="B192" s="111">
        <f t="shared" si="0"/>
        <v>2069</v>
      </c>
      <c r="C192" s="112">
        <f>[1]С2.5!$BB$11</f>
        <v>0</v>
      </c>
    </row>
    <row r="193" spans="2:3" hidden="1" x14ac:dyDescent="0.2">
      <c r="B193" s="111">
        <f t="shared" si="0"/>
        <v>2070</v>
      </c>
      <c r="C193" s="112">
        <f>[1]С2.5!$BC$11</f>
        <v>0</v>
      </c>
    </row>
    <row r="194" spans="2:3" hidden="1" x14ac:dyDescent="0.2">
      <c r="B194" s="111">
        <f t="shared" si="0"/>
        <v>2071</v>
      </c>
      <c r="C194" s="112">
        <f>[1]С2.5!$BD$11</f>
        <v>0</v>
      </c>
    </row>
    <row r="195" spans="2:3" hidden="1" x14ac:dyDescent="0.2">
      <c r="B195" s="111">
        <f t="shared" si="0"/>
        <v>2072</v>
      </c>
      <c r="C195" s="112">
        <f>[1]С2.5!$BE$11</f>
        <v>0</v>
      </c>
    </row>
    <row r="196" spans="2:3" hidden="1" x14ac:dyDescent="0.2">
      <c r="B196" s="111">
        <f t="shared" si="0"/>
        <v>2073</v>
      </c>
      <c r="C196" s="112">
        <f>[1]С2.5!$BF$11</f>
        <v>0</v>
      </c>
    </row>
    <row r="197" spans="2:3" hidden="1" x14ac:dyDescent="0.2">
      <c r="B197" s="111">
        <f t="shared" si="0"/>
        <v>2074</v>
      </c>
      <c r="C197" s="112">
        <f>[1]С2.5!$BG$11</f>
        <v>0</v>
      </c>
    </row>
    <row r="198" spans="2:3" hidden="1" x14ac:dyDescent="0.2">
      <c r="B198" s="111">
        <f t="shared" si="0"/>
        <v>2075</v>
      </c>
      <c r="C198" s="112">
        <f>[1]С2.5!$BH$11</f>
        <v>0</v>
      </c>
    </row>
    <row r="199" spans="2:3" hidden="1" x14ac:dyDescent="0.2">
      <c r="B199" s="111">
        <f t="shared" si="0"/>
        <v>2076</v>
      </c>
      <c r="C199" s="112">
        <f>[1]С2.5!$BI$11</f>
        <v>0</v>
      </c>
    </row>
    <row r="200" spans="2:3" hidden="1" x14ac:dyDescent="0.2">
      <c r="B200" s="111">
        <f t="shared" si="0"/>
        <v>2077</v>
      </c>
      <c r="C200" s="112">
        <f>[1]С2.5!$BJ$11</f>
        <v>0</v>
      </c>
    </row>
    <row r="201" spans="2:3" hidden="1" x14ac:dyDescent="0.2">
      <c r="B201" s="111">
        <f t="shared" si="0"/>
        <v>2078</v>
      </c>
      <c r="C201" s="112">
        <f>[1]С2.5!$BK$11</f>
        <v>0</v>
      </c>
    </row>
    <row r="202" spans="2:3" hidden="1" x14ac:dyDescent="0.2">
      <c r="B202" s="111">
        <f t="shared" si="0"/>
        <v>2079</v>
      </c>
      <c r="C202" s="112">
        <f>[1]С2.5!$BL$11</f>
        <v>0</v>
      </c>
    </row>
    <row r="203" spans="2:3" hidden="1" x14ac:dyDescent="0.2">
      <c r="B203" s="111">
        <f t="shared" si="0"/>
        <v>2080</v>
      </c>
      <c r="C203" s="112">
        <f>[1]С2.5!$BM$11</f>
        <v>0</v>
      </c>
    </row>
    <row r="204" spans="2:3" hidden="1" x14ac:dyDescent="0.2">
      <c r="B204" s="111">
        <f t="shared" si="0"/>
        <v>2081</v>
      </c>
      <c r="C204" s="112">
        <f>[1]С2.5!$BN$11</f>
        <v>0</v>
      </c>
    </row>
    <row r="205" spans="2:3" hidden="1" x14ac:dyDescent="0.2">
      <c r="B205" s="111">
        <f t="shared" si="0"/>
        <v>2082</v>
      </c>
      <c r="C205" s="112">
        <f>[1]С2.5!$BO$11</f>
        <v>0</v>
      </c>
    </row>
    <row r="206" spans="2:3" hidden="1" x14ac:dyDescent="0.2">
      <c r="B206" s="111">
        <f t="shared" si="0"/>
        <v>2083</v>
      </c>
      <c r="C206" s="112">
        <f>[1]С2.5!$BP$11</f>
        <v>0</v>
      </c>
    </row>
    <row r="207" spans="2:3" hidden="1" x14ac:dyDescent="0.2">
      <c r="B207" s="111">
        <f t="shared" si="0"/>
        <v>2084</v>
      </c>
      <c r="C207" s="112">
        <f>[1]С2.5!$BQ$11</f>
        <v>0</v>
      </c>
    </row>
    <row r="208" spans="2:3" hidden="1" x14ac:dyDescent="0.2">
      <c r="B208" s="111">
        <f t="shared" si="0"/>
        <v>2085</v>
      </c>
      <c r="C208" s="112">
        <f>[1]С2.5!$BR$11</f>
        <v>0</v>
      </c>
    </row>
    <row r="209" spans="2:3" hidden="1" x14ac:dyDescent="0.2">
      <c r="B209" s="111">
        <f t="shared" ref="B209:B223" si="1">B208+1</f>
        <v>2086</v>
      </c>
      <c r="C209" s="112">
        <f>[1]С2.5!$BS$11</f>
        <v>0</v>
      </c>
    </row>
    <row r="210" spans="2:3" hidden="1" x14ac:dyDescent="0.2">
      <c r="B210" s="111">
        <f t="shared" si="1"/>
        <v>2087</v>
      </c>
      <c r="C210" s="112">
        <f>[1]С2.5!$BT$11</f>
        <v>0</v>
      </c>
    </row>
    <row r="211" spans="2:3" hidden="1" x14ac:dyDescent="0.2">
      <c r="B211" s="111">
        <f t="shared" si="1"/>
        <v>2088</v>
      </c>
      <c r="C211" s="112">
        <f>[1]С2.5!$BU$11</f>
        <v>0</v>
      </c>
    </row>
    <row r="212" spans="2:3" hidden="1" x14ac:dyDescent="0.2">
      <c r="B212" s="111">
        <f t="shared" si="1"/>
        <v>2089</v>
      </c>
      <c r="C212" s="112">
        <f>[1]С2.5!$BV$11</f>
        <v>0</v>
      </c>
    </row>
    <row r="213" spans="2:3" hidden="1" x14ac:dyDescent="0.2">
      <c r="B213" s="111">
        <f t="shared" si="1"/>
        <v>2090</v>
      </c>
      <c r="C213" s="112">
        <f>[1]С2.5!$BW$11</f>
        <v>0</v>
      </c>
    </row>
    <row r="214" spans="2:3" hidden="1" x14ac:dyDescent="0.2">
      <c r="B214" s="111">
        <f t="shared" si="1"/>
        <v>2091</v>
      </c>
      <c r="C214" s="112">
        <f>[1]С2.5!$BX$11</f>
        <v>0</v>
      </c>
    </row>
    <row r="215" spans="2:3" hidden="1" x14ac:dyDescent="0.2">
      <c r="B215" s="111">
        <f t="shared" si="1"/>
        <v>2092</v>
      </c>
      <c r="C215" s="112">
        <f>[1]С2.5!$BY$11</f>
        <v>0</v>
      </c>
    </row>
    <row r="216" spans="2:3" hidden="1" x14ac:dyDescent="0.2">
      <c r="B216" s="111">
        <f t="shared" si="1"/>
        <v>2093</v>
      </c>
      <c r="C216" s="112">
        <f>[1]С2.5!$BZ$11</f>
        <v>0</v>
      </c>
    </row>
    <row r="217" spans="2:3" hidden="1" x14ac:dyDescent="0.2">
      <c r="B217" s="111">
        <f t="shared" si="1"/>
        <v>2094</v>
      </c>
      <c r="C217" s="112">
        <f>[1]С2.5!$CA$11</f>
        <v>0</v>
      </c>
    </row>
    <row r="218" spans="2:3" hidden="1" x14ac:dyDescent="0.2">
      <c r="B218" s="111">
        <f t="shared" si="1"/>
        <v>2095</v>
      </c>
      <c r="C218" s="112">
        <f>[1]С2.5!$CB$11</f>
        <v>0</v>
      </c>
    </row>
    <row r="219" spans="2:3" hidden="1" x14ac:dyDescent="0.2">
      <c r="B219" s="111">
        <f t="shared" si="1"/>
        <v>2096</v>
      </c>
      <c r="C219" s="112">
        <f>[1]С2.5!$CC$11</f>
        <v>0</v>
      </c>
    </row>
    <row r="220" spans="2:3" hidden="1" x14ac:dyDescent="0.2">
      <c r="B220" s="111">
        <f t="shared" si="1"/>
        <v>2097</v>
      </c>
      <c r="C220" s="112">
        <f>[1]С2.5!$CD$11</f>
        <v>0</v>
      </c>
    </row>
    <row r="221" spans="2:3" hidden="1" x14ac:dyDescent="0.2">
      <c r="B221" s="111">
        <f t="shared" si="1"/>
        <v>2098</v>
      </c>
      <c r="C221" s="112">
        <f>[1]С2.5!$CE$11</f>
        <v>0</v>
      </c>
    </row>
    <row r="222" spans="2:3" hidden="1" x14ac:dyDescent="0.2">
      <c r="B222" s="111">
        <f t="shared" si="1"/>
        <v>2099</v>
      </c>
      <c r="C222" s="112">
        <f>[1]С2.5!$CF$11</f>
        <v>0</v>
      </c>
    </row>
    <row r="223" spans="2:3" ht="13.5" hidden="1" thickBot="1" x14ac:dyDescent="0.25">
      <c r="B223" s="113">
        <f t="shared" si="1"/>
        <v>2100</v>
      </c>
      <c r="C223" s="114">
        <f>[1]С2.5!$CG$11</f>
        <v>0</v>
      </c>
    </row>
    <row r="224" spans="2:3" hidden="1" x14ac:dyDescent="0.2">
      <c r="C224" s="117"/>
    </row>
    <row r="225" spans="3:3" hidden="1" x14ac:dyDescent="0.2">
      <c r="C225" s="117"/>
    </row>
    <row r="226" spans="3:3" x14ac:dyDescent="0.2">
      <c r="C226" s="117"/>
    </row>
  </sheetData>
  <mergeCells count="9">
    <mergeCell ref="B141:C141"/>
    <mergeCell ref="A14:C14"/>
    <mergeCell ref="B1:C1"/>
    <mergeCell ref="B27:C27"/>
    <mergeCell ref="B40:C40"/>
    <mergeCell ref="B84:C84"/>
    <mergeCell ref="B95:C95"/>
    <mergeCell ref="B124:C124"/>
    <mergeCell ref="B127:C127"/>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Button 1">
              <controlPr defaultSize="0" print="0" autoFill="0" autoPict="0" macro="[2]!Лист29.PrintBlock">
                <anchor moveWithCells="1" sizeWithCells="1">
                  <from>
                    <xdr:col>3</xdr:col>
                    <xdr:colOff>0</xdr:colOff>
                    <xdr:row>0</xdr:row>
                    <xdr:rowOff>85725</xdr:rowOff>
                  </from>
                  <to>
                    <xdr:col>4</xdr:col>
                    <xdr:colOff>0</xdr:colOff>
                    <xdr:row>0</xdr:row>
                    <xdr:rowOff>238125</xdr:rowOff>
                  </to>
                </anchor>
              </controlPr>
            </control>
          </mc:Choice>
        </mc:AlternateContent>
        <mc:AlternateContent xmlns:mc="http://schemas.openxmlformats.org/markup-compatibility/2006">
          <mc:Choice Requires="x14">
            <control shapeId="1026" r:id="rId4" name="Button 2">
              <controlPr defaultSize="0" print="0" autoFill="0" autoPict="0" macro="[1]!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C2" sqref="C2"/>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20" t="s">
        <v>0</v>
      </c>
      <c r="C1" s="120"/>
    </row>
    <row r="2" spans="1:3" x14ac:dyDescent="0.2">
      <c r="A2" s="3"/>
      <c r="B2" s="4" t="s">
        <v>1</v>
      </c>
      <c r="C2" s="5">
        <v>45317</v>
      </c>
    </row>
    <row r="3" spans="1:3" x14ac:dyDescent="0.2">
      <c r="A3" s="3"/>
      <c r="B3" s="6" t="s">
        <v>2</v>
      </c>
    </row>
    <row r="4" spans="1:3" ht="25.5" x14ac:dyDescent="0.2">
      <c r="A4" s="8"/>
      <c r="B4" s="9" t="str">
        <f>[19]И1!D13</f>
        <v>Субъект Российской Федерации</v>
      </c>
      <c r="C4" s="10" t="str">
        <f>[19]И1!E13</f>
        <v>Новосибирская область</v>
      </c>
    </row>
    <row r="5" spans="1:3" ht="46.9" customHeight="1" x14ac:dyDescent="0.2">
      <c r="A5" s="8"/>
      <c r="B5" s="9" t="str">
        <f>[19]И1!D14</f>
        <v>Тип муниципального образования (выберите из списка)</v>
      </c>
      <c r="C5" s="10" t="str">
        <f>[19]И1!E14</f>
        <v xml:space="preserve">село Малышево, Сузунский муниципальный район </v>
      </c>
    </row>
    <row r="6" spans="1:3" x14ac:dyDescent="0.2">
      <c r="A6" s="8"/>
      <c r="B6" s="9" t="str">
        <f>IF([19]И1!E15="","",[19]И1!D15)</f>
        <v/>
      </c>
      <c r="C6" s="10" t="str">
        <f>IF([19]И1!E15="","",[19]И1!E15)</f>
        <v/>
      </c>
    </row>
    <row r="7" spans="1:3" x14ac:dyDescent="0.2">
      <c r="A7" s="8"/>
      <c r="B7" s="9" t="str">
        <f>[19]И1!D16</f>
        <v>Код ОКТМО</v>
      </c>
      <c r="C7" s="11" t="str">
        <f>[19]И1!E16</f>
        <v>(50648425101)</v>
      </c>
    </row>
    <row r="8" spans="1:3" x14ac:dyDescent="0.2">
      <c r="A8" s="8"/>
      <c r="B8" s="12" t="str">
        <f>[19]И1!D17</f>
        <v>Система теплоснабжения</v>
      </c>
      <c r="C8" s="13">
        <f>[19]И1!E17</f>
        <v>0</v>
      </c>
    </row>
    <row r="9" spans="1:3" x14ac:dyDescent="0.2">
      <c r="A9" s="8"/>
      <c r="B9" s="9" t="str">
        <f>[19]И1!D8</f>
        <v>Период регулирования (i)-й</v>
      </c>
      <c r="C9" s="14">
        <f>[19]И1!E8</f>
        <v>2024</v>
      </c>
    </row>
    <row r="10" spans="1:3" x14ac:dyDescent="0.2">
      <c r="A10" s="8"/>
      <c r="B10" s="9" t="str">
        <f>[19]И1!D9</f>
        <v>Период регулирования (i-1)-й</v>
      </c>
      <c r="C10" s="14">
        <f>[19]И1!E9</f>
        <v>2023</v>
      </c>
    </row>
    <row r="11" spans="1:3" x14ac:dyDescent="0.2">
      <c r="A11" s="8"/>
      <c r="B11" s="9" t="str">
        <f>[19]И1!D10</f>
        <v>Период регулирования (i-2)-й</v>
      </c>
      <c r="C11" s="14">
        <f>[19]И1!E10</f>
        <v>2022</v>
      </c>
    </row>
    <row r="12" spans="1:3" x14ac:dyDescent="0.2">
      <c r="A12" s="8"/>
      <c r="B12" s="9" t="str">
        <f>[19]И1!D11</f>
        <v>Базовый год (б)</v>
      </c>
      <c r="C12" s="14">
        <f>[19]И1!E11</f>
        <v>2019</v>
      </c>
    </row>
    <row r="13" spans="1:3" ht="38.25" x14ac:dyDescent="0.2">
      <c r="A13" s="8"/>
      <c r="B13" s="9" t="str">
        <f>[19]И1!D18</f>
        <v>Вид топлива, использование которого преобладает в системе теплоснабжения</v>
      </c>
      <c r="C13" s="15" t="str">
        <f>[19]С1.1!E13</f>
        <v>уголь (вид угля не указан в топливном балансе)</v>
      </c>
    </row>
    <row r="14" spans="1:3" ht="31.7" customHeight="1" thickBot="1" x14ac:dyDescent="0.25">
      <c r="A14" s="119" t="s">
        <v>3</v>
      </c>
      <c r="B14" s="119"/>
      <c r="C14" s="119"/>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3449.8796050952842</v>
      </c>
    </row>
    <row r="18" spans="1:3" ht="42.75" x14ac:dyDescent="0.2">
      <c r="A18" s="22" t="s">
        <v>8</v>
      </c>
      <c r="B18" s="25" t="s">
        <v>9</v>
      </c>
      <c r="C18" s="26">
        <f>[19]С1!F12</f>
        <v>491.38185466416314</v>
      </c>
    </row>
    <row r="19" spans="1:3" ht="42.75" x14ac:dyDescent="0.2">
      <c r="A19" s="22" t="s">
        <v>10</v>
      </c>
      <c r="B19" s="25" t="s">
        <v>11</v>
      </c>
      <c r="C19" s="26">
        <f>[19]С2!F12</f>
        <v>1990.8616285605142</v>
      </c>
    </row>
    <row r="20" spans="1:3" ht="30" x14ac:dyDescent="0.2">
      <c r="A20" s="22" t="s">
        <v>12</v>
      </c>
      <c r="B20" s="25" t="s">
        <v>13</v>
      </c>
      <c r="C20" s="26">
        <f>[19]С3!F12</f>
        <v>473.18998182045129</v>
      </c>
    </row>
    <row r="21" spans="1:3" ht="42.75" x14ac:dyDescent="0.2">
      <c r="A21" s="22" t="s">
        <v>14</v>
      </c>
      <c r="B21" s="25" t="s">
        <v>15</v>
      </c>
      <c r="C21" s="26">
        <f>[19]С4!F12</f>
        <v>426.80144191103278</v>
      </c>
    </row>
    <row r="22" spans="1:3" ht="30" x14ac:dyDescent="0.2">
      <c r="A22" s="22" t="s">
        <v>16</v>
      </c>
      <c r="B22" s="25" t="s">
        <v>17</v>
      </c>
      <c r="C22" s="26">
        <f>[19]С5!F12</f>
        <v>67.644698139123221</v>
      </c>
    </row>
    <row r="23" spans="1:3" ht="43.5" thickBot="1" x14ac:dyDescent="0.25">
      <c r="A23" s="27" t="s">
        <v>18</v>
      </c>
      <c r="B23" s="105" t="s">
        <v>19</v>
      </c>
      <c r="C23" s="28" t="str">
        <f>[19]С6!F12</f>
        <v>-</v>
      </c>
    </row>
    <row r="24" spans="1:3" ht="13.5" thickBot="1" x14ac:dyDescent="0.25">
      <c r="A24" s="3"/>
    </row>
    <row r="25" spans="1:3" x14ac:dyDescent="0.2">
      <c r="A25" s="16" t="s">
        <v>4</v>
      </c>
      <c r="B25" s="29" t="s">
        <v>5</v>
      </c>
      <c r="C25" s="30" t="s">
        <v>6</v>
      </c>
    </row>
    <row r="26" spans="1:3" x14ac:dyDescent="0.2">
      <c r="A26" s="19">
        <v>1</v>
      </c>
      <c r="B26" s="31">
        <v>2</v>
      </c>
      <c r="C26" s="32">
        <v>3</v>
      </c>
    </row>
    <row r="27" spans="1:3" ht="30" customHeight="1" x14ac:dyDescent="0.2">
      <c r="A27" s="22">
        <v>1</v>
      </c>
      <c r="B27" s="121" t="s">
        <v>20</v>
      </c>
      <c r="C27" s="121"/>
    </row>
    <row r="28" spans="1:3" x14ac:dyDescent="0.2">
      <c r="A28" s="22" t="s">
        <v>8</v>
      </c>
      <c r="B28" s="33" t="s">
        <v>21</v>
      </c>
      <c r="C28" s="34">
        <f>[19]С1.1!E16</f>
        <v>5100</v>
      </c>
    </row>
    <row r="29" spans="1:3" ht="42.75" x14ac:dyDescent="0.2">
      <c r="A29" s="22" t="s">
        <v>10</v>
      </c>
      <c r="B29" s="33" t="s">
        <v>22</v>
      </c>
      <c r="C29" s="34">
        <f>[19]С1.1!E27</f>
        <v>2207.8000000000002</v>
      </c>
    </row>
    <row r="30" spans="1:3" ht="17.25" x14ac:dyDescent="0.2">
      <c r="A30" s="22" t="s">
        <v>12</v>
      </c>
      <c r="B30" s="33" t="s">
        <v>23</v>
      </c>
      <c r="C30" s="35">
        <f>[19]С1.1!E19</f>
        <v>-0.19900000000000001</v>
      </c>
    </row>
    <row r="31" spans="1:3" ht="17.25" x14ac:dyDescent="0.2">
      <c r="A31" s="22" t="s">
        <v>14</v>
      </c>
      <c r="B31" s="33" t="s">
        <v>24</v>
      </c>
      <c r="C31" s="35">
        <f>[19]С1.1!E20</f>
        <v>5.7000000000000002E-2</v>
      </c>
    </row>
    <row r="32" spans="1:3" ht="30" x14ac:dyDescent="0.2">
      <c r="A32" s="22" t="s">
        <v>16</v>
      </c>
      <c r="B32" s="36" t="s">
        <v>25</v>
      </c>
      <c r="C32" s="37">
        <f>[19]С1!F13</f>
        <v>176.4</v>
      </c>
    </row>
    <row r="33" spans="1:3" x14ac:dyDescent="0.2">
      <c r="A33" s="22" t="s">
        <v>18</v>
      </c>
      <c r="B33" s="36" t="s">
        <v>26</v>
      </c>
      <c r="C33" s="38">
        <f>[19]С1!F16</f>
        <v>7000</v>
      </c>
    </row>
    <row r="34" spans="1:3" ht="14.25" x14ac:dyDescent="0.2">
      <c r="A34" s="22" t="s">
        <v>27</v>
      </c>
      <c r="B34" s="39" t="s">
        <v>28</v>
      </c>
      <c r="C34" s="40">
        <f>[19]С1!F17</f>
        <v>0.72857142857142854</v>
      </c>
    </row>
    <row r="35" spans="1:3" ht="15.75" x14ac:dyDescent="0.2">
      <c r="A35" s="41" t="s">
        <v>29</v>
      </c>
      <c r="B35" s="42" t="s">
        <v>30</v>
      </c>
      <c r="C35" s="40">
        <f>[19]С1!F20</f>
        <v>21.588411179999994</v>
      </c>
    </row>
    <row r="36" spans="1:3" ht="15.75" x14ac:dyDescent="0.2">
      <c r="A36" s="41" t="s">
        <v>31</v>
      </c>
      <c r="B36" s="43" t="s">
        <v>32</v>
      </c>
      <c r="C36" s="40">
        <f>[19]С1!F21</f>
        <v>20.818139999999996</v>
      </c>
    </row>
    <row r="37" spans="1:3" ht="14.25" x14ac:dyDescent="0.2">
      <c r="A37" s="41" t="s">
        <v>33</v>
      </c>
      <c r="B37" s="44" t="s">
        <v>34</v>
      </c>
      <c r="C37" s="40">
        <f>[19]С1!F22</f>
        <v>1.0369999999999999</v>
      </c>
    </row>
    <row r="38" spans="1:3" ht="53.25" thickBot="1" x14ac:dyDescent="0.25">
      <c r="A38" s="27" t="s">
        <v>35</v>
      </c>
      <c r="B38" s="45" t="s">
        <v>36</v>
      </c>
      <c r="C38" s="46">
        <f>[19]С1!F23</f>
        <v>1.0469999999999999</v>
      </c>
    </row>
    <row r="39" spans="1:3" ht="13.5" thickBot="1" x14ac:dyDescent="0.25">
      <c r="A39" s="47"/>
      <c r="B39" s="48"/>
      <c r="C39" s="49"/>
    </row>
    <row r="40" spans="1:3" ht="30" customHeight="1" x14ac:dyDescent="0.2">
      <c r="A40" s="50" t="s">
        <v>37</v>
      </c>
      <c r="B40" s="122" t="s">
        <v>38</v>
      </c>
      <c r="C40" s="122"/>
    </row>
    <row r="41" spans="1:3" ht="25.5" x14ac:dyDescent="0.2">
      <c r="A41" s="22" t="s">
        <v>39</v>
      </c>
      <c r="B41" s="36" t="s">
        <v>40</v>
      </c>
      <c r="C41" s="51" t="str">
        <f>[19]С2.1!E12</f>
        <v>V</v>
      </c>
    </row>
    <row r="42" spans="1:3" ht="25.5" x14ac:dyDescent="0.2">
      <c r="A42" s="22" t="s">
        <v>41</v>
      </c>
      <c r="B42" s="33" t="s">
        <v>42</v>
      </c>
      <c r="C42" s="51" t="str">
        <f>[19]С2.1!E13</f>
        <v>6 и менее баллов</v>
      </c>
    </row>
    <row r="43" spans="1:3" ht="25.5" x14ac:dyDescent="0.2">
      <c r="A43" s="22" t="s">
        <v>43</v>
      </c>
      <c r="B43" s="33" t="s">
        <v>44</v>
      </c>
      <c r="C43" s="51" t="str">
        <f>[19]С2.1!E14</f>
        <v>от 200 до 500</v>
      </c>
    </row>
    <row r="44" spans="1:3" ht="25.5" x14ac:dyDescent="0.2">
      <c r="A44" s="22" t="s">
        <v>45</v>
      </c>
      <c r="B44" s="33" t="s">
        <v>46</v>
      </c>
      <c r="C44" s="52" t="str">
        <f>[19]С2.1!E15</f>
        <v>нет</v>
      </c>
    </row>
    <row r="45" spans="1:3" ht="30" x14ac:dyDescent="0.2">
      <c r="A45" s="22" t="s">
        <v>47</v>
      </c>
      <c r="B45" s="33" t="s">
        <v>48</v>
      </c>
      <c r="C45" s="34">
        <f>[19]С2!F18</f>
        <v>35106.652004551666</v>
      </c>
    </row>
    <row r="46" spans="1:3" ht="30" x14ac:dyDescent="0.2">
      <c r="A46" s="22" t="s">
        <v>49</v>
      </c>
      <c r="B46" s="53" t="s">
        <v>50</v>
      </c>
      <c r="C46" s="34">
        <f>IF([19]С2!F19&gt;0,[19]С2!F19,[19]С2!F20)</f>
        <v>23441.524932855718</v>
      </c>
    </row>
    <row r="47" spans="1:3" ht="25.5" x14ac:dyDescent="0.2">
      <c r="A47" s="22" t="s">
        <v>51</v>
      </c>
      <c r="B47" s="54" t="s">
        <v>52</v>
      </c>
      <c r="C47" s="34">
        <f>[19]С2.1!E19</f>
        <v>-38</v>
      </c>
    </row>
    <row r="48" spans="1:3" ht="25.5" x14ac:dyDescent="0.2">
      <c r="A48" s="22" t="s">
        <v>53</v>
      </c>
      <c r="B48" s="54" t="s">
        <v>54</v>
      </c>
      <c r="C48" s="34" t="str">
        <f>[19]С2.1!E22</f>
        <v>нет</v>
      </c>
    </row>
    <row r="49" spans="1:3" ht="38.25" x14ac:dyDescent="0.2">
      <c r="A49" s="22" t="s">
        <v>55</v>
      </c>
      <c r="B49" s="55" t="s">
        <v>56</v>
      </c>
      <c r="C49" s="34">
        <f>[19]С2.2!E10</f>
        <v>1287</v>
      </c>
    </row>
    <row r="50" spans="1:3" ht="25.5" x14ac:dyDescent="0.2">
      <c r="A50" s="22" t="s">
        <v>57</v>
      </c>
      <c r="B50" s="56" t="s">
        <v>58</v>
      </c>
      <c r="C50" s="34">
        <f>[19]С2.2!E12</f>
        <v>5.97</v>
      </c>
    </row>
    <row r="51" spans="1:3" ht="52.5" x14ac:dyDescent="0.2">
      <c r="A51" s="22" t="s">
        <v>59</v>
      </c>
      <c r="B51" s="57" t="s">
        <v>60</v>
      </c>
      <c r="C51" s="34">
        <f>[19]С2.2!E13</f>
        <v>1</v>
      </c>
    </row>
    <row r="52" spans="1:3" ht="27.75" x14ac:dyDescent="0.2">
      <c r="A52" s="22" t="s">
        <v>61</v>
      </c>
      <c r="B52" s="56" t="s">
        <v>62</v>
      </c>
      <c r="C52" s="34">
        <f>[19]С2.2!E14</f>
        <v>12104</v>
      </c>
    </row>
    <row r="53" spans="1:3" ht="25.5" x14ac:dyDescent="0.2">
      <c r="A53" s="22" t="s">
        <v>63</v>
      </c>
      <c r="B53" s="57" t="s">
        <v>64</v>
      </c>
      <c r="C53" s="35">
        <f>[19]С2.2!E15</f>
        <v>4.8000000000000001E-2</v>
      </c>
    </row>
    <row r="54" spans="1:3" x14ac:dyDescent="0.2">
      <c r="A54" s="22" t="s">
        <v>65</v>
      </c>
      <c r="B54" s="57" t="s">
        <v>66</v>
      </c>
      <c r="C54" s="34">
        <f>[19]С2.2!E16</f>
        <v>1</v>
      </c>
    </row>
    <row r="55" spans="1:3" ht="15.75" x14ac:dyDescent="0.2">
      <c r="A55" s="22" t="s">
        <v>67</v>
      </c>
      <c r="B55" s="58" t="s">
        <v>68</v>
      </c>
      <c r="C55" s="34">
        <f>[19]С2!F21</f>
        <v>1</v>
      </c>
    </row>
    <row r="56" spans="1:3" ht="30" x14ac:dyDescent="0.2">
      <c r="A56" s="59" t="s">
        <v>69</v>
      </c>
      <c r="B56" s="33" t="s">
        <v>70</v>
      </c>
      <c r="C56" s="34">
        <f>[19]С2!F13</f>
        <v>183796.83936385796</v>
      </c>
    </row>
    <row r="57" spans="1:3" ht="30" x14ac:dyDescent="0.2">
      <c r="A57" s="59" t="s">
        <v>71</v>
      </c>
      <c r="B57" s="58" t="s">
        <v>72</v>
      </c>
      <c r="C57" s="34">
        <f>[19]С2!F14</f>
        <v>113455</v>
      </c>
    </row>
    <row r="58" spans="1:3" ht="15.75" x14ac:dyDescent="0.2">
      <c r="A58" s="59" t="s">
        <v>73</v>
      </c>
      <c r="B58" s="60" t="s">
        <v>74</v>
      </c>
      <c r="C58" s="40">
        <f>[19]С2!F15</f>
        <v>1.071</v>
      </c>
    </row>
    <row r="59" spans="1:3" ht="15.75" x14ac:dyDescent="0.2">
      <c r="A59" s="59" t="s">
        <v>75</v>
      </c>
      <c r="B59" s="60" t="s">
        <v>76</v>
      </c>
      <c r="C59" s="40">
        <f>[19]С2!F16</f>
        <v>1</v>
      </c>
    </row>
    <row r="60" spans="1:3" ht="17.25" x14ac:dyDescent="0.2">
      <c r="A60" s="59" t="s">
        <v>77</v>
      </c>
      <c r="B60" s="58" t="s">
        <v>78</v>
      </c>
      <c r="C60" s="34">
        <f>[19]С2!F17</f>
        <v>1.01</v>
      </c>
    </row>
    <row r="61" spans="1:3" s="63" customFormat="1" ht="14.25" x14ac:dyDescent="0.2">
      <c r="A61" s="59" t="s">
        <v>79</v>
      </c>
      <c r="B61" s="61" t="s">
        <v>80</v>
      </c>
      <c r="C61" s="62">
        <f>[19]С2!F33</f>
        <v>10</v>
      </c>
    </row>
    <row r="62" spans="1:3" ht="30" x14ac:dyDescent="0.2">
      <c r="A62" s="59" t="s">
        <v>81</v>
      </c>
      <c r="B62" s="64" t="s">
        <v>82</v>
      </c>
      <c r="C62" s="34">
        <f>[19]С2!F26</f>
        <v>1543.3634896839897</v>
      </c>
    </row>
    <row r="63" spans="1:3" ht="17.25" x14ac:dyDescent="0.2">
      <c r="A63" s="59" t="s">
        <v>83</v>
      </c>
      <c r="B63" s="53" t="s">
        <v>84</v>
      </c>
      <c r="C63" s="34">
        <f>[19]С2!F27</f>
        <v>0.24536656199999998</v>
      </c>
    </row>
    <row r="64" spans="1:3" ht="17.25" x14ac:dyDescent="0.2">
      <c r="A64" s="59" t="s">
        <v>85</v>
      </c>
      <c r="B64" s="58" t="s">
        <v>86</v>
      </c>
      <c r="C64" s="62">
        <f>[19]С2!F28</f>
        <v>4200</v>
      </c>
    </row>
    <row r="65" spans="1:3" ht="42.75" x14ac:dyDescent="0.2">
      <c r="A65" s="59" t="s">
        <v>87</v>
      </c>
      <c r="B65" s="33" t="s">
        <v>88</v>
      </c>
      <c r="C65" s="34">
        <f>[19]С2!F22</f>
        <v>38698.422798410109</v>
      </c>
    </row>
    <row r="66" spans="1:3" ht="30" x14ac:dyDescent="0.2">
      <c r="A66" s="59" t="s">
        <v>89</v>
      </c>
      <c r="B66" s="60" t="s">
        <v>90</v>
      </c>
      <c r="C66" s="34">
        <f>[19]С2!F23</f>
        <v>1990</v>
      </c>
    </row>
    <row r="67" spans="1:3" ht="30" x14ac:dyDescent="0.2">
      <c r="A67" s="59" t="s">
        <v>91</v>
      </c>
      <c r="B67" s="53" t="s">
        <v>92</v>
      </c>
      <c r="C67" s="34">
        <f>[19]С2.1!E27</f>
        <v>14307.876789999998</v>
      </c>
    </row>
    <row r="68" spans="1:3" ht="38.25" x14ac:dyDescent="0.2">
      <c r="A68" s="59" t="s">
        <v>93</v>
      </c>
      <c r="B68" s="65" t="s">
        <v>94</v>
      </c>
      <c r="C68" s="52">
        <f>[19]С2.3!E21</f>
        <v>0</v>
      </c>
    </row>
    <row r="69" spans="1:3" ht="25.5" x14ac:dyDescent="0.2">
      <c r="A69" s="59" t="s">
        <v>95</v>
      </c>
      <c r="B69" s="66" t="s">
        <v>96</v>
      </c>
      <c r="C69" s="67">
        <f>[19]С2.3!E11</f>
        <v>9.89</v>
      </c>
    </row>
    <row r="70" spans="1:3" ht="25.5" x14ac:dyDescent="0.2">
      <c r="A70" s="59" t="s">
        <v>97</v>
      </c>
      <c r="B70" s="66" t="s">
        <v>98</v>
      </c>
      <c r="C70" s="62">
        <f>[19]С2.3!E13</f>
        <v>300</v>
      </c>
    </row>
    <row r="71" spans="1:3" ht="25.5" x14ac:dyDescent="0.2">
      <c r="A71" s="59" t="s">
        <v>99</v>
      </c>
      <c r="B71" s="65" t="s">
        <v>100</v>
      </c>
      <c r="C71" s="68">
        <f>IF([19]С2.3!E22&gt;0,[19]С2.3!E22,[19]С2.3!E14)</f>
        <v>61211</v>
      </c>
    </row>
    <row r="72" spans="1:3" ht="38.25" x14ac:dyDescent="0.2">
      <c r="A72" s="59" t="s">
        <v>101</v>
      </c>
      <c r="B72" s="65" t="s">
        <v>102</v>
      </c>
      <c r="C72" s="68">
        <f>IF([19]С2.3!E23&gt;0,[19]С2.3!E23,[19]С2.3!E15)</f>
        <v>45675</v>
      </c>
    </row>
    <row r="73" spans="1:3" ht="30" x14ac:dyDescent="0.2">
      <c r="A73" s="59" t="s">
        <v>103</v>
      </c>
      <c r="B73" s="53" t="s">
        <v>104</v>
      </c>
      <c r="C73" s="34">
        <f>[19]С2.1!E28</f>
        <v>9541.9567200000001</v>
      </c>
    </row>
    <row r="74" spans="1:3" ht="38.25" x14ac:dyDescent="0.2">
      <c r="A74" s="59" t="s">
        <v>105</v>
      </c>
      <c r="B74" s="65" t="s">
        <v>106</v>
      </c>
      <c r="C74" s="52">
        <f>[19]С2.3!E25</f>
        <v>0</v>
      </c>
    </row>
    <row r="75" spans="1:3" ht="25.5" x14ac:dyDescent="0.2">
      <c r="A75" s="59" t="s">
        <v>107</v>
      </c>
      <c r="B75" s="66" t="s">
        <v>108</v>
      </c>
      <c r="C75" s="67">
        <f>[19]С2.3!E12</f>
        <v>0.56000000000000005</v>
      </c>
    </row>
    <row r="76" spans="1:3" ht="25.5" x14ac:dyDescent="0.2">
      <c r="A76" s="59" t="s">
        <v>109</v>
      </c>
      <c r="B76" s="66" t="s">
        <v>98</v>
      </c>
      <c r="C76" s="62">
        <f>[19]С2.3!E13</f>
        <v>300</v>
      </c>
    </row>
    <row r="77" spans="1:3" ht="25.5" x14ac:dyDescent="0.2">
      <c r="A77" s="59" t="s">
        <v>110</v>
      </c>
      <c r="B77" s="69" t="s">
        <v>111</v>
      </c>
      <c r="C77" s="68">
        <f>IF([19]С2.3!E26&gt;0,[19]С2.3!E26,[19]С2.3!E16)</f>
        <v>65637</v>
      </c>
    </row>
    <row r="78" spans="1:3" ht="38.25" x14ac:dyDescent="0.2">
      <c r="A78" s="59" t="s">
        <v>112</v>
      </c>
      <c r="B78" s="69" t="s">
        <v>113</v>
      </c>
      <c r="C78" s="68">
        <f>IF([19]С2.3!E27&gt;0,[19]С2.3!E27,[19]С2.3!E17)</f>
        <v>31684</v>
      </c>
    </row>
    <row r="79" spans="1:3" ht="17.25" x14ac:dyDescent="0.2">
      <c r="A79" s="59" t="s">
        <v>114</v>
      </c>
      <c r="B79" s="33" t="s">
        <v>115</v>
      </c>
      <c r="C79" s="35">
        <f>[19]С2!F29</f>
        <v>9.5962865259740182E-2</v>
      </c>
    </row>
    <row r="80" spans="1:3" ht="30" x14ac:dyDescent="0.2">
      <c r="A80" s="59" t="s">
        <v>116</v>
      </c>
      <c r="B80" s="53" t="s">
        <v>117</v>
      </c>
      <c r="C80" s="70">
        <f>[19]С2!F30</f>
        <v>8.4029304029304031E-2</v>
      </c>
    </row>
    <row r="81" spans="1:3" ht="17.25" x14ac:dyDescent="0.2">
      <c r="A81" s="59" t="s">
        <v>118</v>
      </c>
      <c r="B81" s="71" t="s">
        <v>119</v>
      </c>
      <c r="C81" s="35">
        <f>[19]С2!F31</f>
        <v>0.13880000000000001</v>
      </c>
    </row>
    <row r="82" spans="1:3" s="63" customFormat="1" ht="18" thickBot="1" x14ac:dyDescent="0.25">
      <c r="A82" s="72" t="s">
        <v>120</v>
      </c>
      <c r="B82" s="73" t="s">
        <v>121</v>
      </c>
      <c r="C82" s="74">
        <f>[19]С2!F32</f>
        <v>0.12640000000000001</v>
      </c>
    </row>
    <row r="83" spans="1:3" ht="13.5" thickBot="1" x14ac:dyDescent="0.25">
      <c r="A83" s="47"/>
      <c r="B83" s="75"/>
      <c r="C83" s="15"/>
    </row>
    <row r="84" spans="1:3" s="63" customFormat="1" ht="30" customHeight="1" x14ac:dyDescent="0.2">
      <c r="A84" s="76" t="s">
        <v>122</v>
      </c>
      <c r="B84" s="122" t="s">
        <v>123</v>
      </c>
      <c r="C84" s="122"/>
    </row>
    <row r="85" spans="1:3" s="63" customFormat="1" ht="30" x14ac:dyDescent="0.2">
      <c r="A85" s="77" t="s">
        <v>124</v>
      </c>
      <c r="B85" s="33" t="s">
        <v>125</v>
      </c>
      <c r="C85" s="34">
        <f>[19]С3!F14</f>
        <v>6068.1437898865324</v>
      </c>
    </row>
    <row r="86" spans="1:3" s="63" customFormat="1" ht="42.75" x14ac:dyDescent="0.2">
      <c r="A86" s="77" t="s">
        <v>126</v>
      </c>
      <c r="B86" s="53" t="s">
        <v>127</v>
      </c>
      <c r="C86" s="78">
        <f>[19]С3!F15</f>
        <v>0.2</v>
      </c>
    </row>
    <row r="87" spans="1:3" s="63" customFormat="1" ht="14.25" x14ac:dyDescent="0.2">
      <c r="A87" s="77" t="s">
        <v>128</v>
      </c>
      <c r="B87" s="79" t="s">
        <v>129</v>
      </c>
      <c r="C87" s="62">
        <f>[19]С3!F18</f>
        <v>15</v>
      </c>
    </row>
    <row r="88" spans="1:3" s="63" customFormat="1" ht="17.25" x14ac:dyDescent="0.2">
      <c r="A88" s="77" t="s">
        <v>130</v>
      </c>
      <c r="B88" s="33" t="s">
        <v>131</v>
      </c>
      <c r="C88" s="34">
        <f>[19]С3!F19</f>
        <v>3778.1614077800232</v>
      </c>
    </row>
    <row r="89" spans="1:3" s="63" customFormat="1" ht="55.5" x14ac:dyDescent="0.2">
      <c r="A89" s="77" t="s">
        <v>132</v>
      </c>
      <c r="B89" s="53" t="s">
        <v>133</v>
      </c>
      <c r="C89" s="80">
        <f>[19]С3!F20</f>
        <v>2.1999999999999999E-2</v>
      </c>
    </row>
    <row r="90" spans="1:3" s="63" customFormat="1" ht="14.25" x14ac:dyDescent="0.2">
      <c r="A90" s="77" t="s">
        <v>134</v>
      </c>
      <c r="B90" s="58" t="s">
        <v>80</v>
      </c>
      <c r="C90" s="62">
        <f>[19]С3!F21</f>
        <v>10</v>
      </c>
    </row>
    <row r="91" spans="1:3" s="63" customFormat="1" ht="17.25" x14ac:dyDescent="0.2">
      <c r="A91" s="77" t="s">
        <v>135</v>
      </c>
      <c r="B91" s="33" t="s">
        <v>136</v>
      </c>
      <c r="C91" s="34">
        <f>[19]С3!F22</f>
        <v>4.6300904690519689</v>
      </c>
    </row>
    <row r="92" spans="1:3" s="63" customFormat="1" ht="55.5" x14ac:dyDescent="0.2">
      <c r="A92" s="77" t="s">
        <v>137</v>
      </c>
      <c r="B92" s="53" t="s">
        <v>138</v>
      </c>
      <c r="C92" s="80">
        <f>[19]С3!F23</f>
        <v>3.0000000000000001E-3</v>
      </c>
    </row>
    <row r="93" spans="1:3" s="63" customFormat="1" ht="27.75" thickBot="1" x14ac:dyDescent="0.25">
      <c r="A93" s="81" t="s">
        <v>139</v>
      </c>
      <c r="B93" s="82" t="s">
        <v>140</v>
      </c>
      <c r="C93" s="83">
        <f>[19]С3!F24</f>
        <v>1543.3634896839897</v>
      </c>
    </row>
    <row r="94" spans="1:3" ht="13.5" thickBot="1" x14ac:dyDescent="0.25">
      <c r="A94" s="47"/>
      <c r="B94" s="75"/>
      <c r="C94" s="15"/>
    </row>
    <row r="95" spans="1:3" ht="30" customHeight="1" x14ac:dyDescent="0.2">
      <c r="A95" s="84" t="s">
        <v>141</v>
      </c>
      <c r="B95" s="122" t="s">
        <v>142</v>
      </c>
      <c r="C95" s="122"/>
    </row>
    <row r="96" spans="1:3" ht="30" x14ac:dyDescent="0.2">
      <c r="A96" s="59" t="s">
        <v>143</v>
      </c>
      <c r="B96" s="33" t="s">
        <v>144</v>
      </c>
      <c r="C96" s="34">
        <f>[19]С4!F16</f>
        <v>1652.5</v>
      </c>
    </row>
    <row r="97" spans="1:3" ht="30" x14ac:dyDescent="0.2">
      <c r="A97" s="59" t="s">
        <v>145</v>
      </c>
      <c r="B97" s="58" t="s">
        <v>146</v>
      </c>
      <c r="C97" s="34">
        <f>[19]С4!F17</f>
        <v>73547</v>
      </c>
    </row>
    <row r="98" spans="1:3" ht="17.25" x14ac:dyDescent="0.2">
      <c r="A98" s="59" t="s">
        <v>147</v>
      </c>
      <c r="B98" s="58" t="s">
        <v>148</v>
      </c>
      <c r="C98" s="40">
        <f>[19]С4!F18</f>
        <v>0.02</v>
      </c>
    </row>
    <row r="99" spans="1:3" ht="30" x14ac:dyDescent="0.2">
      <c r="A99" s="59" t="s">
        <v>149</v>
      </c>
      <c r="B99" s="58" t="s">
        <v>150</v>
      </c>
      <c r="C99" s="34">
        <f>[19]С4!F19</f>
        <v>12104</v>
      </c>
    </row>
    <row r="100" spans="1:3" ht="31.5" x14ac:dyDescent="0.2">
      <c r="A100" s="59" t="s">
        <v>151</v>
      </c>
      <c r="B100" s="58" t="s">
        <v>152</v>
      </c>
      <c r="C100" s="40">
        <f>[19]С4!F20</f>
        <v>1.4999999999999999E-2</v>
      </c>
    </row>
    <row r="101" spans="1:3" ht="30" x14ac:dyDescent="0.2">
      <c r="A101" s="59" t="s">
        <v>153</v>
      </c>
      <c r="B101" s="33" t="s">
        <v>154</v>
      </c>
      <c r="C101" s="34">
        <f>[19]С4!F21</f>
        <v>1933.1949342509995</v>
      </c>
    </row>
    <row r="102" spans="1:3" ht="24" customHeight="1" x14ac:dyDescent="0.2">
      <c r="A102" s="59" t="s">
        <v>155</v>
      </c>
      <c r="B102" s="53" t="s">
        <v>156</v>
      </c>
      <c r="C102" s="85">
        <f>IF([19]С4.2!F8="да",[19]С4.2!D21,[19]С4.2!D15)</f>
        <v>0</v>
      </c>
    </row>
    <row r="103" spans="1:3" ht="68.25" x14ac:dyDescent="0.2">
      <c r="A103" s="59" t="s">
        <v>157</v>
      </c>
      <c r="B103" s="53" t="s">
        <v>158</v>
      </c>
      <c r="C103" s="34">
        <f>[19]С4!F22</f>
        <v>3.6112641666666665</v>
      </c>
    </row>
    <row r="104" spans="1:3" ht="30" x14ac:dyDescent="0.2">
      <c r="A104" s="59" t="s">
        <v>159</v>
      </c>
      <c r="B104" s="58" t="s">
        <v>160</v>
      </c>
      <c r="C104" s="34">
        <f>[19]С4!F23</f>
        <v>180</v>
      </c>
    </row>
    <row r="105" spans="1:3" ht="14.25" x14ac:dyDescent="0.2">
      <c r="A105" s="59" t="s">
        <v>161</v>
      </c>
      <c r="B105" s="53" t="s">
        <v>162</v>
      </c>
      <c r="C105" s="34">
        <f>[19]С4!F24</f>
        <v>8497.1999999999989</v>
      </c>
    </row>
    <row r="106" spans="1:3" ht="14.25" x14ac:dyDescent="0.2">
      <c r="A106" s="59" t="s">
        <v>163</v>
      </c>
      <c r="B106" s="58" t="s">
        <v>164</v>
      </c>
      <c r="C106" s="40">
        <f>[19]С4!F25</f>
        <v>0.35</v>
      </c>
    </row>
    <row r="107" spans="1:3" ht="17.25" x14ac:dyDescent="0.2">
      <c r="A107" s="59" t="s">
        <v>165</v>
      </c>
      <c r="B107" s="33" t="s">
        <v>166</v>
      </c>
      <c r="C107" s="34">
        <f>[19]С4!F26</f>
        <v>85.988129999999998</v>
      </c>
    </row>
    <row r="108" spans="1:3" ht="25.5" x14ac:dyDescent="0.2">
      <c r="A108" s="59" t="s">
        <v>167</v>
      </c>
      <c r="B108" s="53" t="s">
        <v>94</v>
      </c>
      <c r="C108" s="85">
        <f>[19]С4.3!E16</f>
        <v>0</v>
      </c>
    </row>
    <row r="109" spans="1:3" ht="25.5" x14ac:dyDescent="0.2">
      <c r="A109" s="59" t="s">
        <v>168</v>
      </c>
      <c r="B109" s="53" t="s">
        <v>169</v>
      </c>
      <c r="C109" s="34">
        <f>[19]С4.3!E17</f>
        <v>20.350000000000001</v>
      </c>
    </row>
    <row r="110" spans="1:3" ht="38.25" x14ac:dyDescent="0.2">
      <c r="A110" s="59" t="s">
        <v>170</v>
      </c>
      <c r="B110" s="53" t="s">
        <v>106</v>
      </c>
      <c r="C110" s="85">
        <f>[19]С4.3!E18</f>
        <v>0</v>
      </c>
    </row>
    <row r="111" spans="1:3" x14ac:dyDescent="0.2">
      <c r="A111" s="59" t="s">
        <v>171</v>
      </c>
      <c r="B111" s="53" t="s">
        <v>172</v>
      </c>
      <c r="C111" s="34">
        <f>[19]С4.3!E19</f>
        <v>71.67</v>
      </c>
    </row>
    <row r="112" spans="1:3" x14ac:dyDescent="0.2">
      <c r="A112" s="59" t="s">
        <v>173</v>
      </c>
      <c r="B112" s="58" t="s">
        <v>174</v>
      </c>
      <c r="C112" s="34">
        <f>[19]С4.3!E11</f>
        <v>1871</v>
      </c>
    </row>
    <row r="113" spans="1:3" x14ac:dyDescent="0.2">
      <c r="A113" s="59" t="s">
        <v>175</v>
      </c>
      <c r="B113" s="58" t="s">
        <v>176</v>
      </c>
      <c r="C113" s="52">
        <f>[19]С4.3!E12</f>
        <v>1636</v>
      </c>
    </row>
    <row r="114" spans="1:3" x14ac:dyDescent="0.2">
      <c r="A114" s="59" t="s">
        <v>177</v>
      </c>
      <c r="B114" s="58" t="s">
        <v>178</v>
      </c>
      <c r="C114" s="52">
        <f>[19]С4.3!E13</f>
        <v>204</v>
      </c>
    </row>
    <row r="115" spans="1:3" ht="30" x14ac:dyDescent="0.2">
      <c r="A115" s="59" t="s">
        <v>179</v>
      </c>
      <c r="B115" s="33" t="s">
        <v>180</v>
      </c>
      <c r="C115" s="34">
        <f>[19]С4!F27</f>
        <v>1291.2863994686898</v>
      </c>
    </row>
    <row r="116" spans="1:3" ht="25.5" x14ac:dyDescent="0.2">
      <c r="A116" s="59" t="s">
        <v>181</v>
      </c>
      <c r="B116" s="53" t="s">
        <v>182</v>
      </c>
      <c r="C116" s="34">
        <f>[19]С4!F28</f>
        <v>991.77142816335618</v>
      </c>
    </row>
    <row r="117" spans="1:3" ht="42.75" x14ac:dyDescent="0.2">
      <c r="A117" s="59" t="s">
        <v>183</v>
      </c>
      <c r="B117" s="53" t="s">
        <v>184</v>
      </c>
      <c r="C117" s="34">
        <f>[19]С4!F29</f>
        <v>299.51497130533357</v>
      </c>
    </row>
    <row r="118" spans="1:3" ht="30" x14ac:dyDescent="0.2">
      <c r="A118" s="59" t="s">
        <v>185</v>
      </c>
      <c r="B118" s="39" t="s">
        <v>186</v>
      </c>
      <c r="C118" s="34">
        <f>[19]С4!F30</f>
        <v>1452.5369335000423</v>
      </c>
    </row>
    <row r="119" spans="1:3" ht="42.75" x14ac:dyDescent="0.2">
      <c r="A119" s="59" t="s">
        <v>187</v>
      </c>
      <c r="B119" s="86" t="s">
        <v>188</v>
      </c>
      <c r="C119" s="34">
        <f>[19]С4!F33</f>
        <v>733.11661807007397</v>
      </c>
    </row>
    <row r="120" spans="1:3" ht="30" x14ac:dyDescent="0.2">
      <c r="A120" s="59" t="s">
        <v>189</v>
      </c>
      <c r="B120" s="87" t="s">
        <v>190</v>
      </c>
      <c r="C120" s="34">
        <f>[19]С4!F35</f>
        <v>17.040680999999999</v>
      </c>
    </row>
    <row r="121" spans="1:3" ht="14.25" x14ac:dyDescent="0.2">
      <c r="A121" s="59" t="s">
        <v>191</v>
      </c>
      <c r="B121" s="56" t="s">
        <v>192</v>
      </c>
      <c r="C121" s="34">
        <f>[19]С4!F36</f>
        <v>14319.9</v>
      </c>
    </row>
    <row r="122" spans="1:3" ht="28.5" thickBot="1" x14ac:dyDescent="0.25">
      <c r="A122" s="72" t="s">
        <v>193</v>
      </c>
      <c r="B122" s="88" t="s">
        <v>194</v>
      </c>
      <c r="C122" s="83">
        <f>[19]С4!F37</f>
        <v>1.19</v>
      </c>
    </row>
    <row r="123" spans="1:3" s="89" customFormat="1" ht="13.5" thickBot="1" x14ac:dyDescent="0.25">
      <c r="A123" s="47"/>
      <c r="B123" s="75"/>
      <c r="C123" s="15"/>
    </row>
    <row r="124" spans="1:3" s="63" customFormat="1" ht="30" customHeight="1" x14ac:dyDescent="0.2">
      <c r="A124" s="76" t="s">
        <v>195</v>
      </c>
      <c r="B124" s="122" t="s">
        <v>196</v>
      </c>
      <c r="C124" s="122"/>
    </row>
    <row r="125" spans="1:3" ht="16.5" thickBot="1" x14ac:dyDescent="0.25">
      <c r="A125" s="27" t="s">
        <v>197</v>
      </c>
      <c r="B125" s="90" t="s">
        <v>198</v>
      </c>
      <c r="C125" s="83">
        <f>[19]С5!F17</f>
        <v>0.02</v>
      </c>
    </row>
    <row r="126" spans="1:3" s="89" customFormat="1" ht="13.5" thickBot="1" x14ac:dyDescent="0.25">
      <c r="A126" s="47"/>
      <c r="B126" s="75"/>
      <c r="C126" s="15"/>
    </row>
    <row r="127" spans="1:3" ht="42.75" customHeight="1" x14ac:dyDescent="0.2">
      <c r="A127" s="84" t="s">
        <v>199</v>
      </c>
      <c r="B127" s="123" t="s">
        <v>200</v>
      </c>
      <c r="C127" s="123"/>
    </row>
    <row r="128" spans="1:3" ht="68.25" x14ac:dyDescent="0.2">
      <c r="A128" s="59" t="s">
        <v>201</v>
      </c>
      <c r="B128" s="91" t="s">
        <v>202</v>
      </c>
      <c r="C128" s="34" t="s">
        <v>203</v>
      </c>
    </row>
    <row r="129" spans="1:4" ht="42.75" hidden="1" x14ac:dyDescent="0.2">
      <c r="A129" s="59" t="s">
        <v>204</v>
      </c>
      <c r="B129" s="86" t="s">
        <v>205</v>
      </c>
      <c r="C129" s="92"/>
    </row>
    <row r="130" spans="1:4" ht="69" thickBot="1" x14ac:dyDescent="0.25">
      <c r="A130" s="72" t="s">
        <v>206</v>
      </c>
      <c r="B130" s="93" t="s">
        <v>207</v>
      </c>
      <c r="C130" s="94" t="s">
        <v>203</v>
      </c>
    </row>
    <row r="131" spans="1:4" ht="62.25" hidden="1" customHeight="1" x14ac:dyDescent="0.2">
      <c r="A131" s="95" t="s">
        <v>208</v>
      </c>
      <c r="B131" s="96" t="s">
        <v>209</v>
      </c>
      <c r="C131" s="97"/>
    </row>
    <row r="132" spans="1:4" ht="68.25" hidden="1" x14ac:dyDescent="0.2">
      <c r="A132" s="59" t="s">
        <v>210</v>
      </c>
      <c r="B132" s="86" t="s">
        <v>211</v>
      </c>
      <c r="C132" s="35"/>
    </row>
    <row r="133" spans="1:4" ht="69" hidden="1" thickBot="1" x14ac:dyDescent="0.25">
      <c r="A133" s="72" t="s">
        <v>212</v>
      </c>
      <c r="B133" s="98" t="s">
        <v>213</v>
      </c>
      <c r="C133" s="74"/>
    </row>
    <row r="134" spans="1:4" s="89" customFormat="1" ht="13.5" thickBot="1" x14ac:dyDescent="0.25">
      <c r="A134" s="47"/>
      <c r="B134" s="75"/>
      <c r="C134" s="15"/>
    </row>
    <row r="135" spans="1:4" ht="26.25" customHeight="1" x14ac:dyDescent="0.2">
      <c r="A135" s="84" t="s">
        <v>214</v>
      </c>
      <c r="B135" s="99" t="s">
        <v>215</v>
      </c>
      <c r="C135" s="100">
        <f>[19]С2!F37</f>
        <v>20.818139999999996</v>
      </c>
    </row>
    <row r="136" spans="1:4" ht="14.25" x14ac:dyDescent="0.2">
      <c r="A136" s="59" t="s">
        <v>216</v>
      </c>
      <c r="B136" s="101" t="s">
        <v>217</v>
      </c>
      <c r="C136" s="34">
        <f>[19]С2!F38</f>
        <v>7</v>
      </c>
    </row>
    <row r="137" spans="1:4" ht="17.25" x14ac:dyDescent="0.2">
      <c r="A137" s="59" t="s">
        <v>218</v>
      </c>
      <c r="B137" s="101" t="s">
        <v>219</v>
      </c>
      <c r="C137" s="34">
        <f>[19]С2!F40</f>
        <v>0.97</v>
      </c>
    </row>
    <row r="138" spans="1:4" ht="15" thickBot="1" x14ac:dyDescent="0.25">
      <c r="A138" s="72" t="s">
        <v>220</v>
      </c>
      <c r="B138" s="102" t="s">
        <v>221</v>
      </c>
      <c r="C138" s="46">
        <f>[19]С2!F42</f>
        <v>0.35</v>
      </c>
    </row>
    <row r="139" spans="1:4" s="89" customFormat="1" ht="13.5" thickBot="1" x14ac:dyDescent="0.25">
      <c r="A139" s="47"/>
      <c r="B139" s="75"/>
      <c r="C139" s="15"/>
    </row>
    <row r="140" spans="1:4" ht="30" x14ac:dyDescent="0.2">
      <c r="A140" s="84" t="s">
        <v>222</v>
      </c>
      <c r="B140" s="103" t="s">
        <v>223</v>
      </c>
      <c r="C140" s="104">
        <f>[19]С2!F35</f>
        <v>1.4976266307379205</v>
      </c>
      <c r="D140" s="89"/>
    </row>
    <row r="141" spans="1:4" ht="22.7" customHeight="1" thickBot="1" x14ac:dyDescent="0.25">
      <c r="A141" s="72" t="s">
        <v>224</v>
      </c>
      <c r="B141" s="118" t="s">
        <v>225</v>
      </c>
      <c r="C141" s="118"/>
      <c r="D141" s="89"/>
    </row>
    <row r="142" spans="1:4" ht="13.5" thickBot="1" x14ac:dyDescent="0.25">
      <c r="A142" s="106"/>
      <c r="B142" s="107" t="s">
        <v>226</v>
      </c>
      <c r="C142" s="108"/>
      <c r="D142" s="89"/>
    </row>
    <row r="143" spans="1:4" x14ac:dyDescent="0.2">
      <c r="A143" s="106"/>
      <c r="B143" s="109">
        <v>2020</v>
      </c>
      <c r="C143" s="110">
        <f>[19]С2.5!$E$11</f>
        <v>-2.9000000000000026E-2</v>
      </c>
      <c r="D143" s="89"/>
    </row>
    <row r="144" spans="1:4" x14ac:dyDescent="0.2">
      <c r="A144" s="106"/>
      <c r="B144" s="111">
        <f>B143+1</f>
        <v>2021</v>
      </c>
      <c r="C144" s="112">
        <f>[19]С2.5!$F$11</f>
        <v>0.245</v>
      </c>
      <c r="D144" s="89"/>
    </row>
    <row r="145" spans="1:4" x14ac:dyDescent="0.2">
      <c r="A145" s="106"/>
      <c r="B145" s="111">
        <f t="shared" ref="B145:B208" si="0">B144+1</f>
        <v>2022</v>
      </c>
      <c r="C145" s="112">
        <f>[19]С2.5!$G$11</f>
        <v>0.114</v>
      </c>
      <c r="D145" s="89"/>
    </row>
    <row r="146" spans="1:4" ht="13.5" thickBot="1" x14ac:dyDescent="0.25">
      <c r="A146" s="106"/>
      <c r="B146" s="113">
        <f t="shared" si="0"/>
        <v>2023</v>
      </c>
      <c r="C146" s="114">
        <f>[19]С2.5!$H$11</f>
        <v>2.4E-2</v>
      </c>
      <c r="D146" s="89"/>
    </row>
    <row r="147" spans="1:4" x14ac:dyDescent="0.2">
      <c r="A147" s="106"/>
      <c r="B147" s="115">
        <f t="shared" si="0"/>
        <v>2024</v>
      </c>
      <c r="C147" s="116">
        <f>[19]С2.5!$I$11</f>
        <v>8.5999999999999993E-2</v>
      </c>
      <c r="D147" s="89"/>
    </row>
    <row r="148" spans="1:4" hidden="1" x14ac:dyDescent="0.2">
      <c r="A148" s="106"/>
      <c r="B148" s="111">
        <f t="shared" si="0"/>
        <v>2025</v>
      </c>
      <c r="C148" s="112">
        <f>[19]С2.5!$J$11</f>
        <v>0.21215960863291</v>
      </c>
      <c r="D148" s="89"/>
    </row>
    <row r="149" spans="1:4" hidden="1" x14ac:dyDescent="0.2">
      <c r="A149" s="106"/>
      <c r="B149" s="111">
        <f t="shared" si="0"/>
        <v>2026</v>
      </c>
      <c r="C149" s="112">
        <f>[19]С2.5!$K$11</f>
        <v>3.5813361771260002E-2</v>
      </c>
      <c r="D149" s="89"/>
    </row>
    <row r="150" spans="1:4" hidden="1" x14ac:dyDescent="0.2">
      <c r="A150" s="106"/>
      <c r="B150" s="111">
        <f t="shared" si="0"/>
        <v>2027</v>
      </c>
      <c r="C150" s="112">
        <f>[19]С2.5!$L$11</f>
        <v>3.2682303599220003E-2</v>
      </c>
      <c r="D150" s="89"/>
    </row>
    <row r="151" spans="1:4" hidden="1" x14ac:dyDescent="0.2">
      <c r="A151" s="106"/>
      <c r="B151" s="111">
        <f t="shared" si="0"/>
        <v>2028</v>
      </c>
      <c r="C151" s="112">
        <f>[19]С2.5!$M$11</f>
        <v>0</v>
      </c>
      <c r="D151" s="89"/>
    </row>
    <row r="152" spans="1:4" hidden="1" x14ac:dyDescent="0.2">
      <c r="A152" s="106"/>
      <c r="B152" s="111">
        <f t="shared" si="0"/>
        <v>2029</v>
      </c>
      <c r="C152" s="112">
        <f>[19]С2.5!$N$11</f>
        <v>0</v>
      </c>
      <c r="D152" s="89"/>
    </row>
    <row r="153" spans="1:4" hidden="1" x14ac:dyDescent="0.2">
      <c r="A153" s="106"/>
      <c r="B153" s="111">
        <f t="shared" si="0"/>
        <v>2030</v>
      </c>
      <c r="C153" s="112">
        <f>[19]С2.5!$O$11</f>
        <v>0</v>
      </c>
      <c r="D153" s="89"/>
    </row>
    <row r="154" spans="1:4" hidden="1" x14ac:dyDescent="0.2">
      <c r="A154" s="106"/>
      <c r="B154" s="111">
        <f t="shared" si="0"/>
        <v>2031</v>
      </c>
      <c r="C154" s="112">
        <f>[19]С2.5!$P$11</f>
        <v>0</v>
      </c>
      <c r="D154" s="89"/>
    </row>
    <row r="155" spans="1:4" hidden="1" x14ac:dyDescent="0.2">
      <c r="A155" s="89"/>
      <c r="B155" s="111">
        <f t="shared" si="0"/>
        <v>2032</v>
      </c>
      <c r="C155" s="112">
        <f>[19]С2.5!$Q$11</f>
        <v>0</v>
      </c>
      <c r="D155" s="89"/>
    </row>
    <row r="156" spans="1:4" hidden="1" x14ac:dyDescent="0.2">
      <c r="A156" s="89"/>
      <c r="B156" s="111">
        <f t="shared" si="0"/>
        <v>2033</v>
      </c>
      <c r="C156" s="112">
        <f>[19]С2.5!$R$11</f>
        <v>0</v>
      </c>
      <c r="D156" s="89"/>
    </row>
    <row r="157" spans="1:4" hidden="1" x14ac:dyDescent="0.2">
      <c r="B157" s="111">
        <f t="shared" si="0"/>
        <v>2034</v>
      </c>
      <c r="C157" s="112">
        <f>[19]С2.5!$S$11</f>
        <v>0</v>
      </c>
    </row>
    <row r="158" spans="1:4" hidden="1" x14ac:dyDescent="0.2">
      <c r="B158" s="111">
        <f t="shared" si="0"/>
        <v>2035</v>
      </c>
      <c r="C158" s="112">
        <f>[19]С2.5!$T$11</f>
        <v>0</v>
      </c>
    </row>
    <row r="159" spans="1:4" hidden="1" x14ac:dyDescent="0.2">
      <c r="B159" s="111">
        <f t="shared" si="0"/>
        <v>2036</v>
      </c>
      <c r="C159" s="112">
        <f>[19]С2.5!$U$11</f>
        <v>0</v>
      </c>
    </row>
    <row r="160" spans="1:4" hidden="1" x14ac:dyDescent="0.2">
      <c r="B160" s="111">
        <f t="shared" si="0"/>
        <v>2037</v>
      </c>
      <c r="C160" s="112">
        <f>[19]С2.5!$V$11</f>
        <v>0</v>
      </c>
    </row>
    <row r="161" spans="2:3" hidden="1" x14ac:dyDescent="0.2">
      <c r="B161" s="111">
        <f t="shared" si="0"/>
        <v>2038</v>
      </c>
      <c r="C161" s="112">
        <f>[19]С2.5!$W$11</f>
        <v>0</v>
      </c>
    </row>
    <row r="162" spans="2:3" hidden="1" x14ac:dyDescent="0.2">
      <c r="B162" s="111">
        <f t="shared" si="0"/>
        <v>2039</v>
      </c>
      <c r="C162" s="112">
        <f>[19]С2.5!$X$11</f>
        <v>0</v>
      </c>
    </row>
    <row r="163" spans="2:3" hidden="1" x14ac:dyDescent="0.2">
      <c r="B163" s="111">
        <f t="shared" si="0"/>
        <v>2040</v>
      </c>
      <c r="C163" s="112">
        <f>[19]С2.5!$Y$11</f>
        <v>0</v>
      </c>
    </row>
    <row r="164" spans="2:3" hidden="1" x14ac:dyDescent="0.2">
      <c r="B164" s="111">
        <f t="shared" si="0"/>
        <v>2041</v>
      </c>
      <c r="C164" s="112">
        <f>[19]С2.5!$Z$11</f>
        <v>0</v>
      </c>
    </row>
    <row r="165" spans="2:3" hidden="1" x14ac:dyDescent="0.2">
      <c r="B165" s="111">
        <f t="shared" si="0"/>
        <v>2042</v>
      </c>
      <c r="C165" s="112">
        <f>[19]С2.5!$AA$11</f>
        <v>0</v>
      </c>
    </row>
    <row r="166" spans="2:3" hidden="1" x14ac:dyDescent="0.2">
      <c r="B166" s="111">
        <f t="shared" si="0"/>
        <v>2043</v>
      </c>
      <c r="C166" s="112">
        <f>[19]С2.5!$AB$11</f>
        <v>0</v>
      </c>
    </row>
    <row r="167" spans="2:3" hidden="1" x14ac:dyDescent="0.2">
      <c r="B167" s="111">
        <f t="shared" si="0"/>
        <v>2044</v>
      </c>
      <c r="C167" s="112">
        <f>[19]С2.5!$AC$11</f>
        <v>0</v>
      </c>
    </row>
    <row r="168" spans="2:3" hidden="1" x14ac:dyDescent="0.2">
      <c r="B168" s="111">
        <f t="shared" si="0"/>
        <v>2045</v>
      </c>
      <c r="C168" s="112">
        <f>[19]С2.5!$AD$11</f>
        <v>0</v>
      </c>
    </row>
    <row r="169" spans="2:3" hidden="1" x14ac:dyDescent="0.2">
      <c r="B169" s="111">
        <f t="shared" si="0"/>
        <v>2046</v>
      </c>
      <c r="C169" s="112">
        <f>[19]С2.5!$AE$11</f>
        <v>0</v>
      </c>
    </row>
    <row r="170" spans="2:3" hidden="1" x14ac:dyDescent="0.2">
      <c r="B170" s="111">
        <f t="shared" si="0"/>
        <v>2047</v>
      </c>
      <c r="C170" s="112">
        <f>[19]С2.5!$AF$11</f>
        <v>0</v>
      </c>
    </row>
    <row r="171" spans="2:3" hidden="1" x14ac:dyDescent="0.2">
      <c r="B171" s="111">
        <f t="shared" si="0"/>
        <v>2048</v>
      </c>
      <c r="C171" s="112">
        <f>[19]С2.5!$AG$11</f>
        <v>0</v>
      </c>
    </row>
    <row r="172" spans="2:3" hidden="1" x14ac:dyDescent="0.2">
      <c r="B172" s="111">
        <f t="shared" si="0"/>
        <v>2049</v>
      </c>
      <c r="C172" s="112">
        <f>[19]С2.5!$AH$11</f>
        <v>0</v>
      </c>
    </row>
    <row r="173" spans="2:3" hidden="1" x14ac:dyDescent="0.2">
      <c r="B173" s="111">
        <f t="shared" si="0"/>
        <v>2050</v>
      </c>
      <c r="C173" s="112">
        <f>[19]С2.5!$AI$11</f>
        <v>0</v>
      </c>
    </row>
    <row r="174" spans="2:3" hidden="1" x14ac:dyDescent="0.2">
      <c r="B174" s="111">
        <f t="shared" si="0"/>
        <v>2051</v>
      </c>
      <c r="C174" s="112">
        <f>[19]С2.5!$AJ$11</f>
        <v>0</v>
      </c>
    </row>
    <row r="175" spans="2:3" hidden="1" x14ac:dyDescent="0.2">
      <c r="B175" s="111">
        <f t="shared" si="0"/>
        <v>2052</v>
      </c>
      <c r="C175" s="112">
        <f>[19]С2.5!$AK$11</f>
        <v>0</v>
      </c>
    </row>
    <row r="176" spans="2:3" hidden="1" x14ac:dyDescent="0.2">
      <c r="B176" s="111">
        <f t="shared" si="0"/>
        <v>2053</v>
      </c>
      <c r="C176" s="112">
        <f>[19]С2.5!$AL$11</f>
        <v>0</v>
      </c>
    </row>
    <row r="177" spans="2:3" hidden="1" x14ac:dyDescent="0.2">
      <c r="B177" s="111">
        <f t="shared" si="0"/>
        <v>2054</v>
      </c>
      <c r="C177" s="112">
        <f>[19]С2.5!$AM$11</f>
        <v>0</v>
      </c>
    </row>
    <row r="178" spans="2:3" hidden="1" x14ac:dyDescent="0.2">
      <c r="B178" s="111">
        <f t="shared" si="0"/>
        <v>2055</v>
      </c>
      <c r="C178" s="112">
        <f>[19]С2.5!$AN$11</f>
        <v>0</v>
      </c>
    </row>
    <row r="179" spans="2:3" hidden="1" x14ac:dyDescent="0.2">
      <c r="B179" s="111">
        <f t="shared" si="0"/>
        <v>2056</v>
      </c>
      <c r="C179" s="112">
        <f>[19]С2.5!$AO$11</f>
        <v>0</v>
      </c>
    </row>
    <row r="180" spans="2:3" hidden="1" x14ac:dyDescent="0.2">
      <c r="B180" s="111">
        <f t="shared" si="0"/>
        <v>2057</v>
      </c>
      <c r="C180" s="112">
        <f>[19]С2.5!$AP$11</f>
        <v>0</v>
      </c>
    </row>
    <row r="181" spans="2:3" hidden="1" x14ac:dyDescent="0.2">
      <c r="B181" s="111">
        <f t="shared" si="0"/>
        <v>2058</v>
      </c>
      <c r="C181" s="112">
        <f>[19]С2.5!$AQ$11</f>
        <v>0</v>
      </c>
    </row>
    <row r="182" spans="2:3" hidden="1" x14ac:dyDescent="0.2">
      <c r="B182" s="111">
        <f t="shared" si="0"/>
        <v>2059</v>
      </c>
      <c r="C182" s="112">
        <f>[19]С2.5!$AR$11</f>
        <v>0</v>
      </c>
    </row>
    <row r="183" spans="2:3" hidden="1" x14ac:dyDescent="0.2">
      <c r="B183" s="111">
        <f t="shared" si="0"/>
        <v>2060</v>
      </c>
      <c r="C183" s="112">
        <f>[19]С2.5!$AS$11</f>
        <v>0</v>
      </c>
    </row>
    <row r="184" spans="2:3" hidden="1" x14ac:dyDescent="0.2">
      <c r="B184" s="111">
        <f t="shared" si="0"/>
        <v>2061</v>
      </c>
      <c r="C184" s="112">
        <f>[19]С2.5!$AT$11</f>
        <v>0</v>
      </c>
    </row>
    <row r="185" spans="2:3" hidden="1" x14ac:dyDescent="0.2">
      <c r="B185" s="111">
        <f t="shared" si="0"/>
        <v>2062</v>
      </c>
      <c r="C185" s="112">
        <f>[19]С2.5!$AU$11</f>
        <v>0</v>
      </c>
    </row>
    <row r="186" spans="2:3" hidden="1" x14ac:dyDescent="0.2">
      <c r="B186" s="111">
        <f t="shared" si="0"/>
        <v>2063</v>
      </c>
      <c r="C186" s="112">
        <f>[19]С2.5!$AV$11</f>
        <v>0</v>
      </c>
    </row>
    <row r="187" spans="2:3" hidden="1" x14ac:dyDescent="0.2">
      <c r="B187" s="111">
        <f t="shared" si="0"/>
        <v>2064</v>
      </c>
      <c r="C187" s="112">
        <f>[19]С2.5!$AW$11</f>
        <v>0</v>
      </c>
    </row>
    <row r="188" spans="2:3" hidden="1" x14ac:dyDescent="0.2">
      <c r="B188" s="111">
        <f t="shared" si="0"/>
        <v>2065</v>
      </c>
      <c r="C188" s="112">
        <f>[19]С2.5!$AX$11</f>
        <v>0</v>
      </c>
    </row>
    <row r="189" spans="2:3" hidden="1" x14ac:dyDescent="0.2">
      <c r="B189" s="111">
        <f t="shared" si="0"/>
        <v>2066</v>
      </c>
      <c r="C189" s="112">
        <f>[19]С2.5!$AY$11</f>
        <v>0</v>
      </c>
    </row>
    <row r="190" spans="2:3" hidden="1" x14ac:dyDescent="0.2">
      <c r="B190" s="111">
        <f t="shared" si="0"/>
        <v>2067</v>
      </c>
      <c r="C190" s="112">
        <f>[19]С2.5!$AZ$11</f>
        <v>0</v>
      </c>
    </row>
    <row r="191" spans="2:3" hidden="1" x14ac:dyDescent="0.2">
      <c r="B191" s="111">
        <f t="shared" si="0"/>
        <v>2068</v>
      </c>
      <c r="C191" s="112">
        <f>[19]С2.5!$BA$11</f>
        <v>0</v>
      </c>
    </row>
    <row r="192" spans="2:3" hidden="1" x14ac:dyDescent="0.2">
      <c r="B192" s="111">
        <f t="shared" si="0"/>
        <v>2069</v>
      </c>
      <c r="C192" s="112">
        <f>[19]С2.5!$BB$11</f>
        <v>0</v>
      </c>
    </row>
    <row r="193" spans="2:3" hidden="1" x14ac:dyDescent="0.2">
      <c r="B193" s="111">
        <f t="shared" si="0"/>
        <v>2070</v>
      </c>
      <c r="C193" s="112">
        <f>[19]С2.5!$BC$11</f>
        <v>0</v>
      </c>
    </row>
    <row r="194" spans="2:3" hidden="1" x14ac:dyDescent="0.2">
      <c r="B194" s="111">
        <f t="shared" si="0"/>
        <v>2071</v>
      </c>
      <c r="C194" s="112">
        <f>[19]С2.5!$BD$11</f>
        <v>0</v>
      </c>
    </row>
    <row r="195" spans="2:3" hidden="1" x14ac:dyDescent="0.2">
      <c r="B195" s="111">
        <f t="shared" si="0"/>
        <v>2072</v>
      </c>
      <c r="C195" s="112">
        <f>[19]С2.5!$BE$11</f>
        <v>0</v>
      </c>
    </row>
    <row r="196" spans="2:3" hidden="1" x14ac:dyDescent="0.2">
      <c r="B196" s="111">
        <f t="shared" si="0"/>
        <v>2073</v>
      </c>
      <c r="C196" s="112">
        <f>[19]С2.5!$BF$11</f>
        <v>0</v>
      </c>
    </row>
    <row r="197" spans="2:3" hidden="1" x14ac:dyDescent="0.2">
      <c r="B197" s="111">
        <f t="shared" si="0"/>
        <v>2074</v>
      </c>
      <c r="C197" s="112">
        <f>[19]С2.5!$BG$11</f>
        <v>0</v>
      </c>
    </row>
    <row r="198" spans="2:3" hidden="1" x14ac:dyDescent="0.2">
      <c r="B198" s="111">
        <f t="shared" si="0"/>
        <v>2075</v>
      </c>
      <c r="C198" s="112">
        <f>[19]С2.5!$BH$11</f>
        <v>0</v>
      </c>
    </row>
    <row r="199" spans="2:3" hidden="1" x14ac:dyDescent="0.2">
      <c r="B199" s="111">
        <f t="shared" si="0"/>
        <v>2076</v>
      </c>
      <c r="C199" s="112">
        <f>[19]С2.5!$BI$11</f>
        <v>0</v>
      </c>
    </row>
    <row r="200" spans="2:3" hidden="1" x14ac:dyDescent="0.2">
      <c r="B200" s="111">
        <f t="shared" si="0"/>
        <v>2077</v>
      </c>
      <c r="C200" s="112">
        <f>[19]С2.5!$BJ$11</f>
        <v>0</v>
      </c>
    </row>
    <row r="201" spans="2:3" hidden="1" x14ac:dyDescent="0.2">
      <c r="B201" s="111">
        <f t="shared" si="0"/>
        <v>2078</v>
      </c>
      <c r="C201" s="112">
        <f>[19]С2.5!$BK$11</f>
        <v>0</v>
      </c>
    </row>
    <row r="202" spans="2:3" hidden="1" x14ac:dyDescent="0.2">
      <c r="B202" s="111">
        <f t="shared" si="0"/>
        <v>2079</v>
      </c>
      <c r="C202" s="112">
        <f>[19]С2.5!$BL$11</f>
        <v>0</v>
      </c>
    </row>
    <row r="203" spans="2:3" hidden="1" x14ac:dyDescent="0.2">
      <c r="B203" s="111">
        <f t="shared" si="0"/>
        <v>2080</v>
      </c>
      <c r="C203" s="112">
        <f>[19]С2.5!$BM$11</f>
        <v>0</v>
      </c>
    </row>
    <row r="204" spans="2:3" hidden="1" x14ac:dyDescent="0.2">
      <c r="B204" s="111">
        <f t="shared" si="0"/>
        <v>2081</v>
      </c>
      <c r="C204" s="112">
        <f>[19]С2.5!$BN$11</f>
        <v>0</v>
      </c>
    </row>
    <row r="205" spans="2:3" hidden="1" x14ac:dyDescent="0.2">
      <c r="B205" s="111">
        <f t="shared" si="0"/>
        <v>2082</v>
      </c>
      <c r="C205" s="112">
        <f>[19]С2.5!$BO$11</f>
        <v>0</v>
      </c>
    </row>
    <row r="206" spans="2:3" hidden="1" x14ac:dyDescent="0.2">
      <c r="B206" s="111">
        <f t="shared" si="0"/>
        <v>2083</v>
      </c>
      <c r="C206" s="112">
        <f>[19]С2.5!$BP$11</f>
        <v>0</v>
      </c>
    </row>
    <row r="207" spans="2:3" hidden="1" x14ac:dyDescent="0.2">
      <c r="B207" s="111">
        <f t="shared" si="0"/>
        <v>2084</v>
      </c>
      <c r="C207" s="112">
        <f>[19]С2.5!$BQ$11</f>
        <v>0</v>
      </c>
    </row>
    <row r="208" spans="2:3" hidden="1" x14ac:dyDescent="0.2">
      <c r="B208" s="111">
        <f t="shared" si="0"/>
        <v>2085</v>
      </c>
      <c r="C208" s="112">
        <f>[19]С2.5!$BR$11</f>
        <v>0</v>
      </c>
    </row>
    <row r="209" spans="2:3" hidden="1" x14ac:dyDescent="0.2">
      <c r="B209" s="111">
        <f t="shared" ref="B209:B223" si="1">B208+1</f>
        <v>2086</v>
      </c>
      <c r="C209" s="112">
        <f>[19]С2.5!$BS$11</f>
        <v>0</v>
      </c>
    </row>
    <row r="210" spans="2:3" hidden="1" x14ac:dyDescent="0.2">
      <c r="B210" s="111">
        <f t="shared" si="1"/>
        <v>2087</v>
      </c>
      <c r="C210" s="112">
        <f>[19]С2.5!$BT$11</f>
        <v>0</v>
      </c>
    </row>
    <row r="211" spans="2:3" hidden="1" x14ac:dyDescent="0.2">
      <c r="B211" s="111">
        <f t="shared" si="1"/>
        <v>2088</v>
      </c>
      <c r="C211" s="112">
        <f>[19]С2.5!$BU$11</f>
        <v>0</v>
      </c>
    </row>
    <row r="212" spans="2:3" hidden="1" x14ac:dyDescent="0.2">
      <c r="B212" s="111">
        <f t="shared" si="1"/>
        <v>2089</v>
      </c>
      <c r="C212" s="112">
        <f>[19]С2.5!$BV$11</f>
        <v>0</v>
      </c>
    </row>
    <row r="213" spans="2:3" hidden="1" x14ac:dyDescent="0.2">
      <c r="B213" s="111">
        <f t="shared" si="1"/>
        <v>2090</v>
      </c>
      <c r="C213" s="112">
        <f>[19]С2.5!$BW$11</f>
        <v>0</v>
      </c>
    </row>
    <row r="214" spans="2:3" hidden="1" x14ac:dyDescent="0.2">
      <c r="B214" s="111">
        <f t="shared" si="1"/>
        <v>2091</v>
      </c>
      <c r="C214" s="112">
        <f>[19]С2.5!$BX$11</f>
        <v>0</v>
      </c>
    </row>
    <row r="215" spans="2:3" hidden="1" x14ac:dyDescent="0.2">
      <c r="B215" s="111">
        <f t="shared" si="1"/>
        <v>2092</v>
      </c>
      <c r="C215" s="112">
        <f>[19]С2.5!$BY$11</f>
        <v>0</v>
      </c>
    </row>
    <row r="216" spans="2:3" hidden="1" x14ac:dyDescent="0.2">
      <c r="B216" s="111">
        <f t="shared" si="1"/>
        <v>2093</v>
      </c>
      <c r="C216" s="112">
        <f>[19]С2.5!$BZ$11</f>
        <v>0</v>
      </c>
    </row>
    <row r="217" spans="2:3" hidden="1" x14ac:dyDescent="0.2">
      <c r="B217" s="111">
        <f t="shared" si="1"/>
        <v>2094</v>
      </c>
      <c r="C217" s="112">
        <f>[19]С2.5!$CA$11</f>
        <v>0</v>
      </c>
    </row>
    <row r="218" spans="2:3" hidden="1" x14ac:dyDescent="0.2">
      <c r="B218" s="111">
        <f t="shared" si="1"/>
        <v>2095</v>
      </c>
      <c r="C218" s="112">
        <f>[19]С2.5!$CB$11</f>
        <v>0</v>
      </c>
    </row>
    <row r="219" spans="2:3" hidden="1" x14ac:dyDescent="0.2">
      <c r="B219" s="111">
        <f t="shared" si="1"/>
        <v>2096</v>
      </c>
      <c r="C219" s="112">
        <f>[19]С2.5!$CC$11</f>
        <v>0</v>
      </c>
    </row>
    <row r="220" spans="2:3" hidden="1" x14ac:dyDescent="0.2">
      <c r="B220" s="111">
        <f t="shared" si="1"/>
        <v>2097</v>
      </c>
      <c r="C220" s="112">
        <f>[19]С2.5!$CD$11</f>
        <v>0</v>
      </c>
    </row>
    <row r="221" spans="2:3" hidden="1" x14ac:dyDescent="0.2">
      <c r="B221" s="111">
        <f t="shared" si="1"/>
        <v>2098</v>
      </c>
      <c r="C221" s="112">
        <f>[19]С2.5!$CE$11</f>
        <v>0</v>
      </c>
    </row>
    <row r="222" spans="2:3" hidden="1" x14ac:dyDescent="0.2">
      <c r="B222" s="111">
        <f t="shared" si="1"/>
        <v>2099</v>
      </c>
      <c r="C222" s="112">
        <f>[19]С2.5!$CF$11</f>
        <v>0</v>
      </c>
    </row>
    <row r="223" spans="2:3" ht="13.5" hidden="1" thickBot="1" x14ac:dyDescent="0.25">
      <c r="B223" s="113">
        <f t="shared" si="1"/>
        <v>2100</v>
      </c>
      <c r="C223" s="114">
        <f>[19]С2.5!$CG$11</f>
        <v>0</v>
      </c>
    </row>
    <row r="224" spans="2:3" hidden="1" x14ac:dyDescent="0.2">
      <c r="C224" s="117"/>
    </row>
    <row r="225" spans="3:3" hidden="1" x14ac:dyDescent="0.2">
      <c r="C225" s="117"/>
    </row>
    <row r="226" spans="3:3" x14ac:dyDescent="0.2">
      <c r="C226" s="117"/>
    </row>
  </sheetData>
  <mergeCells count="9">
    <mergeCell ref="B141:C141"/>
    <mergeCell ref="A14:C14"/>
    <mergeCell ref="B1:C1"/>
    <mergeCell ref="B27:C27"/>
    <mergeCell ref="B40:C40"/>
    <mergeCell ref="B84:C84"/>
    <mergeCell ref="B95:C95"/>
    <mergeCell ref="B124:C124"/>
    <mergeCell ref="B127:C127"/>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41" r:id="rId3" name="Button 1">
              <controlPr defaultSize="0" print="0" autoFill="0" autoPict="0" macro="[20]!Лист29.PrintBlock">
                <anchor moveWithCells="1" sizeWithCells="1">
                  <from>
                    <xdr:col>3</xdr:col>
                    <xdr:colOff>0</xdr:colOff>
                    <xdr:row>0</xdr:row>
                    <xdr:rowOff>85725</xdr:rowOff>
                  </from>
                  <to>
                    <xdr:col>4</xdr:col>
                    <xdr:colOff>0</xdr:colOff>
                    <xdr:row>0</xdr:row>
                    <xdr:rowOff>238125</xdr:rowOff>
                  </to>
                </anchor>
              </controlPr>
            </control>
          </mc:Choice>
        </mc:AlternateContent>
        <mc:AlternateContent xmlns:mc="http://schemas.openxmlformats.org/markup-compatibility/2006">
          <mc:Choice Requires="x14">
            <control shapeId="10242" r:id="rId4" name="Button 2">
              <controlPr defaultSize="0" print="0" autoFill="0" autoPict="0" macro="[19]!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C2" sqref="C2"/>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20" t="s">
        <v>0</v>
      </c>
      <c r="C1" s="120"/>
    </row>
    <row r="2" spans="1:3" x14ac:dyDescent="0.2">
      <c r="A2" s="3"/>
      <c r="B2" s="4" t="s">
        <v>1</v>
      </c>
      <c r="C2" s="5">
        <v>45317</v>
      </c>
    </row>
    <row r="3" spans="1:3" x14ac:dyDescent="0.2">
      <c r="A3" s="3"/>
      <c r="B3" s="6" t="s">
        <v>2</v>
      </c>
    </row>
    <row r="4" spans="1:3" ht="25.5" x14ac:dyDescent="0.2">
      <c r="A4" s="8"/>
      <c r="B4" s="9" t="str">
        <f>[21]И1!D13</f>
        <v>Субъект Российской Федерации</v>
      </c>
      <c r="C4" s="10" t="str">
        <f>[21]И1!E13</f>
        <v>Новосибирская область</v>
      </c>
    </row>
    <row r="5" spans="1:3" ht="46.9" customHeight="1" x14ac:dyDescent="0.2">
      <c r="A5" s="8"/>
      <c r="B5" s="9" t="str">
        <f>[21]И1!D14</f>
        <v>Тип муниципального образования (выберите из списка)</v>
      </c>
      <c r="C5" s="10" t="str">
        <f>[21]И1!E14</f>
        <v>село Мереть, Сузунский муниципальный район</v>
      </c>
    </row>
    <row r="6" spans="1:3" x14ac:dyDescent="0.2">
      <c r="A6" s="8"/>
      <c r="B6" s="9" t="str">
        <f>IF([21]И1!E15="","",[21]И1!D15)</f>
        <v/>
      </c>
      <c r="C6" s="10" t="str">
        <f>IF([21]И1!E15="","",[21]И1!E15)</f>
        <v/>
      </c>
    </row>
    <row r="7" spans="1:3" x14ac:dyDescent="0.2">
      <c r="A7" s="8"/>
      <c r="B7" s="9" t="str">
        <f>[21]И1!D16</f>
        <v>Код ОКТМО</v>
      </c>
      <c r="C7" s="11" t="str">
        <f>[21]И1!E16</f>
        <v xml:space="preserve"> (50648430101)</v>
      </c>
    </row>
    <row r="8" spans="1:3" x14ac:dyDescent="0.2">
      <c r="A8" s="8"/>
      <c r="B8" s="12" t="str">
        <f>[21]И1!D17</f>
        <v>Система теплоснабжения</v>
      </c>
      <c r="C8" s="13">
        <f>[21]И1!E17</f>
        <v>0</v>
      </c>
    </row>
    <row r="9" spans="1:3" x14ac:dyDescent="0.2">
      <c r="A9" s="8"/>
      <c r="B9" s="9" t="str">
        <f>[21]И1!D8</f>
        <v>Период регулирования (i)-й</v>
      </c>
      <c r="C9" s="14">
        <f>[21]И1!E8</f>
        <v>2024</v>
      </c>
    </row>
    <row r="10" spans="1:3" x14ac:dyDescent="0.2">
      <c r="A10" s="8"/>
      <c r="B10" s="9" t="str">
        <f>[21]И1!D9</f>
        <v>Период регулирования (i-1)-й</v>
      </c>
      <c r="C10" s="14">
        <f>[21]И1!E9</f>
        <v>2023</v>
      </c>
    </row>
    <row r="11" spans="1:3" x14ac:dyDescent="0.2">
      <c r="A11" s="8"/>
      <c r="B11" s="9" t="str">
        <f>[21]И1!D10</f>
        <v>Период регулирования (i-2)-й</v>
      </c>
      <c r="C11" s="14">
        <f>[21]И1!E10</f>
        <v>2022</v>
      </c>
    </row>
    <row r="12" spans="1:3" x14ac:dyDescent="0.2">
      <c r="A12" s="8"/>
      <c r="B12" s="9" t="str">
        <f>[21]И1!D11</f>
        <v>Базовый год (б)</v>
      </c>
      <c r="C12" s="14">
        <f>[21]И1!E11</f>
        <v>2019</v>
      </c>
    </row>
    <row r="13" spans="1:3" ht="38.25" x14ac:dyDescent="0.2">
      <c r="A13" s="8"/>
      <c r="B13" s="9" t="str">
        <f>[21]И1!D18</f>
        <v>Вид топлива, использование которого преобладает в системе теплоснабжения</v>
      </c>
      <c r="C13" s="15" t="str">
        <f>[21]С1.1!E13</f>
        <v>уголь (вид угля не указан в топливном балансе)</v>
      </c>
    </row>
    <row r="14" spans="1:3" ht="31.7" customHeight="1" thickBot="1" x14ac:dyDescent="0.25">
      <c r="A14" s="119" t="s">
        <v>3</v>
      </c>
      <c r="B14" s="119"/>
      <c r="C14" s="119"/>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3449.8796050952842</v>
      </c>
    </row>
    <row r="18" spans="1:3" ht="42.75" x14ac:dyDescent="0.2">
      <c r="A18" s="22" t="s">
        <v>8</v>
      </c>
      <c r="B18" s="25" t="s">
        <v>9</v>
      </c>
      <c r="C18" s="26">
        <f>[21]С1!F12</f>
        <v>491.38185466416314</v>
      </c>
    </row>
    <row r="19" spans="1:3" ht="42.75" x14ac:dyDescent="0.2">
      <c r="A19" s="22" t="s">
        <v>10</v>
      </c>
      <c r="B19" s="25" t="s">
        <v>11</v>
      </c>
      <c r="C19" s="26">
        <f>[21]С2!F12</f>
        <v>1990.8616285605142</v>
      </c>
    </row>
    <row r="20" spans="1:3" ht="30" x14ac:dyDescent="0.2">
      <c r="A20" s="22" t="s">
        <v>12</v>
      </c>
      <c r="B20" s="25" t="s">
        <v>13</v>
      </c>
      <c r="C20" s="26">
        <f>[21]С3!F12</f>
        <v>473.18998182045129</v>
      </c>
    </row>
    <row r="21" spans="1:3" ht="42.75" x14ac:dyDescent="0.2">
      <c r="A21" s="22" t="s">
        <v>14</v>
      </c>
      <c r="B21" s="25" t="s">
        <v>15</v>
      </c>
      <c r="C21" s="26">
        <f>[21]С4!F12</f>
        <v>426.80144191103278</v>
      </c>
    </row>
    <row r="22" spans="1:3" ht="30" x14ac:dyDescent="0.2">
      <c r="A22" s="22" t="s">
        <v>16</v>
      </c>
      <c r="B22" s="25" t="s">
        <v>17</v>
      </c>
      <c r="C22" s="26">
        <f>[21]С5!F12</f>
        <v>67.644698139123221</v>
      </c>
    </row>
    <row r="23" spans="1:3" ht="43.5" thickBot="1" x14ac:dyDescent="0.25">
      <c r="A23" s="27" t="s">
        <v>18</v>
      </c>
      <c r="B23" s="105" t="s">
        <v>19</v>
      </c>
      <c r="C23" s="28" t="str">
        <f>[21]С6!F12</f>
        <v>-</v>
      </c>
    </row>
    <row r="24" spans="1:3" ht="13.5" thickBot="1" x14ac:dyDescent="0.25">
      <c r="A24" s="3"/>
    </row>
    <row r="25" spans="1:3" x14ac:dyDescent="0.2">
      <c r="A25" s="16" t="s">
        <v>4</v>
      </c>
      <c r="B25" s="29" t="s">
        <v>5</v>
      </c>
      <c r="C25" s="30" t="s">
        <v>6</v>
      </c>
    </row>
    <row r="26" spans="1:3" x14ac:dyDescent="0.2">
      <c r="A26" s="19">
        <v>1</v>
      </c>
      <c r="B26" s="31">
        <v>2</v>
      </c>
      <c r="C26" s="32">
        <v>3</v>
      </c>
    </row>
    <row r="27" spans="1:3" ht="30" customHeight="1" x14ac:dyDescent="0.2">
      <c r="A27" s="22">
        <v>1</v>
      </c>
      <c r="B27" s="121" t="s">
        <v>20</v>
      </c>
      <c r="C27" s="121"/>
    </row>
    <row r="28" spans="1:3" x14ac:dyDescent="0.2">
      <c r="A28" s="22" t="s">
        <v>8</v>
      </c>
      <c r="B28" s="33" t="s">
        <v>21</v>
      </c>
      <c r="C28" s="34">
        <f>[21]С1.1!E16</f>
        <v>5100</v>
      </c>
    </row>
    <row r="29" spans="1:3" ht="42.75" x14ac:dyDescent="0.2">
      <c r="A29" s="22" t="s">
        <v>10</v>
      </c>
      <c r="B29" s="33" t="s">
        <v>22</v>
      </c>
      <c r="C29" s="34">
        <f>[21]С1.1!E27</f>
        <v>2207.8000000000002</v>
      </c>
    </row>
    <row r="30" spans="1:3" ht="17.25" x14ac:dyDescent="0.2">
      <c r="A30" s="22" t="s">
        <v>12</v>
      </c>
      <c r="B30" s="33" t="s">
        <v>23</v>
      </c>
      <c r="C30" s="35">
        <f>[21]С1.1!E19</f>
        <v>-0.19900000000000001</v>
      </c>
    </row>
    <row r="31" spans="1:3" ht="17.25" x14ac:dyDescent="0.2">
      <c r="A31" s="22" t="s">
        <v>14</v>
      </c>
      <c r="B31" s="33" t="s">
        <v>24</v>
      </c>
      <c r="C31" s="35">
        <f>[21]С1.1!E20</f>
        <v>5.7000000000000002E-2</v>
      </c>
    </row>
    <row r="32" spans="1:3" ht="30" x14ac:dyDescent="0.2">
      <c r="A32" s="22" t="s">
        <v>16</v>
      </c>
      <c r="B32" s="36" t="s">
        <v>25</v>
      </c>
      <c r="C32" s="37">
        <f>[21]С1!F13</f>
        <v>176.4</v>
      </c>
    </row>
    <row r="33" spans="1:3" x14ac:dyDescent="0.2">
      <c r="A33" s="22" t="s">
        <v>18</v>
      </c>
      <c r="B33" s="36" t="s">
        <v>26</v>
      </c>
      <c r="C33" s="38">
        <f>[21]С1!F16</f>
        <v>7000</v>
      </c>
    </row>
    <row r="34" spans="1:3" ht="14.25" x14ac:dyDescent="0.2">
      <c r="A34" s="22" t="s">
        <v>27</v>
      </c>
      <c r="B34" s="39" t="s">
        <v>28</v>
      </c>
      <c r="C34" s="40">
        <f>[21]С1!F17</f>
        <v>0.72857142857142854</v>
      </c>
    </row>
    <row r="35" spans="1:3" ht="15.75" x14ac:dyDescent="0.2">
      <c r="A35" s="41" t="s">
        <v>29</v>
      </c>
      <c r="B35" s="42" t="s">
        <v>30</v>
      </c>
      <c r="C35" s="40">
        <f>[21]С1!F20</f>
        <v>21.588411179999994</v>
      </c>
    </row>
    <row r="36" spans="1:3" ht="15.75" x14ac:dyDescent="0.2">
      <c r="A36" s="41" t="s">
        <v>31</v>
      </c>
      <c r="B36" s="43" t="s">
        <v>32</v>
      </c>
      <c r="C36" s="40">
        <f>[21]С1!F21</f>
        <v>20.818139999999996</v>
      </c>
    </row>
    <row r="37" spans="1:3" ht="14.25" x14ac:dyDescent="0.2">
      <c r="A37" s="41" t="s">
        <v>33</v>
      </c>
      <c r="B37" s="44" t="s">
        <v>34</v>
      </c>
      <c r="C37" s="40">
        <f>[21]С1!F22</f>
        <v>1.0369999999999999</v>
      </c>
    </row>
    <row r="38" spans="1:3" ht="53.25" thickBot="1" x14ac:dyDescent="0.25">
      <c r="A38" s="27" t="s">
        <v>35</v>
      </c>
      <c r="B38" s="45" t="s">
        <v>36</v>
      </c>
      <c r="C38" s="46">
        <f>[21]С1!F23</f>
        <v>1.0469999999999999</v>
      </c>
    </row>
    <row r="39" spans="1:3" ht="13.5" thickBot="1" x14ac:dyDescent="0.25">
      <c r="A39" s="47"/>
      <c r="B39" s="48"/>
      <c r="C39" s="49"/>
    </row>
    <row r="40" spans="1:3" ht="30" customHeight="1" x14ac:dyDescent="0.2">
      <c r="A40" s="50" t="s">
        <v>37</v>
      </c>
      <c r="B40" s="122" t="s">
        <v>38</v>
      </c>
      <c r="C40" s="122"/>
    </row>
    <row r="41" spans="1:3" ht="25.5" x14ac:dyDescent="0.2">
      <c r="A41" s="22" t="s">
        <v>39</v>
      </c>
      <c r="B41" s="36" t="s">
        <v>40</v>
      </c>
      <c r="C41" s="51" t="str">
        <f>[21]С2.1!E12</f>
        <v>V</v>
      </c>
    </row>
    <row r="42" spans="1:3" ht="25.5" x14ac:dyDescent="0.2">
      <c r="A42" s="22" t="s">
        <v>41</v>
      </c>
      <c r="B42" s="33" t="s">
        <v>42</v>
      </c>
      <c r="C42" s="51" t="str">
        <f>[21]С2.1!E13</f>
        <v>6 и менее баллов</v>
      </c>
    </row>
    <row r="43" spans="1:3" ht="25.5" x14ac:dyDescent="0.2">
      <c r="A43" s="22" t="s">
        <v>43</v>
      </c>
      <c r="B43" s="33" t="s">
        <v>44</v>
      </c>
      <c r="C43" s="51" t="str">
        <f>[21]С2.1!E14</f>
        <v>от 200 до 500</v>
      </c>
    </row>
    <row r="44" spans="1:3" ht="25.5" x14ac:dyDescent="0.2">
      <c r="A44" s="22" t="s">
        <v>45</v>
      </c>
      <c r="B44" s="33" t="s">
        <v>46</v>
      </c>
      <c r="C44" s="52" t="str">
        <f>[21]С2.1!E15</f>
        <v>нет</v>
      </c>
    </row>
    <row r="45" spans="1:3" ht="30" x14ac:dyDescent="0.2">
      <c r="A45" s="22" t="s">
        <v>47</v>
      </c>
      <c r="B45" s="33" t="s">
        <v>48</v>
      </c>
      <c r="C45" s="34">
        <f>[21]С2!F18</f>
        <v>35106.652004551666</v>
      </c>
    </row>
    <row r="46" spans="1:3" ht="30" x14ac:dyDescent="0.2">
      <c r="A46" s="22" t="s">
        <v>49</v>
      </c>
      <c r="B46" s="53" t="s">
        <v>50</v>
      </c>
      <c r="C46" s="34">
        <f>IF([21]С2!F19&gt;0,[21]С2!F19,[21]С2!F20)</f>
        <v>23441.524932855718</v>
      </c>
    </row>
    <row r="47" spans="1:3" ht="25.5" x14ac:dyDescent="0.2">
      <c r="A47" s="22" t="s">
        <v>51</v>
      </c>
      <c r="B47" s="54" t="s">
        <v>52</v>
      </c>
      <c r="C47" s="34">
        <f>[21]С2.1!E19</f>
        <v>-38</v>
      </c>
    </row>
    <row r="48" spans="1:3" ht="25.5" x14ac:dyDescent="0.2">
      <c r="A48" s="22" t="s">
        <v>53</v>
      </c>
      <c r="B48" s="54" t="s">
        <v>54</v>
      </c>
      <c r="C48" s="34" t="str">
        <f>[21]С2.1!E22</f>
        <v>нет</v>
      </c>
    </row>
    <row r="49" spans="1:3" ht="38.25" x14ac:dyDescent="0.2">
      <c r="A49" s="22" t="s">
        <v>55</v>
      </c>
      <c r="B49" s="55" t="s">
        <v>56</v>
      </c>
      <c r="C49" s="34">
        <f>[21]С2.2!E10</f>
        <v>1287</v>
      </c>
    </row>
    <row r="50" spans="1:3" ht="25.5" x14ac:dyDescent="0.2">
      <c r="A50" s="22" t="s">
        <v>57</v>
      </c>
      <c r="B50" s="56" t="s">
        <v>58</v>
      </c>
      <c r="C50" s="34">
        <f>[21]С2.2!E12</f>
        <v>5.97</v>
      </c>
    </row>
    <row r="51" spans="1:3" ht="52.5" x14ac:dyDescent="0.2">
      <c r="A51" s="22" t="s">
        <v>59</v>
      </c>
      <c r="B51" s="57" t="s">
        <v>60</v>
      </c>
      <c r="C51" s="34">
        <f>[21]С2.2!E13</f>
        <v>1</v>
      </c>
    </row>
    <row r="52" spans="1:3" ht="27.75" x14ac:dyDescent="0.2">
      <c r="A52" s="22" t="s">
        <v>61</v>
      </c>
      <c r="B52" s="56" t="s">
        <v>62</v>
      </c>
      <c r="C52" s="34">
        <f>[21]С2.2!E14</f>
        <v>12104</v>
      </c>
    </row>
    <row r="53" spans="1:3" ht="25.5" x14ac:dyDescent="0.2">
      <c r="A53" s="22" t="s">
        <v>63</v>
      </c>
      <c r="B53" s="57" t="s">
        <v>64</v>
      </c>
      <c r="C53" s="35">
        <f>[21]С2.2!E15</f>
        <v>4.8000000000000001E-2</v>
      </c>
    </row>
    <row r="54" spans="1:3" x14ac:dyDescent="0.2">
      <c r="A54" s="22" t="s">
        <v>65</v>
      </c>
      <c r="B54" s="57" t="s">
        <v>66</v>
      </c>
      <c r="C54" s="34">
        <f>[21]С2.2!E16</f>
        <v>1</v>
      </c>
    </row>
    <row r="55" spans="1:3" ht="15.75" x14ac:dyDescent="0.2">
      <c r="A55" s="22" t="s">
        <v>67</v>
      </c>
      <c r="B55" s="58" t="s">
        <v>68</v>
      </c>
      <c r="C55" s="34">
        <f>[21]С2!F21</f>
        <v>1</v>
      </c>
    </row>
    <row r="56" spans="1:3" ht="30" x14ac:dyDescent="0.2">
      <c r="A56" s="59" t="s">
        <v>69</v>
      </c>
      <c r="B56" s="33" t="s">
        <v>70</v>
      </c>
      <c r="C56" s="34">
        <f>[21]С2!F13</f>
        <v>183796.83936385796</v>
      </c>
    </row>
    <row r="57" spans="1:3" ht="30" x14ac:dyDescent="0.2">
      <c r="A57" s="59" t="s">
        <v>71</v>
      </c>
      <c r="B57" s="58" t="s">
        <v>72</v>
      </c>
      <c r="C57" s="34">
        <f>[21]С2!F14</f>
        <v>113455</v>
      </c>
    </row>
    <row r="58" spans="1:3" ht="15.75" x14ac:dyDescent="0.2">
      <c r="A58" s="59" t="s">
        <v>73</v>
      </c>
      <c r="B58" s="60" t="s">
        <v>74</v>
      </c>
      <c r="C58" s="40">
        <f>[21]С2!F15</f>
        <v>1.071</v>
      </c>
    </row>
    <row r="59" spans="1:3" ht="15.75" x14ac:dyDescent="0.2">
      <c r="A59" s="59" t="s">
        <v>75</v>
      </c>
      <c r="B59" s="60" t="s">
        <v>76</v>
      </c>
      <c r="C59" s="40">
        <f>[21]С2!F16</f>
        <v>1</v>
      </c>
    </row>
    <row r="60" spans="1:3" ht="17.25" x14ac:dyDescent="0.2">
      <c r="A60" s="59" t="s">
        <v>77</v>
      </c>
      <c r="B60" s="58" t="s">
        <v>78</v>
      </c>
      <c r="C60" s="34">
        <f>[21]С2!F17</f>
        <v>1.01</v>
      </c>
    </row>
    <row r="61" spans="1:3" s="63" customFormat="1" ht="14.25" x14ac:dyDescent="0.2">
      <c r="A61" s="59" t="s">
        <v>79</v>
      </c>
      <c r="B61" s="61" t="s">
        <v>80</v>
      </c>
      <c r="C61" s="62">
        <f>[21]С2!F33</f>
        <v>10</v>
      </c>
    </row>
    <row r="62" spans="1:3" ht="30" x14ac:dyDescent="0.2">
      <c r="A62" s="59" t="s">
        <v>81</v>
      </c>
      <c r="B62" s="64" t="s">
        <v>82</v>
      </c>
      <c r="C62" s="34">
        <f>[21]С2!F26</f>
        <v>1543.3634896839897</v>
      </c>
    </row>
    <row r="63" spans="1:3" ht="17.25" x14ac:dyDescent="0.2">
      <c r="A63" s="59" t="s">
        <v>83</v>
      </c>
      <c r="B63" s="53" t="s">
        <v>84</v>
      </c>
      <c r="C63" s="34">
        <f>[21]С2!F27</f>
        <v>0.24536656199999998</v>
      </c>
    </row>
    <row r="64" spans="1:3" ht="17.25" x14ac:dyDescent="0.2">
      <c r="A64" s="59" t="s">
        <v>85</v>
      </c>
      <c r="B64" s="58" t="s">
        <v>86</v>
      </c>
      <c r="C64" s="62">
        <f>[21]С2!F28</f>
        <v>4200</v>
      </c>
    </row>
    <row r="65" spans="1:3" ht="42.75" x14ac:dyDescent="0.2">
      <c r="A65" s="59" t="s">
        <v>87</v>
      </c>
      <c r="B65" s="33" t="s">
        <v>88</v>
      </c>
      <c r="C65" s="34">
        <f>[21]С2!F22</f>
        <v>38698.422798410109</v>
      </c>
    </row>
    <row r="66" spans="1:3" ht="30" x14ac:dyDescent="0.2">
      <c r="A66" s="59" t="s">
        <v>89</v>
      </c>
      <c r="B66" s="60" t="s">
        <v>90</v>
      </c>
      <c r="C66" s="34">
        <f>[21]С2!F23</f>
        <v>1990</v>
      </c>
    </row>
    <row r="67" spans="1:3" ht="30" x14ac:dyDescent="0.2">
      <c r="A67" s="59" t="s">
        <v>91</v>
      </c>
      <c r="B67" s="53" t="s">
        <v>92</v>
      </c>
      <c r="C67" s="34">
        <f>[21]С2.1!E27</f>
        <v>14307.876789999998</v>
      </c>
    </row>
    <row r="68" spans="1:3" ht="38.25" x14ac:dyDescent="0.2">
      <c r="A68" s="59" t="s">
        <v>93</v>
      </c>
      <c r="B68" s="65" t="s">
        <v>94</v>
      </c>
      <c r="C68" s="52">
        <f>[21]С2.3!E21</f>
        <v>0</v>
      </c>
    </row>
    <row r="69" spans="1:3" ht="25.5" x14ac:dyDescent="0.2">
      <c r="A69" s="59" t="s">
        <v>95</v>
      </c>
      <c r="B69" s="66" t="s">
        <v>96</v>
      </c>
      <c r="C69" s="67">
        <f>[21]С2.3!E11</f>
        <v>9.89</v>
      </c>
    </row>
    <row r="70" spans="1:3" ht="25.5" x14ac:dyDescent="0.2">
      <c r="A70" s="59" t="s">
        <v>97</v>
      </c>
      <c r="B70" s="66" t="s">
        <v>98</v>
      </c>
      <c r="C70" s="62">
        <f>[21]С2.3!E13</f>
        <v>300</v>
      </c>
    </row>
    <row r="71" spans="1:3" ht="25.5" x14ac:dyDescent="0.2">
      <c r="A71" s="59" t="s">
        <v>99</v>
      </c>
      <c r="B71" s="65" t="s">
        <v>100</v>
      </c>
      <c r="C71" s="68">
        <f>IF([21]С2.3!E22&gt;0,[21]С2.3!E22,[21]С2.3!E14)</f>
        <v>61211</v>
      </c>
    </row>
    <row r="72" spans="1:3" ht="38.25" x14ac:dyDescent="0.2">
      <c r="A72" s="59" t="s">
        <v>101</v>
      </c>
      <c r="B72" s="65" t="s">
        <v>102</v>
      </c>
      <c r="C72" s="68">
        <f>IF([21]С2.3!E23&gt;0,[21]С2.3!E23,[21]С2.3!E15)</f>
        <v>45675</v>
      </c>
    </row>
    <row r="73" spans="1:3" ht="30" x14ac:dyDescent="0.2">
      <c r="A73" s="59" t="s">
        <v>103</v>
      </c>
      <c r="B73" s="53" t="s">
        <v>104</v>
      </c>
      <c r="C73" s="34">
        <f>[21]С2.1!E28</f>
        <v>9541.9567200000001</v>
      </c>
    </row>
    <row r="74" spans="1:3" ht="38.25" x14ac:dyDescent="0.2">
      <c r="A74" s="59" t="s">
        <v>105</v>
      </c>
      <c r="B74" s="65" t="s">
        <v>106</v>
      </c>
      <c r="C74" s="52">
        <f>[21]С2.3!E25</f>
        <v>0</v>
      </c>
    </row>
    <row r="75" spans="1:3" ht="25.5" x14ac:dyDescent="0.2">
      <c r="A75" s="59" t="s">
        <v>107</v>
      </c>
      <c r="B75" s="66" t="s">
        <v>108</v>
      </c>
      <c r="C75" s="67">
        <f>[21]С2.3!E12</f>
        <v>0.56000000000000005</v>
      </c>
    </row>
    <row r="76" spans="1:3" ht="25.5" x14ac:dyDescent="0.2">
      <c r="A76" s="59" t="s">
        <v>109</v>
      </c>
      <c r="B76" s="66" t="s">
        <v>98</v>
      </c>
      <c r="C76" s="62">
        <f>[21]С2.3!E13</f>
        <v>300</v>
      </c>
    </row>
    <row r="77" spans="1:3" ht="25.5" x14ac:dyDescent="0.2">
      <c r="A77" s="59" t="s">
        <v>110</v>
      </c>
      <c r="B77" s="69" t="s">
        <v>111</v>
      </c>
      <c r="C77" s="68">
        <f>IF([21]С2.3!E26&gt;0,[21]С2.3!E26,[21]С2.3!E16)</f>
        <v>65637</v>
      </c>
    </row>
    <row r="78" spans="1:3" ht="38.25" x14ac:dyDescent="0.2">
      <c r="A78" s="59" t="s">
        <v>112</v>
      </c>
      <c r="B78" s="69" t="s">
        <v>113</v>
      </c>
      <c r="C78" s="68">
        <f>IF([21]С2.3!E27&gt;0,[21]С2.3!E27,[21]С2.3!E17)</f>
        <v>31684</v>
      </c>
    </row>
    <row r="79" spans="1:3" ht="17.25" x14ac:dyDescent="0.2">
      <c r="A79" s="59" t="s">
        <v>114</v>
      </c>
      <c r="B79" s="33" t="s">
        <v>115</v>
      </c>
      <c r="C79" s="35">
        <f>[21]С2!F29</f>
        <v>9.5962865259740182E-2</v>
      </c>
    </row>
    <row r="80" spans="1:3" ht="30" x14ac:dyDescent="0.2">
      <c r="A80" s="59" t="s">
        <v>116</v>
      </c>
      <c r="B80" s="53" t="s">
        <v>117</v>
      </c>
      <c r="C80" s="70">
        <f>[21]С2!F30</f>
        <v>8.4029304029304031E-2</v>
      </c>
    </row>
    <row r="81" spans="1:3" ht="17.25" x14ac:dyDescent="0.2">
      <c r="A81" s="59" t="s">
        <v>118</v>
      </c>
      <c r="B81" s="71" t="s">
        <v>119</v>
      </c>
      <c r="C81" s="35">
        <f>[21]С2!F31</f>
        <v>0.13880000000000001</v>
      </c>
    </row>
    <row r="82" spans="1:3" s="63" customFormat="1" ht="18" thickBot="1" x14ac:dyDescent="0.25">
      <c r="A82" s="72" t="s">
        <v>120</v>
      </c>
      <c r="B82" s="73" t="s">
        <v>121</v>
      </c>
      <c r="C82" s="74">
        <f>[21]С2!F32</f>
        <v>0.12640000000000001</v>
      </c>
    </row>
    <row r="83" spans="1:3" ht="13.5" thickBot="1" x14ac:dyDescent="0.25">
      <c r="A83" s="47"/>
      <c r="B83" s="75"/>
      <c r="C83" s="15"/>
    </row>
    <row r="84" spans="1:3" s="63" customFormat="1" ht="30" customHeight="1" x14ac:dyDescent="0.2">
      <c r="A84" s="76" t="s">
        <v>122</v>
      </c>
      <c r="B84" s="122" t="s">
        <v>123</v>
      </c>
      <c r="C84" s="122"/>
    </row>
    <row r="85" spans="1:3" s="63" customFormat="1" ht="30" x14ac:dyDescent="0.2">
      <c r="A85" s="77" t="s">
        <v>124</v>
      </c>
      <c r="B85" s="33" t="s">
        <v>125</v>
      </c>
      <c r="C85" s="34">
        <f>[21]С3!F14</f>
        <v>6068.1437898865324</v>
      </c>
    </row>
    <row r="86" spans="1:3" s="63" customFormat="1" ht="42.75" x14ac:dyDescent="0.2">
      <c r="A86" s="77" t="s">
        <v>126</v>
      </c>
      <c r="B86" s="53" t="s">
        <v>127</v>
      </c>
      <c r="C86" s="78">
        <f>[21]С3!F15</f>
        <v>0.2</v>
      </c>
    </row>
    <row r="87" spans="1:3" s="63" customFormat="1" ht="14.25" x14ac:dyDescent="0.2">
      <c r="A87" s="77" t="s">
        <v>128</v>
      </c>
      <c r="B87" s="79" t="s">
        <v>129</v>
      </c>
      <c r="C87" s="62">
        <f>[21]С3!F18</f>
        <v>15</v>
      </c>
    </row>
    <row r="88" spans="1:3" s="63" customFormat="1" ht="17.25" x14ac:dyDescent="0.2">
      <c r="A88" s="77" t="s">
        <v>130</v>
      </c>
      <c r="B88" s="33" t="s">
        <v>131</v>
      </c>
      <c r="C88" s="34">
        <f>[21]С3!F19</f>
        <v>3778.1614077800232</v>
      </c>
    </row>
    <row r="89" spans="1:3" s="63" customFormat="1" ht="55.5" x14ac:dyDescent="0.2">
      <c r="A89" s="77" t="s">
        <v>132</v>
      </c>
      <c r="B89" s="53" t="s">
        <v>133</v>
      </c>
      <c r="C89" s="80">
        <f>[21]С3!F20</f>
        <v>2.1999999999999999E-2</v>
      </c>
    </row>
    <row r="90" spans="1:3" s="63" customFormat="1" ht="14.25" x14ac:dyDescent="0.2">
      <c r="A90" s="77" t="s">
        <v>134</v>
      </c>
      <c r="B90" s="58" t="s">
        <v>80</v>
      </c>
      <c r="C90" s="62">
        <f>[21]С3!F21</f>
        <v>10</v>
      </c>
    </row>
    <row r="91" spans="1:3" s="63" customFormat="1" ht="17.25" x14ac:dyDescent="0.2">
      <c r="A91" s="77" t="s">
        <v>135</v>
      </c>
      <c r="B91" s="33" t="s">
        <v>136</v>
      </c>
      <c r="C91" s="34">
        <f>[21]С3!F22</f>
        <v>4.6300904690519689</v>
      </c>
    </row>
    <row r="92" spans="1:3" s="63" customFormat="1" ht="55.5" x14ac:dyDescent="0.2">
      <c r="A92" s="77" t="s">
        <v>137</v>
      </c>
      <c r="B92" s="53" t="s">
        <v>138</v>
      </c>
      <c r="C92" s="80">
        <f>[21]С3!F23</f>
        <v>3.0000000000000001E-3</v>
      </c>
    </row>
    <row r="93" spans="1:3" s="63" customFormat="1" ht="27.75" thickBot="1" x14ac:dyDescent="0.25">
      <c r="A93" s="81" t="s">
        <v>139</v>
      </c>
      <c r="B93" s="82" t="s">
        <v>140</v>
      </c>
      <c r="C93" s="83">
        <f>[21]С3!F24</f>
        <v>1543.3634896839897</v>
      </c>
    </row>
    <row r="94" spans="1:3" ht="13.5" thickBot="1" x14ac:dyDescent="0.25">
      <c r="A94" s="47"/>
      <c r="B94" s="75"/>
      <c r="C94" s="15"/>
    </row>
    <row r="95" spans="1:3" ht="30" customHeight="1" x14ac:dyDescent="0.2">
      <c r="A95" s="84" t="s">
        <v>141</v>
      </c>
      <c r="B95" s="122" t="s">
        <v>142</v>
      </c>
      <c r="C95" s="122"/>
    </row>
    <row r="96" spans="1:3" ht="30" x14ac:dyDescent="0.2">
      <c r="A96" s="59" t="s">
        <v>143</v>
      </c>
      <c r="B96" s="33" t="s">
        <v>144</v>
      </c>
      <c r="C96" s="34">
        <f>[21]С4!F16</f>
        <v>1652.5</v>
      </c>
    </row>
    <row r="97" spans="1:3" ht="30" x14ac:dyDescent="0.2">
      <c r="A97" s="59" t="s">
        <v>145</v>
      </c>
      <c r="B97" s="58" t="s">
        <v>146</v>
      </c>
      <c r="C97" s="34">
        <f>[21]С4!F17</f>
        <v>73547</v>
      </c>
    </row>
    <row r="98" spans="1:3" ht="17.25" x14ac:dyDescent="0.2">
      <c r="A98" s="59" t="s">
        <v>147</v>
      </c>
      <c r="B98" s="58" t="s">
        <v>148</v>
      </c>
      <c r="C98" s="40">
        <f>[21]С4!F18</f>
        <v>0.02</v>
      </c>
    </row>
    <row r="99" spans="1:3" ht="30" x14ac:dyDescent="0.2">
      <c r="A99" s="59" t="s">
        <v>149</v>
      </c>
      <c r="B99" s="58" t="s">
        <v>150</v>
      </c>
      <c r="C99" s="34">
        <f>[21]С4!F19</f>
        <v>12104</v>
      </c>
    </row>
    <row r="100" spans="1:3" ht="31.5" x14ac:dyDescent="0.2">
      <c r="A100" s="59" t="s">
        <v>151</v>
      </c>
      <c r="B100" s="58" t="s">
        <v>152</v>
      </c>
      <c r="C100" s="40">
        <f>[21]С4!F20</f>
        <v>1.4999999999999999E-2</v>
      </c>
    </row>
    <row r="101" spans="1:3" ht="30" x14ac:dyDescent="0.2">
      <c r="A101" s="59" t="s">
        <v>153</v>
      </c>
      <c r="B101" s="33" t="s">
        <v>154</v>
      </c>
      <c r="C101" s="34">
        <f>[21]С4!F21</f>
        <v>1933.1949342509995</v>
      </c>
    </row>
    <row r="102" spans="1:3" ht="24" customHeight="1" x14ac:dyDescent="0.2">
      <c r="A102" s="59" t="s">
        <v>155</v>
      </c>
      <c r="B102" s="53" t="s">
        <v>156</v>
      </c>
      <c r="C102" s="85">
        <f>IF([21]С4.2!F8="да",[21]С4.2!D21,[21]С4.2!D15)</f>
        <v>0</v>
      </c>
    </row>
    <row r="103" spans="1:3" ht="68.25" x14ac:dyDescent="0.2">
      <c r="A103" s="59" t="s">
        <v>157</v>
      </c>
      <c r="B103" s="53" t="s">
        <v>158</v>
      </c>
      <c r="C103" s="34">
        <f>[21]С4!F22</f>
        <v>3.6112641666666665</v>
      </c>
    </row>
    <row r="104" spans="1:3" ht="30" x14ac:dyDescent="0.2">
      <c r="A104" s="59" t="s">
        <v>159</v>
      </c>
      <c r="B104" s="58" t="s">
        <v>160</v>
      </c>
      <c r="C104" s="34">
        <f>[21]С4!F23</f>
        <v>180</v>
      </c>
    </row>
    <row r="105" spans="1:3" ht="14.25" x14ac:dyDescent="0.2">
      <c r="A105" s="59" t="s">
        <v>161</v>
      </c>
      <c r="B105" s="53" t="s">
        <v>162</v>
      </c>
      <c r="C105" s="34">
        <f>[21]С4!F24</f>
        <v>8497.1999999999989</v>
      </c>
    </row>
    <row r="106" spans="1:3" ht="14.25" x14ac:dyDescent="0.2">
      <c r="A106" s="59" t="s">
        <v>163</v>
      </c>
      <c r="B106" s="58" t="s">
        <v>164</v>
      </c>
      <c r="C106" s="40">
        <f>[21]С4!F25</f>
        <v>0.35</v>
      </c>
    </row>
    <row r="107" spans="1:3" ht="17.25" x14ac:dyDescent="0.2">
      <c r="A107" s="59" t="s">
        <v>165</v>
      </c>
      <c r="B107" s="33" t="s">
        <v>166</v>
      </c>
      <c r="C107" s="34">
        <f>[21]С4!F26</f>
        <v>85.988129999999998</v>
      </c>
    </row>
    <row r="108" spans="1:3" ht="25.5" x14ac:dyDescent="0.2">
      <c r="A108" s="59" t="s">
        <v>167</v>
      </c>
      <c r="B108" s="53" t="s">
        <v>94</v>
      </c>
      <c r="C108" s="85">
        <f>[21]С4.3!E16</f>
        <v>0</v>
      </c>
    </row>
    <row r="109" spans="1:3" ht="25.5" x14ac:dyDescent="0.2">
      <c r="A109" s="59" t="s">
        <v>168</v>
      </c>
      <c r="B109" s="53" t="s">
        <v>169</v>
      </c>
      <c r="C109" s="34">
        <f>[21]С4.3!E17</f>
        <v>20.350000000000001</v>
      </c>
    </row>
    <row r="110" spans="1:3" ht="38.25" x14ac:dyDescent="0.2">
      <c r="A110" s="59" t="s">
        <v>170</v>
      </c>
      <c r="B110" s="53" t="s">
        <v>106</v>
      </c>
      <c r="C110" s="85">
        <f>[21]С4.3!E18</f>
        <v>0</v>
      </c>
    </row>
    <row r="111" spans="1:3" x14ac:dyDescent="0.2">
      <c r="A111" s="59" t="s">
        <v>171</v>
      </c>
      <c r="B111" s="53" t="s">
        <v>172</v>
      </c>
      <c r="C111" s="34">
        <f>[21]С4.3!E19</f>
        <v>71.67</v>
      </c>
    </row>
    <row r="112" spans="1:3" x14ac:dyDescent="0.2">
      <c r="A112" s="59" t="s">
        <v>173</v>
      </c>
      <c r="B112" s="58" t="s">
        <v>174</v>
      </c>
      <c r="C112" s="34">
        <f>[21]С4.3!E11</f>
        <v>1871</v>
      </c>
    </row>
    <row r="113" spans="1:3" x14ac:dyDescent="0.2">
      <c r="A113" s="59" t="s">
        <v>175</v>
      </c>
      <c r="B113" s="58" t="s">
        <v>176</v>
      </c>
      <c r="C113" s="52">
        <f>[21]С4.3!E12</f>
        <v>1636</v>
      </c>
    </row>
    <row r="114" spans="1:3" x14ac:dyDescent="0.2">
      <c r="A114" s="59" t="s">
        <v>177</v>
      </c>
      <c r="B114" s="58" t="s">
        <v>178</v>
      </c>
      <c r="C114" s="52">
        <f>[21]С4.3!E13</f>
        <v>204</v>
      </c>
    </row>
    <row r="115" spans="1:3" ht="30" x14ac:dyDescent="0.2">
      <c r="A115" s="59" t="s">
        <v>179</v>
      </c>
      <c r="B115" s="33" t="s">
        <v>180</v>
      </c>
      <c r="C115" s="34">
        <f>[21]С4!F27</f>
        <v>1291.2863994686898</v>
      </c>
    </row>
    <row r="116" spans="1:3" ht="25.5" x14ac:dyDescent="0.2">
      <c r="A116" s="59" t="s">
        <v>181</v>
      </c>
      <c r="B116" s="53" t="s">
        <v>182</v>
      </c>
      <c r="C116" s="34">
        <f>[21]С4!F28</f>
        <v>991.77142816335618</v>
      </c>
    </row>
    <row r="117" spans="1:3" ht="42.75" x14ac:dyDescent="0.2">
      <c r="A117" s="59" t="s">
        <v>183</v>
      </c>
      <c r="B117" s="53" t="s">
        <v>184</v>
      </c>
      <c r="C117" s="34">
        <f>[21]С4!F29</f>
        <v>299.51497130533357</v>
      </c>
    </row>
    <row r="118" spans="1:3" ht="30" x14ac:dyDescent="0.2">
      <c r="A118" s="59" t="s">
        <v>185</v>
      </c>
      <c r="B118" s="39" t="s">
        <v>186</v>
      </c>
      <c r="C118" s="34">
        <f>[21]С4!F30</f>
        <v>1452.5369335000423</v>
      </c>
    </row>
    <row r="119" spans="1:3" ht="42.75" x14ac:dyDescent="0.2">
      <c r="A119" s="59" t="s">
        <v>187</v>
      </c>
      <c r="B119" s="86" t="s">
        <v>188</v>
      </c>
      <c r="C119" s="34">
        <f>[21]С4!F33</f>
        <v>733.11661807007397</v>
      </c>
    </row>
    <row r="120" spans="1:3" ht="30" x14ac:dyDescent="0.2">
      <c r="A120" s="59" t="s">
        <v>189</v>
      </c>
      <c r="B120" s="87" t="s">
        <v>190</v>
      </c>
      <c r="C120" s="34">
        <f>[21]С4!F35</f>
        <v>17.040680999999999</v>
      </c>
    </row>
    <row r="121" spans="1:3" ht="14.25" x14ac:dyDescent="0.2">
      <c r="A121" s="59" t="s">
        <v>191</v>
      </c>
      <c r="B121" s="56" t="s">
        <v>192</v>
      </c>
      <c r="C121" s="34">
        <f>[21]С4!F36</f>
        <v>14319.9</v>
      </c>
    </row>
    <row r="122" spans="1:3" ht="28.5" thickBot="1" x14ac:dyDescent="0.25">
      <c r="A122" s="72" t="s">
        <v>193</v>
      </c>
      <c r="B122" s="88" t="s">
        <v>194</v>
      </c>
      <c r="C122" s="83">
        <f>[21]С4!F37</f>
        <v>1.19</v>
      </c>
    </row>
    <row r="123" spans="1:3" s="89" customFormat="1" ht="13.5" thickBot="1" x14ac:dyDescent="0.25">
      <c r="A123" s="47"/>
      <c r="B123" s="75"/>
      <c r="C123" s="15"/>
    </row>
    <row r="124" spans="1:3" s="63" customFormat="1" ht="30" customHeight="1" x14ac:dyDescent="0.2">
      <c r="A124" s="76" t="s">
        <v>195</v>
      </c>
      <c r="B124" s="122" t="s">
        <v>196</v>
      </c>
      <c r="C124" s="122"/>
    </row>
    <row r="125" spans="1:3" ht="16.5" thickBot="1" x14ac:dyDescent="0.25">
      <c r="A125" s="27" t="s">
        <v>197</v>
      </c>
      <c r="B125" s="90" t="s">
        <v>198</v>
      </c>
      <c r="C125" s="83">
        <f>[21]С5!F17</f>
        <v>0.02</v>
      </c>
    </row>
    <row r="126" spans="1:3" s="89" customFormat="1" ht="13.5" thickBot="1" x14ac:dyDescent="0.25">
      <c r="A126" s="47"/>
      <c r="B126" s="75"/>
      <c r="C126" s="15"/>
    </row>
    <row r="127" spans="1:3" ht="42.75" customHeight="1" x14ac:dyDescent="0.2">
      <c r="A127" s="84" t="s">
        <v>199</v>
      </c>
      <c r="B127" s="123" t="s">
        <v>200</v>
      </c>
      <c r="C127" s="123"/>
    </row>
    <row r="128" spans="1:3" ht="68.25" x14ac:dyDescent="0.2">
      <c r="A128" s="59" t="s">
        <v>201</v>
      </c>
      <c r="B128" s="91" t="s">
        <v>202</v>
      </c>
      <c r="C128" s="34" t="s">
        <v>203</v>
      </c>
    </row>
    <row r="129" spans="1:4" ht="42.75" hidden="1" x14ac:dyDescent="0.2">
      <c r="A129" s="59" t="s">
        <v>204</v>
      </c>
      <c r="B129" s="86" t="s">
        <v>205</v>
      </c>
      <c r="C129" s="92"/>
    </row>
    <row r="130" spans="1:4" ht="69" thickBot="1" x14ac:dyDescent="0.25">
      <c r="A130" s="72" t="s">
        <v>206</v>
      </c>
      <c r="B130" s="93" t="s">
        <v>207</v>
      </c>
      <c r="C130" s="94" t="s">
        <v>203</v>
      </c>
    </row>
    <row r="131" spans="1:4" ht="62.25" hidden="1" customHeight="1" x14ac:dyDescent="0.2">
      <c r="A131" s="95" t="s">
        <v>208</v>
      </c>
      <c r="B131" s="96" t="s">
        <v>209</v>
      </c>
      <c r="C131" s="97"/>
    </row>
    <row r="132" spans="1:4" ht="68.25" hidden="1" x14ac:dyDescent="0.2">
      <c r="A132" s="59" t="s">
        <v>210</v>
      </c>
      <c r="B132" s="86" t="s">
        <v>211</v>
      </c>
      <c r="C132" s="35"/>
    </row>
    <row r="133" spans="1:4" ht="69" hidden="1" thickBot="1" x14ac:dyDescent="0.25">
      <c r="A133" s="72" t="s">
        <v>212</v>
      </c>
      <c r="B133" s="98" t="s">
        <v>213</v>
      </c>
      <c r="C133" s="74"/>
    </row>
    <row r="134" spans="1:4" s="89" customFormat="1" ht="13.5" thickBot="1" x14ac:dyDescent="0.25">
      <c r="A134" s="47"/>
      <c r="B134" s="75"/>
      <c r="C134" s="15"/>
    </row>
    <row r="135" spans="1:4" ht="26.25" customHeight="1" x14ac:dyDescent="0.2">
      <c r="A135" s="84" t="s">
        <v>214</v>
      </c>
      <c r="B135" s="99" t="s">
        <v>215</v>
      </c>
      <c r="C135" s="100">
        <f>[21]С2!F37</f>
        <v>20.818139999999996</v>
      </c>
    </row>
    <row r="136" spans="1:4" ht="14.25" x14ac:dyDescent="0.2">
      <c r="A136" s="59" t="s">
        <v>216</v>
      </c>
      <c r="B136" s="101" t="s">
        <v>217</v>
      </c>
      <c r="C136" s="34">
        <f>[21]С2!F38</f>
        <v>7</v>
      </c>
    </row>
    <row r="137" spans="1:4" ht="17.25" x14ac:dyDescent="0.2">
      <c r="A137" s="59" t="s">
        <v>218</v>
      </c>
      <c r="B137" s="101" t="s">
        <v>219</v>
      </c>
      <c r="C137" s="34">
        <f>[21]С2!F40</f>
        <v>0.97</v>
      </c>
    </row>
    <row r="138" spans="1:4" ht="15" thickBot="1" x14ac:dyDescent="0.25">
      <c r="A138" s="72" t="s">
        <v>220</v>
      </c>
      <c r="B138" s="102" t="s">
        <v>221</v>
      </c>
      <c r="C138" s="46">
        <f>[21]С2!F42</f>
        <v>0.35</v>
      </c>
    </row>
    <row r="139" spans="1:4" s="89" customFormat="1" ht="13.5" thickBot="1" x14ac:dyDescent="0.25">
      <c r="A139" s="47"/>
      <c r="B139" s="75"/>
      <c r="C139" s="15"/>
    </row>
    <row r="140" spans="1:4" ht="30" x14ac:dyDescent="0.2">
      <c r="A140" s="84" t="s">
        <v>222</v>
      </c>
      <c r="B140" s="103" t="s">
        <v>223</v>
      </c>
      <c r="C140" s="104">
        <f>[21]С2!F35</f>
        <v>1.4976266307379205</v>
      </c>
      <c r="D140" s="89"/>
    </row>
    <row r="141" spans="1:4" ht="22.7" customHeight="1" thickBot="1" x14ac:dyDescent="0.25">
      <c r="A141" s="72" t="s">
        <v>224</v>
      </c>
      <c r="B141" s="118" t="s">
        <v>225</v>
      </c>
      <c r="C141" s="118"/>
      <c r="D141" s="89"/>
    </row>
    <row r="142" spans="1:4" ht="13.5" thickBot="1" x14ac:dyDescent="0.25">
      <c r="A142" s="106"/>
      <c r="B142" s="107" t="s">
        <v>226</v>
      </c>
      <c r="C142" s="108"/>
      <c r="D142" s="89"/>
    </row>
    <row r="143" spans="1:4" x14ac:dyDescent="0.2">
      <c r="A143" s="106"/>
      <c r="B143" s="109">
        <v>2020</v>
      </c>
      <c r="C143" s="110">
        <f>[21]С2.5!$E$11</f>
        <v>-2.9000000000000026E-2</v>
      </c>
      <c r="D143" s="89"/>
    </row>
    <row r="144" spans="1:4" x14ac:dyDescent="0.2">
      <c r="A144" s="106"/>
      <c r="B144" s="111">
        <f>B143+1</f>
        <v>2021</v>
      </c>
      <c r="C144" s="112">
        <f>[21]С2.5!$F$11</f>
        <v>0.245</v>
      </c>
      <c r="D144" s="89"/>
    </row>
    <row r="145" spans="1:4" x14ac:dyDescent="0.2">
      <c r="A145" s="106"/>
      <c r="B145" s="111">
        <f t="shared" ref="B145:B208" si="0">B144+1</f>
        <v>2022</v>
      </c>
      <c r="C145" s="112">
        <f>[21]С2.5!$G$11</f>
        <v>0.114</v>
      </c>
      <c r="D145" s="89"/>
    </row>
    <row r="146" spans="1:4" ht="13.5" thickBot="1" x14ac:dyDescent="0.25">
      <c r="A146" s="106"/>
      <c r="B146" s="113">
        <f t="shared" si="0"/>
        <v>2023</v>
      </c>
      <c r="C146" s="114">
        <f>[21]С2.5!$H$11</f>
        <v>2.4E-2</v>
      </c>
      <c r="D146" s="89"/>
    </row>
    <row r="147" spans="1:4" x14ac:dyDescent="0.2">
      <c r="A147" s="106"/>
      <c r="B147" s="115">
        <f t="shared" si="0"/>
        <v>2024</v>
      </c>
      <c r="C147" s="116">
        <f>[21]С2.5!$I$11</f>
        <v>8.5999999999999993E-2</v>
      </c>
      <c r="D147" s="89"/>
    </row>
    <row r="148" spans="1:4" hidden="1" x14ac:dyDescent="0.2">
      <c r="A148" s="106"/>
      <c r="B148" s="111">
        <f t="shared" si="0"/>
        <v>2025</v>
      </c>
      <c r="C148" s="112">
        <f>[21]С2.5!$J$11</f>
        <v>0.21215960863291</v>
      </c>
      <c r="D148" s="89"/>
    </row>
    <row r="149" spans="1:4" hidden="1" x14ac:dyDescent="0.2">
      <c r="A149" s="106"/>
      <c r="B149" s="111">
        <f t="shared" si="0"/>
        <v>2026</v>
      </c>
      <c r="C149" s="112">
        <f>[21]С2.5!$K$11</f>
        <v>3.5813361771260002E-2</v>
      </c>
      <c r="D149" s="89"/>
    </row>
    <row r="150" spans="1:4" hidden="1" x14ac:dyDescent="0.2">
      <c r="A150" s="106"/>
      <c r="B150" s="111">
        <f t="shared" si="0"/>
        <v>2027</v>
      </c>
      <c r="C150" s="112">
        <f>[21]С2.5!$L$11</f>
        <v>3.2682303599220003E-2</v>
      </c>
      <c r="D150" s="89"/>
    </row>
    <row r="151" spans="1:4" hidden="1" x14ac:dyDescent="0.2">
      <c r="A151" s="106"/>
      <c r="B151" s="111">
        <f t="shared" si="0"/>
        <v>2028</v>
      </c>
      <c r="C151" s="112">
        <f>[21]С2.5!$M$11</f>
        <v>0</v>
      </c>
      <c r="D151" s="89"/>
    </row>
    <row r="152" spans="1:4" hidden="1" x14ac:dyDescent="0.2">
      <c r="A152" s="106"/>
      <c r="B152" s="111">
        <f t="shared" si="0"/>
        <v>2029</v>
      </c>
      <c r="C152" s="112">
        <f>[21]С2.5!$N$11</f>
        <v>0</v>
      </c>
      <c r="D152" s="89"/>
    </row>
    <row r="153" spans="1:4" hidden="1" x14ac:dyDescent="0.2">
      <c r="A153" s="106"/>
      <c r="B153" s="111">
        <f t="shared" si="0"/>
        <v>2030</v>
      </c>
      <c r="C153" s="112">
        <f>[21]С2.5!$O$11</f>
        <v>0</v>
      </c>
      <c r="D153" s="89"/>
    </row>
    <row r="154" spans="1:4" hidden="1" x14ac:dyDescent="0.2">
      <c r="A154" s="106"/>
      <c r="B154" s="111">
        <f t="shared" si="0"/>
        <v>2031</v>
      </c>
      <c r="C154" s="112">
        <f>[21]С2.5!$P$11</f>
        <v>0</v>
      </c>
      <c r="D154" s="89"/>
    </row>
    <row r="155" spans="1:4" hidden="1" x14ac:dyDescent="0.2">
      <c r="A155" s="89"/>
      <c r="B155" s="111">
        <f t="shared" si="0"/>
        <v>2032</v>
      </c>
      <c r="C155" s="112">
        <f>[21]С2.5!$Q$11</f>
        <v>0</v>
      </c>
      <c r="D155" s="89"/>
    </row>
    <row r="156" spans="1:4" hidden="1" x14ac:dyDescent="0.2">
      <c r="A156" s="89"/>
      <c r="B156" s="111">
        <f t="shared" si="0"/>
        <v>2033</v>
      </c>
      <c r="C156" s="112">
        <f>[21]С2.5!$R$11</f>
        <v>0</v>
      </c>
      <c r="D156" s="89"/>
    </row>
    <row r="157" spans="1:4" hidden="1" x14ac:dyDescent="0.2">
      <c r="B157" s="111">
        <f t="shared" si="0"/>
        <v>2034</v>
      </c>
      <c r="C157" s="112">
        <f>[21]С2.5!$S$11</f>
        <v>0</v>
      </c>
    </row>
    <row r="158" spans="1:4" hidden="1" x14ac:dyDescent="0.2">
      <c r="B158" s="111">
        <f t="shared" si="0"/>
        <v>2035</v>
      </c>
      <c r="C158" s="112">
        <f>[21]С2.5!$T$11</f>
        <v>0</v>
      </c>
    </row>
    <row r="159" spans="1:4" hidden="1" x14ac:dyDescent="0.2">
      <c r="B159" s="111">
        <f t="shared" si="0"/>
        <v>2036</v>
      </c>
      <c r="C159" s="112">
        <f>[21]С2.5!$U$11</f>
        <v>0</v>
      </c>
    </row>
    <row r="160" spans="1:4" hidden="1" x14ac:dyDescent="0.2">
      <c r="B160" s="111">
        <f t="shared" si="0"/>
        <v>2037</v>
      </c>
      <c r="C160" s="112">
        <f>[21]С2.5!$V$11</f>
        <v>0</v>
      </c>
    </row>
    <row r="161" spans="2:3" hidden="1" x14ac:dyDescent="0.2">
      <c r="B161" s="111">
        <f t="shared" si="0"/>
        <v>2038</v>
      </c>
      <c r="C161" s="112">
        <f>[21]С2.5!$W$11</f>
        <v>0</v>
      </c>
    </row>
    <row r="162" spans="2:3" hidden="1" x14ac:dyDescent="0.2">
      <c r="B162" s="111">
        <f t="shared" si="0"/>
        <v>2039</v>
      </c>
      <c r="C162" s="112">
        <f>[21]С2.5!$X$11</f>
        <v>0</v>
      </c>
    </row>
    <row r="163" spans="2:3" hidden="1" x14ac:dyDescent="0.2">
      <c r="B163" s="111">
        <f t="shared" si="0"/>
        <v>2040</v>
      </c>
      <c r="C163" s="112">
        <f>[21]С2.5!$Y$11</f>
        <v>0</v>
      </c>
    </row>
    <row r="164" spans="2:3" hidden="1" x14ac:dyDescent="0.2">
      <c r="B164" s="111">
        <f t="shared" si="0"/>
        <v>2041</v>
      </c>
      <c r="C164" s="112">
        <f>[21]С2.5!$Z$11</f>
        <v>0</v>
      </c>
    </row>
    <row r="165" spans="2:3" hidden="1" x14ac:dyDescent="0.2">
      <c r="B165" s="111">
        <f t="shared" si="0"/>
        <v>2042</v>
      </c>
      <c r="C165" s="112">
        <f>[21]С2.5!$AA$11</f>
        <v>0</v>
      </c>
    </row>
    <row r="166" spans="2:3" hidden="1" x14ac:dyDescent="0.2">
      <c r="B166" s="111">
        <f t="shared" si="0"/>
        <v>2043</v>
      </c>
      <c r="C166" s="112">
        <f>[21]С2.5!$AB$11</f>
        <v>0</v>
      </c>
    </row>
    <row r="167" spans="2:3" hidden="1" x14ac:dyDescent="0.2">
      <c r="B167" s="111">
        <f t="shared" si="0"/>
        <v>2044</v>
      </c>
      <c r="C167" s="112">
        <f>[21]С2.5!$AC$11</f>
        <v>0</v>
      </c>
    </row>
    <row r="168" spans="2:3" hidden="1" x14ac:dyDescent="0.2">
      <c r="B168" s="111">
        <f t="shared" si="0"/>
        <v>2045</v>
      </c>
      <c r="C168" s="112">
        <f>[21]С2.5!$AD$11</f>
        <v>0</v>
      </c>
    </row>
    <row r="169" spans="2:3" hidden="1" x14ac:dyDescent="0.2">
      <c r="B169" s="111">
        <f t="shared" si="0"/>
        <v>2046</v>
      </c>
      <c r="C169" s="112">
        <f>[21]С2.5!$AE$11</f>
        <v>0</v>
      </c>
    </row>
    <row r="170" spans="2:3" hidden="1" x14ac:dyDescent="0.2">
      <c r="B170" s="111">
        <f t="shared" si="0"/>
        <v>2047</v>
      </c>
      <c r="C170" s="112">
        <f>[21]С2.5!$AF$11</f>
        <v>0</v>
      </c>
    </row>
    <row r="171" spans="2:3" hidden="1" x14ac:dyDescent="0.2">
      <c r="B171" s="111">
        <f t="shared" si="0"/>
        <v>2048</v>
      </c>
      <c r="C171" s="112">
        <f>[21]С2.5!$AG$11</f>
        <v>0</v>
      </c>
    </row>
    <row r="172" spans="2:3" hidden="1" x14ac:dyDescent="0.2">
      <c r="B172" s="111">
        <f t="shared" si="0"/>
        <v>2049</v>
      </c>
      <c r="C172" s="112">
        <f>[21]С2.5!$AH$11</f>
        <v>0</v>
      </c>
    </row>
    <row r="173" spans="2:3" hidden="1" x14ac:dyDescent="0.2">
      <c r="B173" s="111">
        <f t="shared" si="0"/>
        <v>2050</v>
      </c>
      <c r="C173" s="112">
        <f>[21]С2.5!$AI$11</f>
        <v>0</v>
      </c>
    </row>
    <row r="174" spans="2:3" hidden="1" x14ac:dyDescent="0.2">
      <c r="B174" s="111">
        <f t="shared" si="0"/>
        <v>2051</v>
      </c>
      <c r="C174" s="112">
        <f>[21]С2.5!$AJ$11</f>
        <v>0</v>
      </c>
    </row>
    <row r="175" spans="2:3" hidden="1" x14ac:dyDescent="0.2">
      <c r="B175" s="111">
        <f t="shared" si="0"/>
        <v>2052</v>
      </c>
      <c r="C175" s="112">
        <f>[21]С2.5!$AK$11</f>
        <v>0</v>
      </c>
    </row>
    <row r="176" spans="2:3" hidden="1" x14ac:dyDescent="0.2">
      <c r="B176" s="111">
        <f t="shared" si="0"/>
        <v>2053</v>
      </c>
      <c r="C176" s="112">
        <f>[21]С2.5!$AL$11</f>
        <v>0</v>
      </c>
    </row>
    <row r="177" spans="2:3" hidden="1" x14ac:dyDescent="0.2">
      <c r="B177" s="111">
        <f t="shared" si="0"/>
        <v>2054</v>
      </c>
      <c r="C177" s="112">
        <f>[21]С2.5!$AM$11</f>
        <v>0</v>
      </c>
    </row>
    <row r="178" spans="2:3" hidden="1" x14ac:dyDescent="0.2">
      <c r="B178" s="111">
        <f t="shared" si="0"/>
        <v>2055</v>
      </c>
      <c r="C178" s="112">
        <f>[21]С2.5!$AN$11</f>
        <v>0</v>
      </c>
    </row>
    <row r="179" spans="2:3" hidden="1" x14ac:dyDescent="0.2">
      <c r="B179" s="111">
        <f t="shared" si="0"/>
        <v>2056</v>
      </c>
      <c r="C179" s="112">
        <f>[21]С2.5!$AO$11</f>
        <v>0</v>
      </c>
    </row>
    <row r="180" spans="2:3" hidden="1" x14ac:dyDescent="0.2">
      <c r="B180" s="111">
        <f t="shared" si="0"/>
        <v>2057</v>
      </c>
      <c r="C180" s="112">
        <f>[21]С2.5!$AP$11</f>
        <v>0</v>
      </c>
    </row>
    <row r="181" spans="2:3" hidden="1" x14ac:dyDescent="0.2">
      <c r="B181" s="111">
        <f t="shared" si="0"/>
        <v>2058</v>
      </c>
      <c r="C181" s="112">
        <f>[21]С2.5!$AQ$11</f>
        <v>0</v>
      </c>
    </row>
    <row r="182" spans="2:3" hidden="1" x14ac:dyDescent="0.2">
      <c r="B182" s="111">
        <f t="shared" si="0"/>
        <v>2059</v>
      </c>
      <c r="C182" s="112">
        <f>[21]С2.5!$AR$11</f>
        <v>0</v>
      </c>
    </row>
    <row r="183" spans="2:3" hidden="1" x14ac:dyDescent="0.2">
      <c r="B183" s="111">
        <f t="shared" si="0"/>
        <v>2060</v>
      </c>
      <c r="C183" s="112">
        <f>[21]С2.5!$AS$11</f>
        <v>0</v>
      </c>
    </row>
    <row r="184" spans="2:3" hidden="1" x14ac:dyDescent="0.2">
      <c r="B184" s="111">
        <f t="shared" si="0"/>
        <v>2061</v>
      </c>
      <c r="C184" s="112">
        <f>[21]С2.5!$AT$11</f>
        <v>0</v>
      </c>
    </row>
    <row r="185" spans="2:3" hidden="1" x14ac:dyDescent="0.2">
      <c r="B185" s="111">
        <f t="shared" si="0"/>
        <v>2062</v>
      </c>
      <c r="C185" s="112">
        <f>[21]С2.5!$AU$11</f>
        <v>0</v>
      </c>
    </row>
    <row r="186" spans="2:3" hidden="1" x14ac:dyDescent="0.2">
      <c r="B186" s="111">
        <f t="shared" si="0"/>
        <v>2063</v>
      </c>
      <c r="C186" s="112">
        <f>[21]С2.5!$AV$11</f>
        <v>0</v>
      </c>
    </row>
    <row r="187" spans="2:3" hidden="1" x14ac:dyDescent="0.2">
      <c r="B187" s="111">
        <f t="shared" si="0"/>
        <v>2064</v>
      </c>
      <c r="C187" s="112">
        <f>[21]С2.5!$AW$11</f>
        <v>0</v>
      </c>
    </row>
    <row r="188" spans="2:3" hidden="1" x14ac:dyDescent="0.2">
      <c r="B188" s="111">
        <f t="shared" si="0"/>
        <v>2065</v>
      </c>
      <c r="C188" s="112">
        <f>[21]С2.5!$AX$11</f>
        <v>0</v>
      </c>
    </row>
    <row r="189" spans="2:3" hidden="1" x14ac:dyDescent="0.2">
      <c r="B189" s="111">
        <f t="shared" si="0"/>
        <v>2066</v>
      </c>
      <c r="C189" s="112">
        <f>[21]С2.5!$AY$11</f>
        <v>0</v>
      </c>
    </row>
    <row r="190" spans="2:3" hidden="1" x14ac:dyDescent="0.2">
      <c r="B190" s="111">
        <f t="shared" si="0"/>
        <v>2067</v>
      </c>
      <c r="C190" s="112">
        <f>[21]С2.5!$AZ$11</f>
        <v>0</v>
      </c>
    </row>
    <row r="191" spans="2:3" hidden="1" x14ac:dyDescent="0.2">
      <c r="B191" s="111">
        <f t="shared" si="0"/>
        <v>2068</v>
      </c>
      <c r="C191" s="112">
        <f>[21]С2.5!$BA$11</f>
        <v>0</v>
      </c>
    </row>
    <row r="192" spans="2:3" hidden="1" x14ac:dyDescent="0.2">
      <c r="B192" s="111">
        <f t="shared" si="0"/>
        <v>2069</v>
      </c>
      <c r="C192" s="112">
        <f>[21]С2.5!$BB$11</f>
        <v>0</v>
      </c>
    </row>
    <row r="193" spans="2:3" hidden="1" x14ac:dyDescent="0.2">
      <c r="B193" s="111">
        <f t="shared" si="0"/>
        <v>2070</v>
      </c>
      <c r="C193" s="112">
        <f>[21]С2.5!$BC$11</f>
        <v>0</v>
      </c>
    </row>
    <row r="194" spans="2:3" hidden="1" x14ac:dyDescent="0.2">
      <c r="B194" s="111">
        <f t="shared" si="0"/>
        <v>2071</v>
      </c>
      <c r="C194" s="112">
        <f>[21]С2.5!$BD$11</f>
        <v>0</v>
      </c>
    </row>
    <row r="195" spans="2:3" hidden="1" x14ac:dyDescent="0.2">
      <c r="B195" s="111">
        <f t="shared" si="0"/>
        <v>2072</v>
      </c>
      <c r="C195" s="112">
        <f>[21]С2.5!$BE$11</f>
        <v>0</v>
      </c>
    </row>
    <row r="196" spans="2:3" hidden="1" x14ac:dyDescent="0.2">
      <c r="B196" s="111">
        <f t="shared" si="0"/>
        <v>2073</v>
      </c>
      <c r="C196" s="112">
        <f>[21]С2.5!$BF$11</f>
        <v>0</v>
      </c>
    </row>
    <row r="197" spans="2:3" hidden="1" x14ac:dyDescent="0.2">
      <c r="B197" s="111">
        <f t="shared" si="0"/>
        <v>2074</v>
      </c>
      <c r="C197" s="112">
        <f>[21]С2.5!$BG$11</f>
        <v>0</v>
      </c>
    </row>
    <row r="198" spans="2:3" hidden="1" x14ac:dyDescent="0.2">
      <c r="B198" s="111">
        <f t="shared" si="0"/>
        <v>2075</v>
      </c>
      <c r="C198" s="112">
        <f>[21]С2.5!$BH$11</f>
        <v>0</v>
      </c>
    </row>
    <row r="199" spans="2:3" hidden="1" x14ac:dyDescent="0.2">
      <c r="B199" s="111">
        <f t="shared" si="0"/>
        <v>2076</v>
      </c>
      <c r="C199" s="112">
        <f>[21]С2.5!$BI$11</f>
        <v>0</v>
      </c>
    </row>
    <row r="200" spans="2:3" hidden="1" x14ac:dyDescent="0.2">
      <c r="B200" s="111">
        <f t="shared" si="0"/>
        <v>2077</v>
      </c>
      <c r="C200" s="112">
        <f>[21]С2.5!$BJ$11</f>
        <v>0</v>
      </c>
    </row>
    <row r="201" spans="2:3" hidden="1" x14ac:dyDescent="0.2">
      <c r="B201" s="111">
        <f t="shared" si="0"/>
        <v>2078</v>
      </c>
      <c r="C201" s="112">
        <f>[21]С2.5!$BK$11</f>
        <v>0</v>
      </c>
    </row>
    <row r="202" spans="2:3" hidden="1" x14ac:dyDescent="0.2">
      <c r="B202" s="111">
        <f t="shared" si="0"/>
        <v>2079</v>
      </c>
      <c r="C202" s="112">
        <f>[21]С2.5!$BL$11</f>
        <v>0</v>
      </c>
    </row>
    <row r="203" spans="2:3" hidden="1" x14ac:dyDescent="0.2">
      <c r="B203" s="111">
        <f t="shared" si="0"/>
        <v>2080</v>
      </c>
      <c r="C203" s="112">
        <f>[21]С2.5!$BM$11</f>
        <v>0</v>
      </c>
    </row>
    <row r="204" spans="2:3" hidden="1" x14ac:dyDescent="0.2">
      <c r="B204" s="111">
        <f t="shared" si="0"/>
        <v>2081</v>
      </c>
      <c r="C204" s="112">
        <f>[21]С2.5!$BN$11</f>
        <v>0</v>
      </c>
    </row>
    <row r="205" spans="2:3" hidden="1" x14ac:dyDescent="0.2">
      <c r="B205" s="111">
        <f t="shared" si="0"/>
        <v>2082</v>
      </c>
      <c r="C205" s="112">
        <f>[21]С2.5!$BO$11</f>
        <v>0</v>
      </c>
    </row>
    <row r="206" spans="2:3" hidden="1" x14ac:dyDescent="0.2">
      <c r="B206" s="111">
        <f t="shared" si="0"/>
        <v>2083</v>
      </c>
      <c r="C206" s="112">
        <f>[21]С2.5!$BP$11</f>
        <v>0</v>
      </c>
    </row>
    <row r="207" spans="2:3" hidden="1" x14ac:dyDescent="0.2">
      <c r="B207" s="111">
        <f t="shared" si="0"/>
        <v>2084</v>
      </c>
      <c r="C207" s="112">
        <f>[21]С2.5!$BQ$11</f>
        <v>0</v>
      </c>
    </row>
    <row r="208" spans="2:3" hidden="1" x14ac:dyDescent="0.2">
      <c r="B208" s="111">
        <f t="shared" si="0"/>
        <v>2085</v>
      </c>
      <c r="C208" s="112">
        <f>[21]С2.5!$BR$11</f>
        <v>0</v>
      </c>
    </row>
    <row r="209" spans="2:3" hidden="1" x14ac:dyDescent="0.2">
      <c r="B209" s="111">
        <f t="shared" ref="B209:B223" si="1">B208+1</f>
        <v>2086</v>
      </c>
      <c r="C209" s="112">
        <f>[21]С2.5!$BS$11</f>
        <v>0</v>
      </c>
    </row>
    <row r="210" spans="2:3" hidden="1" x14ac:dyDescent="0.2">
      <c r="B210" s="111">
        <f t="shared" si="1"/>
        <v>2087</v>
      </c>
      <c r="C210" s="112">
        <f>[21]С2.5!$BT$11</f>
        <v>0</v>
      </c>
    </row>
    <row r="211" spans="2:3" hidden="1" x14ac:dyDescent="0.2">
      <c r="B211" s="111">
        <f t="shared" si="1"/>
        <v>2088</v>
      </c>
      <c r="C211" s="112">
        <f>[21]С2.5!$BU$11</f>
        <v>0</v>
      </c>
    </row>
    <row r="212" spans="2:3" hidden="1" x14ac:dyDescent="0.2">
      <c r="B212" s="111">
        <f t="shared" si="1"/>
        <v>2089</v>
      </c>
      <c r="C212" s="112">
        <f>[21]С2.5!$BV$11</f>
        <v>0</v>
      </c>
    </row>
    <row r="213" spans="2:3" hidden="1" x14ac:dyDescent="0.2">
      <c r="B213" s="111">
        <f t="shared" si="1"/>
        <v>2090</v>
      </c>
      <c r="C213" s="112">
        <f>[21]С2.5!$BW$11</f>
        <v>0</v>
      </c>
    </row>
    <row r="214" spans="2:3" hidden="1" x14ac:dyDescent="0.2">
      <c r="B214" s="111">
        <f t="shared" si="1"/>
        <v>2091</v>
      </c>
      <c r="C214" s="112">
        <f>[21]С2.5!$BX$11</f>
        <v>0</v>
      </c>
    </row>
    <row r="215" spans="2:3" hidden="1" x14ac:dyDescent="0.2">
      <c r="B215" s="111">
        <f t="shared" si="1"/>
        <v>2092</v>
      </c>
      <c r="C215" s="112">
        <f>[21]С2.5!$BY$11</f>
        <v>0</v>
      </c>
    </row>
    <row r="216" spans="2:3" hidden="1" x14ac:dyDescent="0.2">
      <c r="B216" s="111">
        <f t="shared" si="1"/>
        <v>2093</v>
      </c>
      <c r="C216" s="112">
        <f>[21]С2.5!$BZ$11</f>
        <v>0</v>
      </c>
    </row>
    <row r="217" spans="2:3" hidden="1" x14ac:dyDescent="0.2">
      <c r="B217" s="111">
        <f t="shared" si="1"/>
        <v>2094</v>
      </c>
      <c r="C217" s="112">
        <f>[21]С2.5!$CA$11</f>
        <v>0</v>
      </c>
    </row>
    <row r="218" spans="2:3" hidden="1" x14ac:dyDescent="0.2">
      <c r="B218" s="111">
        <f t="shared" si="1"/>
        <v>2095</v>
      </c>
      <c r="C218" s="112">
        <f>[21]С2.5!$CB$11</f>
        <v>0</v>
      </c>
    </row>
    <row r="219" spans="2:3" hidden="1" x14ac:dyDescent="0.2">
      <c r="B219" s="111">
        <f t="shared" si="1"/>
        <v>2096</v>
      </c>
      <c r="C219" s="112">
        <f>[21]С2.5!$CC$11</f>
        <v>0</v>
      </c>
    </row>
    <row r="220" spans="2:3" hidden="1" x14ac:dyDescent="0.2">
      <c r="B220" s="111">
        <f t="shared" si="1"/>
        <v>2097</v>
      </c>
      <c r="C220" s="112">
        <f>[21]С2.5!$CD$11</f>
        <v>0</v>
      </c>
    </row>
    <row r="221" spans="2:3" hidden="1" x14ac:dyDescent="0.2">
      <c r="B221" s="111">
        <f t="shared" si="1"/>
        <v>2098</v>
      </c>
      <c r="C221" s="112">
        <f>[21]С2.5!$CE$11</f>
        <v>0</v>
      </c>
    </row>
    <row r="222" spans="2:3" hidden="1" x14ac:dyDescent="0.2">
      <c r="B222" s="111">
        <f t="shared" si="1"/>
        <v>2099</v>
      </c>
      <c r="C222" s="112">
        <f>[21]С2.5!$CF$11</f>
        <v>0</v>
      </c>
    </row>
    <row r="223" spans="2:3" ht="13.5" hidden="1" thickBot="1" x14ac:dyDescent="0.25">
      <c r="B223" s="113">
        <f t="shared" si="1"/>
        <v>2100</v>
      </c>
      <c r="C223" s="114">
        <f>[21]С2.5!$CG$11</f>
        <v>0</v>
      </c>
    </row>
    <row r="224" spans="2:3" hidden="1" x14ac:dyDescent="0.2">
      <c r="C224" s="117"/>
    </row>
    <row r="225" spans="3:3" hidden="1" x14ac:dyDescent="0.2">
      <c r="C225" s="117"/>
    </row>
    <row r="226" spans="3:3" x14ac:dyDescent="0.2">
      <c r="C226" s="117"/>
    </row>
  </sheetData>
  <mergeCells count="9">
    <mergeCell ref="B141:C141"/>
    <mergeCell ref="A14:C14"/>
    <mergeCell ref="B1:C1"/>
    <mergeCell ref="B27:C27"/>
    <mergeCell ref="B40:C40"/>
    <mergeCell ref="B84:C84"/>
    <mergeCell ref="B95:C95"/>
    <mergeCell ref="B124:C124"/>
    <mergeCell ref="B127:C127"/>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1265" r:id="rId3" name="Button 1">
              <controlPr defaultSize="0" print="0" autoFill="0" autoPict="0" macro="[22]!Лист29.PrintBlock">
                <anchor moveWithCells="1" sizeWithCells="1">
                  <from>
                    <xdr:col>3</xdr:col>
                    <xdr:colOff>0</xdr:colOff>
                    <xdr:row>0</xdr:row>
                    <xdr:rowOff>85725</xdr:rowOff>
                  </from>
                  <to>
                    <xdr:col>4</xdr:col>
                    <xdr:colOff>0</xdr:colOff>
                    <xdr:row>0</xdr:row>
                    <xdr:rowOff>238125</xdr:rowOff>
                  </to>
                </anchor>
              </controlPr>
            </control>
          </mc:Choice>
        </mc:AlternateContent>
        <mc:AlternateContent xmlns:mc="http://schemas.openxmlformats.org/markup-compatibility/2006">
          <mc:Choice Requires="x14">
            <control shapeId="11266" r:id="rId4" name="Button 2">
              <controlPr defaultSize="0" print="0" autoFill="0" autoPict="0" macro="[21]!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C2" sqref="C2"/>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20" t="s">
        <v>0</v>
      </c>
      <c r="C1" s="120"/>
    </row>
    <row r="2" spans="1:3" x14ac:dyDescent="0.2">
      <c r="A2" s="3"/>
      <c r="B2" s="4" t="s">
        <v>1</v>
      </c>
      <c r="C2" s="5">
        <v>45317</v>
      </c>
    </row>
    <row r="3" spans="1:3" x14ac:dyDescent="0.2">
      <c r="A3" s="3"/>
      <c r="B3" s="6" t="s">
        <v>2</v>
      </c>
    </row>
    <row r="4" spans="1:3" ht="25.5" x14ac:dyDescent="0.2">
      <c r="A4" s="8"/>
      <c r="B4" s="9" t="str">
        <f>[23]И1!D13</f>
        <v>Субъект Российской Федерации</v>
      </c>
      <c r="C4" s="10" t="str">
        <f>[23]И1!E13</f>
        <v>Новосибирская область</v>
      </c>
    </row>
    <row r="5" spans="1:3" ht="46.9" customHeight="1" x14ac:dyDescent="0.2">
      <c r="A5" s="8"/>
      <c r="B5" s="9" t="str">
        <f>[23]И1!D14</f>
        <v>Тип муниципального образования (выберите из списка)</v>
      </c>
      <c r="C5" s="10" t="str">
        <f>[23]И1!E14</f>
        <v>село Мышланка, Сузунский муниципальный район</v>
      </c>
    </row>
    <row r="6" spans="1:3" x14ac:dyDescent="0.2">
      <c r="A6" s="8"/>
      <c r="B6" s="9" t="str">
        <f>IF([23]И1!E15="","",[23]И1!D15)</f>
        <v/>
      </c>
      <c r="C6" s="10" t="str">
        <f>IF([23]И1!E15="","",[23]И1!E15)</f>
        <v/>
      </c>
    </row>
    <row r="7" spans="1:3" x14ac:dyDescent="0.2">
      <c r="A7" s="8"/>
      <c r="B7" s="9" t="str">
        <f>[23]И1!D16</f>
        <v>Код ОКТМО</v>
      </c>
      <c r="C7" s="11" t="str">
        <f>[23]И1!E16</f>
        <v xml:space="preserve"> (50648432101)</v>
      </c>
    </row>
    <row r="8" spans="1:3" x14ac:dyDescent="0.2">
      <c r="A8" s="8"/>
      <c r="B8" s="12" t="str">
        <f>[23]И1!D17</f>
        <v>Система теплоснабжения</v>
      </c>
      <c r="C8" s="13">
        <f>[23]И1!E17</f>
        <v>0</v>
      </c>
    </row>
    <row r="9" spans="1:3" x14ac:dyDescent="0.2">
      <c r="A9" s="8"/>
      <c r="B9" s="9" t="str">
        <f>[23]И1!D8</f>
        <v>Период регулирования (i)-й</v>
      </c>
      <c r="C9" s="14">
        <f>[23]И1!E8</f>
        <v>2024</v>
      </c>
    </row>
    <row r="10" spans="1:3" x14ac:dyDescent="0.2">
      <c r="A10" s="8"/>
      <c r="B10" s="9" t="str">
        <f>[23]И1!D9</f>
        <v>Период регулирования (i-1)-й</v>
      </c>
      <c r="C10" s="14">
        <f>[23]И1!E9</f>
        <v>2023</v>
      </c>
    </row>
    <row r="11" spans="1:3" x14ac:dyDescent="0.2">
      <c r="A11" s="8"/>
      <c r="B11" s="9" t="str">
        <f>[23]И1!D10</f>
        <v>Период регулирования (i-2)-й</v>
      </c>
      <c r="C11" s="14">
        <f>[23]И1!E10</f>
        <v>2022</v>
      </c>
    </row>
    <row r="12" spans="1:3" x14ac:dyDescent="0.2">
      <c r="A12" s="8"/>
      <c r="B12" s="9" t="str">
        <f>[23]И1!D11</f>
        <v>Базовый год (б)</v>
      </c>
      <c r="C12" s="14">
        <f>[23]И1!E11</f>
        <v>2019</v>
      </c>
    </row>
    <row r="13" spans="1:3" ht="38.25" x14ac:dyDescent="0.2">
      <c r="A13" s="8"/>
      <c r="B13" s="9" t="str">
        <f>[23]И1!D18</f>
        <v>Вид топлива, использование которого преобладает в системе теплоснабжения</v>
      </c>
      <c r="C13" s="15" t="str">
        <f>[23]С1.1!E13</f>
        <v>уголь (вид угля не указан в топливном балансе)</v>
      </c>
    </row>
    <row r="14" spans="1:3" ht="31.7" customHeight="1" thickBot="1" x14ac:dyDescent="0.25">
      <c r="A14" s="119" t="s">
        <v>3</v>
      </c>
      <c r="B14" s="119"/>
      <c r="C14" s="119"/>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3440.3515055046614</v>
      </c>
    </row>
    <row r="18" spans="1:3" ht="42.75" x14ac:dyDescent="0.2">
      <c r="A18" s="22" t="s">
        <v>8</v>
      </c>
      <c r="B18" s="25" t="s">
        <v>9</v>
      </c>
      <c r="C18" s="26">
        <f>[23]С1!F12</f>
        <v>482.65169194598138</v>
      </c>
    </row>
    <row r="19" spans="1:3" ht="42.75" x14ac:dyDescent="0.2">
      <c r="A19" s="22" t="s">
        <v>10</v>
      </c>
      <c r="B19" s="25" t="s">
        <v>11</v>
      </c>
      <c r="C19" s="26">
        <f>[23]С2!F12</f>
        <v>1990.8616285605142</v>
      </c>
    </row>
    <row r="20" spans="1:3" ht="30" x14ac:dyDescent="0.2">
      <c r="A20" s="22" t="s">
        <v>12</v>
      </c>
      <c r="B20" s="25" t="s">
        <v>13</v>
      </c>
      <c r="C20" s="26">
        <f>[23]С3!F12</f>
        <v>473.18998182045129</v>
      </c>
    </row>
    <row r="21" spans="1:3" ht="42.75" x14ac:dyDescent="0.2">
      <c r="A21" s="22" t="s">
        <v>14</v>
      </c>
      <c r="B21" s="25" t="s">
        <v>15</v>
      </c>
      <c r="C21" s="26">
        <f>[23]С4!F12</f>
        <v>426.19033052076003</v>
      </c>
    </row>
    <row r="22" spans="1:3" ht="30" x14ac:dyDescent="0.2">
      <c r="A22" s="22" t="s">
        <v>16</v>
      </c>
      <c r="B22" s="25" t="s">
        <v>17</v>
      </c>
      <c r="C22" s="26">
        <f>[23]С5!F12</f>
        <v>67.457872656954137</v>
      </c>
    </row>
    <row r="23" spans="1:3" ht="43.5" thickBot="1" x14ac:dyDescent="0.25">
      <c r="A23" s="27" t="s">
        <v>18</v>
      </c>
      <c r="B23" s="105" t="s">
        <v>19</v>
      </c>
      <c r="C23" s="28" t="str">
        <f>[23]С6!F12</f>
        <v>-</v>
      </c>
    </row>
    <row r="24" spans="1:3" ht="13.5" thickBot="1" x14ac:dyDescent="0.25">
      <c r="A24" s="3"/>
    </row>
    <row r="25" spans="1:3" x14ac:dyDescent="0.2">
      <c r="A25" s="16" t="s">
        <v>4</v>
      </c>
      <c r="B25" s="29" t="s">
        <v>5</v>
      </c>
      <c r="C25" s="30" t="s">
        <v>6</v>
      </c>
    </row>
    <row r="26" spans="1:3" x14ac:dyDescent="0.2">
      <c r="A26" s="19">
        <v>1</v>
      </c>
      <c r="B26" s="31">
        <v>2</v>
      </c>
      <c r="C26" s="32">
        <v>3</v>
      </c>
    </row>
    <row r="27" spans="1:3" ht="30" customHeight="1" x14ac:dyDescent="0.2">
      <c r="A27" s="22">
        <v>1</v>
      </c>
      <c r="B27" s="121" t="s">
        <v>20</v>
      </c>
      <c r="C27" s="121"/>
    </row>
    <row r="28" spans="1:3" x14ac:dyDescent="0.2">
      <c r="A28" s="22" t="s">
        <v>8</v>
      </c>
      <c r="B28" s="33" t="s">
        <v>21</v>
      </c>
      <c r="C28" s="34">
        <f>[23]С1.1!E16</f>
        <v>5100</v>
      </c>
    </row>
    <row r="29" spans="1:3" ht="42.75" x14ac:dyDescent="0.2">
      <c r="A29" s="22" t="s">
        <v>10</v>
      </c>
      <c r="B29" s="33" t="s">
        <v>22</v>
      </c>
      <c r="C29" s="34">
        <f>[23]С1.1!E27</f>
        <v>2168.5750000000003</v>
      </c>
    </row>
    <row r="30" spans="1:3" ht="17.25" x14ac:dyDescent="0.2">
      <c r="A30" s="22" t="s">
        <v>12</v>
      </c>
      <c r="B30" s="33" t="s">
        <v>23</v>
      </c>
      <c r="C30" s="35">
        <f>[23]С1.1!E19</f>
        <v>-0.19900000000000001</v>
      </c>
    </row>
    <row r="31" spans="1:3" ht="17.25" x14ac:dyDescent="0.2">
      <c r="A31" s="22" t="s">
        <v>14</v>
      </c>
      <c r="B31" s="33" t="s">
        <v>24</v>
      </c>
      <c r="C31" s="35">
        <f>[23]С1.1!E20</f>
        <v>5.7000000000000002E-2</v>
      </c>
    </row>
    <row r="32" spans="1:3" ht="30" x14ac:dyDescent="0.2">
      <c r="A32" s="22" t="s">
        <v>16</v>
      </c>
      <c r="B32" s="36" t="s">
        <v>25</v>
      </c>
      <c r="C32" s="37">
        <f>[23]С1!F13</f>
        <v>176.4</v>
      </c>
    </row>
    <row r="33" spans="1:3" x14ac:dyDescent="0.2">
      <c r="A33" s="22" t="s">
        <v>18</v>
      </c>
      <c r="B33" s="36" t="s">
        <v>26</v>
      </c>
      <c r="C33" s="38">
        <f>[23]С1!F16</f>
        <v>7000</v>
      </c>
    </row>
    <row r="34" spans="1:3" ht="14.25" x14ac:dyDescent="0.2">
      <c r="A34" s="22" t="s">
        <v>27</v>
      </c>
      <c r="B34" s="39" t="s">
        <v>28</v>
      </c>
      <c r="C34" s="40">
        <f>[23]С1!F17</f>
        <v>0.72857142857142854</v>
      </c>
    </row>
    <row r="35" spans="1:3" ht="15.75" x14ac:dyDescent="0.2">
      <c r="A35" s="41" t="s">
        <v>29</v>
      </c>
      <c r="B35" s="42" t="s">
        <v>30</v>
      </c>
      <c r="C35" s="40">
        <f>[23]С1!F20</f>
        <v>21.588411179999994</v>
      </c>
    </row>
    <row r="36" spans="1:3" ht="15.75" x14ac:dyDescent="0.2">
      <c r="A36" s="41" t="s">
        <v>31</v>
      </c>
      <c r="B36" s="43" t="s">
        <v>32</v>
      </c>
      <c r="C36" s="40">
        <f>[23]С1!F21</f>
        <v>20.818139999999996</v>
      </c>
    </row>
    <row r="37" spans="1:3" ht="14.25" x14ac:dyDescent="0.2">
      <c r="A37" s="41" t="s">
        <v>33</v>
      </c>
      <c r="B37" s="44" t="s">
        <v>34</v>
      </c>
      <c r="C37" s="40">
        <f>[23]С1!F22</f>
        <v>1.0369999999999999</v>
      </c>
    </row>
    <row r="38" spans="1:3" ht="53.25" thickBot="1" x14ac:dyDescent="0.25">
      <c r="A38" s="27" t="s">
        <v>35</v>
      </c>
      <c r="B38" s="45" t="s">
        <v>36</v>
      </c>
      <c r="C38" s="46">
        <f>[23]С1!F23</f>
        <v>1.0469999999999999</v>
      </c>
    </row>
    <row r="39" spans="1:3" ht="13.5" thickBot="1" x14ac:dyDescent="0.25">
      <c r="A39" s="47"/>
      <c r="B39" s="48"/>
      <c r="C39" s="49"/>
    </row>
    <row r="40" spans="1:3" ht="30" customHeight="1" x14ac:dyDescent="0.2">
      <c r="A40" s="50" t="s">
        <v>37</v>
      </c>
      <c r="B40" s="122" t="s">
        <v>38</v>
      </c>
      <c r="C40" s="122"/>
    </row>
    <row r="41" spans="1:3" ht="25.5" x14ac:dyDescent="0.2">
      <c r="A41" s="22" t="s">
        <v>39</v>
      </c>
      <c r="B41" s="36" t="s">
        <v>40</v>
      </c>
      <c r="C41" s="51" t="str">
        <f>[23]С2.1!E12</f>
        <v>V</v>
      </c>
    </row>
    <row r="42" spans="1:3" ht="25.5" x14ac:dyDescent="0.2">
      <c r="A42" s="22" t="s">
        <v>41</v>
      </c>
      <c r="B42" s="33" t="s">
        <v>42</v>
      </c>
      <c r="C42" s="51" t="str">
        <f>[23]С2.1!E13</f>
        <v>6 и менее баллов</v>
      </c>
    </row>
    <row r="43" spans="1:3" ht="25.5" x14ac:dyDescent="0.2">
      <c r="A43" s="22" t="s">
        <v>43</v>
      </c>
      <c r="B43" s="33" t="s">
        <v>44</v>
      </c>
      <c r="C43" s="51" t="str">
        <f>[23]С2.1!E14</f>
        <v>от 200 до 500</v>
      </c>
    </row>
    <row r="44" spans="1:3" ht="25.5" x14ac:dyDescent="0.2">
      <c r="A44" s="22" t="s">
        <v>45</v>
      </c>
      <c r="B44" s="33" t="s">
        <v>46</v>
      </c>
      <c r="C44" s="52" t="str">
        <f>[23]С2.1!E15</f>
        <v>нет</v>
      </c>
    </row>
    <row r="45" spans="1:3" ht="30" x14ac:dyDescent="0.2">
      <c r="A45" s="22" t="s">
        <v>47</v>
      </c>
      <c r="B45" s="33" t="s">
        <v>48</v>
      </c>
      <c r="C45" s="34">
        <f>[23]С2!F18</f>
        <v>35106.652004551666</v>
      </c>
    </row>
    <row r="46" spans="1:3" ht="30" x14ac:dyDescent="0.2">
      <c r="A46" s="22" t="s">
        <v>49</v>
      </c>
      <c r="B46" s="53" t="s">
        <v>50</v>
      </c>
      <c r="C46" s="34">
        <f>IF([23]С2!F19&gt;0,[23]С2!F19,[23]С2!F20)</f>
        <v>23441.524932855718</v>
      </c>
    </row>
    <row r="47" spans="1:3" ht="25.5" x14ac:dyDescent="0.2">
      <c r="A47" s="22" t="s">
        <v>51</v>
      </c>
      <c r="B47" s="54" t="s">
        <v>52</v>
      </c>
      <c r="C47" s="34">
        <f>[23]С2.1!E19</f>
        <v>-38</v>
      </c>
    </row>
    <row r="48" spans="1:3" ht="25.5" x14ac:dyDescent="0.2">
      <c r="A48" s="22" t="s">
        <v>53</v>
      </c>
      <c r="B48" s="54" t="s">
        <v>54</v>
      </c>
      <c r="C48" s="34" t="str">
        <f>[23]С2.1!E22</f>
        <v>нет</v>
      </c>
    </row>
    <row r="49" spans="1:3" ht="38.25" x14ac:dyDescent="0.2">
      <c r="A49" s="22" t="s">
        <v>55</v>
      </c>
      <c r="B49" s="55" t="s">
        <v>56</v>
      </c>
      <c r="C49" s="34">
        <f>[23]С2.2!E10</f>
        <v>1287</v>
      </c>
    </row>
    <row r="50" spans="1:3" ht="25.5" x14ac:dyDescent="0.2">
      <c r="A50" s="22" t="s">
        <v>57</v>
      </c>
      <c r="B50" s="56" t="s">
        <v>58</v>
      </c>
      <c r="C50" s="34">
        <f>[23]С2.2!E12</f>
        <v>5.97</v>
      </c>
    </row>
    <row r="51" spans="1:3" ht="52.5" x14ac:dyDescent="0.2">
      <c r="A51" s="22" t="s">
        <v>59</v>
      </c>
      <c r="B51" s="57" t="s">
        <v>60</v>
      </c>
      <c r="C51" s="34">
        <f>[23]С2.2!E13</f>
        <v>1</v>
      </c>
    </row>
    <row r="52" spans="1:3" ht="27.75" x14ac:dyDescent="0.2">
      <c r="A52" s="22" t="s">
        <v>61</v>
      </c>
      <c r="B52" s="56" t="s">
        <v>62</v>
      </c>
      <c r="C52" s="34">
        <f>[23]С2.2!E14</f>
        <v>12104</v>
      </c>
    </row>
    <row r="53" spans="1:3" ht="25.5" x14ac:dyDescent="0.2">
      <c r="A53" s="22" t="s">
        <v>63</v>
      </c>
      <c r="B53" s="57" t="s">
        <v>64</v>
      </c>
      <c r="C53" s="35">
        <f>[23]С2.2!E15</f>
        <v>4.8000000000000001E-2</v>
      </c>
    </row>
    <row r="54" spans="1:3" x14ac:dyDescent="0.2">
      <c r="A54" s="22" t="s">
        <v>65</v>
      </c>
      <c r="B54" s="57" t="s">
        <v>66</v>
      </c>
      <c r="C54" s="34">
        <f>[23]С2.2!E16</f>
        <v>1</v>
      </c>
    </row>
    <row r="55" spans="1:3" ht="15.75" x14ac:dyDescent="0.2">
      <c r="A55" s="22" t="s">
        <v>67</v>
      </c>
      <c r="B55" s="58" t="s">
        <v>68</v>
      </c>
      <c r="C55" s="34">
        <f>[23]С2!F21</f>
        <v>1</v>
      </c>
    </row>
    <row r="56" spans="1:3" ht="30" x14ac:dyDescent="0.2">
      <c r="A56" s="59" t="s">
        <v>69</v>
      </c>
      <c r="B56" s="33" t="s">
        <v>70</v>
      </c>
      <c r="C56" s="34">
        <f>[23]С2!F13</f>
        <v>183796.83936385796</v>
      </c>
    </row>
    <row r="57" spans="1:3" ht="30" x14ac:dyDescent="0.2">
      <c r="A57" s="59" t="s">
        <v>71</v>
      </c>
      <c r="B57" s="58" t="s">
        <v>72</v>
      </c>
      <c r="C57" s="34">
        <f>[23]С2!F14</f>
        <v>113455</v>
      </c>
    </row>
    <row r="58" spans="1:3" ht="15.75" x14ac:dyDescent="0.2">
      <c r="A58" s="59" t="s">
        <v>73</v>
      </c>
      <c r="B58" s="60" t="s">
        <v>74</v>
      </c>
      <c r="C58" s="40">
        <f>[23]С2!F15</f>
        <v>1.071</v>
      </c>
    </row>
    <row r="59" spans="1:3" ht="15.75" x14ac:dyDescent="0.2">
      <c r="A59" s="59" t="s">
        <v>75</v>
      </c>
      <c r="B59" s="60" t="s">
        <v>76</v>
      </c>
      <c r="C59" s="40">
        <f>[23]С2!F16</f>
        <v>1</v>
      </c>
    </row>
    <row r="60" spans="1:3" ht="17.25" x14ac:dyDescent="0.2">
      <c r="A60" s="59" t="s">
        <v>77</v>
      </c>
      <c r="B60" s="58" t="s">
        <v>78</v>
      </c>
      <c r="C60" s="34">
        <f>[23]С2!F17</f>
        <v>1.01</v>
      </c>
    </row>
    <row r="61" spans="1:3" s="63" customFormat="1" ht="14.25" x14ac:dyDescent="0.2">
      <c r="A61" s="59" t="s">
        <v>79</v>
      </c>
      <c r="B61" s="61" t="s">
        <v>80</v>
      </c>
      <c r="C61" s="62">
        <f>[23]С2!F33</f>
        <v>10</v>
      </c>
    </row>
    <row r="62" spans="1:3" ht="30" x14ac:dyDescent="0.2">
      <c r="A62" s="59" t="s">
        <v>81</v>
      </c>
      <c r="B62" s="64" t="s">
        <v>82</v>
      </c>
      <c r="C62" s="34">
        <f>[23]С2!F26</f>
        <v>1543.3634896839897</v>
      </c>
    </row>
    <row r="63" spans="1:3" ht="17.25" x14ac:dyDescent="0.2">
      <c r="A63" s="59" t="s">
        <v>83</v>
      </c>
      <c r="B63" s="53" t="s">
        <v>84</v>
      </c>
      <c r="C63" s="34">
        <f>[23]С2!F27</f>
        <v>0.24536656199999998</v>
      </c>
    </row>
    <row r="64" spans="1:3" ht="17.25" x14ac:dyDescent="0.2">
      <c r="A64" s="59" t="s">
        <v>85</v>
      </c>
      <c r="B64" s="58" t="s">
        <v>86</v>
      </c>
      <c r="C64" s="62">
        <f>[23]С2!F28</f>
        <v>4200</v>
      </c>
    </row>
    <row r="65" spans="1:3" ht="42.75" x14ac:dyDescent="0.2">
      <c r="A65" s="59" t="s">
        <v>87</v>
      </c>
      <c r="B65" s="33" t="s">
        <v>88</v>
      </c>
      <c r="C65" s="34">
        <f>[23]С2!F22</f>
        <v>38698.422798410109</v>
      </c>
    </row>
    <row r="66" spans="1:3" ht="30" x14ac:dyDescent="0.2">
      <c r="A66" s="59" t="s">
        <v>89</v>
      </c>
      <c r="B66" s="60" t="s">
        <v>90</v>
      </c>
      <c r="C66" s="34">
        <f>[23]С2!F23</f>
        <v>1990</v>
      </c>
    </row>
    <row r="67" spans="1:3" ht="30" x14ac:dyDescent="0.2">
      <c r="A67" s="59" t="s">
        <v>91</v>
      </c>
      <c r="B67" s="53" t="s">
        <v>92</v>
      </c>
      <c r="C67" s="34">
        <f>[23]С2.1!E27</f>
        <v>14307.876789999998</v>
      </c>
    </row>
    <row r="68" spans="1:3" ht="38.25" x14ac:dyDescent="0.2">
      <c r="A68" s="59" t="s">
        <v>93</v>
      </c>
      <c r="B68" s="65" t="s">
        <v>94</v>
      </c>
      <c r="C68" s="52">
        <f>[23]С2.3!E21</f>
        <v>0</v>
      </c>
    </row>
    <row r="69" spans="1:3" ht="25.5" x14ac:dyDescent="0.2">
      <c r="A69" s="59" t="s">
        <v>95</v>
      </c>
      <c r="B69" s="66" t="s">
        <v>96</v>
      </c>
      <c r="C69" s="67">
        <f>[23]С2.3!E11</f>
        <v>9.89</v>
      </c>
    </row>
    <row r="70" spans="1:3" ht="25.5" x14ac:dyDescent="0.2">
      <c r="A70" s="59" t="s">
        <v>97</v>
      </c>
      <c r="B70" s="66" t="s">
        <v>98</v>
      </c>
      <c r="C70" s="62">
        <f>[23]С2.3!E13</f>
        <v>300</v>
      </c>
    </row>
    <row r="71" spans="1:3" ht="25.5" x14ac:dyDescent="0.2">
      <c r="A71" s="59" t="s">
        <v>99</v>
      </c>
      <c r="B71" s="65" t="s">
        <v>100</v>
      </c>
      <c r="C71" s="68">
        <f>IF([23]С2.3!E22&gt;0,[23]С2.3!E22,[23]С2.3!E14)</f>
        <v>61211</v>
      </c>
    </row>
    <row r="72" spans="1:3" ht="38.25" x14ac:dyDescent="0.2">
      <c r="A72" s="59" t="s">
        <v>101</v>
      </c>
      <c r="B72" s="65" t="s">
        <v>102</v>
      </c>
      <c r="C72" s="68">
        <f>IF([23]С2.3!E23&gt;0,[23]С2.3!E23,[23]С2.3!E15)</f>
        <v>45675</v>
      </c>
    </row>
    <row r="73" spans="1:3" ht="30" x14ac:dyDescent="0.2">
      <c r="A73" s="59" t="s">
        <v>103</v>
      </c>
      <c r="B73" s="53" t="s">
        <v>104</v>
      </c>
      <c r="C73" s="34">
        <f>[23]С2.1!E28</f>
        <v>9541.9567200000001</v>
      </c>
    </row>
    <row r="74" spans="1:3" ht="38.25" x14ac:dyDescent="0.2">
      <c r="A74" s="59" t="s">
        <v>105</v>
      </c>
      <c r="B74" s="65" t="s">
        <v>106</v>
      </c>
      <c r="C74" s="52">
        <f>[23]С2.3!E25</f>
        <v>0</v>
      </c>
    </row>
    <row r="75" spans="1:3" ht="25.5" x14ac:dyDescent="0.2">
      <c r="A75" s="59" t="s">
        <v>107</v>
      </c>
      <c r="B75" s="66" t="s">
        <v>108</v>
      </c>
      <c r="C75" s="67">
        <f>[23]С2.3!E12</f>
        <v>0.56000000000000005</v>
      </c>
    </row>
    <row r="76" spans="1:3" ht="25.5" x14ac:dyDescent="0.2">
      <c r="A76" s="59" t="s">
        <v>109</v>
      </c>
      <c r="B76" s="66" t="s">
        <v>98</v>
      </c>
      <c r="C76" s="62">
        <f>[23]С2.3!E13</f>
        <v>300</v>
      </c>
    </row>
    <row r="77" spans="1:3" ht="25.5" x14ac:dyDescent="0.2">
      <c r="A77" s="59" t="s">
        <v>110</v>
      </c>
      <c r="B77" s="69" t="s">
        <v>111</v>
      </c>
      <c r="C77" s="68">
        <f>IF([23]С2.3!E26&gt;0,[23]С2.3!E26,[23]С2.3!E16)</f>
        <v>65637</v>
      </c>
    </row>
    <row r="78" spans="1:3" ht="38.25" x14ac:dyDescent="0.2">
      <c r="A78" s="59" t="s">
        <v>112</v>
      </c>
      <c r="B78" s="69" t="s">
        <v>113</v>
      </c>
      <c r="C78" s="68">
        <f>IF([23]С2.3!E27&gt;0,[23]С2.3!E27,[23]С2.3!E17)</f>
        <v>31684</v>
      </c>
    </row>
    <row r="79" spans="1:3" ht="17.25" x14ac:dyDescent="0.2">
      <c r="A79" s="59" t="s">
        <v>114</v>
      </c>
      <c r="B79" s="33" t="s">
        <v>115</v>
      </c>
      <c r="C79" s="35">
        <f>[23]С2!F29</f>
        <v>9.5962865259740182E-2</v>
      </c>
    </row>
    <row r="80" spans="1:3" ht="30" x14ac:dyDescent="0.2">
      <c r="A80" s="59" t="s">
        <v>116</v>
      </c>
      <c r="B80" s="53" t="s">
        <v>117</v>
      </c>
      <c r="C80" s="70">
        <f>[23]С2!F30</f>
        <v>8.4029304029304031E-2</v>
      </c>
    </row>
    <row r="81" spans="1:3" ht="17.25" x14ac:dyDescent="0.2">
      <c r="A81" s="59" t="s">
        <v>118</v>
      </c>
      <c r="B81" s="71" t="s">
        <v>119</v>
      </c>
      <c r="C81" s="35">
        <f>[23]С2!F31</f>
        <v>0.13880000000000001</v>
      </c>
    </row>
    <row r="82" spans="1:3" s="63" customFormat="1" ht="18" thickBot="1" x14ac:dyDescent="0.25">
      <c r="A82" s="72" t="s">
        <v>120</v>
      </c>
      <c r="B82" s="73" t="s">
        <v>121</v>
      </c>
      <c r="C82" s="74">
        <f>[23]С2!F32</f>
        <v>0.12640000000000001</v>
      </c>
    </row>
    <row r="83" spans="1:3" ht="13.5" thickBot="1" x14ac:dyDescent="0.25">
      <c r="A83" s="47"/>
      <c r="B83" s="75"/>
      <c r="C83" s="15"/>
    </row>
    <row r="84" spans="1:3" s="63" customFormat="1" ht="30" customHeight="1" x14ac:dyDescent="0.2">
      <c r="A84" s="76" t="s">
        <v>122</v>
      </c>
      <c r="B84" s="122" t="s">
        <v>123</v>
      </c>
      <c r="C84" s="122"/>
    </row>
    <row r="85" spans="1:3" s="63" customFormat="1" ht="30" x14ac:dyDescent="0.2">
      <c r="A85" s="77" t="s">
        <v>124</v>
      </c>
      <c r="B85" s="33" t="s">
        <v>125</v>
      </c>
      <c r="C85" s="34">
        <f>[23]С3!F14</f>
        <v>6068.1437898865324</v>
      </c>
    </row>
    <row r="86" spans="1:3" s="63" customFormat="1" ht="42.75" x14ac:dyDescent="0.2">
      <c r="A86" s="77" t="s">
        <v>126</v>
      </c>
      <c r="B86" s="53" t="s">
        <v>127</v>
      </c>
      <c r="C86" s="78">
        <f>[23]С3!F15</f>
        <v>0.2</v>
      </c>
    </row>
    <row r="87" spans="1:3" s="63" customFormat="1" ht="14.25" x14ac:dyDescent="0.2">
      <c r="A87" s="77" t="s">
        <v>128</v>
      </c>
      <c r="B87" s="79" t="s">
        <v>129</v>
      </c>
      <c r="C87" s="62">
        <f>[23]С3!F18</f>
        <v>15</v>
      </c>
    </row>
    <row r="88" spans="1:3" s="63" customFormat="1" ht="17.25" x14ac:dyDescent="0.2">
      <c r="A88" s="77" t="s">
        <v>130</v>
      </c>
      <c r="B88" s="33" t="s">
        <v>131</v>
      </c>
      <c r="C88" s="34">
        <f>[23]С3!F19</f>
        <v>3778.1614077800232</v>
      </c>
    </row>
    <row r="89" spans="1:3" s="63" customFormat="1" ht="55.5" x14ac:dyDescent="0.2">
      <c r="A89" s="77" t="s">
        <v>132</v>
      </c>
      <c r="B89" s="53" t="s">
        <v>133</v>
      </c>
      <c r="C89" s="80">
        <f>[23]С3!F20</f>
        <v>2.1999999999999999E-2</v>
      </c>
    </row>
    <row r="90" spans="1:3" s="63" customFormat="1" ht="14.25" x14ac:dyDescent="0.2">
      <c r="A90" s="77" t="s">
        <v>134</v>
      </c>
      <c r="B90" s="58" t="s">
        <v>80</v>
      </c>
      <c r="C90" s="62">
        <f>[23]С3!F21</f>
        <v>10</v>
      </c>
    </row>
    <row r="91" spans="1:3" s="63" customFormat="1" ht="17.25" x14ac:dyDescent="0.2">
      <c r="A91" s="77" t="s">
        <v>135</v>
      </c>
      <c r="B91" s="33" t="s">
        <v>136</v>
      </c>
      <c r="C91" s="34">
        <f>[23]С3!F22</f>
        <v>4.6300904690519689</v>
      </c>
    </row>
    <row r="92" spans="1:3" s="63" customFormat="1" ht="55.5" x14ac:dyDescent="0.2">
      <c r="A92" s="77" t="s">
        <v>137</v>
      </c>
      <c r="B92" s="53" t="s">
        <v>138</v>
      </c>
      <c r="C92" s="80">
        <f>[23]С3!F23</f>
        <v>3.0000000000000001E-3</v>
      </c>
    </row>
    <row r="93" spans="1:3" s="63" customFormat="1" ht="27.75" thickBot="1" x14ac:dyDescent="0.25">
      <c r="A93" s="81" t="s">
        <v>139</v>
      </c>
      <c r="B93" s="82" t="s">
        <v>140</v>
      </c>
      <c r="C93" s="83">
        <f>[23]С3!F24</f>
        <v>1543.3634896839897</v>
      </c>
    </row>
    <row r="94" spans="1:3" ht="13.5" thickBot="1" x14ac:dyDescent="0.25">
      <c r="A94" s="47"/>
      <c r="B94" s="75"/>
      <c r="C94" s="15"/>
    </row>
    <row r="95" spans="1:3" ht="30" customHeight="1" x14ac:dyDescent="0.2">
      <c r="A95" s="84" t="s">
        <v>141</v>
      </c>
      <c r="B95" s="122" t="s">
        <v>142</v>
      </c>
      <c r="C95" s="122"/>
    </row>
    <row r="96" spans="1:3" ht="30" x14ac:dyDescent="0.2">
      <c r="A96" s="59" t="s">
        <v>143</v>
      </c>
      <c r="B96" s="33" t="s">
        <v>144</v>
      </c>
      <c r="C96" s="34">
        <f>[23]С4!F16</f>
        <v>1652.5</v>
      </c>
    </row>
    <row r="97" spans="1:3" ht="30" x14ac:dyDescent="0.2">
      <c r="A97" s="59" t="s">
        <v>145</v>
      </c>
      <c r="B97" s="58" t="s">
        <v>146</v>
      </c>
      <c r="C97" s="34">
        <f>[23]С4!F17</f>
        <v>73547</v>
      </c>
    </row>
    <row r="98" spans="1:3" ht="17.25" x14ac:dyDescent="0.2">
      <c r="A98" s="59" t="s">
        <v>147</v>
      </c>
      <c r="B98" s="58" t="s">
        <v>148</v>
      </c>
      <c r="C98" s="40">
        <f>[23]С4!F18</f>
        <v>0.02</v>
      </c>
    </row>
    <row r="99" spans="1:3" ht="30" x14ac:dyDescent="0.2">
      <c r="A99" s="59" t="s">
        <v>149</v>
      </c>
      <c r="B99" s="58" t="s">
        <v>150</v>
      </c>
      <c r="C99" s="34">
        <f>[23]С4!F19</f>
        <v>12104</v>
      </c>
    </row>
    <row r="100" spans="1:3" ht="31.5" x14ac:dyDescent="0.2">
      <c r="A100" s="59" t="s">
        <v>151</v>
      </c>
      <c r="B100" s="58" t="s">
        <v>152</v>
      </c>
      <c r="C100" s="40">
        <f>[23]С4!F20</f>
        <v>1.4999999999999999E-2</v>
      </c>
    </row>
    <row r="101" spans="1:3" ht="30" x14ac:dyDescent="0.2">
      <c r="A101" s="59" t="s">
        <v>153</v>
      </c>
      <c r="B101" s="33" t="s">
        <v>154</v>
      </c>
      <c r="C101" s="34">
        <f>[23]С4!F21</f>
        <v>1933.1949342509995</v>
      </c>
    </row>
    <row r="102" spans="1:3" ht="24" customHeight="1" x14ac:dyDescent="0.2">
      <c r="A102" s="59" t="s">
        <v>155</v>
      </c>
      <c r="B102" s="53" t="s">
        <v>156</v>
      </c>
      <c r="C102" s="85">
        <f>IF([23]С4.2!F8="да",[23]С4.2!D21,[23]С4.2!D15)</f>
        <v>0</v>
      </c>
    </row>
    <row r="103" spans="1:3" ht="68.25" x14ac:dyDescent="0.2">
      <c r="A103" s="59" t="s">
        <v>157</v>
      </c>
      <c r="B103" s="53" t="s">
        <v>158</v>
      </c>
      <c r="C103" s="34">
        <f>[23]С4!F22</f>
        <v>3.6112641666666665</v>
      </c>
    </row>
    <row r="104" spans="1:3" ht="30" x14ac:dyDescent="0.2">
      <c r="A104" s="59" t="s">
        <v>159</v>
      </c>
      <c r="B104" s="58" t="s">
        <v>160</v>
      </c>
      <c r="C104" s="34">
        <f>[23]С4!F23</f>
        <v>180</v>
      </c>
    </row>
    <row r="105" spans="1:3" ht="14.25" x14ac:dyDescent="0.2">
      <c r="A105" s="59" t="s">
        <v>161</v>
      </c>
      <c r="B105" s="53" t="s">
        <v>162</v>
      </c>
      <c r="C105" s="34">
        <f>[23]С4!F24</f>
        <v>8497.1999999999989</v>
      </c>
    </row>
    <row r="106" spans="1:3" ht="14.25" x14ac:dyDescent="0.2">
      <c r="A106" s="59" t="s">
        <v>163</v>
      </c>
      <c r="B106" s="58" t="s">
        <v>164</v>
      </c>
      <c r="C106" s="40">
        <f>[23]С4!F25</f>
        <v>0.35</v>
      </c>
    </row>
    <row r="107" spans="1:3" ht="17.25" x14ac:dyDescent="0.2">
      <c r="A107" s="59" t="s">
        <v>165</v>
      </c>
      <c r="B107" s="33" t="s">
        <v>166</v>
      </c>
      <c r="C107" s="34">
        <f>[23]С4!F26</f>
        <v>85.988129999999998</v>
      </c>
    </row>
    <row r="108" spans="1:3" ht="25.5" x14ac:dyDescent="0.2">
      <c r="A108" s="59" t="s">
        <v>167</v>
      </c>
      <c r="B108" s="53" t="s">
        <v>94</v>
      </c>
      <c r="C108" s="85">
        <f>[23]С4.3!E16</f>
        <v>0</v>
      </c>
    </row>
    <row r="109" spans="1:3" ht="25.5" x14ac:dyDescent="0.2">
      <c r="A109" s="59" t="s">
        <v>168</v>
      </c>
      <c r="B109" s="53" t="s">
        <v>169</v>
      </c>
      <c r="C109" s="34">
        <f>[23]С4.3!E17</f>
        <v>20.350000000000001</v>
      </c>
    </row>
    <row r="110" spans="1:3" ht="38.25" x14ac:dyDescent="0.2">
      <c r="A110" s="59" t="s">
        <v>170</v>
      </c>
      <c r="B110" s="53" t="s">
        <v>106</v>
      </c>
      <c r="C110" s="85">
        <f>[23]С4.3!E18</f>
        <v>0</v>
      </c>
    </row>
    <row r="111" spans="1:3" x14ac:dyDescent="0.2">
      <c r="A111" s="59" t="s">
        <v>171</v>
      </c>
      <c r="B111" s="53" t="s">
        <v>172</v>
      </c>
      <c r="C111" s="34">
        <f>[23]С4.3!E19</f>
        <v>71.67</v>
      </c>
    </row>
    <row r="112" spans="1:3" x14ac:dyDescent="0.2">
      <c r="A112" s="59" t="s">
        <v>173</v>
      </c>
      <c r="B112" s="58" t="s">
        <v>174</v>
      </c>
      <c r="C112" s="34">
        <f>[23]С4.3!E11</f>
        <v>1871</v>
      </c>
    </row>
    <row r="113" spans="1:3" x14ac:dyDescent="0.2">
      <c r="A113" s="59" t="s">
        <v>175</v>
      </c>
      <c r="B113" s="58" t="s">
        <v>176</v>
      </c>
      <c r="C113" s="52">
        <f>[23]С4.3!E12</f>
        <v>1636</v>
      </c>
    </row>
    <row r="114" spans="1:3" x14ac:dyDescent="0.2">
      <c r="A114" s="59" t="s">
        <v>177</v>
      </c>
      <c r="B114" s="58" t="s">
        <v>178</v>
      </c>
      <c r="C114" s="52">
        <f>[23]С4.3!E13</f>
        <v>204</v>
      </c>
    </row>
    <row r="115" spans="1:3" ht="30" x14ac:dyDescent="0.2">
      <c r="A115" s="59" t="s">
        <v>179</v>
      </c>
      <c r="B115" s="33" t="s">
        <v>180</v>
      </c>
      <c r="C115" s="34">
        <f>[23]С4!F27</f>
        <v>1291.2863994686898</v>
      </c>
    </row>
    <row r="116" spans="1:3" ht="25.5" x14ac:dyDescent="0.2">
      <c r="A116" s="59" t="s">
        <v>181</v>
      </c>
      <c r="B116" s="53" t="s">
        <v>182</v>
      </c>
      <c r="C116" s="34">
        <f>[23]С4!F28</f>
        <v>991.77142816335618</v>
      </c>
    </row>
    <row r="117" spans="1:3" ht="42.75" x14ac:dyDescent="0.2">
      <c r="A117" s="59" t="s">
        <v>183</v>
      </c>
      <c r="B117" s="53" t="s">
        <v>184</v>
      </c>
      <c r="C117" s="34">
        <f>[23]С4!F29</f>
        <v>299.51497130533357</v>
      </c>
    </row>
    <row r="118" spans="1:3" ht="30" x14ac:dyDescent="0.2">
      <c r="A118" s="59" t="s">
        <v>185</v>
      </c>
      <c r="B118" s="39" t="s">
        <v>186</v>
      </c>
      <c r="C118" s="34">
        <f>[23]С4!F30</f>
        <v>1439.81473102175</v>
      </c>
    </row>
    <row r="119" spans="1:3" ht="42.75" x14ac:dyDescent="0.2">
      <c r="A119" s="59" t="s">
        <v>187</v>
      </c>
      <c r="B119" s="86" t="s">
        <v>188</v>
      </c>
      <c r="C119" s="34">
        <f>[23]С4!F33</f>
        <v>720.39441559178169</v>
      </c>
    </row>
    <row r="120" spans="1:3" ht="30" x14ac:dyDescent="0.2">
      <c r="A120" s="59" t="s">
        <v>189</v>
      </c>
      <c r="B120" s="87" t="s">
        <v>190</v>
      </c>
      <c r="C120" s="34">
        <f>[23]С4!F35</f>
        <v>17.040680999999999</v>
      </c>
    </row>
    <row r="121" spans="1:3" ht="14.25" x14ac:dyDescent="0.2">
      <c r="A121" s="59" t="s">
        <v>191</v>
      </c>
      <c r="B121" s="56" t="s">
        <v>192</v>
      </c>
      <c r="C121" s="34">
        <f>[23]С4!F36</f>
        <v>14319.9</v>
      </c>
    </row>
    <row r="122" spans="1:3" ht="28.5" thickBot="1" x14ac:dyDescent="0.25">
      <c r="A122" s="72" t="s">
        <v>193</v>
      </c>
      <c r="B122" s="88" t="s">
        <v>194</v>
      </c>
      <c r="C122" s="83">
        <f>[23]С4!F37</f>
        <v>1.19</v>
      </c>
    </row>
    <row r="123" spans="1:3" s="89" customFormat="1" ht="13.5" thickBot="1" x14ac:dyDescent="0.25">
      <c r="A123" s="47"/>
      <c r="B123" s="75"/>
      <c r="C123" s="15"/>
    </row>
    <row r="124" spans="1:3" s="63" customFormat="1" ht="30" customHeight="1" x14ac:dyDescent="0.2">
      <c r="A124" s="76" t="s">
        <v>195</v>
      </c>
      <c r="B124" s="122" t="s">
        <v>196</v>
      </c>
      <c r="C124" s="122"/>
    </row>
    <row r="125" spans="1:3" ht="16.5" thickBot="1" x14ac:dyDescent="0.25">
      <c r="A125" s="27" t="s">
        <v>197</v>
      </c>
      <c r="B125" s="90" t="s">
        <v>198</v>
      </c>
      <c r="C125" s="83">
        <f>[23]С5!F17</f>
        <v>0.02</v>
      </c>
    </row>
    <row r="126" spans="1:3" s="89" customFormat="1" ht="13.5" thickBot="1" x14ac:dyDescent="0.25">
      <c r="A126" s="47"/>
      <c r="B126" s="75"/>
      <c r="C126" s="15"/>
    </row>
    <row r="127" spans="1:3" ht="42.75" customHeight="1" x14ac:dyDescent="0.2">
      <c r="A127" s="84" t="s">
        <v>199</v>
      </c>
      <c r="B127" s="123" t="s">
        <v>200</v>
      </c>
      <c r="C127" s="123"/>
    </row>
    <row r="128" spans="1:3" ht="68.25" x14ac:dyDescent="0.2">
      <c r="A128" s="59" t="s">
        <v>201</v>
      </c>
      <c r="B128" s="91" t="s">
        <v>202</v>
      </c>
      <c r="C128" s="34" t="s">
        <v>203</v>
      </c>
    </row>
    <row r="129" spans="1:4" ht="42.75" hidden="1" x14ac:dyDescent="0.2">
      <c r="A129" s="59" t="s">
        <v>204</v>
      </c>
      <c r="B129" s="86" t="s">
        <v>205</v>
      </c>
      <c r="C129" s="92"/>
    </row>
    <row r="130" spans="1:4" ht="69" thickBot="1" x14ac:dyDescent="0.25">
      <c r="A130" s="72" t="s">
        <v>206</v>
      </c>
      <c r="B130" s="93" t="s">
        <v>207</v>
      </c>
      <c r="C130" s="94" t="s">
        <v>203</v>
      </c>
    </row>
    <row r="131" spans="1:4" ht="62.25" hidden="1" customHeight="1" x14ac:dyDescent="0.2">
      <c r="A131" s="95" t="s">
        <v>208</v>
      </c>
      <c r="B131" s="96" t="s">
        <v>209</v>
      </c>
      <c r="C131" s="97"/>
    </row>
    <row r="132" spans="1:4" ht="68.25" hidden="1" x14ac:dyDescent="0.2">
      <c r="A132" s="59" t="s">
        <v>210</v>
      </c>
      <c r="B132" s="86" t="s">
        <v>211</v>
      </c>
      <c r="C132" s="35"/>
    </row>
    <row r="133" spans="1:4" ht="69" hidden="1" thickBot="1" x14ac:dyDescent="0.25">
      <c r="A133" s="72" t="s">
        <v>212</v>
      </c>
      <c r="B133" s="98" t="s">
        <v>213</v>
      </c>
      <c r="C133" s="74"/>
    </row>
    <row r="134" spans="1:4" s="89" customFormat="1" ht="13.5" thickBot="1" x14ac:dyDescent="0.25">
      <c r="A134" s="47"/>
      <c r="B134" s="75"/>
      <c r="C134" s="15"/>
    </row>
    <row r="135" spans="1:4" ht="26.25" customHeight="1" x14ac:dyDescent="0.2">
      <c r="A135" s="84" t="s">
        <v>214</v>
      </c>
      <c r="B135" s="99" t="s">
        <v>215</v>
      </c>
      <c r="C135" s="100">
        <f>[23]С2!F37</f>
        <v>20.818139999999996</v>
      </c>
    </row>
    <row r="136" spans="1:4" ht="14.25" x14ac:dyDescent="0.2">
      <c r="A136" s="59" t="s">
        <v>216</v>
      </c>
      <c r="B136" s="101" t="s">
        <v>217</v>
      </c>
      <c r="C136" s="34">
        <f>[23]С2!F38</f>
        <v>7</v>
      </c>
    </row>
    <row r="137" spans="1:4" ht="17.25" x14ac:dyDescent="0.2">
      <c r="A137" s="59" t="s">
        <v>218</v>
      </c>
      <c r="B137" s="101" t="s">
        <v>219</v>
      </c>
      <c r="C137" s="34">
        <f>[23]С2!F40</f>
        <v>0.97</v>
      </c>
    </row>
    <row r="138" spans="1:4" ht="15" thickBot="1" x14ac:dyDescent="0.25">
      <c r="A138" s="72" t="s">
        <v>220</v>
      </c>
      <c r="B138" s="102" t="s">
        <v>221</v>
      </c>
      <c r="C138" s="46">
        <f>[23]С2!F42</f>
        <v>0.35</v>
      </c>
    </row>
    <row r="139" spans="1:4" s="89" customFormat="1" ht="13.5" thickBot="1" x14ac:dyDescent="0.25">
      <c r="A139" s="47"/>
      <c r="B139" s="75"/>
      <c r="C139" s="15"/>
    </row>
    <row r="140" spans="1:4" ht="30" x14ac:dyDescent="0.2">
      <c r="A140" s="84" t="s">
        <v>222</v>
      </c>
      <c r="B140" s="103" t="s">
        <v>223</v>
      </c>
      <c r="C140" s="104">
        <f>[23]С2!F35</f>
        <v>1.4976266307379205</v>
      </c>
      <c r="D140" s="89"/>
    </row>
    <row r="141" spans="1:4" ht="22.7" customHeight="1" thickBot="1" x14ac:dyDescent="0.25">
      <c r="A141" s="72" t="s">
        <v>224</v>
      </c>
      <c r="B141" s="118" t="s">
        <v>225</v>
      </c>
      <c r="C141" s="118"/>
      <c r="D141" s="89"/>
    </row>
    <row r="142" spans="1:4" ht="13.5" thickBot="1" x14ac:dyDescent="0.25">
      <c r="A142" s="106"/>
      <c r="B142" s="107" t="s">
        <v>226</v>
      </c>
      <c r="C142" s="108"/>
      <c r="D142" s="89"/>
    </row>
    <row r="143" spans="1:4" x14ac:dyDescent="0.2">
      <c r="A143" s="106"/>
      <c r="B143" s="109">
        <v>2020</v>
      </c>
      <c r="C143" s="110">
        <f>[23]С2.5!$E$11</f>
        <v>-2.9000000000000026E-2</v>
      </c>
      <c r="D143" s="89"/>
    </row>
    <row r="144" spans="1:4" x14ac:dyDescent="0.2">
      <c r="A144" s="106"/>
      <c r="B144" s="111">
        <f>B143+1</f>
        <v>2021</v>
      </c>
      <c r="C144" s="112">
        <f>[23]С2.5!$F$11</f>
        <v>0.245</v>
      </c>
      <c r="D144" s="89"/>
    </row>
    <row r="145" spans="1:4" x14ac:dyDescent="0.2">
      <c r="A145" s="106"/>
      <c r="B145" s="111">
        <f t="shared" ref="B145:B208" si="0">B144+1</f>
        <v>2022</v>
      </c>
      <c r="C145" s="112">
        <f>[23]С2.5!$G$11</f>
        <v>0.114</v>
      </c>
      <c r="D145" s="89"/>
    </row>
    <row r="146" spans="1:4" ht="13.5" thickBot="1" x14ac:dyDescent="0.25">
      <c r="A146" s="106"/>
      <c r="B146" s="113">
        <f t="shared" si="0"/>
        <v>2023</v>
      </c>
      <c r="C146" s="114">
        <f>[23]С2.5!$H$11</f>
        <v>2.4E-2</v>
      </c>
      <c r="D146" s="89"/>
    </row>
    <row r="147" spans="1:4" x14ac:dyDescent="0.2">
      <c r="A147" s="106"/>
      <c r="B147" s="115">
        <f t="shared" si="0"/>
        <v>2024</v>
      </c>
      <c r="C147" s="116">
        <f>[23]С2.5!$I$11</f>
        <v>8.5999999999999993E-2</v>
      </c>
      <c r="D147" s="89"/>
    </row>
    <row r="148" spans="1:4" hidden="1" x14ac:dyDescent="0.2">
      <c r="A148" s="106"/>
      <c r="B148" s="111">
        <f t="shared" si="0"/>
        <v>2025</v>
      </c>
      <c r="C148" s="112">
        <f>[23]С2.5!$J$11</f>
        <v>0.21215960863291</v>
      </c>
      <c r="D148" s="89"/>
    </row>
    <row r="149" spans="1:4" hidden="1" x14ac:dyDescent="0.2">
      <c r="A149" s="106"/>
      <c r="B149" s="111">
        <f t="shared" si="0"/>
        <v>2026</v>
      </c>
      <c r="C149" s="112">
        <f>[23]С2.5!$K$11</f>
        <v>3.5813361771260002E-2</v>
      </c>
      <c r="D149" s="89"/>
    </row>
    <row r="150" spans="1:4" hidden="1" x14ac:dyDescent="0.2">
      <c r="A150" s="106"/>
      <c r="B150" s="111">
        <f t="shared" si="0"/>
        <v>2027</v>
      </c>
      <c r="C150" s="112">
        <f>[23]С2.5!$L$11</f>
        <v>3.2682303599220003E-2</v>
      </c>
      <c r="D150" s="89"/>
    </row>
    <row r="151" spans="1:4" hidden="1" x14ac:dyDescent="0.2">
      <c r="A151" s="106"/>
      <c r="B151" s="111">
        <f t="shared" si="0"/>
        <v>2028</v>
      </c>
      <c r="C151" s="112">
        <f>[23]С2.5!$M$11</f>
        <v>0</v>
      </c>
      <c r="D151" s="89"/>
    </row>
    <row r="152" spans="1:4" hidden="1" x14ac:dyDescent="0.2">
      <c r="A152" s="106"/>
      <c r="B152" s="111">
        <f t="shared" si="0"/>
        <v>2029</v>
      </c>
      <c r="C152" s="112">
        <f>[23]С2.5!$N$11</f>
        <v>0</v>
      </c>
      <c r="D152" s="89"/>
    </row>
    <row r="153" spans="1:4" hidden="1" x14ac:dyDescent="0.2">
      <c r="A153" s="106"/>
      <c r="B153" s="111">
        <f t="shared" si="0"/>
        <v>2030</v>
      </c>
      <c r="C153" s="112">
        <f>[23]С2.5!$O$11</f>
        <v>0</v>
      </c>
      <c r="D153" s="89"/>
    </row>
    <row r="154" spans="1:4" hidden="1" x14ac:dyDescent="0.2">
      <c r="A154" s="106"/>
      <c r="B154" s="111">
        <f t="shared" si="0"/>
        <v>2031</v>
      </c>
      <c r="C154" s="112">
        <f>[23]С2.5!$P$11</f>
        <v>0</v>
      </c>
      <c r="D154" s="89"/>
    </row>
    <row r="155" spans="1:4" hidden="1" x14ac:dyDescent="0.2">
      <c r="A155" s="89"/>
      <c r="B155" s="111">
        <f t="shared" si="0"/>
        <v>2032</v>
      </c>
      <c r="C155" s="112">
        <f>[23]С2.5!$Q$11</f>
        <v>0</v>
      </c>
      <c r="D155" s="89"/>
    </row>
    <row r="156" spans="1:4" hidden="1" x14ac:dyDescent="0.2">
      <c r="A156" s="89"/>
      <c r="B156" s="111">
        <f t="shared" si="0"/>
        <v>2033</v>
      </c>
      <c r="C156" s="112">
        <f>[23]С2.5!$R$11</f>
        <v>0</v>
      </c>
      <c r="D156" s="89"/>
    </row>
    <row r="157" spans="1:4" hidden="1" x14ac:dyDescent="0.2">
      <c r="B157" s="111">
        <f t="shared" si="0"/>
        <v>2034</v>
      </c>
      <c r="C157" s="112">
        <f>[23]С2.5!$S$11</f>
        <v>0</v>
      </c>
    </row>
    <row r="158" spans="1:4" hidden="1" x14ac:dyDescent="0.2">
      <c r="B158" s="111">
        <f t="shared" si="0"/>
        <v>2035</v>
      </c>
      <c r="C158" s="112">
        <f>[23]С2.5!$T$11</f>
        <v>0</v>
      </c>
    </row>
    <row r="159" spans="1:4" hidden="1" x14ac:dyDescent="0.2">
      <c r="B159" s="111">
        <f t="shared" si="0"/>
        <v>2036</v>
      </c>
      <c r="C159" s="112">
        <f>[23]С2.5!$U$11</f>
        <v>0</v>
      </c>
    </row>
    <row r="160" spans="1:4" hidden="1" x14ac:dyDescent="0.2">
      <c r="B160" s="111">
        <f t="shared" si="0"/>
        <v>2037</v>
      </c>
      <c r="C160" s="112">
        <f>[23]С2.5!$V$11</f>
        <v>0</v>
      </c>
    </row>
    <row r="161" spans="2:3" hidden="1" x14ac:dyDescent="0.2">
      <c r="B161" s="111">
        <f t="shared" si="0"/>
        <v>2038</v>
      </c>
      <c r="C161" s="112">
        <f>[23]С2.5!$W$11</f>
        <v>0</v>
      </c>
    </row>
    <row r="162" spans="2:3" hidden="1" x14ac:dyDescent="0.2">
      <c r="B162" s="111">
        <f t="shared" si="0"/>
        <v>2039</v>
      </c>
      <c r="C162" s="112">
        <f>[23]С2.5!$X$11</f>
        <v>0</v>
      </c>
    </row>
    <row r="163" spans="2:3" hidden="1" x14ac:dyDescent="0.2">
      <c r="B163" s="111">
        <f t="shared" si="0"/>
        <v>2040</v>
      </c>
      <c r="C163" s="112">
        <f>[23]С2.5!$Y$11</f>
        <v>0</v>
      </c>
    </row>
    <row r="164" spans="2:3" hidden="1" x14ac:dyDescent="0.2">
      <c r="B164" s="111">
        <f t="shared" si="0"/>
        <v>2041</v>
      </c>
      <c r="C164" s="112">
        <f>[23]С2.5!$Z$11</f>
        <v>0</v>
      </c>
    </row>
    <row r="165" spans="2:3" hidden="1" x14ac:dyDescent="0.2">
      <c r="B165" s="111">
        <f t="shared" si="0"/>
        <v>2042</v>
      </c>
      <c r="C165" s="112">
        <f>[23]С2.5!$AA$11</f>
        <v>0</v>
      </c>
    </row>
    <row r="166" spans="2:3" hidden="1" x14ac:dyDescent="0.2">
      <c r="B166" s="111">
        <f t="shared" si="0"/>
        <v>2043</v>
      </c>
      <c r="C166" s="112">
        <f>[23]С2.5!$AB$11</f>
        <v>0</v>
      </c>
    </row>
    <row r="167" spans="2:3" hidden="1" x14ac:dyDescent="0.2">
      <c r="B167" s="111">
        <f t="shared" si="0"/>
        <v>2044</v>
      </c>
      <c r="C167" s="112">
        <f>[23]С2.5!$AC$11</f>
        <v>0</v>
      </c>
    </row>
    <row r="168" spans="2:3" hidden="1" x14ac:dyDescent="0.2">
      <c r="B168" s="111">
        <f t="shared" si="0"/>
        <v>2045</v>
      </c>
      <c r="C168" s="112">
        <f>[23]С2.5!$AD$11</f>
        <v>0</v>
      </c>
    </row>
    <row r="169" spans="2:3" hidden="1" x14ac:dyDescent="0.2">
      <c r="B169" s="111">
        <f t="shared" si="0"/>
        <v>2046</v>
      </c>
      <c r="C169" s="112">
        <f>[23]С2.5!$AE$11</f>
        <v>0</v>
      </c>
    </row>
    <row r="170" spans="2:3" hidden="1" x14ac:dyDescent="0.2">
      <c r="B170" s="111">
        <f t="shared" si="0"/>
        <v>2047</v>
      </c>
      <c r="C170" s="112">
        <f>[23]С2.5!$AF$11</f>
        <v>0</v>
      </c>
    </row>
    <row r="171" spans="2:3" hidden="1" x14ac:dyDescent="0.2">
      <c r="B171" s="111">
        <f t="shared" si="0"/>
        <v>2048</v>
      </c>
      <c r="C171" s="112">
        <f>[23]С2.5!$AG$11</f>
        <v>0</v>
      </c>
    </row>
    <row r="172" spans="2:3" hidden="1" x14ac:dyDescent="0.2">
      <c r="B172" s="111">
        <f t="shared" si="0"/>
        <v>2049</v>
      </c>
      <c r="C172" s="112">
        <f>[23]С2.5!$AH$11</f>
        <v>0</v>
      </c>
    </row>
    <row r="173" spans="2:3" hidden="1" x14ac:dyDescent="0.2">
      <c r="B173" s="111">
        <f t="shared" si="0"/>
        <v>2050</v>
      </c>
      <c r="C173" s="112">
        <f>[23]С2.5!$AI$11</f>
        <v>0</v>
      </c>
    </row>
    <row r="174" spans="2:3" hidden="1" x14ac:dyDescent="0.2">
      <c r="B174" s="111">
        <f t="shared" si="0"/>
        <v>2051</v>
      </c>
      <c r="C174" s="112">
        <f>[23]С2.5!$AJ$11</f>
        <v>0</v>
      </c>
    </row>
    <row r="175" spans="2:3" hidden="1" x14ac:dyDescent="0.2">
      <c r="B175" s="111">
        <f t="shared" si="0"/>
        <v>2052</v>
      </c>
      <c r="C175" s="112">
        <f>[23]С2.5!$AK$11</f>
        <v>0</v>
      </c>
    </row>
    <row r="176" spans="2:3" hidden="1" x14ac:dyDescent="0.2">
      <c r="B176" s="111">
        <f t="shared" si="0"/>
        <v>2053</v>
      </c>
      <c r="C176" s="112">
        <f>[23]С2.5!$AL$11</f>
        <v>0</v>
      </c>
    </row>
    <row r="177" spans="2:3" hidden="1" x14ac:dyDescent="0.2">
      <c r="B177" s="111">
        <f t="shared" si="0"/>
        <v>2054</v>
      </c>
      <c r="C177" s="112">
        <f>[23]С2.5!$AM$11</f>
        <v>0</v>
      </c>
    </row>
    <row r="178" spans="2:3" hidden="1" x14ac:dyDescent="0.2">
      <c r="B178" s="111">
        <f t="shared" si="0"/>
        <v>2055</v>
      </c>
      <c r="C178" s="112">
        <f>[23]С2.5!$AN$11</f>
        <v>0</v>
      </c>
    </row>
    <row r="179" spans="2:3" hidden="1" x14ac:dyDescent="0.2">
      <c r="B179" s="111">
        <f t="shared" si="0"/>
        <v>2056</v>
      </c>
      <c r="C179" s="112">
        <f>[23]С2.5!$AO$11</f>
        <v>0</v>
      </c>
    </row>
    <row r="180" spans="2:3" hidden="1" x14ac:dyDescent="0.2">
      <c r="B180" s="111">
        <f t="shared" si="0"/>
        <v>2057</v>
      </c>
      <c r="C180" s="112">
        <f>[23]С2.5!$AP$11</f>
        <v>0</v>
      </c>
    </row>
    <row r="181" spans="2:3" hidden="1" x14ac:dyDescent="0.2">
      <c r="B181" s="111">
        <f t="shared" si="0"/>
        <v>2058</v>
      </c>
      <c r="C181" s="112">
        <f>[23]С2.5!$AQ$11</f>
        <v>0</v>
      </c>
    </row>
    <row r="182" spans="2:3" hidden="1" x14ac:dyDescent="0.2">
      <c r="B182" s="111">
        <f t="shared" si="0"/>
        <v>2059</v>
      </c>
      <c r="C182" s="112">
        <f>[23]С2.5!$AR$11</f>
        <v>0</v>
      </c>
    </row>
    <row r="183" spans="2:3" hidden="1" x14ac:dyDescent="0.2">
      <c r="B183" s="111">
        <f t="shared" si="0"/>
        <v>2060</v>
      </c>
      <c r="C183" s="112">
        <f>[23]С2.5!$AS$11</f>
        <v>0</v>
      </c>
    </row>
    <row r="184" spans="2:3" hidden="1" x14ac:dyDescent="0.2">
      <c r="B184" s="111">
        <f t="shared" si="0"/>
        <v>2061</v>
      </c>
      <c r="C184" s="112">
        <f>[23]С2.5!$AT$11</f>
        <v>0</v>
      </c>
    </row>
    <row r="185" spans="2:3" hidden="1" x14ac:dyDescent="0.2">
      <c r="B185" s="111">
        <f t="shared" si="0"/>
        <v>2062</v>
      </c>
      <c r="C185" s="112">
        <f>[23]С2.5!$AU$11</f>
        <v>0</v>
      </c>
    </row>
    <row r="186" spans="2:3" hidden="1" x14ac:dyDescent="0.2">
      <c r="B186" s="111">
        <f t="shared" si="0"/>
        <v>2063</v>
      </c>
      <c r="C186" s="112">
        <f>[23]С2.5!$AV$11</f>
        <v>0</v>
      </c>
    </row>
    <row r="187" spans="2:3" hidden="1" x14ac:dyDescent="0.2">
      <c r="B187" s="111">
        <f t="shared" si="0"/>
        <v>2064</v>
      </c>
      <c r="C187" s="112">
        <f>[23]С2.5!$AW$11</f>
        <v>0</v>
      </c>
    </row>
    <row r="188" spans="2:3" hidden="1" x14ac:dyDescent="0.2">
      <c r="B188" s="111">
        <f t="shared" si="0"/>
        <v>2065</v>
      </c>
      <c r="C188" s="112">
        <f>[23]С2.5!$AX$11</f>
        <v>0</v>
      </c>
    </row>
    <row r="189" spans="2:3" hidden="1" x14ac:dyDescent="0.2">
      <c r="B189" s="111">
        <f t="shared" si="0"/>
        <v>2066</v>
      </c>
      <c r="C189" s="112">
        <f>[23]С2.5!$AY$11</f>
        <v>0</v>
      </c>
    </row>
    <row r="190" spans="2:3" hidden="1" x14ac:dyDescent="0.2">
      <c r="B190" s="111">
        <f t="shared" si="0"/>
        <v>2067</v>
      </c>
      <c r="C190" s="112">
        <f>[23]С2.5!$AZ$11</f>
        <v>0</v>
      </c>
    </row>
    <row r="191" spans="2:3" hidden="1" x14ac:dyDescent="0.2">
      <c r="B191" s="111">
        <f t="shared" si="0"/>
        <v>2068</v>
      </c>
      <c r="C191" s="112">
        <f>[23]С2.5!$BA$11</f>
        <v>0</v>
      </c>
    </row>
    <row r="192" spans="2:3" hidden="1" x14ac:dyDescent="0.2">
      <c r="B192" s="111">
        <f t="shared" si="0"/>
        <v>2069</v>
      </c>
      <c r="C192" s="112">
        <f>[23]С2.5!$BB$11</f>
        <v>0</v>
      </c>
    </row>
    <row r="193" spans="2:3" hidden="1" x14ac:dyDescent="0.2">
      <c r="B193" s="111">
        <f t="shared" si="0"/>
        <v>2070</v>
      </c>
      <c r="C193" s="112">
        <f>[23]С2.5!$BC$11</f>
        <v>0</v>
      </c>
    </row>
    <row r="194" spans="2:3" hidden="1" x14ac:dyDescent="0.2">
      <c r="B194" s="111">
        <f t="shared" si="0"/>
        <v>2071</v>
      </c>
      <c r="C194" s="112">
        <f>[23]С2.5!$BD$11</f>
        <v>0</v>
      </c>
    </row>
    <row r="195" spans="2:3" hidden="1" x14ac:dyDescent="0.2">
      <c r="B195" s="111">
        <f t="shared" si="0"/>
        <v>2072</v>
      </c>
      <c r="C195" s="112">
        <f>[23]С2.5!$BE$11</f>
        <v>0</v>
      </c>
    </row>
    <row r="196" spans="2:3" hidden="1" x14ac:dyDescent="0.2">
      <c r="B196" s="111">
        <f t="shared" si="0"/>
        <v>2073</v>
      </c>
      <c r="C196" s="112">
        <f>[23]С2.5!$BF$11</f>
        <v>0</v>
      </c>
    </row>
    <row r="197" spans="2:3" hidden="1" x14ac:dyDescent="0.2">
      <c r="B197" s="111">
        <f t="shared" si="0"/>
        <v>2074</v>
      </c>
      <c r="C197" s="112">
        <f>[23]С2.5!$BG$11</f>
        <v>0</v>
      </c>
    </row>
    <row r="198" spans="2:3" hidden="1" x14ac:dyDescent="0.2">
      <c r="B198" s="111">
        <f t="shared" si="0"/>
        <v>2075</v>
      </c>
      <c r="C198" s="112">
        <f>[23]С2.5!$BH$11</f>
        <v>0</v>
      </c>
    </row>
    <row r="199" spans="2:3" hidden="1" x14ac:dyDescent="0.2">
      <c r="B199" s="111">
        <f t="shared" si="0"/>
        <v>2076</v>
      </c>
      <c r="C199" s="112">
        <f>[23]С2.5!$BI$11</f>
        <v>0</v>
      </c>
    </row>
    <row r="200" spans="2:3" hidden="1" x14ac:dyDescent="0.2">
      <c r="B200" s="111">
        <f t="shared" si="0"/>
        <v>2077</v>
      </c>
      <c r="C200" s="112">
        <f>[23]С2.5!$BJ$11</f>
        <v>0</v>
      </c>
    </row>
    <row r="201" spans="2:3" hidden="1" x14ac:dyDescent="0.2">
      <c r="B201" s="111">
        <f t="shared" si="0"/>
        <v>2078</v>
      </c>
      <c r="C201" s="112">
        <f>[23]С2.5!$BK$11</f>
        <v>0</v>
      </c>
    </row>
    <row r="202" spans="2:3" hidden="1" x14ac:dyDescent="0.2">
      <c r="B202" s="111">
        <f t="shared" si="0"/>
        <v>2079</v>
      </c>
      <c r="C202" s="112">
        <f>[23]С2.5!$BL$11</f>
        <v>0</v>
      </c>
    </row>
    <row r="203" spans="2:3" hidden="1" x14ac:dyDescent="0.2">
      <c r="B203" s="111">
        <f t="shared" si="0"/>
        <v>2080</v>
      </c>
      <c r="C203" s="112">
        <f>[23]С2.5!$BM$11</f>
        <v>0</v>
      </c>
    </row>
    <row r="204" spans="2:3" hidden="1" x14ac:dyDescent="0.2">
      <c r="B204" s="111">
        <f t="shared" si="0"/>
        <v>2081</v>
      </c>
      <c r="C204" s="112">
        <f>[23]С2.5!$BN$11</f>
        <v>0</v>
      </c>
    </row>
    <row r="205" spans="2:3" hidden="1" x14ac:dyDescent="0.2">
      <c r="B205" s="111">
        <f t="shared" si="0"/>
        <v>2082</v>
      </c>
      <c r="C205" s="112">
        <f>[23]С2.5!$BO$11</f>
        <v>0</v>
      </c>
    </row>
    <row r="206" spans="2:3" hidden="1" x14ac:dyDescent="0.2">
      <c r="B206" s="111">
        <f t="shared" si="0"/>
        <v>2083</v>
      </c>
      <c r="C206" s="112">
        <f>[23]С2.5!$BP$11</f>
        <v>0</v>
      </c>
    </row>
    <row r="207" spans="2:3" hidden="1" x14ac:dyDescent="0.2">
      <c r="B207" s="111">
        <f t="shared" si="0"/>
        <v>2084</v>
      </c>
      <c r="C207" s="112">
        <f>[23]С2.5!$BQ$11</f>
        <v>0</v>
      </c>
    </row>
    <row r="208" spans="2:3" hidden="1" x14ac:dyDescent="0.2">
      <c r="B208" s="111">
        <f t="shared" si="0"/>
        <v>2085</v>
      </c>
      <c r="C208" s="112">
        <f>[23]С2.5!$BR$11</f>
        <v>0</v>
      </c>
    </row>
    <row r="209" spans="2:3" hidden="1" x14ac:dyDescent="0.2">
      <c r="B209" s="111">
        <f t="shared" ref="B209:B223" si="1">B208+1</f>
        <v>2086</v>
      </c>
      <c r="C209" s="112">
        <f>[23]С2.5!$BS$11</f>
        <v>0</v>
      </c>
    </row>
    <row r="210" spans="2:3" hidden="1" x14ac:dyDescent="0.2">
      <c r="B210" s="111">
        <f t="shared" si="1"/>
        <v>2087</v>
      </c>
      <c r="C210" s="112">
        <f>[23]С2.5!$BT$11</f>
        <v>0</v>
      </c>
    </row>
    <row r="211" spans="2:3" hidden="1" x14ac:dyDescent="0.2">
      <c r="B211" s="111">
        <f t="shared" si="1"/>
        <v>2088</v>
      </c>
      <c r="C211" s="112">
        <f>[23]С2.5!$BU$11</f>
        <v>0</v>
      </c>
    </row>
    <row r="212" spans="2:3" hidden="1" x14ac:dyDescent="0.2">
      <c r="B212" s="111">
        <f t="shared" si="1"/>
        <v>2089</v>
      </c>
      <c r="C212" s="112">
        <f>[23]С2.5!$BV$11</f>
        <v>0</v>
      </c>
    </row>
    <row r="213" spans="2:3" hidden="1" x14ac:dyDescent="0.2">
      <c r="B213" s="111">
        <f t="shared" si="1"/>
        <v>2090</v>
      </c>
      <c r="C213" s="112">
        <f>[23]С2.5!$BW$11</f>
        <v>0</v>
      </c>
    </row>
    <row r="214" spans="2:3" hidden="1" x14ac:dyDescent="0.2">
      <c r="B214" s="111">
        <f t="shared" si="1"/>
        <v>2091</v>
      </c>
      <c r="C214" s="112">
        <f>[23]С2.5!$BX$11</f>
        <v>0</v>
      </c>
    </row>
    <row r="215" spans="2:3" hidden="1" x14ac:dyDescent="0.2">
      <c r="B215" s="111">
        <f t="shared" si="1"/>
        <v>2092</v>
      </c>
      <c r="C215" s="112">
        <f>[23]С2.5!$BY$11</f>
        <v>0</v>
      </c>
    </row>
    <row r="216" spans="2:3" hidden="1" x14ac:dyDescent="0.2">
      <c r="B216" s="111">
        <f t="shared" si="1"/>
        <v>2093</v>
      </c>
      <c r="C216" s="112">
        <f>[23]С2.5!$BZ$11</f>
        <v>0</v>
      </c>
    </row>
    <row r="217" spans="2:3" hidden="1" x14ac:dyDescent="0.2">
      <c r="B217" s="111">
        <f t="shared" si="1"/>
        <v>2094</v>
      </c>
      <c r="C217" s="112">
        <f>[23]С2.5!$CA$11</f>
        <v>0</v>
      </c>
    </row>
    <row r="218" spans="2:3" hidden="1" x14ac:dyDescent="0.2">
      <c r="B218" s="111">
        <f t="shared" si="1"/>
        <v>2095</v>
      </c>
      <c r="C218" s="112">
        <f>[23]С2.5!$CB$11</f>
        <v>0</v>
      </c>
    </row>
    <row r="219" spans="2:3" hidden="1" x14ac:dyDescent="0.2">
      <c r="B219" s="111">
        <f t="shared" si="1"/>
        <v>2096</v>
      </c>
      <c r="C219" s="112">
        <f>[23]С2.5!$CC$11</f>
        <v>0</v>
      </c>
    </row>
    <row r="220" spans="2:3" hidden="1" x14ac:dyDescent="0.2">
      <c r="B220" s="111">
        <f t="shared" si="1"/>
        <v>2097</v>
      </c>
      <c r="C220" s="112">
        <f>[23]С2.5!$CD$11</f>
        <v>0</v>
      </c>
    </row>
    <row r="221" spans="2:3" hidden="1" x14ac:dyDescent="0.2">
      <c r="B221" s="111">
        <f t="shared" si="1"/>
        <v>2098</v>
      </c>
      <c r="C221" s="112">
        <f>[23]С2.5!$CE$11</f>
        <v>0</v>
      </c>
    </row>
    <row r="222" spans="2:3" hidden="1" x14ac:dyDescent="0.2">
      <c r="B222" s="111">
        <f t="shared" si="1"/>
        <v>2099</v>
      </c>
      <c r="C222" s="112">
        <f>[23]С2.5!$CF$11</f>
        <v>0</v>
      </c>
    </row>
    <row r="223" spans="2:3" ht="13.5" hidden="1" thickBot="1" x14ac:dyDescent="0.25">
      <c r="B223" s="113">
        <f t="shared" si="1"/>
        <v>2100</v>
      </c>
      <c r="C223" s="114">
        <f>[23]С2.5!$CG$11</f>
        <v>0</v>
      </c>
    </row>
    <row r="224" spans="2:3" hidden="1" x14ac:dyDescent="0.2">
      <c r="C224" s="117"/>
    </row>
    <row r="225" spans="3:3" hidden="1" x14ac:dyDescent="0.2">
      <c r="C225" s="117"/>
    </row>
    <row r="226" spans="3:3" x14ac:dyDescent="0.2">
      <c r="C226" s="117"/>
    </row>
  </sheetData>
  <mergeCells count="9">
    <mergeCell ref="B141:C141"/>
    <mergeCell ref="A14:C14"/>
    <mergeCell ref="B1:C1"/>
    <mergeCell ref="B27:C27"/>
    <mergeCell ref="B40:C40"/>
    <mergeCell ref="B84:C84"/>
    <mergeCell ref="B95:C95"/>
    <mergeCell ref="B124:C124"/>
    <mergeCell ref="B127:C127"/>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2289" r:id="rId3" name="Button 1">
              <controlPr defaultSize="0" print="0" autoFill="0" autoPict="0" macro="[24]!Лист29.PrintBlock">
                <anchor moveWithCells="1" sizeWithCells="1">
                  <from>
                    <xdr:col>3</xdr:col>
                    <xdr:colOff>0</xdr:colOff>
                    <xdr:row>0</xdr:row>
                    <xdr:rowOff>85725</xdr:rowOff>
                  </from>
                  <to>
                    <xdr:col>4</xdr:col>
                    <xdr:colOff>0</xdr:colOff>
                    <xdr:row>0</xdr:row>
                    <xdr:rowOff>238125</xdr:rowOff>
                  </to>
                </anchor>
              </controlPr>
            </control>
          </mc:Choice>
        </mc:AlternateContent>
        <mc:AlternateContent xmlns:mc="http://schemas.openxmlformats.org/markup-compatibility/2006">
          <mc:Choice Requires="x14">
            <control shapeId="12290" r:id="rId4" name="Button 2">
              <controlPr defaultSize="0" print="0" autoFill="0" autoPict="0" macro="[23]!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C2" sqref="C2"/>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20" t="s">
        <v>0</v>
      </c>
      <c r="C1" s="120"/>
    </row>
    <row r="2" spans="1:3" x14ac:dyDescent="0.2">
      <c r="A2" s="3"/>
      <c r="B2" s="4" t="s">
        <v>1</v>
      </c>
      <c r="C2" s="5">
        <v>45317</v>
      </c>
    </row>
    <row r="3" spans="1:3" x14ac:dyDescent="0.2">
      <c r="A3" s="3"/>
      <c r="B3" s="6" t="s">
        <v>2</v>
      </c>
    </row>
    <row r="4" spans="1:3" ht="25.5" x14ac:dyDescent="0.2">
      <c r="A4" s="8"/>
      <c r="B4" s="9" t="str">
        <f>[25]И1!D13</f>
        <v>Субъект Российской Федерации</v>
      </c>
      <c r="C4" s="10" t="str">
        <f>[25]И1!E13</f>
        <v>Новосибирская область</v>
      </c>
    </row>
    <row r="5" spans="1:3" ht="46.9" customHeight="1" x14ac:dyDescent="0.2">
      <c r="A5" s="8"/>
      <c r="B5" s="9" t="str">
        <f>[25]И1!D14</f>
        <v>Тип муниципального образования (выберите из списка)</v>
      </c>
      <c r="C5" s="10" t="str">
        <f>[25]И1!E14</f>
        <v xml:space="preserve">село Шайдурово, Сузунский муниципальный район </v>
      </c>
    </row>
    <row r="6" spans="1:3" x14ac:dyDescent="0.2">
      <c r="A6" s="8"/>
      <c r="B6" s="9" t="str">
        <f>IF([25]И1!E15="","",[25]И1!D15)</f>
        <v/>
      </c>
      <c r="C6" s="10" t="str">
        <f>IF([25]И1!E15="","",[25]И1!E15)</f>
        <v/>
      </c>
    </row>
    <row r="7" spans="1:3" x14ac:dyDescent="0.2">
      <c r="A7" s="8"/>
      <c r="B7" s="9" t="str">
        <f>[25]И1!D16</f>
        <v>Код ОКТМО</v>
      </c>
      <c r="C7" s="11" t="str">
        <f>[25]И1!E16</f>
        <v>(50648434101)</v>
      </c>
    </row>
    <row r="8" spans="1:3" x14ac:dyDescent="0.2">
      <c r="A8" s="8"/>
      <c r="B8" s="12" t="str">
        <f>[25]И1!D17</f>
        <v>Система теплоснабжения</v>
      </c>
      <c r="C8" s="13">
        <f>[25]И1!E17</f>
        <v>0</v>
      </c>
    </row>
    <row r="9" spans="1:3" x14ac:dyDescent="0.2">
      <c r="A9" s="8"/>
      <c r="B9" s="9" t="str">
        <f>[25]И1!D8</f>
        <v>Период регулирования (i)-й</v>
      </c>
      <c r="C9" s="14">
        <f>[25]И1!E8</f>
        <v>2024</v>
      </c>
    </row>
    <row r="10" spans="1:3" x14ac:dyDescent="0.2">
      <c r="A10" s="8"/>
      <c r="B10" s="9" t="str">
        <f>[25]И1!D9</f>
        <v>Период регулирования (i-1)-й</v>
      </c>
      <c r="C10" s="14">
        <f>[25]И1!E9</f>
        <v>2023</v>
      </c>
    </row>
    <row r="11" spans="1:3" x14ac:dyDescent="0.2">
      <c r="A11" s="8"/>
      <c r="B11" s="9" t="str">
        <f>[25]И1!D10</f>
        <v>Период регулирования (i-2)-й</v>
      </c>
      <c r="C11" s="14">
        <f>[25]И1!E10</f>
        <v>2022</v>
      </c>
    </row>
    <row r="12" spans="1:3" x14ac:dyDescent="0.2">
      <c r="A12" s="8"/>
      <c r="B12" s="9" t="str">
        <f>[25]И1!D11</f>
        <v>Базовый год (б)</v>
      </c>
      <c r="C12" s="14">
        <f>[25]И1!E11</f>
        <v>2019</v>
      </c>
    </row>
    <row r="13" spans="1:3" ht="38.25" x14ac:dyDescent="0.2">
      <c r="A13" s="8"/>
      <c r="B13" s="9" t="str">
        <f>[25]И1!D18</f>
        <v>Вид топлива, использование которого преобладает в системе теплоснабжения</v>
      </c>
      <c r="C13" s="15" t="str">
        <f>[25]С1.1!E13</f>
        <v>уголь (вид угля не указан в топливном балансе)</v>
      </c>
    </row>
    <row r="14" spans="1:3" ht="31.7" customHeight="1" thickBot="1" x14ac:dyDescent="0.25">
      <c r="A14" s="119" t="s">
        <v>3</v>
      </c>
      <c r="B14" s="119"/>
      <c r="C14" s="119"/>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3568.3442263704205</v>
      </c>
    </row>
    <row r="18" spans="1:3" ht="42.75" x14ac:dyDescent="0.2">
      <c r="A18" s="22" t="s">
        <v>8</v>
      </c>
      <c r="B18" s="25" t="s">
        <v>9</v>
      </c>
      <c r="C18" s="26">
        <f>[25]С1!F12</f>
        <v>599.92557949019965</v>
      </c>
    </row>
    <row r="19" spans="1:3" ht="42.75" x14ac:dyDescent="0.2">
      <c r="A19" s="22" t="s">
        <v>10</v>
      </c>
      <c r="B19" s="25" t="s">
        <v>11</v>
      </c>
      <c r="C19" s="26">
        <f>[25]С2!F12</f>
        <v>1990.8616285605142</v>
      </c>
    </row>
    <row r="20" spans="1:3" ht="30" x14ac:dyDescent="0.2">
      <c r="A20" s="22" t="s">
        <v>12</v>
      </c>
      <c r="B20" s="25" t="s">
        <v>13</v>
      </c>
      <c r="C20" s="26">
        <f>[25]С3!F12</f>
        <v>473.18998182045129</v>
      </c>
    </row>
    <row r="21" spans="1:3" ht="42.75" x14ac:dyDescent="0.2">
      <c r="A21" s="22" t="s">
        <v>14</v>
      </c>
      <c r="B21" s="25" t="s">
        <v>15</v>
      </c>
      <c r="C21" s="26">
        <f>[25]С4!F12</f>
        <v>434.39950264885528</v>
      </c>
    </row>
    <row r="22" spans="1:3" ht="30" x14ac:dyDescent="0.2">
      <c r="A22" s="22" t="s">
        <v>16</v>
      </c>
      <c r="B22" s="25" t="s">
        <v>17</v>
      </c>
      <c r="C22" s="26">
        <f>[25]С5!F12</f>
        <v>69.9675338504004</v>
      </c>
    </row>
    <row r="23" spans="1:3" ht="43.5" thickBot="1" x14ac:dyDescent="0.25">
      <c r="A23" s="27" t="s">
        <v>18</v>
      </c>
      <c r="B23" s="105" t="s">
        <v>19</v>
      </c>
      <c r="C23" s="28" t="str">
        <f>[25]С6!F12</f>
        <v>-</v>
      </c>
    </row>
    <row r="24" spans="1:3" ht="13.5" thickBot="1" x14ac:dyDescent="0.25">
      <c r="A24" s="3"/>
    </row>
    <row r="25" spans="1:3" x14ac:dyDescent="0.2">
      <c r="A25" s="16" t="s">
        <v>4</v>
      </c>
      <c r="B25" s="29" t="s">
        <v>5</v>
      </c>
      <c r="C25" s="30" t="s">
        <v>6</v>
      </c>
    </row>
    <row r="26" spans="1:3" x14ac:dyDescent="0.2">
      <c r="A26" s="19">
        <v>1</v>
      </c>
      <c r="B26" s="31">
        <v>2</v>
      </c>
      <c r="C26" s="32">
        <v>3</v>
      </c>
    </row>
    <row r="27" spans="1:3" ht="30" customHeight="1" x14ac:dyDescent="0.2">
      <c r="A27" s="22">
        <v>1</v>
      </c>
      <c r="B27" s="121" t="s">
        <v>20</v>
      </c>
      <c r="C27" s="121"/>
    </row>
    <row r="28" spans="1:3" x14ac:dyDescent="0.2">
      <c r="A28" s="22" t="s">
        <v>8</v>
      </c>
      <c r="B28" s="33" t="s">
        <v>21</v>
      </c>
      <c r="C28" s="34">
        <f>[25]С1.1!E16</f>
        <v>5100</v>
      </c>
    </row>
    <row r="29" spans="1:3" ht="42.75" x14ac:dyDescent="0.2">
      <c r="A29" s="22" t="s">
        <v>10</v>
      </c>
      <c r="B29" s="33" t="s">
        <v>22</v>
      </c>
      <c r="C29" s="34">
        <f>[25]С1.1!E27</f>
        <v>2695.4916666666668</v>
      </c>
    </row>
    <row r="30" spans="1:3" ht="17.25" x14ac:dyDescent="0.2">
      <c r="A30" s="22" t="s">
        <v>12</v>
      </c>
      <c r="B30" s="33" t="s">
        <v>23</v>
      </c>
      <c r="C30" s="35">
        <f>[25]С1.1!E19</f>
        <v>-0.19900000000000001</v>
      </c>
    </row>
    <row r="31" spans="1:3" ht="17.25" x14ac:dyDescent="0.2">
      <c r="A31" s="22" t="s">
        <v>14</v>
      </c>
      <c r="B31" s="33" t="s">
        <v>24</v>
      </c>
      <c r="C31" s="35">
        <f>[25]С1.1!E20</f>
        <v>5.7000000000000002E-2</v>
      </c>
    </row>
    <row r="32" spans="1:3" ht="30" x14ac:dyDescent="0.2">
      <c r="A32" s="22" t="s">
        <v>16</v>
      </c>
      <c r="B32" s="36" t="s">
        <v>25</v>
      </c>
      <c r="C32" s="37">
        <f>[25]С1!F13</f>
        <v>176.4</v>
      </c>
    </row>
    <row r="33" spans="1:3" x14ac:dyDescent="0.2">
      <c r="A33" s="22" t="s">
        <v>18</v>
      </c>
      <c r="B33" s="36" t="s">
        <v>26</v>
      </c>
      <c r="C33" s="38">
        <f>[25]С1!F16</f>
        <v>7000</v>
      </c>
    </row>
    <row r="34" spans="1:3" ht="14.25" x14ac:dyDescent="0.2">
      <c r="A34" s="22" t="s">
        <v>27</v>
      </c>
      <c r="B34" s="39" t="s">
        <v>28</v>
      </c>
      <c r="C34" s="40">
        <f>[25]С1!F17</f>
        <v>0.72857142857142854</v>
      </c>
    </row>
    <row r="35" spans="1:3" ht="15.75" x14ac:dyDescent="0.2">
      <c r="A35" s="41" t="s">
        <v>29</v>
      </c>
      <c r="B35" s="42" t="s">
        <v>30</v>
      </c>
      <c r="C35" s="40">
        <f>[25]С1!F20</f>
        <v>21.588411179999994</v>
      </c>
    </row>
    <row r="36" spans="1:3" ht="15.75" x14ac:dyDescent="0.2">
      <c r="A36" s="41" t="s">
        <v>31</v>
      </c>
      <c r="B36" s="43" t="s">
        <v>32</v>
      </c>
      <c r="C36" s="40">
        <f>[25]С1!F21</f>
        <v>20.818139999999996</v>
      </c>
    </row>
    <row r="37" spans="1:3" ht="14.25" x14ac:dyDescent="0.2">
      <c r="A37" s="41" t="s">
        <v>33</v>
      </c>
      <c r="B37" s="44" t="s">
        <v>34</v>
      </c>
      <c r="C37" s="40">
        <f>[25]С1!F22</f>
        <v>1.0369999999999999</v>
      </c>
    </row>
    <row r="38" spans="1:3" ht="53.25" thickBot="1" x14ac:dyDescent="0.25">
      <c r="A38" s="27" t="s">
        <v>35</v>
      </c>
      <c r="B38" s="45" t="s">
        <v>36</v>
      </c>
      <c r="C38" s="46">
        <f>[25]С1!F23</f>
        <v>1.0469999999999999</v>
      </c>
    </row>
    <row r="39" spans="1:3" ht="13.5" thickBot="1" x14ac:dyDescent="0.25">
      <c r="A39" s="47"/>
      <c r="B39" s="48"/>
      <c r="C39" s="49"/>
    </row>
    <row r="40" spans="1:3" ht="30" customHeight="1" x14ac:dyDescent="0.2">
      <c r="A40" s="50" t="s">
        <v>37</v>
      </c>
      <c r="B40" s="122" t="s">
        <v>38</v>
      </c>
      <c r="C40" s="122"/>
    </row>
    <row r="41" spans="1:3" ht="25.5" x14ac:dyDescent="0.2">
      <c r="A41" s="22" t="s">
        <v>39</v>
      </c>
      <c r="B41" s="36" t="s">
        <v>40</v>
      </c>
      <c r="C41" s="51" t="str">
        <f>[25]С2.1!E12</f>
        <v>V</v>
      </c>
    </row>
    <row r="42" spans="1:3" ht="25.5" x14ac:dyDescent="0.2">
      <c r="A42" s="22" t="s">
        <v>41</v>
      </c>
      <c r="B42" s="33" t="s">
        <v>42</v>
      </c>
      <c r="C42" s="51" t="str">
        <f>[25]С2.1!E13</f>
        <v>6 и менее баллов</v>
      </c>
    </row>
    <row r="43" spans="1:3" ht="25.5" x14ac:dyDescent="0.2">
      <c r="A43" s="22" t="s">
        <v>43</v>
      </c>
      <c r="B43" s="33" t="s">
        <v>44</v>
      </c>
      <c r="C43" s="51" t="str">
        <f>[25]С2.1!E14</f>
        <v>от 200 до 500</v>
      </c>
    </row>
    <row r="44" spans="1:3" ht="25.5" x14ac:dyDescent="0.2">
      <c r="A44" s="22" t="s">
        <v>45</v>
      </c>
      <c r="B44" s="33" t="s">
        <v>46</v>
      </c>
      <c r="C44" s="52" t="str">
        <f>[25]С2.1!E15</f>
        <v>нет</v>
      </c>
    </row>
    <row r="45" spans="1:3" ht="30" x14ac:dyDescent="0.2">
      <c r="A45" s="22" t="s">
        <v>47</v>
      </c>
      <c r="B45" s="33" t="s">
        <v>48</v>
      </c>
      <c r="C45" s="34">
        <f>[25]С2!F18</f>
        <v>35106.652004551666</v>
      </c>
    </row>
    <row r="46" spans="1:3" ht="30" x14ac:dyDescent="0.2">
      <c r="A46" s="22" t="s">
        <v>49</v>
      </c>
      <c r="B46" s="53" t="s">
        <v>50</v>
      </c>
      <c r="C46" s="34">
        <f>IF([25]С2!F19&gt;0,[25]С2!F19,[25]С2!F20)</f>
        <v>23441.524932855718</v>
      </c>
    </row>
    <row r="47" spans="1:3" ht="25.5" x14ac:dyDescent="0.2">
      <c r="A47" s="22" t="s">
        <v>51</v>
      </c>
      <c r="B47" s="54" t="s">
        <v>52</v>
      </c>
      <c r="C47" s="34">
        <f>[25]С2.1!E19</f>
        <v>-38</v>
      </c>
    </row>
    <row r="48" spans="1:3" ht="25.5" x14ac:dyDescent="0.2">
      <c r="A48" s="22" t="s">
        <v>53</v>
      </c>
      <c r="B48" s="54" t="s">
        <v>54</v>
      </c>
      <c r="C48" s="34" t="str">
        <f>[25]С2.1!E22</f>
        <v>нет</v>
      </c>
    </row>
    <row r="49" spans="1:3" ht="38.25" x14ac:dyDescent="0.2">
      <c r="A49" s="22" t="s">
        <v>55</v>
      </c>
      <c r="B49" s="55" t="s">
        <v>56</v>
      </c>
      <c r="C49" s="34">
        <f>[25]С2.2!E10</f>
        <v>1287</v>
      </c>
    </row>
    <row r="50" spans="1:3" ht="25.5" x14ac:dyDescent="0.2">
      <c r="A50" s="22" t="s">
        <v>57</v>
      </c>
      <c r="B50" s="56" t="s">
        <v>58</v>
      </c>
      <c r="C50" s="34">
        <f>[25]С2.2!E12</f>
        <v>5.97</v>
      </c>
    </row>
    <row r="51" spans="1:3" ht="52.5" x14ac:dyDescent="0.2">
      <c r="A51" s="22" t="s">
        <v>59</v>
      </c>
      <c r="B51" s="57" t="s">
        <v>60</v>
      </c>
      <c r="C51" s="34">
        <f>[25]С2.2!E13</f>
        <v>1</v>
      </c>
    </row>
    <row r="52" spans="1:3" ht="27.75" x14ac:dyDescent="0.2">
      <c r="A52" s="22" t="s">
        <v>61</v>
      </c>
      <c r="B52" s="56" t="s">
        <v>62</v>
      </c>
      <c r="C52" s="34">
        <f>[25]С2.2!E14</f>
        <v>12104</v>
      </c>
    </row>
    <row r="53" spans="1:3" ht="25.5" x14ac:dyDescent="0.2">
      <c r="A53" s="22" t="s">
        <v>63</v>
      </c>
      <c r="B53" s="57" t="s">
        <v>64</v>
      </c>
      <c r="C53" s="35">
        <f>[25]С2.2!E15</f>
        <v>4.8000000000000001E-2</v>
      </c>
    </row>
    <row r="54" spans="1:3" x14ac:dyDescent="0.2">
      <c r="A54" s="22" t="s">
        <v>65</v>
      </c>
      <c r="B54" s="57" t="s">
        <v>66</v>
      </c>
      <c r="C54" s="34">
        <f>[25]С2.2!E16</f>
        <v>1</v>
      </c>
    </row>
    <row r="55" spans="1:3" ht="15.75" x14ac:dyDescent="0.2">
      <c r="A55" s="22" t="s">
        <v>67</v>
      </c>
      <c r="B55" s="58" t="s">
        <v>68</v>
      </c>
      <c r="C55" s="34">
        <f>[25]С2!F21</f>
        <v>1</v>
      </c>
    </row>
    <row r="56" spans="1:3" ht="30" x14ac:dyDescent="0.2">
      <c r="A56" s="59" t="s">
        <v>69</v>
      </c>
      <c r="B56" s="33" t="s">
        <v>70</v>
      </c>
      <c r="C56" s="34">
        <f>[25]С2!F13</f>
        <v>183796.83936385796</v>
      </c>
    </row>
    <row r="57" spans="1:3" ht="30" x14ac:dyDescent="0.2">
      <c r="A57" s="59" t="s">
        <v>71</v>
      </c>
      <c r="B57" s="58" t="s">
        <v>72</v>
      </c>
      <c r="C57" s="34">
        <f>[25]С2!F14</f>
        <v>113455</v>
      </c>
    </row>
    <row r="58" spans="1:3" ht="15.75" x14ac:dyDescent="0.2">
      <c r="A58" s="59" t="s">
        <v>73</v>
      </c>
      <c r="B58" s="60" t="s">
        <v>74</v>
      </c>
      <c r="C58" s="40">
        <f>[25]С2!F15</f>
        <v>1.071</v>
      </c>
    </row>
    <row r="59" spans="1:3" ht="15.75" x14ac:dyDescent="0.2">
      <c r="A59" s="59" t="s">
        <v>75</v>
      </c>
      <c r="B59" s="60" t="s">
        <v>76</v>
      </c>
      <c r="C59" s="40">
        <f>[25]С2!F16</f>
        <v>1</v>
      </c>
    </row>
    <row r="60" spans="1:3" ht="17.25" x14ac:dyDescent="0.2">
      <c r="A60" s="59" t="s">
        <v>77</v>
      </c>
      <c r="B60" s="58" t="s">
        <v>78</v>
      </c>
      <c r="C60" s="34">
        <f>[25]С2!F17</f>
        <v>1.01</v>
      </c>
    </row>
    <row r="61" spans="1:3" s="63" customFormat="1" ht="14.25" x14ac:dyDescent="0.2">
      <c r="A61" s="59" t="s">
        <v>79</v>
      </c>
      <c r="B61" s="61" t="s">
        <v>80</v>
      </c>
      <c r="C61" s="62">
        <f>[25]С2!F33</f>
        <v>10</v>
      </c>
    </row>
    <row r="62" spans="1:3" ht="30" x14ac:dyDescent="0.2">
      <c r="A62" s="59" t="s">
        <v>81</v>
      </c>
      <c r="B62" s="64" t="s">
        <v>82</v>
      </c>
      <c r="C62" s="34">
        <f>[25]С2!F26</f>
        <v>1543.3634896839897</v>
      </c>
    </row>
    <row r="63" spans="1:3" ht="17.25" x14ac:dyDescent="0.2">
      <c r="A63" s="59" t="s">
        <v>83</v>
      </c>
      <c r="B63" s="53" t="s">
        <v>84</v>
      </c>
      <c r="C63" s="34">
        <f>[25]С2!F27</f>
        <v>0.24536656199999998</v>
      </c>
    </row>
    <row r="64" spans="1:3" ht="17.25" x14ac:dyDescent="0.2">
      <c r="A64" s="59" t="s">
        <v>85</v>
      </c>
      <c r="B64" s="58" t="s">
        <v>86</v>
      </c>
      <c r="C64" s="62">
        <f>[25]С2!F28</f>
        <v>4200</v>
      </c>
    </row>
    <row r="65" spans="1:3" ht="42.75" x14ac:dyDescent="0.2">
      <c r="A65" s="59" t="s">
        <v>87</v>
      </c>
      <c r="B65" s="33" t="s">
        <v>88</v>
      </c>
      <c r="C65" s="34">
        <f>[25]С2!F22</f>
        <v>38698.422798410109</v>
      </c>
    </row>
    <row r="66" spans="1:3" ht="30" x14ac:dyDescent="0.2">
      <c r="A66" s="59" t="s">
        <v>89</v>
      </c>
      <c r="B66" s="60" t="s">
        <v>90</v>
      </c>
      <c r="C66" s="34">
        <f>[25]С2!F23</f>
        <v>1990</v>
      </c>
    </row>
    <row r="67" spans="1:3" ht="30" x14ac:dyDescent="0.2">
      <c r="A67" s="59" t="s">
        <v>91</v>
      </c>
      <c r="B67" s="53" t="s">
        <v>92</v>
      </c>
      <c r="C67" s="34">
        <f>[25]С2.1!E27</f>
        <v>14307.876789999998</v>
      </c>
    </row>
    <row r="68" spans="1:3" ht="38.25" x14ac:dyDescent="0.2">
      <c r="A68" s="59" t="s">
        <v>93</v>
      </c>
      <c r="B68" s="65" t="s">
        <v>94</v>
      </c>
      <c r="C68" s="52">
        <f>[25]С2.3!E21</f>
        <v>0</v>
      </c>
    </row>
    <row r="69" spans="1:3" ht="25.5" x14ac:dyDescent="0.2">
      <c r="A69" s="59" t="s">
        <v>95</v>
      </c>
      <c r="B69" s="66" t="s">
        <v>96</v>
      </c>
      <c r="C69" s="67">
        <f>[25]С2.3!E11</f>
        <v>9.89</v>
      </c>
    </row>
    <row r="70" spans="1:3" ht="25.5" x14ac:dyDescent="0.2">
      <c r="A70" s="59" t="s">
        <v>97</v>
      </c>
      <c r="B70" s="66" t="s">
        <v>98</v>
      </c>
      <c r="C70" s="62">
        <f>[25]С2.3!E13</f>
        <v>300</v>
      </c>
    </row>
    <row r="71" spans="1:3" ht="25.5" x14ac:dyDescent="0.2">
      <c r="A71" s="59" t="s">
        <v>99</v>
      </c>
      <c r="B71" s="65" t="s">
        <v>100</v>
      </c>
      <c r="C71" s="68">
        <f>IF([25]С2.3!E22&gt;0,[25]С2.3!E22,[25]С2.3!E14)</f>
        <v>61211</v>
      </c>
    </row>
    <row r="72" spans="1:3" ht="38.25" x14ac:dyDescent="0.2">
      <c r="A72" s="59" t="s">
        <v>101</v>
      </c>
      <c r="B72" s="65" t="s">
        <v>102</v>
      </c>
      <c r="C72" s="68">
        <f>IF([25]С2.3!E23&gt;0,[25]С2.3!E23,[25]С2.3!E15)</f>
        <v>45675</v>
      </c>
    </row>
    <row r="73" spans="1:3" ht="30" x14ac:dyDescent="0.2">
      <c r="A73" s="59" t="s">
        <v>103</v>
      </c>
      <c r="B73" s="53" t="s">
        <v>104</v>
      </c>
      <c r="C73" s="34">
        <f>[25]С2.1!E28</f>
        <v>9541.9567200000001</v>
      </c>
    </row>
    <row r="74" spans="1:3" ht="38.25" x14ac:dyDescent="0.2">
      <c r="A74" s="59" t="s">
        <v>105</v>
      </c>
      <c r="B74" s="65" t="s">
        <v>106</v>
      </c>
      <c r="C74" s="52">
        <f>[25]С2.3!E25</f>
        <v>0</v>
      </c>
    </row>
    <row r="75" spans="1:3" ht="25.5" x14ac:dyDescent="0.2">
      <c r="A75" s="59" t="s">
        <v>107</v>
      </c>
      <c r="B75" s="66" t="s">
        <v>108</v>
      </c>
      <c r="C75" s="67">
        <f>[25]С2.3!E12</f>
        <v>0.56000000000000005</v>
      </c>
    </row>
    <row r="76" spans="1:3" ht="25.5" x14ac:dyDescent="0.2">
      <c r="A76" s="59" t="s">
        <v>109</v>
      </c>
      <c r="B76" s="66" t="s">
        <v>98</v>
      </c>
      <c r="C76" s="62">
        <f>[25]С2.3!E13</f>
        <v>300</v>
      </c>
    </row>
    <row r="77" spans="1:3" ht="25.5" x14ac:dyDescent="0.2">
      <c r="A77" s="59" t="s">
        <v>110</v>
      </c>
      <c r="B77" s="69" t="s">
        <v>111</v>
      </c>
      <c r="C77" s="68">
        <f>IF([25]С2.3!E26&gt;0,[25]С2.3!E26,[25]С2.3!E16)</f>
        <v>65637</v>
      </c>
    </row>
    <row r="78" spans="1:3" ht="38.25" x14ac:dyDescent="0.2">
      <c r="A78" s="59" t="s">
        <v>112</v>
      </c>
      <c r="B78" s="69" t="s">
        <v>113</v>
      </c>
      <c r="C78" s="68">
        <f>IF([25]С2.3!E27&gt;0,[25]С2.3!E27,[25]С2.3!E17)</f>
        <v>31684</v>
      </c>
    </row>
    <row r="79" spans="1:3" ht="17.25" x14ac:dyDescent="0.2">
      <c r="A79" s="59" t="s">
        <v>114</v>
      </c>
      <c r="B79" s="33" t="s">
        <v>115</v>
      </c>
      <c r="C79" s="35">
        <f>[25]С2!F29</f>
        <v>9.5962865259740182E-2</v>
      </c>
    </row>
    <row r="80" spans="1:3" ht="30" x14ac:dyDescent="0.2">
      <c r="A80" s="59" t="s">
        <v>116</v>
      </c>
      <c r="B80" s="53" t="s">
        <v>117</v>
      </c>
      <c r="C80" s="70">
        <f>[25]С2!F30</f>
        <v>8.4029304029304031E-2</v>
      </c>
    </row>
    <row r="81" spans="1:3" ht="17.25" x14ac:dyDescent="0.2">
      <c r="A81" s="59" t="s">
        <v>118</v>
      </c>
      <c r="B81" s="71" t="s">
        <v>119</v>
      </c>
      <c r="C81" s="35">
        <f>[25]С2!F31</f>
        <v>0.13880000000000001</v>
      </c>
    </row>
    <row r="82" spans="1:3" s="63" customFormat="1" ht="18" thickBot="1" x14ac:dyDescent="0.25">
      <c r="A82" s="72" t="s">
        <v>120</v>
      </c>
      <c r="B82" s="73" t="s">
        <v>121</v>
      </c>
      <c r="C82" s="74">
        <f>[25]С2!F32</f>
        <v>0.12640000000000001</v>
      </c>
    </row>
    <row r="83" spans="1:3" ht="13.5" thickBot="1" x14ac:dyDescent="0.25">
      <c r="A83" s="47"/>
      <c r="B83" s="75"/>
      <c r="C83" s="15"/>
    </row>
    <row r="84" spans="1:3" s="63" customFormat="1" ht="30" customHeight="1" x14ac:dyDescent="0.2">
      <c r="A84" s="76" t="s">
        <v>122</v>
      </c>
      <c r="B84" s="122" t="s">
        <v>123</v>
      </c>
      <c r="C84" s="122"/>
    </row>
    <row r="85" spans="1:3" s="63" customFormat="1" ht="30" x14ac:dyDescent="0.2">
      <c r="A85" s="77" t="s">
        <v>124</v>
      </c>
      <c r="B85" s="33" t="s">
        <v>125</v>
      </c>
      <c r="C85" s="34">
        <f>[25]С3!F14</f>
        <v>6068.1437898865324</v>
      </c>
    </row>
    <row r="86" spans="1:3" s="63" customFormat="1" ht="42.75" x14ac:dyDescent="0.2">
      <c r="A86" s="77" t="s">
        <v>126</v>
      </c>
      <c r="B86" s="53" t="s">
        <v>127</v>
      </c>
      <c r="C86" s="78">
        <f>[25]С3!F15</f>
        <v>0.2</v>
      </c>
    </row>
    <row r="87" spans="1:3" s="63" customFormat="1" ht="14.25" x14ac:dyDescent="0.2">
      <c r="A87" s="77" t="s">
        <v>128</v>
      </c>
      <c r="B87" s="79" t="s">
        <v>129</v>
      </c>
      <c r="C87" s="62">
        <f>[25]С3!F18</f>
        <v>15</v>
      </c>
    </row>
    <row r="88" spans="1:3" s="63" customFormat="1" ht="17.25" x14ac:dyDescent="0.2">
      <c r="A88" s="77" t="s">
        <v>130</v>
      </c>
      <c r="B88" s="33" t="s">
        <v>131</v>
      </c>
      <c r="C88" s="34">
        <f>[25]С3!F19</f>
        <v>3778.1614077800232</v>
      </c>
    </row>
    <row r="89" spans="1:3" s="63" customFormat="1" ht="55.5" x14ac:dyDescent="0.2">
      <c r="A89" s="77" t="s">
        <v>132</v>
      </c>
      <c r="B89" s="53" t="s">
        <v>133</v>
      </c>
      <c r="C89" s="80">
        <f>[25]С3!F20</f>
        <v>2.1999999999999999E-2</v>
      </c>
    </row>
    <row r="90" spans="1:3" s="63" customFormat="1" ht="14.25" x14ac:dyDescent="0.2">
      <c r="A90" s="77" t="s">
        <v>134</v>
      </c>
      <c r="B90" s="58" t="s">
        <v>80</v>
      </c>
      <c r="C90" s="62">
        <f>[25]С3!F21</f>
        <v>10</v>
      </c>
    </row>
    <row r="91" spans="1:3" s="63" customFormat="1" ht="17.25" x14ac:dyDescent="0.2">
      <c r="A91" s="77" t="s">
        <v>135</v>
      </c>
      <c r="B91" s="33" t="s">
        <v>136</v>
      </c>
      <c r="C91" s="34">
        <f>[25]С3!F22</f>
        <v>4.6300904690519689</v>
      </c>
    </row>
    <row r="92" spans="1:3" s="63" customFormat="1" ht="55.5" x14ac:dyDescent="0.2">
      <c r="A92" s="77" t="s">
        <v>137</v>
      </c>
      <c r="B92" s="53" t="s">
        <v>138</v>
      </c>
      <c r="C92" s="80">
        <f>[25]С3!F23</f>
        <v>3.0000000000000001E-3</v>
      </c>
    </row>
    <row r="93" spans="1:3" s="63" customFormat="1" ht="27.75" thickBot="1" x14ac:dyDescent="0.25">
      <c r="A93" s="81" t="s">
        <v>139</v>
      </c>
      <c r="B93" s="82" t="s">
        <v>140</v>
      </c>
      <c r="C93" s="83">
        <f>[25]С3!F24</f>
        <v>1543.3634896839897</v>
      </c>
    </row>
    <row r="94" spans="1:3" ht="13.5" thickBot="1" x14ac:dyDescent="0.25">
      <c r="A94" s="47"/>
      <c r="B94" s="75"/>
      <c r="C94" s="15"/>
    </row>
    <row r="95" spans="1:3" ht="30" customHeight="1" x14ac:dyDescent="0.2">
      <c r="A95" s="84" t="s">
        <v>141</v>
      </c>
      <c r="B95" s="122" t="s">
        <v>142</v>
      </c>
      <c r="C95" s="122"/>
    </row>
    <row r="96" spans="1:3" ht="30" x14ac:dyDescent="0.2">
      <c r="A96" s="59" t="s">
        <v>143</v>
      </c>
      <c r="B96" s="33" t="s">
        <v>144</v>
      </c>
      <c r="C96" s="34">
        <f>[25]С4!F16</f>
        <v>1652.5</v>
      </c>
    </row>
    <row r="97" spans="1:3" ht="30" x14ac:dyDescent="0.2">
      <c r="A97" s="59" t="s">
        <v>145</v>
      </c>
      <c r="B97" s="58" t="s">
        <v>146</v>
      </c>
      <c r="C97" s="34">
        <f>[25]С4!F17</f>
        <v>73547</v>
      </c>
    </row>
    <row r="98" spans="1:3" ht="17.25" x14ac:dyDescent="0.2">
      <c r="A98" s="59" t="s">
        <v>147</v>
      </c>
      <c r="B98" s="58" t="s">
        <v>148</v>
      </c>
      <c r="C98" s="40">
        <f>[25]С4!F18</f>
        <v>0.02</v>
      </c>
    </row>
    <row r="99" spans="1:3" ht="30" x14ac:dyDescent="0.2">
      <c r="A99" s="59" t="s">
        <v>149</v>
      </c>
      <c r="B99" s="58" t="s">
        <v>150</v>
      </c>
      <c r="C99" s="34">
        <f>[25]С4!F19</f>
        <v>12104</v>
      </c>
    </row>
    <row r="100" spans="1:3" ht="31.5" x14ac:dyDescent="0.2">
      <c r="A100" s="59" t="s">
        <v>151</v>
      </c>
      <c r="B100" s="58" t="s">
        <v>152</v>
      </c>
      <c r="C100" s="40">
        <f>[25]С4!F20</f>
        <v>1.4999999999999999E-2</v>
      </c>
    </row>
    <row r="101" spans="1:3" ht="30" x14ac:dyDescent="0.2">
      <c r="A101" s="59" t="s">
        <v>153</v>
      </c>
      <c r="B101" s="33" t="s">
        <v>154</v>
      </c>
      <c r="C101" s="34">
        <f>[25]С4!F21</f>
        <v>1933.1949342509995</v>
      </c>
    </row>
    <row r="102" spans="1:3" ht="24" customHeight="1" x14ac:dyDescent="0.2">
      <c r="A102" s="59" t="s">
        <v>155</v>
      </c>
      <c r="B102" s="53" t="s">
        <v>156</v>
      </c>
      <c r="C102" s="85">
        <f>IF([25]С4.2!F8="да",[25]С4.2!D21,[25]С4.2!D15)</f>
        <v>0</v>
      </c>
    </row>
    <row r="103" spans="1:3" ht="68.25" x14ac:dyDescent="0.2">
      <c r="A103" s="59" t="s">
        <v>157</v>
      </c>
      <c r="B103" s="53" t="s">
        <v>158</v>
      </c>
      <c r="C103" s="34">
        <f>[25]С4!F22</f>
        <v>3.6112641666666665</v>
      </c>
    </row>
    <row r="104" spans="1:3" ht="30" x14ac:dyDescent="0.2">
      <c r="A104" s="59" t="s">
        <v>159</v>
      </c>
      <c r="B104" s="58" t="s">
        <v>160</v>
      </c>
      <c r="C104" s="34">
        <f>[25]С4!F23</f>
        <v>180</v>
      </c>
    </row>
    <row r="105" spans="1:3" ht="14.25" x14ac:dyDescent="0.2">
      <c r="A105" s="59" t="s">
        <v>161</v>
      </c>
      <c r="B105" s="53" t="s">
        <v>162</v>
      </c>
      <c r="C105" s="34">
        <f>[25]С4!F24</f>
        <v>8497.1999999999989</v>
      </c>
    </row>
    <row r="106" spans="1:3" ht="14.25" x14ac:dyDescent="0.2">
      <c r="A106" s="59" t="s">
        <v>163</v>
      </c>
      <c r="B106" s="58" t="s">
        <v>164</v>
      </c>
      <c r="C106" s="40">
        <f>[25]С4!F25</f>
        <v>0.35</v>
      </c>
    </row>
    <row r="107" spans="1:3" ht="17.25" x14ac:dyDescent="0.2">
      <c r="A107" s="59" t="s">
        <v>165</v>
      </c>
      <c r="B107" s="33" t="s">
        <v>166</v>
      </c>
      <c r="C107" s="34">
        <f>[25]С4!F26</f>
        <v>85.988129999999998</v>
      </c>
    </row>
    <row r="108" spans="1:3" ht="25.5" x14ac:dyDescent="0.2">
      <c r="A108" s="59" t="s">
        <v>167</v>
      </c>
      <c r="B108" s="53" t="s">
        <v>94</v>
      </c>
      <c r="C108" s="85">
        <f>[25]С4.3!E16</f>
        <v>0</v>
      </c>
    </row>
    <row r="109" spans="1:3" ht="25.5" x14ac:dyDescent="0.2">
      <c r="A109" s="59" t="s">
        <v>168</v>
      </c>
      <c r="B109" s="53" t="s">
        <v>169</v>
      </c>
      <c r="C109" s="34">
        <f>[25]С4.3!E17</f>
        <v>20.350000000000001</v>
      </c>
    </row>
    <row r="110" spans="1:3" ht="38.25" x14ac:dyDescent="0.2">
      <c r="A110" s="59" t="s">
        <v>170</v>
      </c>
      <c r="B110" s="53" t="s">
        <v>106</v>
      </c>
      <c r="C110" s="85">
        <f>[25]С4.3!E18</f>
        <v>0</v>
      </c>
    </row>
    <row r="111" spans="1:3" x14ac:dyDescent="0.2">
      <c r="A111" s="59" t="s">
        <v>171</v>
      </c>
      <c r="B111" s="53" t="s">
        <v>172</v>
      </c>
      <c r="C111" s="34">
        <f>[25]С4.3!E19</f>
        <v>71.67</v>
      </c>
    </row>
    <row r="112" spans="1:3" x14ac:dyDescent="0.2">
      <c r="A112" s="59" t="s">
        <v>173</v>
      </c>
      <c r="B112" s="58" t="s">
        <v>174</v>
      </c>
      <c r="C112" s="34">
        <f>[25]С4.3!E11</f>
        <v>1871</v>
      </c>
    </row>
    <row r="113" spans="1:3" x14ac:dyDescent="0.2">
      <c r="A113" s="59" t="s">
        <v>175</v>
      </c>
      <c r="B113" s="58" t="s">
        <v>176</v>
      </c>
      <c r="C113" s="52">
        <f>[25]С4.3!E12</f>
        <v>1636</v>
      </c>
    </row>
    <row r="114" spans="1:3" x14ac:dyDescent="0.2">
      <c r="A114" s="59" t="s">
        <v>177</v>
      </c>
      <c r="B114" s="58" t="s">
        <v>178</v>
      </c>
      <c r="C114" s="52">
        <f>[25]С4.3!E13</f>
        <v>204</v>
      </c>
    </row>
    <row r="115" spans="1:3" ht="30" x14ac:dyDescent="0.2">
      <c r="A115" s="59" t="s">
        <v>179</v>
      </c>
      <c r="B115" s="33" t="s">
        <v>180</v>
      </c>
      <c r="C115" s="34">
        <f>[25]С4!F27</f>
        <v>1291.2863994686898</v>
      </c>
    </row>
    <row r="116" spans="1:3" ht="25.5" x14ac:dyDescent="0.2">
      <c r="A116" s="59" t="s">
        <v>181</v>
      </c>
      <c r="B116" s="53" t="s">
        <v>182</v>
      </c>
      <c r="C116" s="34">
        <f>[25]С4!F28</f>
        <v>991.77142816335618</v>
      </c>
    </row>
    <row r="117" spans="1:3" ht="42.75" x14ac:dyDescent="0.2">
      <c r="A117" s="59" t="s">
        <v>183</v>
      </c>
      <c r="B117" s="53" t="s">
        <v>184</v>
      </c>
      <c r="C117" s="34">
        <f>[25]С4!F29</f>
        <v>299.51497130533357</v>
      </c>
    </row>
    <row r="118" spans="1:3" ht="30" x14ac:dyDescent="0.2">
      <c r="A118" s="59" t="s">
        <v>185</v>
      </c>
      <c r="B118" s="39" t="s">
        <v>186</v>
      </c>
      <c r="C118" s="34">
        <f>[25]С4!F30</f>
        <v>1610.7144256685356</v>
      </c>
    </row>
    <row r="119" spans="1:3" ht="42.75" x14ac:dyDescent="0.2">
      <c r="A119" s="59" t="s">
        <v>187</v>
      </c>
      <c r="B119" s="86" t="s">
        <v>188</v>
      </c>
      <c r="C119" s="34">
        <f>[25]С4!F33</f>
        <v>891.29411023856721</v>
      </c>
    </row>
    <row r="120" spans="1:3" ht="30" x14ac:dyDescent="0.2">
      <c r="A120" s="59" t="s">
        <v>189</v>
      </c>
      <c r="B120" s="87" t="s">
        <v>190</v>
      </c>
      <c r="C120" s="34">
        <f>[25]С4!F35</f>
        <v>17.040680999999999</v>
      </c>
    </row>
    <row r="121" spans="1:3" ht="14.25" x14ac:dyDescent="0.2">
      <c r="A121" s="59" t="s">
        <v>191</v>
      </c>
      <c r="B121" s="56" t="s">
        <v>192</v>
      </c>
      <c r="C121" s="34">
        <f>[25]С4!F36</f>
        <v>14319.9</v>
      </c>
    </row>
    <row r="122" spans="1:3" ht="28.5" thickBot="1" x14ac:dyDescent="0.25">
      <c r="A122" s="72" t="s">
        <v>193</v>
      </c>
      <c r="B122" s="88" t="s">
        <v>194</v>
      </c>
      <c r="C122" s="83">
        <f>[25]С4!F37</f>
        <v>1.19</v>
      </c>
    </row>
    <row r="123" spans="1:3" s="89" customFormat="1" ht="13.5" thickBot="1" x14ac:dyDescent="0.25">
      <c r="A123" s="47"/>
      <c r="B123" s="75"/>
      <c r="C123" s="15"/>
    </row>
    <row r="124" spans="1:3" s="63" customFormat="1" ht="30" customHeight="1" x14ac:dyDescent="0.2">
      <c r="A124" s="76" t="s">
        <v>195</v>
      </c>
      <c r="B124" s="122" t="s">
        <v>196</v>
      </c>
      <c r="C124" s="122"/>
    </row>
    <row r="125" spans="1:3" ht="16.5" thickBot="1" x14ac:dyDescent="0.25">
      <c r="A125" s="27" t="s">
        <v>197</v>
      </c>
      <c r="B125" s="90" t="s">
        <v>198</v>
      </c>
      <c r="C125" s="83">
        <f>[25]С5!F17</f>
        <v>0.02</v>
      </c>
    </row>
    <row r="126" spans="1:3" s="89" customFormat="1" ht="13.5" thickBot="1" x14ac:dyDescent="0.25">
      <c r="A126" s="47"/>
      <c r="B126" s="75"/>
      <c r="C126" s="15"/>
    </row>
    <row r="127" spans="1:3" ht="42.75" customHeight="1" x14ac:dyDescent="0.2">
      <c r="A127" s="84" t="s">
        <v>199</v>
      </c>
      <c r="B127" s="123" t="s">
        <v>200</v>
      </c>
      <c r="C127" s="123"/>
    </row>
    <row r="128" spans="1:3" ht="68.25" x14ac:dyDescent="0.2">
      <c r="A128" s="59" t="s">
        <v>201</v>
      </c>
      <c r="B128" s="91" t="s">
        <v>202</v>
      </c>
      <c r="C128" s="34" t="s">
        <v>203</v>
      </c>
    </row>
    <row r="129" spans="1:4" ht="42.75" hidden="1" x14ac:dyDescent="0.2">
      <c r="A129" s="59" t="s">
        <v>204</v>
      </c>
      <c r="B129" s="86" t="s">
        <v>205</v>
      </c>
      <c r="C129" s="92"/>
    </row>
    <row r="130" spans="1:4" ht="69" thickBot="1" x14ac:dyDescent="0.25">
      <c r="A130" s="72" t="s">
        <v>206</v>
      </c>
      <c r="B130" s="93" t="s">
        <v>207</v>
      </c>
      <c r="C130" s="94" t="s">
        <v>203</v>
      </c>
    </row>
    <row r="131" spans="1:4" ht="62.25" hidden="1" customHeight="1" x14ac:dyDescent="0.2">
      <c r="A131" s="95" t="s">
        <v>208</v>
      </c>
      <c r="B131" s="96" t="s">
        <v>209</v>
      </c>
      <c r="C131" s="97"/>
    </row>
    <row r="132" spans="1:4" ht="68.25" hidden="1" x14ac:dyDescent="0.2">
      <c r="A132" s="59" t="s">
        <v>210</v>
      </c>
      <c r="B132" s="86" t="s">
        <v>211</v>
      </c>
      <c r="C132" s="35"/>
    </row>
    <row r="133" spans="1:4" ht="69" hidden="1" thickBot="1" x14ac:dyDescent="0.25">
      <c r="A133" s="72" t="s">
        <v>212</v>
      </c>
      <c r="B133" s="98" t="s">
        <v>213</v>
      </c>
      <c r="C133" s="74"/>
    </row>
    <row r="134" spans="1:4" s="89" customFormat="1" ht="13.5" thickBot="1" x14ac:dyDescent="0.25">
      <c r="A134" s="47"/>
      <c r="B134" s="75"/>
      <c r="C134" s="15"/>
    </row>
    <row r="135" spans="1:4" ht="26.25" customHeight="1" x14ac:dyDescent="0.2">
      <c r="A135" s="84" t="s">
        <v>214</v>
      </c>
      <c r="B135" s="99" t="s">
        <v>215</v>
      </c>
      <c r="C135" s="100">
        <f>[25]С2!F37</f>
        <v>20.818139999999996</v>
      </c>
    </row>
    <row r="136" spans="1:4" ht="14.25" x14ac:dyDescent="0.2">
      <c r="A136" s="59" t="s">
        <v>216</v>
      </c>
      <c r="B136" s="101" t="s">
        <v>217</v>
      </c>
      <c r="C136" s="34">
        <f>[25]С2!F38</f>
        <v>7</v>
      </c>
    </row>
    <row r="137" spans="1:4" ht="17.25" x14ac:dyDescent="0.2">
      <c r="A137" s="59" t="s">
        <v>218</v>
      </c>
      <c r="B137" s="101" t="s">
        <v>219</v>
      </c>
      <c r="C137" s="34">
        <f>[25]С2!F40</f>
        <v>0.97</v>
      </c>
    </row>
    <row r="138" spans="1:4" ht="15" thickBot="1" x14ac:dyDescent="0.25">
      <c r="A138" s="72" t="s">
        <v>220</v>
      </c>
      <c r="B138" s="102" t="s">
        <v>221</v>
      </c>
      <c r="C138" s="46">
        <f>[25]С2!F42</f>
        <v>0.35</v>
      </c>
    </row>
    <row r="139" spans="1:4" s="89" customFormat="1" ht="13.5" thickBot="1" x14ac:dyDescent="0.25">
      <c r="A139" s="47"/>
      <c r="B139" s="75"/>
      <c r="C139" s="15"/>
    </row>
    <row r="140" spans="1:4" ht="30" x14ac:dyDescent="0.2">
      <c r="A140" s="84" t="s">
        <v>222</v>
      </c>
      <c r="B140" s="103" t="s">
        <v>223</v>
      </c>
      <c r="C140" s="104">
        <f>[25]С2!F35</f>
        <v>1.4976266307379205</v>
      </c>
      <c r="D140" s="89"/>
    </row>
    <row r="141" spans="1:4" ht="22.7" customHeight="1" thickBot="1" x14ac:dyDescent="0.25">
      <c r="A141" s="72" t="s">
        <v>224</v>
      </c>
      <c r="B141" s="118" t="s">
        <v>225</v>
      </c>
      <c r="C141" s="118"/>
      <c r="D141" s="89"/>
    </row>
    <row r="142" spans="1:4" ht="13.5" thickBot="1" x14ac:dyDescent="0.25">
      <c r="A142" s="106"/>
      <c r="B142" s="107" t="s">
        <v>226</v>
      </c>
      <c r="C142" s="108"/>
      <c r="D142" s="89"/>
    </row>
    <row r="143" spans="1:4" x14ac:dyDescent="0.2">
      <c r="A143" s="106"/>
      <c r="B143" s="109">
        <v>2020</v>
      </c>
      <c r="C143" s="110">
        <f>[25]С2.5!$E$11</f>
        <v>-2.9000000000000026E-2</v>
      </c>
      <c r="D143" s="89"/>
    </row>
    <row r="144" spans="1:4" x14ac:dyDescent="0.2">
      <c r="A144" s="106"/>
      <c r="B144" s="111">
        <f>B143+1</f>
        <v>2021</v>
      </c>
      <c r="C144" s="112">
        <f>[25]С2.5!$F$11</f>
        <v>0.245</v>
      </c>
      <c r="D144" s="89"/>
    </row>
    <row r="145" spans="1:4" x14ac:dyDescent="0.2">
      <c r="A145" s="106"/>
      <c r="B145" s="111">
        <f t="shared" ref="B145:B208" si="0">B144+1</f>
        <v>2022</v>
      </c>
      <c r="C145" s="112">
        <f>[25]С2.5!$G$11</f>
        <v>0.114</v>
      </c>
      <c r="D145" s="89"/>
    </row>
    <row r="146" spans="1:4" ht="13.5" thickBot="1" x14ac:dyDescent="0.25">
      <c r="A146" s="106"/>
      <c r="B146" s="113">
        <f t="shared" si="0"/>
        <v>2023</v>
      </c>
      <c r="C146" s="114">
        <f>[25]С2.5!$H$11</f>
        <v>2.4E-2</v>
      </c>
      <c r="D146" s="89"/>
    </row>
    <row r="147" spans="1:4" x14ac:dyDescent="0.2">
      <c r="A147" s="106"/>
      <c r="B147" s="115">
        <f t="shared" si="0"/>
        <v>2024</v>
      </c>
      <c r="C147" s="116">
        <f>[25]С2.5!$I$11</f>
        <v>8.5999999999999993E-2</v>
      </c>
      <c r="D147" s="89"/>
    </row>
    <row r="148" spans="1:4" hidden="1" x14ac:dyDescent="0.2">
      <c r="A148" s="106"/>
      <c r="B148" s="111">
        <f t="shared" si="0"/>
        <v>2025</v>
      </c>
      <c r="C148" s="112">
        <f>[25]С2.5!$J$11</f>
        <v>0.21215960863291</v>
      </c>
      <c r="D148" s="89"/>
    </row>
    <row r="149" spans="1:4" hidden="1" x14ac:dyDescent="0.2">
      <c r="A149" s="106"/>
      <c r="B149" s="111">
        <f t="shared" si="0"/>
        <v>2026</v>
      </c>
      <c r="C149" s="112">
        <f>[25]С2.5!$K$11</f>
        <v>3.5813361771260002E-2</v>
      </c>
      <c r="D149" s="89"/>
    </row>
    <row r="150" spans="1:4" hidden="1" x14ac:dyDescent="0.2">
      <c r="A150" s="106"/>
      <c r="B150" s="111">
        <f t="shared" si="0"/>
        <v>2027</v>
      </c>
      <c r="C150" s="112">
        <f>[25]С2.5!$L$11</f>
        <v>3.2682303599220003E-2</v>
      </c>
      <c r="D150" s="89"/>
    </row>
    <row r="151" spans="1:4" hidden="1" x14ac:dyDescent="0.2">
      <c r="A151" s="106"/>
      <c r="B151" s="111">
        <f t="shared" si="0"/>
        <v>2028</v>
      </c>
      <c r="C151" s="112">
        <f>[25]С2.5!$M$11</f>
        <v>0</v>
      </c>
      <c r="D151" s="89"/>
    </row>
    <row r="152" spans="1:4" hidden="1" x14ac:dyDescent="0.2">
      <c r="A152" s="106"/>
      <c r="B152" s="111">
        <f t="shared" si="0"/>
        <v>2029</v>
      </c>
      <c r="C152" s="112">
        <f>[25]С2.5!$N$11</f>
        <v>0</v>
      </c>
      <c r="D152" s="89"/>
    </row>
    <row r="153" spans="1:4" hidden="1" x14ac:dyDescent="0.2">
      <c r="A153" s="106"/>
      <c r="B153" s="111">
        <f t="shared" si="0"/>
        <v>2030</v>
      </c>
      <c r="C153" s="112">
        <f>[25]С2.5!$O$11</f>
        <v>0</v>
      </c>
      <c r="D153" s="89"/>
    </row>
    <row r="154" spans="1:4" hidden="1" x14ac:dyDescent="0.2">
      <c r="A154" s="106"/>
      <c r="B154" s="111">
        <f t="shared" si="0"/>
        <v>2031</v>
      </c>
      <c r="C154" s="112">
        <f>[25]С2.5!$P$11</f>
        <v>0</v>
      </c>
      <c r="D154" s="89"/>
    </row>
    <row r="155" spans="1:4" hidden="1" x14ac:dyDescent="0.2">
      <c r="A155" s="89"/>
      <c r="B155" s="111">
        <f t="shared" si="0"/>
        <v>2032</v>
      </c>
      <c r="C155" s="112">
        <f>[25]С2.5!$Q$11</f>
        <v>0</v>
      </c>
      <c r="D155" s="89"/>
    </row>
    <row r="156" spans="1:4" hidden="1" x14ac:dyDescent="0.2">
      <c r="A156" s="89"/>
      <c r="B156" s="111">
        <f t="shared" si="0"/>
        <v>2033</v>
      </c>
      <c r="C156" s="112">
        <f>[25]С2.5!$R$11</f>
        <v>0</v>
      </c>
      <c r="D156" s="89"/>
    </row>
    <row r="157" spans="1:4" hidden="1" x14ac:dyDescent="0.2">
      <c r="B157" s="111">
        <f t="shared" si="0"/>
        <v>2034</v>
      </c>
      <c r="C157" s="112">
        <f>[25]С2.5!$S$11</f>
        <v>0</v>
      </c>
    </row>
    <row r="158" spans="1:4" hidden="1" x14ac:dyDescent="0.2">
      <c r="B158" s="111">
        <f t="shared" si="0"/>
        <v>2035</v>
      </c>
      <c r="C158" s="112">
        <f>[25]С2.5!$T$11</f>
        <v>0</v>
      </c>
    </row>
    <row r="159" spans="1:4" hidden="1" x14ac:dyDescent="0.2">
      <c r="B159" s="111">
        <f t="shared" si="0"/>
        <v>2036</v>
      </c>
      <c r="C159" s="112">
        <f>[25]С2.5!$U$11</f>
        <v>0</v>
      </c>
    </row>
    <row r="160" spans="1:4" hidden="1" x14ac:dyDescent="0.2">
      <c r="B160" s="111">
        <f t="shared" si="0"/>
        <v>2037</v>
      </c>
      <c r="C160" s="112">
        <f>[25]С2.5!$V$11</f>
        <v>0</v>
      </c>
    </row>
    <row r="161" spans="2:3" hidden="1" x14ac:dyDescent="0.2">
      <c r="B161" s="111">
        <f t="shared" si="0"/>
        <v>2038</v>
      </c>
      <c r="C161" s="112">
        <f>[25]С2.5!$W$11</f>
        <v>0</v>
      </c>
    </row>
    <row r="162" spans="2:3" hidden="1" x14ac:dyDescent="0.2">
      <c r="B162" s="111">
        <f t="shared" si="0"/>
        <v>2039</v>
      </c>
      <c r="C162" s="112">
        <f>[25]С2.5!$X$11</f>
        <v>0</v>
      </c>
    </row>
    <row r="163" spans="2:3" hidden="1" x14ac:dyDescent="0.2">
      <c r="B163" s="111">
        <f t="shared" si="0"/>
        <v>2040</v>
      </c>
      <c r="C163" s="112">
        <f>[25]С2.5!$Y$11</f>
        <v>0</v>
      </c>
    </row>
    <row r="164" spans="2:3" hidden="1" x14ac:dyDescent="0.2">
      <c r="B164" s="111">
        <f t="shared" si="0"/>
        <v>2041</v>
      </c>
      <c r="C164" s="112">
        <f>[25]С2.5!$Z$11</f>
        <v>0</v>
      </c>
    </row>
    <row r="165" spans="2:3" hidden="1" x14ac:dyDescent="0.2">
      <c r="B165" s="111">
        <f t="shared" si="0"/>
        <v>2042</v>
      </c>
      <c r="C165" s="112">
        <f>[25]С2.5!$AA$11</f>
        <v>0</v>
      </c>
    </row>
    <row r="166" spans="2:3" hidden="1" x14ac:dyDescent="0.2">
      <c r="B166" s="111">
        <f t="shared" si="0"/>
        <v>2043</v>
      </c>
      <c r="C166" s="112">
        <f>[25]С2.5!$AB$11</f>
        <v>0</v>
      </c>
    </row>
    <row r="167" spans="2:3" hidden="1" x14ac:dyDescent="0.2">
      <c r="B167" s="111">
        <f t="shared" si="0"/>
        <v>2044</v>
      </c>
      <c r="C167" s="112">
        <f>[25]С2.5!$AC$11</f>
        <v>0</v>
      </c>
    </row>
    <row r="168" spans="2:3" hidden="1" x14ac:dyDescent="0.2">
      <c r="B168" s="111">
        <f t="shared" si="0"/>
        <v>2045</v>
      </c>
      <c r="C168" s="112">
        <f>[25]С2.5!$AD$11</f>
        <v>0</v>
      </c>
    </row>
    <row r="169" spans="2:3" hidden="1" x14ac:dyDescent="0.2">
      <c r="B169" s="111">
        <f t="shared" si="0"/>
        <v>2046</v>
      </c>
      <c r="C169" s="112">
        <f>[25]С2.5!$AE$11</f>
        <v>0</v>
      </c>
    </row>
    <row r="170" spans="2:3" hidden="1" x14ac:dyDescent="0.2">
      <c r="B170" s="111">
        <f t="shared" si="0"/>
        <v>2047</v>
      </c>
      <c r="C170" s="112">
        <f>[25]С2.5!$AF$11</f>
        <v>0</v>
      </c>
    </row>
    <row r="171" spans="2:3" hidden="1" x14ac:dyDescent="0.2">
      <c r="B171" s="111">
        <f t="shared" si="0"/>
        <v>2048</v>
      </c>
      <c r="C171" s="112">
        <f>[25]С2.5!$AG$11</f>
        <v>0</v>
      </c>
    </row>
    <row r="172" spans="2:3" hidden="1" x14ac:dyDescent="0.2">
      <c r="B172" s="111">
        <f t="shared" si="0"/>
        <v>2049</v>
      </c>
      <c r="C172" s="112">
        <f>[25]С2.5!$AH$11</f>
        <v>0</v>
      </c>
    </row>
    <row r="173" spans="2:3" hidden="1" x14ac:dyDescent="0.2">
      <c r="B173" s="111">
        <f t="shared" si="0"/>
        <v>2050</v>
      </c>
      <c r="C173" s="112">
        <f>[25]С2.5!$AI$11</f>
        <v>0</v>
      </c>
    </row>
    <row r="174" spans="2:3" hidden="1" x14ac:dyDescent="0.2">
      <c r="B174" s="111">
        <f t="shared" si="0"/>
        <v>2051</v>
      </c>
      <c r="C174" s="112">
        <f>[25]С2.5!$AJ$11</f>
        <v>0</v>
      </c>
    </row>
    <row r="175" spans="2:3" hidden="1" x14ac:dyDescent="0.2">
      <c r="B175" s="111">
        <f t="shared" si="0"/>
        <v>2052</v>
      </c>
      <c r="C175" s="112">
        <f>[25]С2.5!$AK$11</f>
        <v>0</v>
      </c>
    </row>
    <row r="176" spans="2:3" hidden="1" x14ac:dyDescent="0.2">
      <c r="B176" s="111">
        <f t="shared" si="0"/>
        <v>2053</v>
      </c>
      <c r="C176" s="112">
        <f>[25]С2.5!$AL$11</f>
        <v>0</v>
      </c>
    </row>
    <row r="177" spans="2:3" hidden="1" x14ac:dyDescent="0.2">
      <c r="B177" s="111">
        <f t="shared" si="0"/>
        <v>2054</v>
      </c>
      <c r="C177" s="112">
        <f>[25]С2.5!$AM$11</f>
        <v>0</v>
      </c>
    </row>
    <row r="178" spans="2:3" hidden="1" x14ac:dyDescent="0.2">
      <c r="B178" s="111">
        <f t="shared" si="0"/>
        <v>2055</v>
      </c>
      <c r="C178" s="112">
        <f>[25]С2.5!$AN$11</f>
        <v>0</v>
      </c>
    </row>
    <row r="179" spans="2:3" hidden="1" x14ac:dyDescent="0.2">
      <c r="B179" s="111">
        <f t="shared" si="0"/>
        <v>2056</v>
      </c>
      <c r="C179" s="112">
        <f>[25]С2.5!$AO$11</f>
        <v>0</v>
      </c>
    </row>
    <row r="180" spans="2:3" hidden="1" x14ac:dyDescent="0.2">
      <c r="B180" s="111">
        <f t="shared" si="0"/>
        <v>2057</v>
      </c>
      <c r="C180" s="112">
        <f>[25]С2.5!$AP$11</f>
        <v>0</v>
      </c>
    </row>
    <row r="181" spans="2:3" hidden="1" x14ac:dyDescent="0.2">
      <c r="B181" s="111">
        <f t="shared" si="0"/>
        <v>2058</v>
      </c>
      <c r="C181" s="112">
        <f>[25]С2.5!$AQ$11</f>
        <v>0</v>
      </c>
    </row>
    <row r="182" spans="2:3" hidden="1" x14ac:dyDescent="0.2">
      <c r="B182" s="111">
        <f t="shared" si="0"/>
        <v>2059</v>
      </c>
      <c r="C182" s="112">
        <f>[25]С2.5!$AR$11</f>
        <v>0</v>
      </c>
    </row>
    <row r="183" spans="2:3" hidden="1" x14ac:dyDescent="0.2">
      <c r="B183" s="111">
        <f t="shared" si="0"/>
        <v>2060</v>
      </c>
      <c r="C183" s="112">
        <f>[25]С2.5!$AS$11</f>
        <v>0</v>
      </c>
    </row>
    <row r="184" spans="2:3" hidden="1" x14ac:dyDescent="0.2">
      <c r="B184" s="111">
        <f t="shared" si="0"/>
        <v>2061</v>
      </c>
      <c r="C184" s="112">
        <f>[25]С2.5!$AT$11</f>
        <v>0</v>
      </c>
    </row>
    <row r="185" spans="2:3" hidden="1" x14ac:dyDescent="0.2">
      <c r="B185" s="111">
        <f t="shared" si="0"/>
        <v>2062</v>
      </c>
      <c r="C185" s="112">
        <f>[25]С2.5!$AU$11</f>
        <v>0</v>
      </c>
    </row>
    <row r="186" spans="2:3" hidden="1" x14ac:dyDescent="0.2">
      <c r="B186" s="111">
        <f t="shared" si="0"/>
        <v>2063</v>
      </c>
      <c r="C186" s="112">
        <f>[25]С2.5!$AV$11</f>
        <v>0</v>
      </c>
    </row>
    <row r="187" spans="2:3" hidden="1" x14ac:dyDescent="0.2">
      <c r="B187" s="111">
        <f t="shared" si="0"/>
        <v>2064</v>
      </c>
      <c r="C187" s="112">
        <f>[25]С2.5!$AW$11</f>
        <v>0</v>
      </c>
    </row>
    <row r="188" spans="2:3" hidden="1" x14ac:dyDescent="0.2">
      <c r="B188" s="111">
        <f t="shared" si="0"/>
        <v>2065</v>
      </c>
      <c r="C188" s="112">
        <f>[25]С2.5!$AX$11</f>
        <v>0</v>
      </c>
    </row>
    <row r="189" spans="2:3" hidden="1" x14ac:dyDescent="0.2">
      <c r="B189" s="111">
        <f t="shared" si="0"/>
        <v>2066</v>
      </c>
      <c r="C189" s="112">
        <f>[25]С2.5!$AY$11</f>
        <v>0</v>
      </c>
    </row>
    <row r="190" spans="2:3" hidden="1" x14ac:dyDescent="0.2">
      <c r="B190" s="111">
        <f t="shared" si="0"/>
        <v>2067</v>
      </c>
      <c r="C190" s="112">
        <f>[25]С2.5!$AZ$11</f>
        <v>0</v>
      </c>
    </row>
    <row r="191" spans="2:3" hidden="1" x14ac:dyDescent="0.2">
      <c r="B191" s="111">
        <f t="shared" si="0"/>
        <v>2068</v>
      </c>
      <c r="C191" s="112">
        <f>[25]С2.5!$BA$11</f>
        <v>0</v>
      </c>
    </row>
    <row r="192" spans="2:3" hidden="1" x14ac:dyDescent="0.2">
      <c r="B192" s="111">
        <f t="shared" si="0"/>
        <v>2069</v>
      </c>
      <c r="C192" s="112">
        <f>[25]С2.5!$BB$11</f>
        <v>0</v>
      </c>
    </row>
    <row r="193" spans="2:3" hidden="1" x14ac:dyDescent="0.2">
      <c r="B193" s="111">
        <f t="shared" si="0"/>
        <v>2070</v>
      </c>
      <c r="C193" s="112">
        <f>[25]С2.5!$BC$11</f>
        <v>0</v>
      </c>
    </row>
    <row r="194" spans="2:3" hidden="1" x14ac:dyDescent="0.2">
      <c r="B194" s="111">
        <f t="shared" si="0"/>
        <v>2071</v>
      </c>
      <c r="C194" s="112">
        <f>[25]С2.5!$BD$11</f>
        <v>0</v>
      </c>
    </row>
    <row r="195" spans="2:3" hidden="1" x14ac:dyDescent="0.2">
      <c r="B195" s="111">
        <f t="shared" si="0"/>
        <v>2072</v>
      </c>
      <c r="C195" s="112">
        <f>[25]С2.5!$BE$11</f>
        <v>0</v>
      </c>
    </row>
    <row r="196" spans="2:3" hidden="1" x14ac:dyDescent="0.2">
      <c r="B196" s="111">
        <f t="shared" si="0"/>
        <v>2073</v>
      </c>
      <c r="C196" s="112">
        <f>[25]С2.5!$BF$11</f>
        <v>0</v>
      </c>
    </row>
    <row r="197" spans="2:3" hidden="1" x14ac:dyDescent="0.2">
      <c r="B197" s="111">
        <f t="shared" si="0"/>
        <v>2074</v>
      </c>
      <c r="C197" s="112">
        <f>[25]С2.5!$BG$11</f>
        <v>0</v>
      </c>
    </row>
    <row r="198" spans="2:3" hidden="1" x14ac:dyDescent="0.2">
      <c r="B198" s="111">
        <f t="shared" si="0"/>
        <v>2075</v>
      </c>
      <c r="C198" s="112">
        <f>[25]С2.5!$BH$11</f>
        <v>0</v>
      </c>
    </row>
    <row r="199" spans="2:3" hidden="1" x14ac:dyDescent="0.2">
      <c r="B199" s="111">
        <f t="shared" si="0"/>
        <v>2076</v>
      </c>
      <c r="C199" s="112">
        <f>[25]С2.5!$BI$11</f>
        <v>0</v>
      </c>
    </row>
    <row r="200" spans="2:3" hidden="1" x14ac:dyDescent="0.2">
      <c r="B200" s="111">
        <f t="shared" si="0"/>
        <v>2077</v>
      </c>
      <c r="C200" s="112">
        <f>[25]С2.5!$BJ$11</f>
        <v>0</v>
      </c>
    </row>
    <row r="201" spans="2:3" hidden="1" x14ac:dyDescent="0.2">
      <c r="B201" s="111">
        <f t="shared" si="0"/>
        <v>2078</v>
      </c>
      <c r="C201" s="112">
        <f>[25]С2.5!$BK$11</f>
        <v>0</v>
      </c>
    </row>
    <row r="202" spans="2:3" hidden="1" x14ac:dyDescent="0.2">
      <c r="B202" s="111">
        <f t="shared" si="0"/>
        <v>2079</v>
      </c>
      <c r="C202" s="112">
        <f>[25]С2.5!$BL$11</f>
        <v>0</v>
      </c>
    </row>
    <row r="203" spans="2:3" hidden="1" x14ac:dyDescent="0.2">
      <c r="B203" s="111">
        <f t="shared" si="0"/>
        <v>2080</v>
      </c>
      <c r="C203" s="112">
        <f>[25]С2.5!$BM$11</f>
        <v>0</v>
      </c>
    </row>
    <row r="204" spans="2:3" hidden="1" x14ac:dyDescent="0.2">
      <c r="B204" s="111">
        <f t="shared" si="0"/>
        <v>2081</v>
      </c>
      <c r="C204" s="112">
        <f>[25]С2.5!$BN$11</f>
        <v>0</v>
      </c>
    </row>
    <row r="205" spans="2:3" hidden="1" x14ac:dyDescent="0.2">
      <c r="B205" s="111">
        <f t="shared" si="0"/>
        <v>2082</v>
      </c>
      <c r="C205" s="112">
        <f>[25]С2.5!$BO$11</f>
        <v>0</v>
      </c>
    </row>
    <row r="206" spans="2:3" hidden="1" x14ac:dyDescent="0.2">
      <c r="B206" s="111">
        <f t="shared" si="0"/>
        <v>2083</v>
      </c>
      <c r="C206" s="112">
        <f>[25]С2.5!$BP$11</f>
        <v>0</v>
      </c>
    </row>
    <row r="207" spans="2:3" hidden="1" x14ac:dyDescent="0.2">
      <c r="B207" s="111">
        <f t="shared" si="0"/>
        <v>2084</v>
      </c>
      <c r="C207" s="112">
        <f>[25]С2.5!$BQ$11</f>
        <v>0</v>
      </c>
    </row>
    <row r="208" spans="2:3" hidden="1" x14ac:dyDescent="0.2">
      <c r="B208" s="111">
        <f t="shared" si="0"/>
        <v>2085</v>
      </c>
      <c r="C208" s="112">
        <f>[25]С2.5!$BR$11</f>
        <v>0</v>
      </c>
    </row>
    <row r="209" spans="2:3" hidden="1" x14ac:dyDescent="0.2">
      <c r="B209" s="111">
        <f t="shared" ref="B209:B223" si="1">B208+1</f>
        <v>2086</v>
      </c>
      <c r="C209" s="112">
        <f>[25]С2.5!$BS$11</f>
        <v>0</v>
      </c>
    </row>
    <row r="210" spans="2:3" hidden="1" x14ac:dyDescent="0.2">
      <c r="B210" s="111">
        <f t="shared" si="1"/>
        <v>2087</v>
      </c>
      <c r="C210" s="112">
        <f>[25]С2.5!$BT$11</f>
        <v>0</v>
      </c>
    </row>
    <row r="211" spans="2:3" hidden="1" x14ac:dyDescent="0.2">
      <c r="B211" s="111">
        <f t="shared" si="1"/>
        <v>2088</v>
      </c>
      <c r="C211" s="112">
        <f>[25]С2.5!$BU$11</f>
        <v>0</v>
      </c>
    </row>
    <row r="212" spans="2:3" hidden="1" x14ac:dyDescent="0.2">
      <c r="B212" s="111">
        <f t="shared" si="1"/>
        <v>2089</v>
      </c>
      <c r="C212" s="112">
        <f>[25]С2.5!$BV$11</f>
        <v>0</v>
      </c>
    </row>
    <row r="213" spans="2:3" hidden="1" x14ac:dyDescent="0.2">
      <c r="B213" s="111">
        <f t="shared" si="1"/>
        <v>2090</v>
      </c>
      <c r="C213" s="112">
        <f>[25]С2.5!$BW$11</f>
        <v>0</v>
      </c>
    </row>
    <row r="214" spans="2:3" hidden="1" x14ac:dyDescent="0.2">
      <c r="B214" s="111">
        <f t="shared" si="1"/>
        <v>2091</v>
      </c>
      <c r="C214" s="112">
        <f>[25]С2.5!$BX$11</f>
        <v>0</v>
      </c>
    </row>
    <row r="215" spans="2:3" hidden="1" x14ac:dyDescent="0.2">
      <c r="B215" s="111">
        <f t="shared" si="1"/>
        <v>2092</v>
      </c>
      <c r="C215" s="112">
        <f>[25]С2.5!$BY$11</f>
        <v>0</v>
      </c>
    </row>
    <row r="216" spans="2:3" hidden="1" x14ac:dyDescent="0.2">
      <c r="B216" s="111">
        <f t="shared" si="1"/>
        <v>2093</v>
      </c>
      <c r="C216" s="112">
        <f>[25]С2.5!$BZ$11</f>
        <v>0</v>
      </c>
    </row>
    <row r="217" spans="2:3" hidden="1" x14ac:dyDescent="0.2">
      <c r="B217" s="111">
        <f t="shared" si="1"/>
        <v>2094</v>
      </c>
      <c r="C217" s="112">
        <f>[25]С2.5!$CA$11</f>
        <v>0</v>
      </c>
    </row>
    <row r="218" spans="2:3" hidden="1" x14ac:dyDescent="0.2">
      <c r="B218" s="111">
        <f t="shared" si="1"/>
        <v>2095</v>
      </c>
      <c r="C218" s="112">
        <f>[25]С2.5!$CB$11</f>
        <v>0</v>
      </c>
    </row>
    <row r="219" spans="2:3" hidden="1" x14ac:dyDescent="0.2">
      <c r="B219" s="111">
        <f t="shared" si="1"/>
        <v>2096</v>
      </c>
      <c r="C219" s="112">
        <f>[25]С2.5!$CC$11</f>
        <v>0</v>
      </c>
    </row>
    <row r="220" spans="2:3" hidden="1" x14ac:dyDescent="0.2">
      <c r="B220" s="111">
        <f t="shared" si="1"/>
        <v>2097</v>
      </c>
      <c r="C220" s="112">
        <f>[25]С2.5!$CD$11</f>
        <v>0</v>
      </c>
    </row>
    <row r="221" spans="2:3" hidden="1" x14ac:dyDescent="0.2">
      <c r="B221" s="111">
        <f t="shared" si="1"/>
        <v>2098</v>
      </c>
      <c r="C221" s="112">
        <f>[25]С2.5!$CE$11</f>
        <v>0</v>
      </c>
    </row>
    <row r="222" spans="2:3" hidden="1" x14ac:dyDescent="0.2">
      <c r="B222" s="111">
        <f t="shared" si="1"/>
        <v>2099</v>
      </c>
      <c r="C222" s="112">
        <f>[25]С2.5!$CF$11</f>
        <v>0</v>
      </c>
    </row>
    <row r="223" spans="2:3" ht="13.5" hidden="1" thickBot="1" x14ac:dyDescent="0.25">
      <c r="B223" s="113">
        <f t="shared" si="1"/>
        <v>2100</v>
      </c>
      <c r="C223" s="114">
        <f>[25]С2.5!$CG$11</f>
        <v>0</v>
      </c>
    </row>
    <row r="224" spans="2:3" hidden="1" x14ac:dyDescent="0.2">
      <c r="C224" s="117"/>
    </row>
    <row r="225" spans="3:3" hidden="1" x14ac:dyDescent="0.2">
      <c r="C225" s="117"/>
    </row>
    <row r="226" spans="3:3" x14ac:dyDescent="0.2">
      <c r="C226" s="117"/>
    </row>
  </sheetData>
  <mergeCells count="9">
    <mergeCell ref="B141:C141"/>
    <mergeCell ref="A14:C14"/>
    <mergeCell ref="B1:C1"/>
    <mergeCell ref="B27:C27"/>
    <mergeCell ref="B40:C40"/>
    <mergeCell ref="B84:C84"/>
    <mergeCell ref="B95:C95"/>
    <mergeCell ref="B124:C124"/>
    <mergeCell ref="B127:C127"/>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3313" r:id="rId3" name="Button 1">
              <controlPr defaultSize="0" print="0" autoFill="0" autoPict="0" macro="[26]!Лист29.PrintBlock">
                <anchor moveWithCells="1" sizeWithCells="1">
                  <from>
                    <xdr:col>3</xdr:col>
                    <xdr:colOff>0</xdr:colOff>
                    <xdr:row>0</xdr:row>
                    <xdr:rowOff>85725</xdr:rowOff>
                  </from>
                  <to>
                    <xdr:col>4</xdr:col>
                    <xdr:colOff>0</xdr:colOff>
                    <xdr:row>0</xdr:row>
                    <xdr:rowOff>238125</xdr:rowOff>
                  </to>
                </anchor>
              </controlPr>
            </control>
          </mc:Choice>
        </mc:AlternateContent>
        <mc:AlternateContent xmlns:mc="http://schemas.openxmlformats.org/markup-compatibility/2006">
          <mc:Choice Requires="x14">
            <control shapeId="13314" r:id="rId4" name="Button 2">
              <controlPr defaultSize="0" print="0" autoFill="0" autoPict="0" macro="[25]!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tabSelected="1" workbookViewId="0">
      <selection activeCell="C2" sqref="C2"/>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20" t="s">
        <v>0</v>
      </c>
      <c r="C1" s="120"/>
    </row>
    <row r="2" spans="1:3" x14ac:dyDescent="0.2">
      <c r="A2" s="3"/>
      <c r="B2" s="4" t="s">
        <v>1</v>
      </c>
      <c r="C2" s="5">
        <v>45317</v>
      </c>
    </row>
    <row r="3" spans="1:3" x14ac:dyDescent="0.2">
      <c r="A3" s="3"/>
      <c r="B3" s="6" t="s">
        <v>2</v>
      </c>
    </row>
    <row r="4" spans="1:3" ht="25.5" x14ac:dyDescent="0.2">
      <c r="A4" s="8"/>
      <c r="B4" s="9" t="str">
        <f>[27]И1!D13</f>
        <v>Субъект Российской Федерации</v>
      </c>
      <c r="C4" s="10" t="str">
        <f>[27]И1!E13</f>
        <v>Новосибирская область</v>
      </c>
    </row>
    <row r="5" spans="1:3" ht="46.9" customHeight="1" x14ac:dyDescent="0.2">
      <c r="A5" s="8"/>
      <c r="B5" s="9" t="str">
        <f>[27]И1!D14</f>
        <v>Тип муниципального образования (выберите из списка)</v>
      </c>
      <c r="C5" s="10" t="str">
        <f>[27]И1!E14</f>
        <v>село Шарчино, Сузунский муниципальный район</v>
      </c>
    </row>
    <row r="6" spans="1:3" x14ac:dyDescent="0.2">
      <c r="A6" s="8"/>
      <c r="B6" s="9" t="str">
        <f>IF([27]И1!E15="","",[27]И1!D15)</f>
        <v/>
      </c>
      <c r="C6" s="10" t="str">
        <f>IF([27]И1!E15="","",[27]И1!E15)</f>
        <v/>
      </c>
    </row>
    <row r="7" spans="1:3" x14ac:dyDescent="0.2">
      <c r="A7" s="8"/>
      <c r="B7" s="9" t="str">
        <f>[27]И1!D16</f>
        <v>Код ОКТМО</v>
      </c>
      <c r="C7" s="11" t="str">
        <f>[27]И1!E16</f>
        <v xml:space="preserve"> (50648437101)</v>
      </c>
    </row>
    <row r="8" spans="1:3" x14ac:dyDescent="0.2">
      <c r="A8" s="8"/>
      <c r="B8" s="12" t="str">
        <f>[27]И1!D17</f>
        <v>Система теплоснабжения</v>
      </c>
      <c r="C8" s="13">
        <f>[27]И1!E17</f>
        <v>0</v>
      </c>
    </row>
    <row r="9" spans="1:3" x14ac:dyDescent="0.2">
      <c r="A9" s="8"/>
      <c r="B9" s="9" t="str">
        <f>[27]И1!D8</f>
        <v>Период регулирования (i)-й</v>
      </c>
      <c r="C9" s="14">
        <f>[27]И1!E8</f>
        <v>2024</v>
      </c>
    </row>
    <row r="10" spans="1:3" x14ac:dyDescent="0.2">
      <c r="A10" s="8"/>
      <c r="B10" s="9" t="str">
        <f>[27]И1!D9</f>
        <v>Период регулирования (i-1)-й</v>
      </c>
      <c r="C10" s="14">
        <f>[27]И1!E9</f>
        <v>2023</v>
      </c>
    </row>
    <row r="11" spans="1:3" x14ac:dyDescent="0.2">
      <c r="A11" s="8"/>
      <c r="B11" s="9" t="str">
        <f>[27]И1!D10</f>
        <v>Период регулирования (i-2)-й</v>
      </c>
      <c r="C11" s="14">
        <f>[27]И1!E10</f>
        <v>2022</v>
      </c>
    </row>
    <row r="12" spans="1:3" x14ac:dyDescent="0.2">
      <c r="A12" s="8"/>
      <c r="B12" s="9" t="str">
        <f>[27]И1!D11</f>
        <v>Базовый год (б)</v>
      </c>
      <c r="C12" s="14">
        <f>[27]И1!E11</f>
        <v>2019</v>
      </c>
    </row>
    <row r="13" spans="1:3" ht="38.25" x14ac:dyDescent="0.2">
      <c r="A13" s="8"/>
      <c r="B13" s="9" t="str">
        <f>[27]И1!D18</f>
        <v>Вид топлива, использование которого преобладает в системе теплоснабжения</v>
      </c>
      <c r="C13" s="15" t="str">
        <f>[27]С1.1!E13</f>
        <v>уголь (вид угля не указан в топливном балансе)</v>
      </c>
    </row>
    <row r="14" spans="1:3" ht="31.7" customHeight="1" thickBot="1" x14ac:dyDescent="0.25">
      <c r="A14" s="119" t="s">
        <v>3</v>
      </c>
      <c r="B14" s="119"/>
      <c r="C14" s="119"/>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3696.0596263005709</v>
      </c>
    </row>
    <row r="18" spans="1:3" ht="42.75" x14ac:dyDescent="0.2">
      <c r="A18" s="22" t="s">
        <v>8</v>
      </c>
      <c r="B18" s="25" t="s">
        <v>9</v>
      </c>
      <c r="C18" s="26">
        <f>[27]С1!F12</f>
        <v>716.94537052020712</v>
      </c>
    </row>
    <row r="19" spans="1:3" ht="42.75" x14ac:dyDescent="0.2">
      <c r="A19" s="22" t="s">
        <v>10</v>
      </c>
      <c r="B19" s="25" t="s">
        <v>11</v>
      </c>
      <c r="C19" s="26">
        <f>[27]С2!F12</f>
        <v>1990.8616285605142</v>
      </c>
    </row>
    <row r="20" spans="1:3" ht="30" x14ac:dyDescent="0.2">
      <c r="A20" s="22" t="s">
        <v>12</v>
      </c>
      <c r="B20" s="25" t="s">
        <v>13</v>
      </c>
      <c r="C20" s="26">
        <f>[27]С3!F12</f>
        <v>473.18998182045129</v>
      </c>
    </row>
    <row r="21" spans="1:3" ht="42.75" x14ac:dyDescent="0.2">
      <c r="A21" s="22" t="s">
        <v>14</v>
      </c>
      <c r="B21" s="25" t="s">
        <v>15</v>
      </c>
      <c r="C21" s="26">
        <f>[27]С4!F12</f>
        <v>442.59088802095584</v>
      </c>
    </row>
    <row r="22" spans="1:3" ht="30" x14ac:dyDescent="0.2">
      <c r="A22" s="22" t="s">
        <v>16</v>
      </c>
      <c r="B22" s="25" t="s">
        <v>17</v>
      </c>
      <c r="C22" s="26">
        <f>[27]С5!F12</f>
        <v>72.471757378442575</v>
      </c>
    </row>
    <row r="23" spans="1:3" ht="43.5" thickBot="1" x14ac:dyDescent="0.25">
      <c r="A23" s="27" t="s">
        <v>18</v>
      </c>
      <c r="B23" s="105" t="s">
        <v>19</v>
      </c>
      <c r="C23" s="28" t="str">
        <f>[27]С6!F12</f>
        <v>-</v>
      </c>
    </row>
    <row r="24" spans="1:3" ht="13.5" thickBot="1" x14ac:dyDescent="0.25">
      <c r="A24" s="3"/>
    </row>
    <row r="25" spans="1:3" x14ac:dyDescent="0.2">
      <c r="A25" s="16" t="s">
        <v>4</v>
      </c>
      <c r="B25" s="29" t="s">
        <v>5</v>
      </c>
      <c r="C25" s="30" t="s">
        <v>6</v>
      </c>
    </row>
    <row r="26" spans="1:3" x14ac:dyDescent="0.2">
      <c r="A26" s="19">
        <v>1</v>
      </c>
      <c r="B26" s="31">
        <v>2</v>
      </c>
      <c r="C26" s="32">
        <v>3</v>
      </c>
    </row>
    <row r="27" spans="1:3" ht="30" customHeight="1" x14ac:dyDescent="0.2">
      <c r="A27" s="22">
        <v>1</v>
      </c>
      <c r="B27" s="121" t="s">
        <v>20</v>
      </c>
      <c r="C27" s="121"/>
    </row>
    <row r="28" spans="1:3" x14ac:dyDescent="0.2">
      <c r="A28" s="22" t="s">
        <v>8</v>
      </c>
      <c r="B28" s="33" t="s">
        <v>21</v>
      </c>
      <c r="C28" s="34">
        <f>[27]С1.1!E16</f>
        <v>5100</v>
      </c>
    </row>
    <row r="29" spans="1:3" ht="42.75" x14ac:dyDescent="0.2">
      <c r="A29" s="22" t="s">
        <v>10</v>
      </c>
      <c r="B29" s="33" t="s">
        <v>22</v>
      </c>
      <c r="C29" s="34">
        <f>[27]С1.1!E27</f>
        <v>3221.2666666666669</v>
      </c>
    </row>
    <row r="30" spans="1:3" ht="17.25" x14ac:dyDescent="0.2">
      <c r="A30" s="22" t="s">
        <v>12</v>
      </c>
      <c r="B30" s="33" t="s">
        <v>23</v>
      </c>
      <c r="C30" s="35">
        <f>[27]С1.1!E19</f>
        <v>-0.19900000000000001</v>
      </c>
    </row>
    <row r="31" spans="1:3" ht="17.25" x14ac:dyDescent="0.2">
      <c r="A31" s="22" t="s">
        <v>14</v>
      </c>
      <c r="B31" s="33" t="s">
        <v>24</v>
      </c>
      <c r="C31" s="35">
        <f>[27]С1.1!E20</f>
        <v>5.7000000000000002E-2</v>
      </c>
    </row>
    <row r="32" spans="1:3" ht="30" x14ac:dyDescent="0.2">
      <c r="A32" s="22" t="s">
        <v>16</v>
      </c>
      <c r="B32" s="36" t="s">
        <v>25</v>
      </c>
      <c r="C32" s="37">
        <f>[27]С1!F13</f>
        <v>176.4</v>
      </c>
    </row>
    <row r="33" spans="1:3" x14ac:dyDescent="0.2">
      <c r="A33" s="22" t="s">
        <v>18</v>
      </c>
      <c r="B33" s="36" t="s">
        <v>26</v>
      </c>
      <c r="C33" s="38">
        <f>[27]С1!F16</f>
        <v>7000</v>
      </c>
    </row>
    <row r="34" spans="1:3" ht="14.25" x14ac:dyDescent="0.2">
      <c r="A34" s="22" t="s">
        <v>27</v>
      </c>
      <c r="B34" s="39" t="s">
        <v>28</v>
      </c>
      <c r="C34" s="40">
        <f>[27]С1!F17</f>
        <v>0.72857142857142854</v>
      </c>
    </row>
    <row r="35" spans="1:3" ht="15.75" x14ac:dyDescent="0.2">
      <c r="A35" s="41" t="s">
        <v>29</v>
      </c>
      <c r="B35" s="42" t="s">
        <v>30</v>
      </c>
      <c r="C35" s="40">
        <f>[27]С1!F20</f>
        <v>21.588411179999994</v>
      </c>
    </row>
    <row r="36" spans="1:3" ht="15.75" x14ac:dyDescent="0.2">
      <c r="A36" s="41" t="s">
        <v>31</v>
      </c>
      <c r="B36" s="43" t="s">
        <v>32</v>
      </c>
      <c r="C36" s="40">
        <f>[27]С1!F21</f>
        <v>20.818139999999996</v>
      </c>
    </row>
    <row r="37" spans="1:3" ht="14.25" x14ac:dyDescent="0.2">
      <c r="A37" s="41" t="s">
        <v>33</v>
      </c>
      <c r="B37" s="44" t="s">
        <v>34</v>
      </c>
      <c r="C37" s="40">
        <f>[27]С1!F22</f>
        <v>1.0369999999999999</v>
      </c>
    </row>
    <row r="38" spans="1:3" ht="53.25" thickBot="1" x14ac:dyDescent="0.25">
      <c r="A38" s="27" t="s">
        <v>35</v>
      </c>
      <c r="B38" s="45" t="s">
        <v>36</v>
      </c>
      <c r="C38" s="46">
        <f>[27]С1!F23</f>
        <v>1.0469999999999999</v>
      </c>
    </row>
    <row r="39" spans="1:3" ht="13.5" thickBot="1" x14ac:dyDescent="0.25">
      <c r="A39" s="47"/>
      <c r="B39" s="48"/>
      <c r="C39" s="49"/>
    </row>
    <row r="40" spans="1:3" ht="30" customHeight="1" x14ac:dyDescent="0.2">
      <c r="A40" s="50" t="s">
        <v>37</v>
      </c>
      <c r="B40" s="122" t="s">
        <v>38</v>
      </c>
      <c r="C40" s="122"/>
    </row>
    <row r="41" spans="1:3" ht="25.5" x14ac:dyDescent="0.2">
      <c r="A41" s="22" t="s">
        <v>39</v>
      </c>
      <c r="B41" s="36" t="s">
        <v>40</v>
      </c>
      <c r="C41" s="51" t="str">
        <f>[27]С2.1!E12</f>
        <v>V</v>
      </c>
    </row>
    <row r="42" spans="1:3" ht="25.5" x14ac:dyDescent="0.2">
      <c r="A42" s="22" t="s">
        <v>41</v>
      </c>
      <c r="B42" s="33" t="s">
        <v>42</v>
      </c>
      <c r="C42" s="51" t="str">
        <f>[27]С2.1!E13</f>
        <v>6 и менее баллов</v>
      </c>
    </row>
    <row r="43" spans="1:3" ht="25.5" x14ac:dyDescent="0.2">
      <c r="A43" s="22" t="s">
        <v>43</v>
      </c>
      <c r="B43" s="33" t="s">
        <v>44</v>
      </c>
      <c r="C43" s="51" t="str">
        <f>[27]С2.1!E14</f>
        <v>от 200 до 500</v>
      </c>
    </row>
    <row r="44" spans="1:3" ht="25.5" x14ac:dyDescent="0.2">
      <c r="A44" s="22" t="s">
        <v>45</v>
      </c>
      <c r="B44" s="33" t="s">
        <v>46</v>
      </c>
      <c r="C44" s="52" t="str">
        <f>[27]С2.1!E15</f>
        <v>нет</v>
      </c>
    </row>
    <row r="45" spans="1:3" ht="30" x14ac:dyDescent="0.2">
      <c r="A45" s="22" t="s">
        <v>47</v>
      </c>
      <c r="B45" s="33" t="s">
        <v>48</v>
      </c>
      <c r="C45" s="34">
        <f>[27]С2!F18</f>
        <v>35106.652004551666</v>
      </c>
    </row>
    <row r="46" spans="1:3" ht="30" x14ac:dyDescent="0.2">
      <c r="A46" s="22" t="s">
        <v>49</v>
      </c>
      <c r="B46" s="53" t="s">
        <v>50</v>
      </c>
      <c r="C46" s="34">
        <f>IF([27]С2!F19&gt;0,[27]С2!F19,[27]С2!F20)</f>
        <v>23441.524932855718</v>
      </c>
    </row>
    <row r="47" spans="1:3" ht="25.5" x14ac:dyDescent="0.2">
      <c r="A47" s="22" t="s">
        <v>51</v>
      </c>
      <c r="B47" s="54" t="s">
        <v>52</v>
      </c>
      <c r="C47" s="34">
        <f>[27]С2.1!E19</f>
        <v>-38</v>
      </c>
    </row>
    <row r="48" spans="1:3" ht="25.5" x14ac:dyDescent="0.2">
      <c r="A48" s="22" t="s">
        <v>53</v>
      </c>
      <c r="B48" s="54" t="s">
        <v>54</v>
      </c>
      <c r="C48" s="34" t="str">
        <f>[27]С2.1!E22</f>
        <v>нет</v>
      </c>
    </row>
    <row r="49" spans="1:3" ht="38.25" x14ac:dyDescent="0.2">
      <c r="A49" s="22" t="s">
        <v>55</v>
      </c>
      <c r="B49" s="55" t="s">
        <v>56</v>
      </c>
      <c r="C49" s="34">
        <f>[27]С2.2!E10</f>
        <v>1287</v>
      </c>
    </row>
    <row r="50" spans="1:3" ht="25.5" x14ac:dyDescent="0.2">
      <c r="A50" s="22" t="s">
        <v>57</v>
      </c>
      <c r="B50" s="56" t="s">
        <v>58</v>
      </c>
      <c r="C50" s="34">
        <f>[27]С2.2!E12</f>
        <v>5.97</v>
      </c>
    </row>
    <row r="51" spans="1:3" ht="52.5" x14ac:dyDescent="0.2">
      <c r="A51" s="22" t="s">
        <v>59</v>
      </c>
      <c r="B51" s="57" t="s">
        <v>60</v>
      </c>
      <c r="C51" s="34">
        <f>[27]С2.2!E13</f>
        <v>1</v>
      </c>
    </row>
    <row r="52" spans="1:3" ht="27.75" x14ac:dyDescent="0.2">
      <c r="A52" s="22" t="s">
        <v>61</v>
      </c>
      <c r="B52" s="56" t="s">
        <v>62</v>
      </c>
      <c r="C52" s="34">
        <f>[27]С2.2!E14</f>
        <v>12104</v>
      </c>
    </row>
    <row r="53" spans="1:3" ht="25.5" x14ac:dyDescent="0.2">
      <c r="A53" s="22" t="s">
        <v>63</v>
      </c>
      <c r="B53" s="57" t="s">
        <v>64</v>
      </c>
      <c r="C53" s="35">
        <f>[27]С2.2!E15</f>
        <v>4.8000000000000001E-2</v>
      </c>
    </row>
    <row r="54" spans="1:3" x14ac:dyDescent="0.2">
      <c r="A54" s="22" t="s">
        <v>65</v>
      </c>
      <c r="B54" s="57" t="s">
        <v>66</v>
      </c>
      <c r="C54" s="34">
        <f>[27]С2.2!E16</f>
        <v>1</v>
      </c>
    </row>
    <row r="55" spans="1:3" ht="15.75" x14ac:dyDescent="0.2">
      <c r="A55" s="22" t="s">
        <v>67</v>
      </c>
      <c r="B55" s="58" t="s">
        <v>68</v>
      </c>
      <c r="C55" s="34">
        <f>[27]С2!F21</f>
        <v>1</v>
      </c>
    </row>
    <row r="56" spans="1:3" ht="30" x14ac:dyDescent="0.2">
      <c r="A56" s="59" t="s">
        <v>69</v>
      </c>
      <c r="B56" s="33" t="s">
        <v>70</v>
      </c>
      <c r="C56" s="34">
        <f>[27]С2!F13</f>
        <v>183796.83936385796</v>
      </c>
    </row>
    <row r="57" spans="1:3" ht="30" x14ac:dyDescent="0.2">
      <c r="A57" s="59" t="s">
        <v>71</v>
      </c>
      <c r="B57" s="58" t="s">
        <v>72</v>
      </c>
      <c r="C57" s="34">
        <f>[27]С2!F14</f>
        <v>113455</v>
      </c>
    </row>
    <row r="58" spans="1:3" ht="15.75" x14ac:dyDescent="0.2">
      <c r="A58" s="59" t="s">
        <v>73</v>
      </c>
      <c r="B58" s="60" t="s">
        <v>74</v>
      </c>
      <c r="C58" s="40">
        <f>[27]С2!F15</f>
        <v>1.071</v>
      </c>
    </row>
    <row r="59" spans="1:3" ht="15.75" x14ac:dyDescent="0.2">
      <c r="A59" s="59" t="s">
        <v>75</v>
      </c>
      <c r="B59" s="60" t="s">
        <v>76</v>
      </c>
      <c r="C59" s="40">
        <f>[27]С2!F16</f>
        <v>1</v>
      </c>
    </row>
    <row r="60" spans="1:3" ht="17.25" x14ac:dyDescent="0.2">
      <c r="A60" s="59" t="s">
        <v>77</v>
      </c>
      <c r="B60" s="58" t="s">
        <v>78</v>
      </c>
      <c r="C60" s="34">
        <f>[27]С2!F17</f>
        <v>1.01</v>
      </c>
    </row>
    <row r="61" spans="1:3" s="63" customFormat="1" ht="14.25" x14ac:dyDescent="0.2">
      <c r="A61" s="59" t="s">
        <v>79</v>
      </c>
      <c r="B61" s="61" t="s">
        <v>80</v>
      </c>
      <c r="C61" s="62">
        <f>[27]С2!F33</f>
        <v>10</v>
      </c>
    </row>
    <row r="62" spans="1:3" ht="30" x14ac:dyDescent="0.2">
      <c r="A62" s="59" t="s">
        <v>81</v>
      </c>
      <c r="B62" s="64" t="s">
        <v>82</v>
      </c>
      <c r="C62" s="34">
        <f>[27]С2!F26</f>
        <v>1543.3634896839897</v>
      </c>
    </row>
    <row r="63" spans="1:3" ht="17.25" x14ac:dyDescent="0.2">
      <c r="A63" s="59" t="s">
        <v>83</v>
      </c>
      <c r="B63" s="53" t="s">
        <v>84</v>
      </c>
      <c r="C63" s="34">
        <f>[27]С2!F27</f>
        <v>0.24536656199999998</v>
      </c>
    </row>
    <row r="64" spans="1:3" ht="17.25" x14ac:dyDescent="0.2">
      <c r="A64" s="59" t="s">
        <v>85</v>
      </c>
      <c r="B64" s="58" t="s">
        <v>86</v>
      </c>
      <c r="C64" s="62">
        <f>[27]С2!F28</f>
        <v>4200</v>
      </c>
    </row>
    <row r="65" spans="1:3" ht="42.75" x14ac:dyDescent="0.2">
      <c r="A65" s="59" t="s">
        <v>87</v>
      </c>
      <c r="B65" s="33" t="s">
        <v>88</v>
      </c>
      <c r="C65" s="34">
        <f>[27]С2!F22</f>
        <v>38698.422798410109</v>
      </c>
    </row>
    <row r="66" spans="1:3" ht="30" x14ac:dyDescent="0.2">
      <c r="A66" s="59" t="s">
        <v>89</v>
      </c>
      <c r="B66" s="60" t="s">
        <v>90</v>
      </c>
      <c r="C66" s="34">
        <f>[27]С2!F23</f>
        <v>1990</v>
      </c>
    </row>
    <row r="67" spans="1:3" ht="30" x14ac:dyDescent="0.2">
      <c r="A67" s="59" t="s">
        <v>91</v>
      </c>
      <c r="B67" s="53" t="s">
        <v>92</v>
      </c>
      <c r="C67" s="34">
        <f>[27]С2.1!E27</f>
        <v>14307.876789999998</v>
      </c>
    </row>
    <row r="68" spans="1:3" ht="38.25" x14ac:dyDescent="0.2">
      <c r="A68" s="59" t="s">
        <v>93</v>
      </c>
      <c r="B68" s="65" t="s">
        <v>94</v>
      </c>
      <c r="C68" s="52">
        <f>[27]С2.3!E21</f>
        <v>0</v>
      </c>
    </row>
    <row r="69" spans="1:3" ht="25.5" x14ac:dyDescent="0.2">
      <c r="A69" s="59" t="s">
        <v>95</v>
      </c>
      <c r="B69" s="66" t="s">
        <v>96</v>
      </c>
      <c r="C69" s="67">
        <f>[27]С2.3!E11</f>
        <v>9.89</v>
      </c>
    </row>
    <row r="70" spans="1:3" ht="25.5" x14ac:dyDescent="0.2">
      <c r="A70" s="59" t="s">
        <v>97</v>
      </c>
      <c r="B70" s="66" t="s">
        <v>98</v>
      </c>
      <c r="C70" s="62">
        <f>[27]С2.3!E13</f>
        <v>300</v>
      </c>
    </row>
    <row r="71" spans="1:3" ht="25.5" x14ac:dyDescent="0.2">
      <c r="A71" s="59" t="s">
        <v>99</v>
      </c>
      <c r="B71" s="65" t="s">
        <v>100</v>
      </c>
      <c r="C71" s="68">
        <f>IF([27]С2.3!E22&gt;0,[27]С2.3!E22,[27]С2.3!E14)</f>
        <v>61211</v>
      </c>
    </row>
    <row r="72" spans="1:3" ht="38.25" x14ac:dyDescent="0.2">
      <c r="A72" s="59" t="s">
        <v>101</v>
      </c>
      <c r="B72" s="65" t="s">
        <v>102</v>
      </c>
      <c r="C72" s="68">
        <f>IF([27]С2.3!E23&gt;0,[27]С2.3!E23,[27]С2.3!E15)</f>
        <v>45675</v>
      </c>
    </row>
    <row r="73" spans="1:3" ht="30" x14ac:dyDescent="0.2">
      <c r="A73" s="59" t="s">
        <v>103</v>
      </c>
      <c r="B73" s="53" t="s">
        <v>104</v>
      </c>
      <c r="C73" s="34">
        <f>[27]С2.1!E28</f>
        <v>9541.9567200000001</v>
      </c>
    </row>
    <row r="74" spans="1:3" ht="38.25" x14ac:dyDescent="0.2">
      <c r="A74" s="59" t="s">
        <v>105</v>
      </c>
      <c r="B74" s="65" t="s">
        <v>106</v>
      </c>
      <c r="C74" s="52">
        <f>[27]С2.3!E25</f>
        <v>0</v>
      </c>
    </row>
    <row r="75" spans="1:3" ht="25.5" x14ac:dyDescent="0.2">
      <c r="A75" s="59" t="s">
        <v>107</v>
      </c>
      <c r="B75" s="66" t="s">
        <v>108</v>
      </c>
      <c r="C75" s="67">
        <f>[27]С2.3!E12</f>
        <v>0.56000000000000005</v>
      </c>
    </row>
    <row r="76" spans="1:3" ht="25.5" x14ac:dyDescent="0.2">
      <c r="A76" s="59" t="s">
        <v>109</v>
      </c>
      <c r="B76" s="66" t="s">
        <v>98</v>
      </c>
      <c r="C76" s="62">
        <f>[27]С2.3!E13</f>
        <v>300</v>
      </c>
    </row>
    <row r="77" spans="1:3" ht="25.5" x14ac:dyDescent="0.2">
      <c r="A77" s="59" t="s">
        <v>110</v>
      </c>
      <c r="B77" s="69" t="s">
        <v>111</v>
      </c>
      <c r="C77" s="68">
        <f>IF([27]С2.3!E26&gt;0,[27]С2.3!E26,[27]С2.3!E16)</f>
        <v>65637</v>
      </c>
    </row>
    <row r="78" spans="1:3" ht="38.25" x14ac:dyDescent="0.2">
      <c r="A78" s="59" t="s">
        <v>112</v>
      </c>
      <c r="B78" s="69" t="s">
        <v>113</v>
      </c>
      <c r="C78" s="68">
        <f>IF([27]С2.3!E27&gt;0,[27]С2.3!E27,[27]С2.3!E17)</f>
        <v>31684</v>
      </c>
    </row>
    <row r="79" spans="1:3" ht="17.25" x14ac:dyDescent="0.2">
      <c r="A79" s="59" t="s">
        <v>114</v>
      </c>
      <c r="B79" s="33" t="s">
        <v>115</v>
      </c>
      <c r="C79" s="35">
        <f>[27]С2!F29</f>
        <v>9.5962865259740182E-2</v>
      </c>
    </row>
    <row r="80" spans="1:3" ht="30" x14ac:dyDescent="0.2">
      <c r="A80" s="59" t="s">
        <v>116</v>
      </c>
      <c r="B80" s="53" t="s">
        <v>117</v>
      </c>
      <c r="C80" s="70">
        <f>[27]С2!F30</f>
        <v>8.4029304029304031E-2</v>
      </c>
    </row>
    <row r="81" spans="1:3" ht="17.25" x14ac:dyDescent="0.2">
      <c r="A81" s="59" t="s">
        <v>118</v>
      </c>
      <c r="B81" s="71" t="s">
        <v>119</v>
      </c>
      <c r="C81" s="35">
        <f>[27]С2!F31</f>
        <v>0.13880000000000001</v>
      </c>
    </row>
    <row r="82" spans="1:3" s="63" customFormat="1" ht="18" thickBot="1" x14ac:dyDescent="0.25">
      <c r="A82" s="72" t="s">
        <v>120</v>
      </c>
      <c r="B82" s="73" t="s">
        <v>121</v>
      </c>
      <c r="C82" s="74">
        <f>[27]С2!F32</f>
        <v>0.12640000000000001</v>
      </c>
    </row>
    <row r="83" spans="1:3" ht="13.5" thickBot="1" x14ac:dyDescent="0.25">
      <c r="A83" s="47"/>
      <c r="B83" s="75"/>
      <c r="C83" s="15"/>
    </row>
    <row r="84" spans="1:3" s="63" customFormat="1" ht="30" customHeight="1" x14ac:dyDescent="0.2">
      <c r="A84" s="76" t="s">
        <v>122</v>
      </c>
      <c r="B84" s="122" t="s">
        <v>123</v>
      </c>
      <c r="C84" s="122"/>
    </row>
    <row r="85" spans="1:3" s="63" customFormat="1" ht="30" x14ac:dyDescent="0.2">
      <c r="A85" s="77" t="s">
        <v>124</v>
      </c>
      <c r="B85" s="33" t="s">
        <v>125</v>
      </c>
      <c r="C85" s="34">
        <f>[27]С3!F14</f>
        <v>6068.1437898865324</v>
      </c>
    </row>
    <row r="86" spans="1:3" s="63" customFormat="1" ht="42.75" x14ac:dyDescent="0.2">
      <c r="A86" s="77" t="s">
        <v>126</v>
      </c>
      <c r="B86" s="53" t="s">
        <v>127</v>
      </c>
      <c r="C86" s="78">
        <f>[27]С3!F15</f>
        <v>0.2</v>
      </c>
    </row>
    <row r="87" spans="1:3" s="63" customFormat="1" ht="14.25" x14ac:dyDescent="0.2">
      <c r="A87" s="77" t="s">
        <v>128</v>
      </c>
      <c r="B87" s="79" t="s">
        <v>129</v>
      </c>
      <c r="C87" s="62">
        <f>[27]С3!F18</f>
        <v>15</v>
      </c>
    </row>
    <row r="88" spans="1:3" s="63" customFormat="1" ht="17.25" x14ac:dyDescent="0.2">
      <c r="A88" s="77" t="s">
        <v>130</v>
      </c>
      <c r="B88" s="33" t="s">
        <v>131</v>
      </c>
      <c r="C88" s="34">
        <f>[27]С3!F19</f>
        <v>3778.1614077800232</v>
      </c>
    </row>
    <row r="89" spans="1:3" s="63" customFormat="1" ht="55.5" x14ac:dyDescent="0.2">
      <c r="A89" s="77" t="s">
        <v>132</v>
      </c>
      <c r="B89" s="53" t="s">
        <v>133</v>
      </c>
      <c r="C89" s="80">
        <f>[27]С3!F20</f>
        <v>2.1999999999999999E-2</v>
      </c>
    </row>
    <row r="90" spans="1:3" s="63" customFormat="1" ht="14.25" x14ac:dyDescent="0.2">
      <c r="A90" s="77" t="s">
        <v>134</v>
      </c>
      <c r="B90" s="58" t="s">
        <v>80</v>
      </c>
      <c r="C90" s="62">
        <f>[27]С3!F21</f>
        <v>10</v>
      </c>
    </row>
    <row r="91" spans="1:3" s="63" customFormat="1" ht="17.25" x14ac:dyDescent="0.2">
      <c r="A91" s="77" t="s">
        <v>135</v>
      </c>
      <c r="B91" s="33" t="s">
        <v>136</v>
      </c>
      <c r="C91" s="34">
        <f>[27]С3!F22</f>
        <v>4.6300904690519689</v>
      </c>
    </row>
    <row r="92" spans="1:3" s="63" customFormat="1" ht="55.5" x14ac:dyDescent="0.2">
      <c r="A92" s="77" t="s">
        <v>137</v>
      </c>
      <c r="B92" s="53" t="s">
        <v>138</v>
      </c>
      <c r="C92" s="80">
        <f>[27]С3!F23</f>
        <v>3.0000000000000001E-3</v>
      </c>
    </row>
    <row r="93" spans="1:3" s="63" customFormat="1" ht="27.75" thickBot="1" x14ac:dyDescent="0.25">
      <c r="A93" s="81" t="s">
        <v>139</v>
      </c>
      <c r="B93" s="82" t="s">
        <v>140</v>
      </c>
      <c r="C93" s="83">
        <f>[27]С3!F24</f>
        <v>1543.3634896839897</v>
      </c>
    </row>
    <row r="94" spans="1:3" ht="13.5" thickBot="1" x14ac:dyDescent="0.25">
      <c r="A94" s="47"/>
      <c r="B94" s="75"/>
      <c r="C94" s="15"/>
    </row>
    <row r="95" spans="1:3" ht="30" customHeight="1" x14ac:dyDescent="0.2">
      <c r="A95" s="84" t="s">
        <v>141</v>
      </c>
      <c r="B95" s="122" t="s">
        <v>142</v>
      </c>
      <c r="C95" s="122"/>
    </row>
    <row r="96" spans="1:3" ht="30" x14ac:dyDescent="0.2">
      <c r="A96" s="59" t="s">
        <v>143</v>
      </c>
      <c r="B96" s="33" t="s">
        <v>144</v>
      </c>
      <c r="C96" s="34">
        <f>[27]С4!F16</f>
        <v>1652.5</v>
      </c>
    </row>
    <row r="97" spans="1:3" ht="30" x14ac:dyDescent="0.2">
      <c r="A97" s="59" t="s">
        <v>145</v>
      </c>
      <c r="B97" s="58" t="s">
        <v>146</v>
      </c>
      <c r="C97" s="34">
        <f>[27]С4!F17</f>
        <v>73547</v>
      </c>
    </row>
    <row r="98" spans="1:3" ht="17.25" x14ac:dyDescent="0.2">
      <c r="A98" s="59" t="s">
        <v>147</v>
      </c>
      <c r="B98" s="58" t="s">
        <v>148</v>
      </c>
      <c r="C98" s="40">
        <f>[27]С4!F18</f>
        <v>0.02</v>
      </c>
    </row>
    <row r="99" spans="1:3" ht="30" x14ac:dyDescent="0.2">
      <c r="A99" s="59" t="s">
        <v>149</v>
      </c>
      <c r="B99" s="58" t="s">
        <v>150</v>
      </c>
      <c r="C99" s="34">
        <f>[27]С4!F19</f>
        <v>12104</v>
      </c>
    </row>
    <row r="100" spans="1:3" ht="31.5" x14ac:dyDescent="0.2">
      <c r="A100" s="59" t="s">
        <v>151</v>
      </c>
      <c r="B100" s="58" t="s">
        <v>152</v>
      </c>
      <c r="C100" s="40">
        <f>[27]С4!F20</f>
        <v>1.4999999999999999E-2</v>
      </c>
    </row>
    <row r="101" spans="1:3" ht="30" x14ac:dyDescent="0.2">
      <c r="A101" s="59" t="s">
        <v>153</v>
      </c>
      <c r="B101" s="33" t="s">
        <v>154</v>
      </c>
      <c r="C101" s="34">
        <f>[27]С4!F21</f>
        <v>1933.1949342509995</v>
      </c>
    </row>
    <row r="102" spans="1:3" ht="24" customHeight="1" x14ac:dyDescent="0.2">
      <c r="A102" s="59" t="s">
        <v>155</v>
      </c>
      <c r="B102" s="53" t="s">
        <v>156</v>
      </c>
      <c r="C102" s="85">
        <f>IF([27]С4.2!F8="да",[27]С4.2!D21,[27]С4.2!D15)</f>
        <v>0</v>
      </c>
    </row>
    <row r="103" spans="1:3" ht="68.25" x14ac:dyDescent="0.2">
      <c r="A103" s="59" t="s">
        <v>157</v>
      </c>
      <c r="B103" s="53" t="s">
        <v>158</v>
      </c>
      <c r="C103" s="34">
        <f>[27]С4!F22</f>
        <v>3.6112641666666665</v>
      </c>
    </row>
    <row r="104" spans="1:3" ht="30" x14ac:dyDescent="0.2">
      <c r="A104" s="59" t="s">
        <v>159</v>
      </c>
      <c r="B104" s="58" t="s">
        <v>160</v>
      </c>
      <c r="C104" s="34">
        <f>[27]С4!F23</f>
        <v>180</v>
      </c>
    </row>
    <row r="105" spans="1:3" ht="14.25" x14ac:dyDescent="0.2">
      <c r="A105" s="59" t="s">
        <v>161</v>
      </c>
      <c r="B105" s="53" t="s">
        <v>162</v>
      </c>
      <c r="C105" s="34">
        <f>[27]С4!F24</f>
        <v>8497.1999999999989</v>
      </c>
    </row>
    <row r="106" spans="1:3" ht="14.25" x14ac:dyDescent="0.2">
      <c r="A106" s="59" t="s">
        <v>163</v>
      </c>
      <c r="B106" s="58" t="s">
        <v>164</v>
      </c>
      <c r="C106" s="40">
        <f>[27]С4!F25</f>
        <v>0.35</v>
      </c>
    </row>
    <row r="107" spans="1:3" ht="17.25" x14ac:dyDescent="0.2">
      <c r="A107" s="59" t="s">
        <v>165</v>
      </c>
      <c r="B107" s="33" t="s">
        <v>166</v>
      </c>
      <c r="C107" s="34">
        <f>[27]С4!F26</f>
        <v>85.988129999999998</v>
      </c>
    </row>
    <row r="108" spans="1:3" ht="25.5" x14ac:dyDescent="0.2">
      <c r="A108" s="59" t="s">
        <v>167</v>
      </c>
      <c r="B108" s="53" t="s">
        <v>94</v>
      </c>
      <c r="C108" s="85">
        <f>[27]С4.3!E16</f>
        <v>0</v>
      </c>
    </row>
    <row r="109" spans="1:3" ht="25.5" x14ac:dyDescent="0.2">
      <c r="A109" s="59" t="s">
        <v>168</v>
      </c>
      <c r="B109" s="53" t="s">
        <v>169</v>
      </c>
      <c r="C109" s="34">
        <f>[27]С4.3!E17</f>
        <v>20.350000000000001</v>
      </c>
    </row>
    <row r="110" spans="1:3" ht="38.25" x14ac:dyDescent="0.2">
      <c r="A110" s="59" t="s">
        <v>170</v>
      </c>
      <c r="B110" s="53" t="s">
        <v>106</v>
      </c>
      <c r="C110" s="85">
        <f>[27]С4.3!E18</f>
        <v>0</v>
      </c>
    </row>
    <row r="111" spans="1:3" x14ac:dyDescent="0.2">
      <c r="A111" s="59" t="s">
        <v>171</v>
      </c>
      <c r="B111" s="53" t="s">
        <v>172</v>
      </c>
      <c r="C111" s="34">
        <f>[27]С4.3!E19</f>
        <v>71.67</v>
      </c>
    </row>
    <row r="112" spans="1:3" x14ac:dyDescent="0.2">
      <c r="A112" s="59" t="s">
        <v>173</v>
      </c>
      <c r="B112" s="58" t="s">
        <v>174</v>
      </c>
      <c r="C112" s="34">
        <f>[27]С4.3!E11</f>
        <v>1871</v>
      </c>
    </row>
    <row r="113" spans="1:3" x14ac:dyDescent="0.2">
      <c r="A113" s="59" t="s">
        <v>175</v>
      </c>
      <c r="B113" s="58" t="s">
        <v>176</v>
      </c>
      <c r="C113" s="52">
        <f>[27]С4.3!E12</f>
        <v>1636</v>
      </c>
    </row>
    <row r="114" spans="1:3" x14ac:dyDescent="0.2">
      <c r="A114" s="59" t="s">
        <v>177</v>
      </c>
      <c r="B114" s="58" t="s">
        <v>178</v>
      </c>
      <c r="C114" s="52">
        <f>[27]С4.3!E13</f>
        <v>204</v>
      </c>
    </row>
    <row r="115" spans="1:3" ht="30" x14ac:dyDescent="0.2">
      <c r="A115" s="59" t="s">
        <v>179</v>
      </c>
      <c r="B115" s="33" t="s">
        <v>180</v>
      </c>
      <c r="C115" s="34">
        <f>[27]С4!F27</f>
        <v>1291.2863994686898</v>
      </c>
    </row>
    <row r="116" spans="1:3" ht="25.5" x14ac:dyDescent="0.2">
      <c r="A116" s="59" t="s">
        <v>181</v>
      </c>
      <c r="B116" s="53" t="s">
        <v>182</v>
      </c>
      <c r="C116" s="34">
        <f>[27]С4!F28</f>
        <v>991.77142816335618</v>
      </c>
    </row>
    <row r="117" spans="1:3" ht="42.75" x14ac:dyDescent="0.2">
      <c r="A117" s="59" t="s">
        <v>183</v>
      </c>
      <c r="B117" s="53" t="s">
        <v>184</v>
      </c>
      <c r="C117" s="34">
        <f>[27]С4!F29</f>
        <v>299.51497130533357</v>
      </c>
    </row>
    <row r="118" spans="1:3" ht="30" x14ac:dyDescent="0.2">
      <c r="A118" s="59" t="s">
        <v>185</v>
      </c>
      <c r="B118" s="39" t="s">
        <v>186</v>
      </c>
      <c r="C118" s="34">
        <f>[27]С4!F30</f>
        <v>1781.2438331388764</v>
      </c>
    </row>
    <row r="119" spans="1:3" ht="42.75" x14ac:dyDescent="0.2">
      <c r="A119" s="59" t="s">
        <v>187</v>
      </c>
      <c r="B119" s="86" t="s">
        <v>188</v>
      </c>
      <c r="C119" s="34">
        <f>[27]С4!F33</f>
        <v>1061.823517708908</v>
      </c>
    </row>
    <row r="120" spans="1:3" ht="30" x14ac:dyDescent="0.2">
      <c r="A120" s="59" t="s">
        <v>189</v>
      </c>
      <c r="B120" s="87" t="s">
        <v>190</v>
      </c>
      <c r="C120" s="34">
        <f>[27]С4!F35</f>
        <v>17.040680999999999</v>
      </c>
    </row>
    <row r="121" spans="1:3" ht="14.25" x14ac:dyDescent="0.2">
      <c r="A121" s="59" t="s">
        <v>191</v>
      </c>
      <c r="B121" s="56" t="s">
        <v>192</v>
      </c>
      <c r="C121" s="34">
        <f>[27]С4!F36</f>
        <v>14319.9</v>
      </c>
    </row>
    <row r="122" spans="1:3" ht="28.5" thickBot="1" x14ac:dyDescent="0.25">
      <c r="A122" s="72" t="s">
        <v>193</v>
      </c>
      <c r="B122" s="88" t="s">
        <v>194</v>
      </c>
      <c r="C122" s="83">
        <f>[27]С4!F37</f>
        <v>1.19</v>
      </c>
    </row>
    <row r="123" spans="1:3" s="89" customFormat="1" ht="13.5" thickBot="1" x14ac:dyDescent="0.25">
      <c r="A123" s="47"/>
      <c r="B123" s="75"/>
      <c r="C123" s="15"/>
    </row>
    <row r="124" spans="1:3" s="63" customFormat="1" ht="30" customHeight="1" x14ac:dyDescent="0.2">
      <c r="A124" s="76" t="s">
        <v>195</v>
      </c>
      <c r="B124" s="122" t="s">
        <v>196</v>
      </c>
      <c r="C124" s="122"/>
    </row>
    <row r="125" spans="1:3" ht="16.5" thickBot="1" x14ac:dyDescent="0.25">
      <c r="A125" s="27" t="s">
        <v>197</v>
      </c>
      <c r="B125" s="90" t="s">
        <v>198</v>
      </c>
      <c r="C125" s="83">
        <f>[27]С5!F17</f>
        <v>0.02</v>
      </c>
    </row>
    <row r="126" spans="1:3" s="89" customFormat="1" ht="13.5" thickBot="1" x14ac:dyDescent="0.25">
      <c r="A126" s="47"/>
      <c r="B126" s="75"/>
      <c r="C126" s="15"/>
    </row>
    <row r="127" spans="1:3" ht="42.75" customHeight="1" x14ac:dyDescent="0.2">
      <c r="A127" s="84" t="s">
        <v>199</v>
      </c>
      <c r="B127" s="123" t="s">
        <v>200</v>
      </c>
      <c r="C127" s="123"/>
    </row>
    <row r="128" spans="1:3" ht="68.25" x14ac:dyDescent="0.2">
      <c r="A128" s="59" t="s">
        <v>201</v>
      </c>
      <c r="B128" s="91" t="s">
        <v>202</v>
      </c>
      <c r="C128" s="34" t="s">
        <v>203</v>
      </c>
    </row>
    <row r="129" spans="1:4" ht="42.75" hidden="1" x14ac:dyDescent="0.2">
      <c r="A129" s="59" t="s">
        <v>204</v>
      </c>
      <c r="B129" s="86" t="s">
        <v>205</v>
      </c>
      <c r="C129" s="92"/>
    </row>
    <row r="130" spans="1:4" ht="69" thickBot="1" x14ac:dyDescent="0.25">
      <c r="A130" s="72" t="s">
        <v>206</v>
      </c>
      <c r="B130" s="93" t="s">
        <v>207</v>
      </c>
      <c r="C130" s="94" t="s">
        <v>203</v>
      </c>
    </row>
    <row r="131" spans="1:4" ht="62.25" hidden="1" customHeight="1" x14ac:dyDescent="0.2">
      <c r="A131" s="95" t="s">
        <v>208</v>
      </c>
      <c r="B131" s="96" t="s">
        <v>209</v>
      </c>
      <c r="C131" s="97"/>
    </row>
    <row r="132" spans="1:4" ht="68.25" hidden="1" x14ac:dyDescent="0.2">
      <c r="A132" s="59" t="s">
        <v>210</v>
      </c>
      <c r="B132" s="86" t="s">
        <v>211</v>
      </c>
      <c r="C132" s="35"/>
    </row>
    <row r="133" spans="1:4" ht="69" hidden="1" thickBot="1" x14ac:dyDescent="0.25">
      <c r="A133" s="72" t="s">
        <v>212</v>
      </c>
      <c r="B133" s="98" t="s">
        <v>213</v>
      </c>
      <c r="C133" s="74"/>
    </row>
    <row r="134" spans="1:4" s="89" customFormat="1" ht="13.5" thickBot="1" x14ac:dyDescent="0.25">
      <c r="A134" s="47"/>
      <c r="B134" s="75"/>
      <c r="C134" s="15"/>
    </row>
    <row r="135" spans="1:4" ht="26.25" customHeight="1" x14ac:dyDescent="0.2">
      <c r="A135" s="84" t="s">
        <v>214</v>
      </c>
      <c r="B135" s="99" t="s">
        <v>215</v>
      </c>
      <c r="C135" s="100">
        <f>[27]С2!F37</f>
        <v>20.818139999999996</v>
      </c>
    </row>
    <row r="136" spans="1:4" ht="14.25" x14ac:dyDescent="0.2">
      <c r="A136" s="59" t="s">
        <v>216</v>
      </c>
      <c r="B136" s="101" t="s">
        <v>217</v>
      </c>
      <c r="C136" s="34">
        <f>[27]С2!F38</f>
        <v>7</v>
      </c>
    </row>
    <row r="137" spans="1:4" ht="17.25" x14ac:dyDescent="0.2">
      <c r="A137" s="59" t="s">
        <v>218</v>
      </c>
      <c r="B137" s="101" t="s">
        <v>219</v>
      </c>
      <c r="C137" s="34">
        <f>[27]С2!F40</f>
        <v>0.97</v>
      </c>
    </row>
    <row r="138" spans="1:4" ht="15" thickBot="1" x14ac:dyDescent="0.25">
      <c r="A138" s="72" t="s">
        <v>220</v>
      </c>
      <c r="B138" s="102" t="s">
        <v>221</v>
      </c>
      <c r="C138" s="46">
        <f>[27]С2!F42</f>
        <v>0.35</v>
      </c>
    </row>
    <row r="139" spans="1:4" s="89" customFormat="1" ht="13.5" thickBot="1" x14ac:dyDescent="0.25">
      <c r="A139" s="47"/>
      <c r="B139" s="75"/>
      <c r="C139" s="15"/>
    </row>
    <row r="140" spans="1:4" ht="30" x14ac:dyDescent="0.2">
      <c r="A140" s="84" t="s">
        <v>222</v>
      </c>
      <c r="B140" s="103" t="s">
        <v>223</v>
      </c>
      <c r="C140" s="104">
        <f>[27]С2!F35</f>
        <v>1.4976266307379205</v>
      </c>
      <c r="D140" s="89"/>
    </row>
    <row r="141" spans="1:4" ht="22.7" customHeight="1" thickBot="1" x14ac:dyDescent="0.25">
      <c r="A141" s="72" t="s">
        <v>224</v>
      </c>
      <c r="B141" s="118" t="s">
        <v>225</v>
      </c>
      <c r="C141" s="118"/>
      <c r="D141" s="89"/>
    </row>
    <row r="142" spans="1:4" ht="13.5" thickBot="1" x14ac:dyDescent="0.25">
      <c r="A142" s="106"/>
      <c r="B142" s="107" t="s">
        <v>226</v>
      </c>
      <c r="C142" s="108"/>
      <c r="D142" s="89"/>
    </row>
    <row r="143" spans="1:4" x14ac:dyDescent="0.2">
      <c r="A143" s="106"/>
      <c r="B143" s="109">
        <v>2020</v>
      </c>
      <c r="C143" s="110">
        <f>[27]С2.5!$E$11</f>
        <v>-2.9000000000000026E-2</v>
      </c>
      <c r="D143" s="89"/>
    </row>
    <row r="144" spans="1:4" x14ac:dyDescent="0.2">
      <c r="A144" s="106"/>
      <c r="B144" s="111">
        <f>B143+1</f>
        <v>2021</v>
      </c>
      <c r="C144" s="112">
        <f>[27]С2.5!$F$11</f>
        <v>0.245</v>
      </c>
      <c r="D144" s="89"/>
    </row>
    <row r="145" spans="1:4" x14ac:dyDescent="0.2">
      <c r="A145" s="106"/>
      <c r="B145" s="111">
        <f t="shared" ref="B145:B208" si="0">B144+1</f>
        <v>2022</v>
      </c>
      <c r="C145" s="112">
        <f>[27]С2.5!$G$11</f>
        <v>0.114</v>
      </c>
      <c r="D145" s="89"/>
    </row>
    <row r="146" spans="1:4" ht="13.5" thickBot="1" x14ac:dyDescent="0.25">
      <c r="A146" s="106"/>
      <c r="B146" s="113">
        <f t="shared" si="0"/>
        <v>2023</v>
      </c>
      <c r="C146" s="114">
        <f>[27]С2.5!$H$11</f>
        <v>2.4E-2</v>
      </c>
      <c r="D146" s="89"/>
    </row>
    <row r="147" spans="1:4" x14ac:dyDescent="0.2">
      <c r="A147" s="106"/>
      <c r="B147" s="115">
        <f t="shared" si="0"/>
        <v>2024</v>
      </c>
      <c r="C147" s="116">
        <f>[27]С2.5!$I$11</f>
        <v>8.5999999999999993E-2</v>
      </c>
      <c r="D147" s="89"/>
    </row>
    <row r="148" spans="1:4" hidden="1" x14ac:dyDescent="0.2">
      <c r="A148" s="106"/>
      <c r="B148" s="111">
        <f t="shared" si="0"/>
        <v>2025</v>
      </c>
      <c r="C148" s="112">
        <f>[27]С2.5!$J$11</f>
        <v>0.21215960863291</v>
      </c>
      <c r="D148" s="89"/>
    </row>
    <row r="149" spans="1:4" hidden="1" x14ac:dyDescent="0.2">
      <c r="A149" s="106"/>
      <c r="B149" s="111">
        <f t="shared" si="0"/>
        <v>2026</v>
      </c>
      <c r="C149" s="112">
        <f>[27]С2.5!$K$11</f>
        <v>3.5813361771260002E-2</v>
      </c>
      <c r="D149" s="89"/>
    </row>
    <row r="150" spans="1:4" hidden="1" x14ac:dyDescent="0.2">
      <c r="A150" s="106"/>
      <c r="B150" s="111">
        <f t="shared" si="0"/>
        <v>2027</v>
      </c>
      <c r="C150" s="112">
        <f>[27]С2.5!$L$11</f>
        <v>3.2682303599220003E-2</v>
      </c>
      <c r="D150" s="89"/>
    </row>
    <row r="151" spans="1:4" hidden="1" x14ac:dyDescent="0.2">
      <c r="A151" s="106"/>
      <c r="B151" s="111">
        <f t="shared" si="0"/>
        <v>2028</v>
      </c>
      <c r="C151" s="112">
        <f>[27]С2.5!$M$11</f>
        <v>0</v>
      </c>
      <c r="D151" s="89"/>
    </row>
    <row r="152" spans="1:4" hidden="1" x14ac:dyDescent="0.2">
      <c r="A152" s="106"/>
      <c r="B152" s="111">
        <f t="shared" si="0"/>
        <v>2029</v>
      </c>
      <c r="C152" s="112">
        <f>[27]С2.5!$N$11</f>
        <v>0</v>
      </c>
      <c r="D152" s="89"/>
    </row>
    <row r="153" spans="1:4" hidden="1" x14ac:dyDescent="0.2">
      <c r="A153" s="106"/>
      <c r="B153" s="111">
        <f t="shared" si="0"/>
        <v>2030</v>
      </c>
      <c r="C153" s="112">
        <f>[27]С2.5!$O$11</f>
        <v>0</v>
      </c>
      <c r="D153" s="89"/>
    </row>
    <row r="154" spans="1:4" hidden="1" x14ac:dyDescent="0.2">
      <c r="A154" s="106"/>
      <c r="B154" s="111">
        <f t="shared" si="0"/>
        <v>2031</v>
      </c>
      <c r="C154" s="112">
        <f>[27]С2.5!$P$11</f>
        <v>0</v>
      </c>
      <c r="D154" s="89"/>
    </row>
    <row r="155" spans="1:4" hidden="1" x14ac:dyDescent="0.2">
      <c r="A155" s="89"/>
      <c r="B155" s="111">
        <f t="shared" si="0"/>
        <v>2032</v>
      </c>
      <c r="C155" s="112">
        <f>[27]С2.5!$Q$11</f>
        <v>0</v>
      </c>
      <c r="D155" s="89"/>
    </row>
    <row r="156" spans="1:4" hidden="1" x14ac:dyDescent="0.2">
      <c r="A156" s="89"/>
      <c r="B156" s="111">
        <f t="shared" si="0"/>
        <v>2033</v>
      </c>
      <c r="C156" s="112">
        <f>[27]С2.5!$R$11</f>
        <v>0</v>
      </c>
      <c r="D156" s="89"/>
    </row>
    <row r="157" spans="1:4" hidden="1" x14ac:dyDescent="0.2">
      <c r="B157" s="111">
        <f t="shared" si="0"/>
        <v>2034</v>
      </c>
      <c r="C157" s="112">
        <f>[27]С2.5!$S$11</f>
        <v>0</v>
      </c>
    </row>
    <row r="158" spans="1:4" hidden="1" x14ac:dyDescent="0.2">
      <c r="B158" s="111">
        <f t="shared" si="0"/>
        <v>2035</v>
      </c>
      <c r="C158" s="112">
        <f>[27]С2.5!$T$11</f>
        <v>0</v>
      </c>
    </row>
    <row r="159" spans="1:4" hidden="1" x14ac:dyDescent="0.2">
      <c r="B159" s="111">
        <f t="shared" si="0"/>
        <v>2036</v>
      </c>
      <c r="C159" s="112">
        <f>[27]С2.5!$U$11</f>
        <v>0</v>
      </c>
    </row>
    <row r="160" spans="1:4" hidden="1" x14ac:dyDescent="0.2">
      <c r="B160" s="111">
        <f t="shared" si="0"/>
        <v>2037</v>
      </c>
      <c r="C160" s="112">
        <f>[27]С2.5!$V$11</f>
        <v>0</v>
      </c>
    </row>
    <row r="161" spans="2:3" hidden="1" x14ac:dyDescent="0.2">
      <c r="B161" s="111">
        <f t="shared" si="0"/>
        <v>2038</v>
      </c>
      <c r="C161" s="112">
        <f>[27]С2.5!$W$11</f>
        <v>0</v>
      </c>
    </row>
    <row r="162" spans="2:3" hidden="1" x14ac:dyDescent="0.2">
      <c r="B162" s="111">
        <f t="shared" si="0"/>
        <v>2039</v>
      </c>
      <c r="C162" s="112">
        <f>[27]С2.5!$X$11</f>
        <v>0</v>
      </c>
    </row>
    <row r="163" spans="2:3" hidden="1" x14ac:dyDescent="0.2">
      <c r="B163" s="111">
        <f t="shared" si="0"/>
        <v>2040</v>
      </c>
      <c r="C163" s="112">
        <f>[27]С2.5!$Y$11</f>
        <v>0</v>
      </c>
    </row>
    <row r="164" spans="2:3" hidden="1" x14ac:dyDescent="0.2">
      <c r="B164" s="111">
        <f t="shared" si="0"/>
        <v>2041</v>
      </c>
      <c r="C164" s="112">
        <f>[27]С2.5!$Z$11</f>
        <v>0</v>
      </c>
    </row>
    <row r="165" spans="2:3" hidden="1" x14ac:dyDescent="0.2">
      <c r="B165" s="111">
        <f t="shared" si="0"/>
        <v>2042</v>
      </c>
      <c r="C165" s="112">
        <f>[27]С2.5!$AA$11</f>
        <v>0</v>
      </c>
    </row>
    <row r="166" spans="2:3" hidden="1" x14ac:dyDescent="0.2">
      <c r="B166" s="111">
        <f t="shared" si="0"/>
        <v>2043</v>
      </c>
      <c r="C166" s="112">
        <f>[27]С2.5!$AB$11</f>
        <v>0</v>
      </c>
    </row>
    <row r="167" spans="2:3" hidden="1" x14ac:dyDescent="0.2">
      <c r="B167" s="111">
        <f t="shared" si="0"/>
        <v>2044</v>
      </c>
      <c r="C167" s="112">
        <f>[27]С2.5!$AC$11</f>
        <v>0</v>
      </c>
    </row>
    <row r="168" spans="2:3" hidden="1" x14ac:dyDescent="0.2">
      <c r="B168" s="111">
        <f t="shared" si="0"/>
        <v>2045</v>
      </c>
      <c r="C168" s="112">
        <f>[27]С2.5!$AD$11</f>
        <v>0</v>
      </c>
    </row>
    <row r="169" spans="2:3" hidden="1" x14ac:dyDescent="0.2">
      <c r="B169" s="111">
        <f t="shared" si="0"/>
        <v>2046</v>
      </c>
      <c r="C169" s="112">
        <f>[27]С2.5!$AE$11</f>
        <v>0</v>
      </c>
    </row>
    <row r="170" spans="2:3" hidden="1" x14ac:dyDescent="0.2">
      <c r="B170" s="111">
        <f t="shared" si="0"/>
        <v>2047</v>
      </c>
      <c r="C170" s="112">
        <f>[27]С2.5!$AF$11</f>
        <v>0</v>
      </c>
    </row>
    <row r="171" spans="2:3" hidden="1" x14ac:dyDescent="0.2">
      <c r="B171" s="111">
        <f t="shared" si="0"/>
        <v>2048</v>
      </c>
      <c r="C171" s="112">
        <f>[27]С2.5!$AG$11</f>
        <v>0</v>
      </c>
    </row>
    <row r="172" spans="2:3" hidden="1" x14ac:dyDescent="0.2">
      <c r="B172" s="111">
        <f t="shared" si="0"/>
        <v>2049</v>
      </c>
      <c r="C172" s="112">
        <f>[27]С2.5!$AH$11</f>
        <v>0</v>
      </c>
    </row>
    <row r="173" spans="2:3" hidden="1" x14ac:dyDescent="0.2">
      <c r="B173" s="111">
        <f t="shared" si="0"/>
        <v>2050</v>
      </c>
      <c r="C173" s="112">
        <f>[27]С2.5!$AI$11</f>
        <v>0</v>
      </c>
    </row>
    <row r="174" spans="2:3" hidden="1" x14ac:dyDescent="0.2">
      <c r="B174" s="111">
        <f t="shared" si="0"/>
        <v>2051</v>
      </c>
      <c r="C174" s="112">
        <f>[27]С2.5!$AJ$11</f>
        <v>0</v>
      </c>
    </row>
    <row r="175" spans="2:3" hidden="1" x14ac:dyDescent="0.2">
      <c r="B175" s="111">
        <f t="shared" si="0"/>
        <v>2052</v>
      </c>
      <c r="C175" s="112">
        <f>[27]С2.5!$AK$11</f>
        <v>0</v>
      </c>
    </row>
    <row r="176" spans="2:3" hidden="1" x14ac:dyDescent="0.2">
      <c r="B176" s="111">
        <f t="shared" si="0"/>
        <v>2053</v>
      </c>
      <c r="C176" s="112">
        <f>[27]С2.5!$AL$11</f>
        <v>0</v>
      </c>
    </row>
    <row r="177" spans="2:3" hidden="1" x14ac:dyDescent="0.2">
      <c r="B177" s="111">
        <f t="shared" si="0"/>
        <v>2054</v>
      </c>
      <c r="C177" s="112">
        <f>[27]С2.5!$AM$11</f>
        <v>0</v>
      </c>
    </row>
    <row r="178" spans="2:3" hidden="1" x14ac:dyDescent="0.2">
      <c r="B178" s="111">
        <f t="shared" si="0"/>
        <v>2055</v>
      </c>
      <c r="C178" s="112">
        <f>[27]С2.5!$AN$11</f>
        <v>0</v>
      </c>
    </row>
    <row r="179" spans="2:3" hidden="1" x14ac:dyDescent="0.2">
      <c r="B179" s="111">
        <f t="shared" si="0"/>
        <v>2056</v>
      </c>
      <c r="C179" s="112">
        <f>[27]С2.5!$AO$11</f>
        <v>0</v>
      </c>
    </row>
    <row r="180" spans="2:3" hidden="1" x14ac:dyDescent="0.2">
      <c r="B180" s="111">
        <f t="shared" si="0"/>
        <v>2057</v>
      </c>
      <c r="C180" s="112">
        <f>[27]С2.5!$AP$11</f>
        <v>0</v>
      </c>
    </row>
    <row r="181" spans="2:3" hidden="1" x14ac:dyDescent="0.2">
      <c r="B181" s="111">
        <f t="shared" si="0"/>
        <v>2058</v>
      </c>
      <c r="C181" s="112">
        <f>[27]С2.5!$AQ$11</f>
        <v>0</v>
      </c>
    </row>
    <row r="182" spans="2:3" hidden="1" x14ac:dyDescent="0.2">
      <c r="B182" s="111">
        <f t="shared" si="0"/>
        <v>2059</v>
      </c>
      <c r="C182" s="112">
        <f>[27]С2.5!$AR$11</f>
        <v>0</v>
      </c>
    </row>
    <row r="183" spans="2:3" hidden="1" x14ac:dyDescent="0.2">
      <c r="B183" s="111">
        <f t="shared" si="0"/>
        <v>2060</v>
      </c>
      <c r="C183" s="112">
        <f>[27]С2.5!$AS$11</f>
        <v>0</v>
      </c>
    </row>
    <row r="184" spans="2:3" hidden="1" x14ac:dyDescent="0.2">
      <c r="B184" s="111">
        <f t="shared" si="0"/>
        <v>2061</v>
      </c>
      <c r="C184" s="112">
        <f>[27]С2.5!$AT$11</f>
        <v>0</v>
      </c>
    </row>
    <row r="185" spans="2:3" hidden="1" x14ac:dyDescent="0.2">
      <c r="B185" s="111">
        <f t="shared" si="0"/>
        <v>2062</v>
      </c>
      <c r="C185" s="112">
        <f>[27]С2.5!$AU$11</f>
        <v>0</v>
      </c>
    </row>
    <row r="186" spans="2:3" hidden="1" x14ac:dyDescent="0.2">
      <c r="B186" s="111">
        <f t="shared" si="0"/>
        <v>2063</v>
      </c>
      <c r="C186" s="112">
        <f>[27]С2.5!$AV$11</f>
        <v>0</v>
      </c>
    </row>
    <row r="187" spans="2:3" hidden="1" x14ac:dyDescent="0.2">
      <c r="B187" s="111">
        <f t="shared" si="0"/>
        <v>2064</v>
      </c>
      <c r="C187" s="112">
        <f>[27]С2.5!$AW$11</f>
        <v>0</v>
      </c>
    </row>
    <row r="188" spans="2:3" hidden="1" x14ac:dyDescent="0.2">
      <c r="B188" s="111">
        <f t="shared" si="0"/>
        <v>2065</v>
      </c>
      <c r="C188" s="112">
        <f>[27]С2.5!$AX$11</f>
        <v>0</v>
      </c>
    </row>
    <row r="189" spans="2:3" hidden="1" x14ac:dyDescent="0.2">
      <c r="B189" s="111">
        <f t="shared" si="0"/>
        <v>2066</v>
      </c>
      <c r="C189" s="112">
        <f>[27]С2.5!$AY$11</f>
        <v>0</v>
      </c>
    </row>
    <row r="190" spans="2:3" hidden="1" x14ac:dyDescent="0.2">
      <c r="B190" s="111">
        <f t="shared" si="0"/>
        <v>2067</v>
      </c>
      <c r="C190" s="112">
        <f>[27]С2.5!$AZ$11</f>
        <v>0</v>
      </c>
    </row>
    <row r="191" spans="2:3" hidden="1" x14ac:dyDescent="0.2">
      <c r="B191" s="111">
        <f t="shared" si="0"/>
        <v>2068</v>
      </c>
      <c r="C191" s="112">
        <f>[27]С2.5!$BA$11</f>
        <v>0</v>
      </c>
    </row>
    <row r="192" spans="2:3" hidden="1" x14ac:dyDescent="0.2">
      <c r="B192" s="111">
        <f t="shared" si="0"/>
        <v>2069</v>
      </c>
      <c r="C192" s="112">
        <f>[27]С2.5!$BB$11</f>
        <v>0</v>
      </c>
    </row>
    <row r="193" spans="2:3" hidden="1" x14ac:dyDescent="0.2">
      <c r="B193" s="111">
        <f t="shared" si="0"/>
        <v>2070</v>
      </c>
      <c r="C193" s="112">
        <f>[27]С2.5!$BC$11</f>
        <v>0</v>
      </c>
    </row>
    <row r="194" spans="2:3" hidden="1" x14ac:dyDescent="0.2">
      <c r="B194" s="111">
        <f t="shared" si="0"/>
        <v>2071</v>
      </c>
      <c r="C194" s="112">
        <f>[27]С2.5!$BD$11</f>
        <v>0</v>
      </c>
    </row>
    <row r="195" spans="2:3" hidden="1" x14ac:dyDescent="0.2">
      <c r="B195" s="111">
        <f t="shared" si="0"/>
        <v>2072</v>
      </c>
      <c r="C195" s="112">
        <f>[27]С2.5!$BE$11</f>
        <v>0</v>
      </c>
    </row>
    <row r="196" spans="2:3" hidden="1" x14ac:dyDescent="0.2">
      <c r="B196" s="111">
        <f t="shared" si="0"/>
        <v>2073</v>
      </c>
      <c r="C196" s="112">
        <f>[27]С2.5!$BF$11</f>
        <v>0</v>
      </c>
    </row>
    <row r="197" spans="2:3" hidden="1" x14ac:dyDescent="0.2">
      <c r="B197" s="111">
        <f t="shared" si="0"/>
        <v>2074</v>
      </c>
      <c r="C197" s="112">
        <f>[27]С2.5!$BG$11</f>
        <v>0</v>
      </c>
    </row>
    <row r="198" spans="2:3" hidden="1" x14ac:dyDescent="0.2">
      <c r="B198" s="111">
        <f t="shared" si="0"/>
        <v>2075</v>
      </c>
      <c r="C198" s="112">
        <f>[27]С2.5!$BH$11</f>
        <v>0</v>
      </c>
    </row>
    <row r="199" spans="2:3" hidden="1" x14ac:dyDescent="0.2">
      <c r="B199" s="111">
        <f t="shared" si="0"/>
        <v>2076</v>
      </c>
      <c r="C199" s="112">
        <f>[27]С2.5!$BI$11</f>
        <v>0</v>
      </c>
    </row>
    <row r="200" spans="2:3" hidden="1" x14ac:dyDescent="0.2">
      <c r="B200" s="111">
        <f t="shared" si="0"/>
        <v>2077</v>
      </c>
      <c r="C200" s="112">
        <f>[27]С2.5!$BJ$11</f>
        <v>0</v>
      </c>
    </row>
    <row r="201" spans="2:3" hidden="1" x14ac:dyDescent="0.2">
      <c r="B201" s="111">
        <f t="shared" si="0"/>
        <v>2078</v>
      </c>
      <c r="C201" s="112">
        <f>[27]С2.5!$BK$11</f>
        <v>0</v>
      </c>
    </row>
    <row r="202" spans="2:3" hidden="1" x14ac:dyDescent="0.2">
      <c r="B202" s="111">
        <f t="shared" si="0"/>
        <v>2079</v>
      </c>
      <c r="C202" s="112">
        <f>[27]С2.5!$BL$11</f>
        <v>0</v>
      </c>
    </row>
    <row r="203" spans="2:3" hidden="1" x14ac:dyDescent="0.2">
      <c r="B203" s="111">
        <f t="shared" si="0"/>
        <v>2080</v>
      </c>
      <c r="C203" s="112">
        <f>[27]С2.5!$BM$11</f>
        <v>0</v>
      </c>
    </row>
    <row r="204" spans="2:3" hidden="1" x14ac:dyDescent="0.2">
      <c r="B204" s="111">
        <f t="shared" si="0"/>
        <v>2081</v>
      </c>
      <c r="C204" s="112">
        <f>[27]С2.5!$BN$11</f>
        <v>0</v>
      </c>
    </row>
    <row r="205" spans="2:3" hidden="1" x14ac:dyDescent="0.2">
      <c r="B205" s="111">
        <f t="shared" si="0"/>
        <v>2082</v>
      </c>
      <c r="C205" s="112">
        <f>[27]С2.5!$BO$11</f>
        <v>0</v>
      </c>
    </row>
    <row r="206" spans="2:3" hidden="1" x14ac:dyDescent="0.2">
      <c r="B206" s="111">
        <f t="shared" si="0"/>
        <v>2083</v>
      </c>
      <c r="C206" s="112">
        <f>[27]С2.5!$BP$11</f>
        <v>0</v>
      </c>
    </row>
    <row r="207" spans="2:3" hidden="1" x14ac:dyDescent="0.2">
      <c r="B207" s="111">
        <f t="shared" si="0"/>
        <v>2084</v>
      </c>
      <c r="C207" s="112">
        <f>[27]С2.5!$BQ$11</f>
        <v>0</v>
      </c>
    </row>
    <row r="208" spans="2:3" hidden="1" x14ac:dyDescent="0.2">
      <c r="B208" s="111">
        <f t="shared" si="0"/>
        <v>2085</v>
      </c>
      <c r="C208" s="112">
        <f>[27]С2.5!$BR$11</f>
        <v>0</v>
      </c>
    </row>
    <row r="209" spans="2:3" hidden="1" x14ac:dyDescent="0.2">
      <c r="B209" s="111">
        <f t="shared" ref="B209:B223" si="1">B208+1</f>
        <v>2086</v>
      </c>
      <c r="C209" s="112">
        <f>[27]С2.5!$BS$11</f>
        <v>0</v>
      </c>
    </row>
    <row r="210" spans="2:3" hidden="1" x14ac:dyDescent="0.2">
      <c r="B210" s="111">
        <f t="shared" si="1"/>
        <v>2087</v>
      </c>
      <c r="C210" s="112">
        <f>[27]С2.5!$BT$11</f>
        <v>0</v>
      </c>
    </row>
    <row r="211" spans="2:3" hidden="1" x14ac:dyDescent="0.2">
      <c r="B211" s="111">
        <f t="shared" si="1"/>
        <v>2088</v>
      </c>
      <c r="C211" s="112">
        <f>[27]С2.5!$BU$11</f>
        <v>0</v>
      </c>
    </row>
    <row r="212" spans="2:3" hidden="1" x14ac:dyDescent="0.2">
      <c r="B212" s="111">
        <f t="shared" si="1"/>
        <v>2089</v>
      </c>
      <c r="C212" s="112">
        <f>[27]С2.5!$BV$11</f>
        <v>0</v>
      </c>
    </row>
    <row r="213" spans="2:3" hidden="1" x14ac:dyDescent="0.2">
      <c r="B213" s="111">
        <f t="shared" si="1"/>
        <v>2090</v>
      </c>
      <c r="C213" s="112">
        <f>[27]С2.5!$BW$11</f>
        <v>0</v>
      </c>
    </row>
    <row r="214" spans="2:3" hidden="1" x14ac:dyDescent="0.2">
      <c r="B214" s="111">
        <f t="shared" si="1"/>
        <v>2091</v>
      </c>
      <c r="C214" s="112">
        <f>[27]С2.5!$BX$11</f>
        <v>0</v>
      </c>
    </row>
    <row r="215" spans="2:3" hidden="1" x14ac:dyDescent="0.2">
      <c r="B215" s="111">
        <f t="shared" si="1"/>
        <v>2092</v>
      </c>
      <c r="C215" s="112">
        <f>[27]С2.5!$BY$11</f>
        <v>0</v>
      </c>
    </row>
    <row r="216" spans="2:3" hidden="1" x14ac:dyDescent="0.2">
      <c r="B216" s="111">
        <f t="shared" si="1"/>
        <v>2093</v>
      </c>
      <c r="C216" s="112">
        <f>[27]С2.5!$BZ$11</f>
        <v>0</v>
      </c>
    </row>
    <row r="217" spans="2:3" hidden="1" x14ac:dyDescent="0.2">
      <c r="B217" s="111">
        <f t="shared" si="1"/>
        <v>2094</v>
      </c>
      <c r="C217" s="112">
        <f>[27]С2.5!$CA$11</f>
        <v>0</v>
      </c>
    </row>
    <row r="218" spans="2:3" hidden="1" x14ac:dyDescent="0.2">
      <c r="B218" s="111">
        <f t="shared" si="1"/>
        <v>2095</v>
      </c>
      <c r="C218" s="112">
        <f>[27]С2.5!$CB$11</f>
        <v>0</v>
      </c>
    </row>
    <row r="219" spans="2:3" hidden="1" x14ac:dyDescent="0.2">
      <c r="B219" s="111">
        <f t="shared" si="1"/>
        <v>2096</v>
      </c>
      <c r="C219" s="112">
        <f>[27]С2.5!$CC$11</f>
        <v>0</v>
      </c>
    </row>
    <row r="220" spans="2:3" hidden="1" x14ac:dyDescent="0.2">
      <c r="B220" s="111">
        <f t="shared" si="1"/>
        <v>2097</v>
      </c>
      <c r="C220" s="112">
        <f>[27]С2.5!$CD$11</f>
        <v>0</v>
      </c>
    </row>
    <row r="221" spans="2:3" hidden="1" x14ac:dyDescent="0.2">
      <c r="B221" s="111">
        <f t="shared" si="1"/>
        <v>2098</v>
      </c>
      <c r="C221" s="112">
        <f>[27]С2.5!$CE$11</f>
        <v>0</v>
      </c>
    </row>
    <row r="222" spans="2:3" hidden="1" x14ac:dyDescent="0.2">
      <c r="B222" s="111">
        <f t="shared" si="1"/>
        <v>2099</v>
      </c>
      <c r="C222" s="112">
        <f>[27]С2.5!$CF$11</f>
        <v>0</v>
      </c>
    </row>
    <row r="223" spans="2:3" ht="13.5" hidden="1" thickBot="1" x14ac:dyDescent="0.25">
      <c r="B223" s="113">
        <f t="shared" si="1"/>
        <v>2100</v>
      </c>
      <c r="C223" s="114">
        <f>[27]С2.5!$CG$11</f>
        <v>0</v>
      </c>
    </row>
    <row r="224" spans="2:3" hidden="1" x14ac:dyDescent="0.2">
      <c r="C224" s="117"/>
    </row>
    <row r="225" spans="3:3" hidden="1" x14ac:dyDescent="0.2">
      <c r="C225" s="117"/>
    </row>
    <row r="226" spans="3:3" x14ac:dyDescent="0.2">
      <c r="C226" s="117"/>
    </row>
  </sheetData>
  <mergeCells count="9">
    <mergeCell ref="B141:C141"/>
    <mergeCell ref="A14:C14"/>
    <mergeCell ref="B1:C1"/>
    <mergeCell ref="B27:C27"/>
    <mergeCell ref="B40:C40"/>
    <mergeCell ref="B84:C84"/>
    <mergeCell ref="B95:C95"/>
    <mergeCell ref="B124:C124"/>
    <mergeCell ref="B127:C127"/>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4337" r:id="rId3" name="Button 1">
              <controlPr defaultSize="0" print="0" autoFill="0" autoPict="0" macro="[28]!Лист29.PrintBlock">
                <anchor moveWithCells="1" sizeWithCells="1">
                  <from>
                    <xdr:col>3</xdr:col>
                    <xdr:colOff>0</xdr:colOff>
                    <xdr:row>0</xdr:row>
                    <xdr:rowOff>85725</xdr:rowOff>
                  </from>
                  <to>
                    <xdr:col>4</xdr:col>
                    <xdr:colOff>0</xdr:colOff>
                    <xdr:row>0</xdr:row>
                    <xdr:rowOff>238125</xdr:rowOff>
                  </to>
                </anchor>
              </controlPr>
            </control>
          </mc:Choice>
        </mc:AlternateContent>
        <mc:AlternateContent xmlns:mc="http://schemas.openxmlformats.org/markup-compatibility/2006">
          <mc:Choice Requires="x14">
            <control shapeId="14338" r:id="rId4" name="Button 2">
              <controlPr defaultSize="0" print="0" autoFill="0" autoPict="0" macro="[27]!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C2" sqref="C2"/>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20" t="s">
        <v>0</v>
      </c>
      <c r="C1" s="120"/>
    </row>
    <row r="2" spans="1:3" x14ac:dyDescent="0.2">
      <c r="A2" s="3"/>
      <c r="B2" s="4" t="s">
        <v>1</v>
      </c>
      <c r="C2" s="5">
        <v>45317</v>
      </c>
    </row>
    <row r="3" spans="1:3" x14ac:dyDescent="0.2">
      <c r="A3" s="3"/>
      <c r="B3" s="6" t="s">
        <v>2</v>
      </c>
    </row>
    <row r="4" spans="1:3" ht="25.5" x14ac:dyDescent="0.2">
      <c r="A4" s="8"/>
      <c r="B4" s="9" t="str">
        <f>[29]И1!D13</f>
        <v>Субъект Российской Федерации</v>
      </c>
      <c r="C4" s="10" t="str">
        <f>[29]И1!E13</f>
        <v>Новосибирская область</v>
      </c>
    </row>
    <row r="5" spans="1:3" ht="46.9" customHeight="1" x14ac:dyDescent="0.2">
      <c r="A5" s="8"/>
      <c r="B5" s="9" t="str">
        <f>[29]И1!D14</f>
        <v>Тип муниципального образования (выберите из списка)</v>
      </c>
      <c r="C5" s="10" t="str">
        <f>[29]И1!E14</f>
        <v>село Шипуново, Сузунский муниципальный район</v>
      </c>
    </row>
    <row r="6" spans="1:3" x14ac:dyDescent="0.2">
      <c r="A6" s="8"/>
      <c r="B6" s="9" t="str">
        <f>IF([29]И1!E15="","",[29]И1!D15)</f>
        <v/>
      </c>
      <c r="C6" s="10" t="str">
        <f>IF([29]И1!E15="","",[29]И1!E15)</f>
        <v/>
      </c>
    </row>
    <row r="7" spans="1:3" x14ac:dyDescent="0.2">
      <c r="A7" s="8"/>
      <c r="B7" s="9" t="str">
        <f>[29]И1!D16</f>
        <v>Код ОКТМО</v>
      </c>
      <c r="C7" s="11" t="str">
        <f>[29]И1!E16</f>
        <v xml:space="preserve"> (50648440101)</v>
      </c>
    </row>
    <row r="8" spans="1:3" x14ac:dyDescent="0.2">
      <c r="A8" s="8"/>
      <c r="B8" s="12" t="str">
        <f>[29]И1!D17</f>
        <v>Система теплоснабжения</v>
      </c>
      <c r="C8" s="13">
        <f>[29]И1!E17</f>
        <v>0</v>
      </c>
    </row>
    <row r="9" spans="1:3" x14ac:dyDescent="0.2">
      <c r="A9" s="8"/>
      <c r="B9" s="9" t="str">
        <f>[29]И1!D8</f>
        <v>Период регулирования (i)-й</v>
      </c>
      <c r="C9" s="14">
        <f>[29]И1!E8</f>
        <v>2024</v>
      </c>
    </row>
    <row r="10" spans="1:3" x14ac:dyDescent="0.2">
      <c r="A10" s="8"/>
      <c r="B10" s="9" t="str">
        <f>[29]И1!D9</f>
        <v>Период регулирования (i-1)-й</v>
      </c>
      <c r="C10" s="14">
        <f>[29]И1!E9</f>
        <v>2023</v>
      </c>
    </row>
    <row r="11" spans="1:3" x14ac:dyDescent="0.2">
      <c r="A11" s="8"/>
      <c r="B11" s="9" t="str">
        <f>[29]И1!D10</f>
        <v>Период регулирования (i-2)-й</v>
      </c>
      <c r="C11" s="14">
        <f>[29]И1!E10</f>
        <v>2022</v>
      </c>
    </row>
    <row r="12" spans="1:3" x14ac:dyDescent="0.2">
      <c r="A12" s="8"/>
      <c r="B12" s="9" t="str">
        <f>[29]И1!D11</f>
        <v>Базовый год (б)</v>
      </c>
      <c r="C12" s="14">
        <f>[29]И1!E11</f>
        <v>2019</v>
      </c>
    </row>
    <row r="13" spans="1:3" ht="38.25" x14ac:dyDescent="0.2">
      <c r="A13" s="8"/>
      <c r="B13" s="9" t="str">
        <f>[29]И1!D18</f>
        <v>Вид топлива, использование которого преобладает в системе теплоснабжения</v>
      </c>
      <c r="C13" s="15" t="str">
        <f>[29]С1.1!E13</f>
        <v>уголь (вид угля не указан в топливном балансе)</v>
      </c>
    </row>
    <row r="14" spans="1:3" ht="31.7" customHeight="1" thickBot="1" x14ac:dyDescent="0.25">
      <c r="A14" s="119" t="s">
        <v>3</v>
      </c>
      <c r="B14" s="119"/>
      <c r="C14" s="119"/>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3589.5845809496468</v>
      </c>
    </row>
    <row r="18" spans="1:3" ht="42.75" x14ac:dyDescent="0.2">
      <c r="A18" s="22" t="s">
        <v>8</v>
      </c>
      <c r="B18" s="25" t="s">
        <v>9</v>
      </c>
      <c r="C18" s="26">
        <f>[29]С1!F12</f>
        <v>619.38714681585975</v>
      </c>
    </row>
    <row r="19" spans="1:3" ht="42.75" x14ac:dyDescent="0.2">
      <c r="A19" s="22" t="s">
        <v>10</v>
      </c>
      <c r="B19" s="25" t="s">
        <v>11</v>
      </c>
      <c r="C19" s="26">
        <f>[29]С2!F12</f>
        <v>1990.8616285605142</v>
      </c>
    </row>
    <row r="20" spans="1:3" ht="30" x14ac:dyDescent="0.2">
      <c r="A20" s="22" t="s">
        <v>12</v>
      </c>
      <c r="B20" s="25" t="s">
        <v>13</v>
      </c>
      <c r="C20" s="26">
        <f>[29]С3!F12</f>
        <v>473.18998182045129</v>
      </c>
    </row>
    <row r="21" spans="1:3" ht="42.75" x14ac:dyDescent="0.2">
      <c r="A21" s="22" t="s">
        <v>14</v>
      </c>
      <c r="B21" s="25" t="s">
        <v>15</v>
      </c>
      <c r="C21" s="26">
        <f>[29]С4!F12</f>
        <v>435.76181236165155</v>
      </c>
    </row>
    <row r="22" spans="1:3" ht="30" x14ac:dyDescent="0.2">
      <c r="A22" s="22" t="s">
        <v>16</v>
      </c>
      <c r="B22" s="25" t="s">
        <v>17</v>
      </c>
      <c r="C22" s="26">
        <f>[29]С5!F12</f>
        <v>70.384011391169551</v>
      </c>
    </row>
    <row r="23" spans="1:3" ht="43.5" thickBot="1" x14ac:dyDescent="0.25">
      <c r="A23" s="27" t="s">
        <v>18</v>
      </c>
      <c r="B23" s="105" t="s">
        <v>19</v>
      </c>
      <c r="C23" s="28" t="str">
        <f>[29]С6!F12</f>
        <v>-</v>
      </c>
    </row>
    <row r="24" spans="1:3" ht="13.5" thickBot="1" x14ac:dyDescent="0.25">
      <c r="A24" s="3"/>
    </row>
    <row r="25" spans="1:3" x14ac:dyDescent="0.2">
      <c r="A25" s="16" t="s">
        <v>4</v>
      </c>
      <c r="B25" s="29" t="s">
        <v>5</v>
      </c>
      <c r="C25" s="30" t="s">
        <v>6</v>
      </c>
    </row>
    <row r="26" spans="1:3" x14ac:dyDescent="0.2">
      <c r="A26" s="19">
        <v>1</v>
      </c>
      <c r="B26" s="31">
        <v>2</v>
      </c>
      <c r="C26" s="32">
        <v>3</v>
      </c>
    </row>
    <row r="27" spans="1:3" ht="30" customHeight="1" x14ac:dyDescent="0.2">
      <c r="A27" s="22">
        <v>1</v>
      </c>
      <c r="B27" s="121" t="s">
        <v>20</v>
      </c>
      <c r="C27" s="121"/>
    </row>
    <row r="28" spans="1:3" x14ac:dyDescent="0.2">
      <c r="A28" s="22" t="s">
        <v>8</v>
      </c>
      <c r="B28" s="33" t="s">
        <v>21</v>
      </c>
      <c r="C28" s="34">
        <f>[29]С1.1!E16</f>
        <v>5100</v>
      </c>
    </row>
    <row r="29" spans="1:3" ht="42.75" x14ac:dyDescent="0.2">
      <c r="A29" s="22" t="s">
        <v>10</v>
      </c>
      <c r="B29" s="33" t="s">
        <v>22</v>
      </c>
      <c r="C29" s="34">
        <f>[29]С1.1!E27</f>
        <v>2782.9333333333334</v>
      </c>
    </row>
    <row r="30" spans="1:3" ht="17.25" x14ac:dyDescent="0.2">
      <c r="A30" s="22" t="s">
        <v>12</v>
      </c>
      <c r="B30" s="33" t="s">
        <v>23</v>
      </c>
      <c r="C30" s="35">
        <f>[29]С1.1!E19</f>
        <v>-0.19900000000000001</v>
      </c>
    </row>
    <row r="31" spans="1:3" ht="17.25" x14ac:dyDescent="0.2">
      <c r="A31" s="22" t="s">
        <v>14</v>
      </c>
      <c r="B31" s="33" t="s">
        <v>24</v>
      </c>
      <c r="C31" s="35">
        <f>[29]С1.1!E20</f>
        <v>5.7000000000000002E-2</v>
      </c>
    </row>
    <row r="32" spans="1:3" ht="30" x14ac:dyDescent="0.2">
      <c r="A32" s="22" t="s">
        <v>16</v>
      </c>
      <c r="B32" s="36" t="s">
        <v>25</v>
      </c>
      <c r="C32" s="37">
        <f>[29]С1!F13</f>
        <v>176.4</v>
      </c>
    </row>
    <row r="33" spans="1:3" x14ac:dyDescent="0.2">
      <c r="A33" s="22" t="s">
        <v>18</v>
      </c>
      <c r="B33" s="36" t="s">
        <v>26</v>
      </c>
      <c r="C33" s="38">
        <f>[29]С1!F16</f>
        <v>7000</v>
      </c>
    </row>
    <row r="34" spans="1:3" ht="14.25" x14ac:dyDescent="0.2">
      <c r="A34" s="22" t="s">
        <v>27</v>
      </c>
      <c r="B34" s="39" t="s">
        <v>28</v>
      </c>
      <c r="C34" s="40">
        <f>[29]С1!F17</f>
        <v>0.72857142857142854</v>
      </c>
    </row>
    <row r="35" spans="1:3" ht="15.75" x14ac:dyDescent="0.2">
      <c r="A35" s="41" t="s">
        <v>29</v>
      </c>
      <c r="B35" s="42" t="s">
        <v>30</v>
      </c>
      <c r="C35" s="40">
        <f>[29]С1!F20</f>
        <v>21.588411179999994</v>
      </c>
    </row>
    <row r="36" spans="1:3" ht="15.75" x14ac:dyDescent="0.2">
      <c r="A36" s="41" t="s">
        <v>31</v>
      </c>
      <c r="B36" s="43" t="s">
        <v>32</v>
      </c>
      <c r="C36" s="40">
        <f>[29]С1!F21</f>
        <v>20.818139999999996</v>
      </c>
    </row>
    <row r="37" spans="1:3" ht="14.25" x14ac:dyDescent="0.2">
      <c r="A37" s="41" t="s">
        <v>33</v>
      </c>
      <c r="B37" s="44" t="s">
        <v>34</v>
      </c>
      <c r="C37" s="40">
        <f>[29]С1!F22</f>
        <v>1.0369999999999999</v>
      </c>
    </row>
    <row r="38" spans="1:3" ht="53.25" thickBot="1" x14ac:dyDescent="0.25">
      <c r="A38" s="27" t="s">
        <v>35</v>
      </c>
      <c r="B38" s="45" t="s">
        <v>36</v>
      </c>
      <c r="C38" s="46">
        <f>[29]С1!F23</f>
        <v>1.0469999999999999</v>
      </c>
    </row>
    <row r="39" spans="1:3" ht="13.5" thickBot="1" x14ac:dyDescent="0.25">
      <c r="A39" s="47"/>
      <c r="B39" s="48"/>
      <c r="C39" s="49"/>
    </row>
    <row r="40" spans="1:3" ht="30" customHeight="1" x14ac:dyDescent="0.2">
      <c r="A40" s="50" t="s">
        <v>37</v>
      </c>
      <c r="B40" s="122" t="s">
        <v>38</v>
      </c>
      <c r="C40" s="122"/>
    </row>
    <row r="41" spans="1:3" ht="25.5" x14ac:dyDescent="0.2">
      <c r="A41" s="22" t="s">
        <v>39</v>
      </c>
      <c r="B41" s="36" t="s">
        <v>40</v>
      </c>
      <c r="C41" s="51" t="str">
        <f>[29]С2.1!E12</f>
        <v>V</v>
      </c>
    </row>
    <row r="42" spans="1:3" ht="25.5" x14ac:dyDescent="0.2">
      <c r="A42" s="22" t="s">
        <v>41</v>
      </c>
      <c r="B42" s="33" t="s">
        <v>42</v>
      </c>
      <c r="C42" s="51" t="str">
        <f>[29]С2.1!E13</f>
        <v>6 и менее баллов</v>
      </c>
    </row>
    <row r="43" spans="1:3" ht="25.5" x14ac:dyDescent="0.2">
      <c r="A43" s="22" t="s">
        <v>43</v>
      </c>
      <c r="B43" s="33" t="s">
        <v>44</v>
      </c>
      <c r="C43" s="51" t="str">
        <f>[29]С2.1!E14</f>
        <v>от 200 до 500</v>
      </c>
    </row>
    <row r="44" spans="1:3" ht="25.5" x14ac:dyDescent="0.2">
      <c r="A44" s="22" t="s">
        <v>45</v>
      </c>
      <c r="B44" s="33" t="s">
        <v>46</v>
      </c>
      <c r="C44" s="52" t="str">
        <f>[29]С2.1!E15</f>
        <v>нет</v>
      </c>
    </row>
    <row r="45" spans="1:3" ht="30" x14ac:dyDescent="0.2">
      <c r="A45" s="22" t="s">
        <v>47</v>
      </c>
      <c r="B45" s="33" t="s">
        <v>48</v>
      </c>
      <c r="C45" s="34">
        <f>[29]С2!F18</f>
        <v>35106.652004551666</v>
      </c>
    </row>
    <row r="46" spans="1:3" ht="30" x14ac:dyDescent="0.2">
      <c r="A46" s="22" t="s">
        <v>49</v>
      </c>
      <c r="B46" s="53" t="s">
        <v>50</v>
      </c>
      <c r="C46" s="34">
        <f>IF([29]С2!F19&gt;0,[29]С2!F19,[29]С2!F20)</f>
        <v>23441.524932855718</v>
      </c>
    </row>
    <row r="47" spans="1:3" ht="25.5" x14ac:dyDescent="0.2">
      <c r="A47" s="22" t="s">
        <v>51</v>
      </c>
      <c r="B47" s="54" t="s">
        <v>52</v>
      </c>
      <c r="C47" s="34">
        <f>[29]С2.1!E19</f>
        <v>-38</v>
      </c>
    </row>
    <row r="48" spans="1:3" ht="25.5" x14ac:dyDescent="0.2">
      <c r="A48" s="22" t="s">
        <v>53</v>
      </c>
      <c r="B48" s="54" t="s">
        <v>54</v>
      </c>
      <c r="C48" s="34" t="str">
        <f>[29]С2.1!E22</f>
        <v>нет</v>
      </c>
    </row>
    <row r="49" spans="1:3" ht="38.25" x14ac:dyDescent="0.2">
      <c r="A49" s="22" t="s">
        <v>55</v>
      </c>
      <c r="B49" s="55" t="s">
        <v>56</v>
      </c>
      <c r="C49" s="34">
        <f>[29]С2.2!E10</f>
        <v>1287</v>
      </c>
    </row>
    <row r="50" spans="1:3" ht="25.5" x14ac:dyDescent="0.2">
      <c r="A50" s="22" t="s">
        <v>57</v>
      </c>
      <c r="B50" s="56" t="s">
        <v>58</v>
      </c>
      <c r="C50" s="34">
        <f>[29]С2.2!E12</f>
        <v>5.97</v>
      </c>
    </row>
    <row r="51" spans="1:3" ht="52.5" x14ac:dyDescent="0.2">
      <c r="A51" s="22" t="s">
        <v>59</v>
      </c>
      <c r="B51" s="57" t="s">
        <v>60</v>
      </c>
      <c r="C51" s="34">
        <f>[29]С2.2!E13</f>
        <v>1</v>
      </c>
    </row>
    <row r="52" spans="1:3" ht="27.75" x14ac:dyDescent="0.2">
      <c r="A52" s="22" t="s">
        <v>61</v>
      </c>
      <c r="B52" s="56" t="s">
        <v>62</v>
      </c>
      <c r="C52" s="34">
        <f>[29]С2.2!E14</f>
        <v>12104</v>
      </c>
    </row>
    <row r="53" spans="1:3" ht="25.5" x14ac:dyDescent="0.2">
      <c r="A53" s="22" t="s">
        <v>63</v>
      </c>
      <c r="B53" s="57" t="s">
        <v>64</v>
      </c>
      <c r="C53" s="35">
        <f>[29]С2.2!E15</f>
        <v>4.8000000000000001E-2</v>
      </c>
    </row>
    <row r="54" spans="1:3" x14ac:dyDescent="0.2">
      <c r="A54" s="22" t="s">
        <v>65</v>
      </c>
      <c r="B54" s="57" t="s">
        <v>66</v>
      </c>
      <c r="C54" s="34">
        <f>[29]С2.2!E16</f>
        <v>1</v>
      </c>
    </row>
    <row r="55" spans="1:3" ht="15.75" x14ac:dyDescent="0.2">
      <c r="A55" s="22" t="s">
        <v>67</v>
      </c>
      <c r="B55" s="58" t="s">
        <v>68</v>
      </c>
      <c r="C55" s="34">
        <f>[29]С2!F21</f>
        <v>1</v>
      </c>
    </row>
    <row r="56" spans="1:3" ht="30" x14ac:dyDescent="0.2">
      <c r="A56" s="59" t="s">
        <v>69</v>
      </c>
      <c r="B56" s="33" t="s">
        <v>70</v>
      </c>
      <c r="C56" s="34">
        <f>[29]С2!F13</f>
        <v>183796.83936385796</v>
      </c>
    </row>
    <row r="57" spans="1:3" ht="30" x14ac:dyDescent="0.2">
      <c r="A57" s="59" t="s">
        <v>71</v>
      </c>
      <c r="B57" s="58" t="s">
        <v>72</v>
      </c>
      <c r="C57" s="34">
        <f>[29]С2!F14</f>
        <v>113455</v>
      </c>
    </row>
    <row r="58" spans="1:3" ht="15.75" x14ac:dyDescent="0.2">
      <c r="A58" s="59" t="s">
        <v>73</v>
      </c>
      <c r="B58" s="60" t="s">
        <v>74</v>
      </c>
      <c r="C58" s="40">
        <f>[29]С2!F15</f>
        <v>1.071</v>
      </c>
    </row>
    <row r="59" spans="1:3" ht="15.75" x14ac:dyDescent="0.2">
      <c r="A59" s="59" t="s">
        <v>75</v>
      </c>
      <c r="B59" s="60" t="s">
        <v>76</v>
      </c>
      <c r="C59" s="40">
        <f>[29]С2!F16</f>
        <v>1</v>
      </c>
    </row>
    <row r="60" spans="1:3" ht="17.25" x14ac:dyDescent="0.2">
      <c r="A60" s="59" t="s">
        <v>77</v>
      </c>
      <c r="B60" s="58" t="s">
        <v>78</v>
      </c>
      <c r="C60" s="34">
        <f>[29]С2!F17</f>
        <v>1.01</v>
      </c>
    </row>
    <row r="61" spans="1:3" s="63" customFormat="1" ht="14.25" x14ac:dyDescent="0.2">
      <c r="A61" s="59" t="s">
        <v>79</v>
      </c>
      <c r="B61" s="61" t="s">
        <v>80</v>
      </c>
      <c r="C61" s="62">
        <f>[29]С2!F33</f>
        <v>10</v>
      </c>
    </row>
    <row r="62" spans="1:3" ht="30" x14ac:dyDescent="0.2">
      <c r="A62" s="59" t="s">
        <v>81</v>
      </c>
      <c r="B62" s="64" t="s">
        <v>82</v>
      </c>
      <c r="C62" s="34">
        <f>[29]С2!F26</f>
        <v>1543.3634896839897</v>
      </c>
    </row>
    <row r="63" spans="1:3" ht="17.25" x14ac:dyDescent="0.2">
      <c r="A63" s="59" t="s">
        <v>83</v>
      </c>
      <c r="B63" s="53" t="s">
        <v>84</v>
      </c>
      <c r="C63" s="34">
        <f>[29]С2!F27</f>
        <v>0.24536656199999998</v>
      </c>
    </row>
    <row r="64" spans="1:3" ht="17.25" x14ac:dyDescent="0.2">
      <c r="A64" s="59" t="s">
        <v>85</v>
      </c>
      <c r="B64" s="58" t="s">
        <v>86</v>
      </c>
      <c r="C64" s="62">
        <f>[29]С2!F28</f>
        <v>4200</v>
      </c>
    </row>
    <row r="65" spans="1:3" ht="42.75" x14ac:dyDescent="0.2">
      <c r="A65" s="59" t="s">
        <v>87</v>
      </c>
      <c r="B65" s="33" t="s">
        <v>88</v>
      </c>
      <c r="C65" s="34">
        <f>[29]С2!F22</f>
        <v>38698.422798410109</v>
      </c>
    </row>
    <row r="66" spans="1:3" ht="30" x14ac:dyDescent="0.2">
      <c r="A66" s="59" t="s">
        <v>89</v>
      </c>
      <c r="B66" s="60" t="s">
        <v>90</v>
      </c>
      <c r="C66" s="34">
        <f>[29]С2!F23</f>
        <v>1990</v>
      </c>
    </row>
    <row r="67" spans="1:3" ht="30" x14ac:dyDescent="0.2">
      <c r="A67" s="59" t="s">
        <v>91</v>
      </c>
      <c r="B67" s="53" t="s">
        <v>92</v>
      </c>
      <c r="C67" s="34">
        <f>[29]С2.1!E27</f>
        <v>14307.876789999998</v>
      </c>
    </row>
    <row r="68" spans="1:3" ht="38.25" x14ac:dyDescent="0.2">
      <c r="A68" s="59" t="s">
        <v>93</v>
      </c>
      <c r="B68" s="65" t="s">
        <v>94</v>
      </c>
      <c r="C68" s="52">
        <f>[29]С2.3!E21</f>
        <v>0</v>
      </c>
    </row>
    <row r="69" spans="1:3" ht="25.5" x14ac:dyDescent="0.2">
      <c r="A69" s="59" t="s">
        <v>95</v>
      </c>
      <c r="B69" s="66" t="s">
        <v>96</v>
      </c>
      <c r="C69" s="67">
        <f>[29]С2.3!E11</f>
        <v>9.89</v>
      </c>
    </row>
    <row r="70" spans="1:3" ht="25.5" x14ac:dyDescent="0.2">
      <c r="A70" s="59" t="s">
        <v>97</v>
      </c>
      <c r="B70" s="66" t="s">
        <v>98</v>
      </c>
      <c r="C70" s="62">
        <f>[29]С2.3!E13</f>
        <v>300</v>
      </c>
    </row>
    <row r="71" spans="1:3" ht="25.5" x14ac:dyDescent="0.2">
      <c r="A71" s="59" t="s">
        <v>99</v>
      </c>
      <c r="B71" s="65" t="s">
        <v>100</v>
      </c>
      <c r="C71" s="68">
        <f>IF([29]С2.3!E22&gt;0,[29]С2.3!E22,[29]С2.3!E14)</f>
        <v>61211</v>
      </c>
    </row>
    <row r="72" spans="1:3" ht="38.25" x14ac:dyDescent="0.2">
      <c r="A72" s="59" t="s">
        <v>101</v>
      </c>
      <c r="B72" s="65" t="s">
        <v>102</v>
      </c>
      <c r="C72" s="68">
        <f>IF([29]С2.3!E23&gt;0,[29]С2.3!E23,[29]С2.3!E15)</f>
        <v>45675</v>
      </c>
    </row>
    <row r="73" spans="1:3" ht="30" x14ac:dyDescent="0.2">
      <c r="A73" s="59" t="s">
        <v>103</v>
      </c>
      <c r="B73" s="53" t="s">
        <v>104</v>
      </c>
      <c r="C73" s="34">
        <f>[29]С2.1!E28</f>
        <v>9541.9567200000001</v>
      </c>
    </row>
    <row r="74" spans="1:3" ht="38.25" x14ac:dyDescent="0.2">
      <c r="A74" s="59" t="s">
        <v>105</v>
      </c>
      <c r="B74" s="65" t="s">
        <v>106</v>
      </c>
      <c r="C74" s="52">
        <f>[29]С2.3!E25</f>
        <v>0</v>
      </c>
    </row>
    <row r="75" spans="1:3" ht="25.5" x14ac:dyDescent="0.2">
      <c r="A75" s="59" t="s">
        <v>107</v>
      </c>
      <c r="B75" s="66" t="s">
        <v>108</v>
      </c>
      <c r="C75" s="67">
        <f>[29]С2.3!E12</f>
        <v>0.56000000000000005</v>
      </c>
    </row>
    <row r="76" spans="1:3" ht="25.5" x14ac:dyDescent="0.2">
      <c r="A76" s="59" t="s">
        <v>109</v>
      </c>
      <c r="B76" s="66" t="s">
        <v>98</v>
      </c>
      <c r="C76" s="62">
        <f>[29]С2.3!E13</f>
        <v>300</v>
      </c>
    </row>
    <row r="77" spans="1:3" ht="25.5" x14ac:dyDescent="0.2">
      <c r="A77" s="59" t="s">
        <v>110</v>
      </c>
      <c r="B77" s="69" t="s">
        <v>111</v>
      </c>
      <c r="C77" s="68">
        <f>IF([29]С2.3!E26&gt;0,[29]С2.3!E26,[29]С2.3!E16)</f>
        <v>65637</v>
      </c>
    </row>
    <row r="78" spans="1:3" ht="38.25" x14ac:dyDescent="0.2">
      <c r="A78" s="59" t="s">
        <v>112</v>
      </c>
      <c r="B78" s="69" t="s">
        <v>113</v>
      </c>
      <c r="C78" s="68">
        <f>IF([29]С2.3!E27&gt;0,[29]С2.3!E27,[29]С2.3!E17)</f>
        <v>31684</v>
      </c>
    </row>
    <row r="79" spans="1:3" ht="17.25" x14ac:dyDescent="0.2">
      <c r="A79" s="59" t="s">
        <v>114</v>
      </c>
      <c r="B79" s="33" t="s">
        <v>115</v>
      </c>
      <c r="C79" s="35">
        <f>[29]С2!F29</f>
        <v>9.5962865259740182E-2</v>
      </c>
    </row>
    <row r="80" spans="1:3" ht="30" x14ac:dyDescent="0.2">
      <c r="A80" s="59" t="s">
        <v>116</v>
      </c>
      <c r="B80" s="53" t="s">
        <v>117</v>
      </c>
      <c r="C80" s="70">
        <f>[29]С2!F30</f>
        <v>8.4029304029304031E-2</v>
      </c>
    </row>
    <row r="81" spans="1:3" ht="17.25" x14ac:dyDescent="0.2">
      <c r="A81" s="59" t="s">
        <v>118</v>
      </c>
      <c r="B81" s="71" t="s">
        <v>119</v>
      </c>
      <c r="C81" s="35">
        <f>[29]С2!F31</f>
        <v>0.13880000000000001</v>
      </c>
    </row>
    <row r="82" spans="1:3" s="63" customFormat="1" ht="18" thickBot="1" x14ac:dyDescent="0.25">
      <c r="A82" s="72" t="s">
        <v>120</v>
      </c>
      <c r="B82" s="73" t="s">
        <v>121</v>
      </c>
      <c r="C82" s="74">
        <f>[29]С2!F32</f>
        <v>0.12640000000000001</v>
      </c>
    </row>
    <row r="83" spans="1:3" ht="13.5" thickBot="1" x14ac:dyDescent="0.25">
      <c r="A83" s="47"/>
      <c r="B83" s="75"/>
      <c r="C83" s="15"/>
    </row>
    <row r="84" spans="1:3" s="63" customFormat="1" ht="30" customHeight="1" x14ac:dyDescent="0.2">
      <c r="A84" s="76" t="s">
        <v>122</v>
      </c>
      <c r="B84" s="122" t="s">
        <v>123</v>
      </c>
      <c r="C84" s="122"/>
    </row>
    <row r="85" spans="1:3" s="63" customFormat="1" ht="30" x14ac:dyDescent="0.2">
      <c r="A85" s="77" t="s">
        <v>124</v>
      </c>
      <c r="B85" s="33" t="s">
        <v>125</v>
      </c>
      <c r="C85" s="34">
        <f>[29]С3!F14</f>
        <v>6068.1437898865324</v>
      </c>
    </row>
    <row r="86" spans="1:3" s="63" customFormat="1" ht="42.75" x14ac:dyDescent="0.2">
      <c r="A86" s="77" t="s">
        <v>126</v>
      </c>
      <c r="B86" s="53" t="s">
        <v>127</v>
      </c>
      <c r="C86" s="78">
        <f>[29]С3!F15</f>
        <v>0.2</v>
      </c>
    </row>
    <row r="87" spans="1:3" s="63" customFormat="1" ht="14.25" x14ac:dyDescent="0.2">
      <c r="A87" s="77" t="s">
        <v>128</v>
      </c>
      <c r="B87" s="79" t="s">
        <v>129</v>
      </c>
      <c r="C87" s="62">
        <f>[29]С3!F18</f>
        <v>15</v>
      </c>
    </row>
    <row r="88" spans="1:3" s="63" customFormat="1" ht="17.25" x14ac:dyDescent="0.2">
      <c r="A88" s="77" t="s">
        <v>130</v>
      </c>
      <c r="B88" s="33" t="s">
        <v>131</v>
      </c>
      <c r="C88" s="34">
        <f>[29]С3!F19</f>
        <v>3778.1614077800232</v>
      </c>
    </row>
    <row r="89" spans="1:3" s="63" customFormat="1" ht="55.5" x14ac:dyDescent="0.2">
      <c r="A89" s="77" t="s">
        <v>132</v>
      </c>
      <c r="B89" s="53" t="s">
        <v>133</v>
      </c>
      <c r="C89" s="80">
        <f>[29]С3!F20</f>
        <v>2.1999999999999999E-2</v>
      </c>
    </row>
    <row r="90" spans="1:3" s="63" customFormat="1" ht="14.25" x14ac:dyDescent="0.2">
      <c r="A90" s="77" t="s">
        <v>134</v>
      </c>
      <c r="B90" s="58" t="s">
        <v>80</v>
      </c>
      <c r="C90" s="62">
        <f>[29]С3!F21</f>
        <v>10</v>
      </c>
    </row>
    <row r="91" spans="1:3" s="63" customFormat="1" ht="17.25" x14ac:dyDescent="0.2">
      <c r="A91" s="77" t="s">
        <v>135</v>
      </c>
      <c r="B91" s="33" t="s">
        <v>136</v>
      </c>
      <c r="C91" s="34">
        <f>[29]С3!F22</f>
        <v>4.6300904690519689</v>
      </c>
    </row>
    <row r="92" spans="1:3" s="63" customFormat="1" ht="55.5" x14ac:dyDescent="0.2">
      <c r="A92" s="77" t="s">
        <v>137</v>
      </c>
      <c r="B92" s="53" t="s">
        <v>138</v>
      </c>
      <c r="C92" s="80">
        <f>[29]С3!F23</f>
        <v>3.0000000000000001E-3</v>
      </c>
    </row>
    <row r="93" spans="1:3" s="63" customFormat="1" ht="27.75" thickBot="1" x14ac:dyDescent="0.25">
      <c r="A93" s="81" t="s">
        <v>139</v>
      </c>
      <c r="B93" s="82" t="s">
        <v>140</v>
      </c>
      <c r="C93" s="83">
        <f>[29]С3!F24</f>
        <v>1543.3634896839897</v>
      </c>
    </row>
    <row r="94" spans="1:3" ht="13.5" thickBot="1" x14ac:dyDescent="0.25">
      <c r="A94" s="47"/>
      <c r="B94" s="75"/>
      <c r="C94" s="15"/>
    </row>
    <row r="95" spans="1:3" ht="30" customHeight="1" x14ac:dyDescent="0.2">
      <c r="A95" s="84" t="s">
        <v>141</v>
      </c>
      <c r="B95" s="122" t="s">
        <v>142</v>
      </c>
      <c r="C95" s="122"/>
    </row>
    <row r="96" spans="1:3" ht="30" x14ac:dyDescent="0.2">
      <c r="A96" s="59" t="s">
        <v>143</v>
      </c>
      <c r="B96" s="33" t="s">
        <v>144</v>
      </c>
      <c r="C96" s="34">
        <f>[29]С4!F16</f>
        <v>1652.5</v>
      </c>
    </row>
    <row r="97" spans="1:3" ht="30" x14ac:dyDescent="0.2">
      <c r="A97" s="59" t="s">
        <v>145</v>
      </c>
      <c r="B97" s="58" t="s">
        <v>146</v>
      </c>
      <c r="C97" s="34">
        <f>[29]С4!F17</f>
        <v>73547</v>
      </c>
    </row>
    <row r="98" spans="1:3" ht="17.25" x14ac:dyDescent="0.2">
      <c r="A98" s="59" t="s">
        <v>147</v>
      </c>
      <c r="B98" s="58" t="s">
        <v>148</v>
      </c>
      <c r="C98" s="40">
        <f>[29]С4!F18</f>
        <v>0.02</v>
      </c>
    </row>
    <row r="99" spans="1:3" ht="30" x14ac:dyDescent="0.2">
      <c r="A99" s="59" t="s">
        <v>149</v>
      </c>
      <c r="B99" s="58" t="s">
        <v>150</v>
      </c>
      <c r="C99" s="34">
        <f>[29]С4!F19</f>
        <v>12104</v>
      </c>
    </row>
    <row r="100" spans="1:3" ht="31.5" x14ac:dyDescent="0.2">
      <c r="A100" s="59" t="s">
        <v>151</v>
      </c>
      <c r="B100" s="58" t="s">
        <v>152</v>
      </c>
      <c r="C100" s="40">
        <f>[29]С4!F20</f>
        <v>1.4999999999999999E-2</v>
      </c>
    </row>
    <row r="101" spans="1:3" ht="30" x14ac:dyDescent="0.2">
      <c r="A101" s="59" t="s">
        <v>153</v>
      </c>
      <c r="B101" s="33" t="s">
        <v>154</v>
      </c>
      <c r="C101" s="34">
        <f>[29]С4!F21</f>
        <v>1933.1949342509995</v>
      </c>
    </row>
    <row r="102" spans="1:3" ht="24" customHeight="1" x14ac:dyDescent="0.2">
      <c r="A102" s="59" t="s">
        <v>155</v>
      </c>
      <c r="B102" s="53" t="s">
        <v>156</v>
      </c>
      <c r="C102" s="85">
        <f>IF([29]С4.2!F8="да",[29]С4.2!D21,[29]С4.2!D15)</f>
        <v>0</v>
      </c>
    </row>
    <row r="103" spans="1:3" ht="68.25" x14ac:dyDescent="0.2">
      <c r="A103" s="59" t="s">
        <v>157</v>
      </c>
      <c r="B103" s="53" t="s">
        <v>158</v>
      </c>
      <c r="C103" s="34">
        <f>[29]С4!F22</f>
        <v>3.6112641666666665</v>
      </c>
    </row>
    <row r="104" spans="1:3" ht="30" x14ac:dyDescent="0.2">
      <c r="A104" s="59" t="s">
        <v>159</v>
      </c>
      <c r="B104" s="58" t="s">
        <v>160</v>
      </c>
      <c r="C104" s="34">
        <f>[29]С4!F23</f>
        <v>180</v>
      </c>
    </row>
    <row r="105" spans="1:3" ht="14.25" x14ac:dyDescent="0.2">
      <c r="A105" s="59" t="s">
        <v>161</v>
      </c>
      <c r="B105" s="53" t="s">
        <v>162</v>
      </c>
      <c r="C105" s="34">
        <f>[29]С4!F24</f>
        <v>8497.1999999999989</v>
      </c>
    </row>
    <row r="106" spans="1:3" ht="14.25" x14ac:dyDescent="0.2">
      <c r="A106" s="59" t="s">
        <v>163</v>
      </c>
      <c r="B106" s="58" t="s">
        <v>164</v>
      </c>
      <c r="C106" s="40">
        <f>[29]С4!F25</f>
        <v>0.35</v>
      </c>
    </row>
    <row r="107" spans="1:3" ht="17.25" x14ac:dyDescent="0.2">
      <c r="A107" s="59" t="s">
        <v>165</v>
      </c>
      <c r="B107" s="33" t="s">
        <v>166</v>
      </c>
      <c r="C107" s="34">
        <f>[29]С4!F26</f>
        <v>85.988129999999998</v>
      </c>
    </row>
    <row r="108" spans="1:3" ht="25.5" x14ac:dyDescent="0.2">
      <c r="A108" s="59" t="s">
        <v>167</v>
      </c>
      <c r="B108" s="53" t="s">
        <v>94</v>
      </c>
      <c r="C108" s="85">
        <f>[29]С4.3!E16</f>
        <v>0</v>
      </c>
    </row>
    <row r="109" spans="1:3" ht="25.5" x14ac:dyDescent="0.2">
      <c r="A109" s="59" t="s">
        <v>168</v>
      </c>
      <c r="B109" s="53" t="s">
        <v>169</v>
      </c>
      <c r="C109" s="34">
        <f>[29]С4.3!E17</f>
        <v>20.350000000000001</v>
      </c>
    </row>
    <row r="110" spans="1:3" ht="38.25" x14ac:dyDescent="0.2">
      <c r="A110" s="59" t="s">
        <v>170</v>
      </c>
      <c r="B110" s="53" t="s">
        <v>106</v>
      </c>
      <c r="C110" s="85">
        <f>[29]С4.3!E18</f>
        <v>0</v>
      </c>
    </row>
    <row r="111" spans="1:3" x14ac:dyDescent="0.2">
      <c r="A111" s="59" t="s">
        <v>171</v>
      </c>
      <c r="B111" s="53" t="s">
        <v>172</v>
      </c>
      <c r="C111" s="34">
        <f>[29]С4.3!E19</f>
        <v>71.67</v>
      </c>
    </row>
    <row r="112" spans="1:3" x14ac:dyDescent="0.2">
      <c r="A112" s="59" t="s">
        <v>173</v>
      </c>
      <c r="B112" s="58" t="s">
        <v>174</v>
      </c>
      <c r="C112" s="34">
        <f>[29]С4.3!E11</f>
        <v>1871</v>
      </c>
    </row>
    <row r="113" spans="1:3" x14ac:dyDescent="0.2">
      <c r="A113" s="59" t="s">
        <v>175</v>
      </c>
      <c r="B113" s="58" t="s">
        <v>176</v>
      </c>
      <c r="C113" s="52">
        <f>[29]С4.3!E12</f>
        <v>1636</v>
      </c>
    </row>
    <row r="114" spans="1:3" x14ac:dyDescent="0.2">
      <c r="A114" s="59" t="s">
        <v>177</v>
      </c>
      <c r="B114" s="58" t="s">
        <v>178</v>
      </c>
      <c r="C114" s="52">
        <f>[29]С4.3!E13</f>
        <v>204</v>
      </c>
    </row>
    <row r="115" spans="1:3" ht="30" x14ac:dyDescent="0.2">
      <c r="A115" s="59" t="s">
        <v>179</v>
      </c>
      <c r="B115" s="33" t="s">
        <v>180</v>
      </c>
      <c r="C115" s="34">
        <f>[29]С4!F27</f>
        <v>1291.2863994686898</v>
      </c>
    </row>
    <row r="116" spans="1:3" ht="25.5" x14ac:dyDescent="0.2">
      <c r="A116" s="59" t="s">
        <v>181</v>
      </c>
      <c r="B116" s="53" t="s">
        <v>182</v>
      </c>
      <c r="C116" s="34">
        <f>[29]С4!F28</f>
        <v>991.77142816335618</v>
      </c>
    </row>
    <row r="117" spans="1:3" ht="42.75" x14ac:dyDescent="0.2">
      <c r="A117" s="59" t="s">
        <v>183</v>
      </c>
      <c r="B117" s="53" t="s">
        <v>184</v>
      </c>
      <c r="C117" s="34">
        <f>[29]С4!F29</f>
        <v>299.51497130533357</v>
      </c>
    </row>
    <row r="118" spans="1:3" ht="30" x14ac:dyDescent="0.2">
      <c r="A118" s="59" t="s">
        <v>185</v>
      </c>
      <c r="B118" s="39" t="s">
        <v>186</v>
      </c>
      <c r="C118" s="34">
        <f>[29]С4!F30</f>
        <v>1639.0751799928869</v>
      </c>
    </row>
    <row r="119" spans="1:3" ht="42.75" x14ac:dyDescent="0.2">
      <c r="A119" s="59" t="s">
        <v>187</v>
      </c>
      <c r="B119" s="86" t="s">
        <v>188</v>
      </c>
      <c r="C119" s="34">
        <f>[29]С4!F33</f>
        <v>919.65486456291842</v>
      </c>
    </row>
    <row r="120" spans="1:3" ht="30" x14ac:dyDescent="0.2">
      <c r="A120" s="59" t="s">
        <v>189</v>
      </c>
      <c r="B120" s="87" t="s">
        <v>190</v>
      </c>
      <c r="C120" s="34">
        <f>[29]С4!F35</f>
        <v>17.040680999999999</v>
      </c>
    </row>
    <row r="121" spans="1:3" ht="14.25" x14ac:dyDescent="0.2">
      <c r="A121" s="59" t="s">
        <v>191</v>
      </c>
      <c r="B121" s="56" t="s">
        <v>192</v>
      </c>
      <c r="C121" s="34">
        <f>[29]С4!F36</f>
        <v>14319.9</v>
      </c>
    </row>
    <row r="122" spans="1:3" ht="28.5" thickBot="1" x14ac:dyDescent="0.25">
      <c r="A122" s="72" t="s">
        <v>193</v>
      </c>
      <c r="B122" s="88" t="s">
        <v>194</v>
      </c>
      <c r="C122" s="83">
        <f>[29]С4!F37</f>
        <v>1.19</v>
      </c>
    </row>
    <row r="123" spans="1:3" s="89" customFormat="1" ht="13.5" thickBot="1" x14ac:dyDescent="0.25">
      <c r="A123" s="47"/>
      <c r="B123" s="75"/>
      <c r="C123" s="15"/>
    </row>
    <row r="124" spans="1:3" s="63" customFormat="1" ht="30" customHeight="1" x14ac:dyDescent="0.2">
      <c r="A124" s="76" t="s">
        <v>195</v>
      </c>
      <c r="B124" s="122" t="s">
        <v>196</v>
      </c>
      <c r="C124" s="122"/>
    </row>
    <row r="125" spans="1:3" ht="16.5" thickBot="1" x14ac:dyDescent="0.25">
      <c r="A125" s="27" t="s">
        <v>197</v>
      </c>
      <c r="B125" s="90" t="s">
        <v>198</v>
      </c>
      <c r="C125" s="83">
        <f>[29]С5!F17</f>
        <v>0.02</v>
      </c>
    </row>
    <row r="126" spans="1:3" s="89" customFormat="1" ht="13.5" thickBot="1" x14ac:dyDescent="0.25">
      <c r="A126" s="47"/>
      <c r="B126" s="75"/>
      <c r="C126" s="15"/>
    </row>
    <row r="127" spans="1:3" ht="42.75" customHeight="1" x14ac:dyDescent="0.2">
      <c r="A127" s="84" t="s">
        <v>199</v>
      </c>
      <c r="B127" s="123" t="s">
        <v>200</v>
      </c>
      <c r="C127" s="123"/>
    </row>
    <row r="128" spans="1:3" ht="68.25" x14ac:dyDescent="0.2">
      <c r="A128" s="59" t="s">
        <v>201</v>
      </c>
      <c r="B128" s="91" t="s">
        <v>202</v>
      </c>
      <c r="C128" s="34" t="s">
        <v>203</v>
      </c>
    </row>
    <row r="129" spans="1:4" ht="42.75" hidden="1" x14ac:dyDescent="0.2">
      <c r="A129" s="59" t="s">
        <v>204</v>
      </c>
      <c r="B129" s="86" t="s">
        <v>205</v>
      </c>
      <c r="C129" s="92"/>
    </row>
    <row r="130" spans="1:4" ht="69" thickBot="1" x14ac:dyDescent="0.25">
      <c r="A130" s="72" t="s">
        <v>206</v>
      </c>
      <c r="B130" s="93" t="s">
        <v>207</v>
      </c>
      <c r="C130" s="94" t="s">
        <v>203</v>
      </c>
    </row>
    <row r="131" spans="1:4" ht="62.25" hidden="1" customHeight="1" x14ac:dyDescent="0.2">
      <c r="A131" s="95" t="s">
        <v>208</v>
      </c>
      <c r="B131" s="96" t="s">
        <v>209</v>
      </c>
      <c r="C131" s="97"/>
    </row>
    <row r="132" spans="1:4" ht="68.25" hidden="1" x14ac:dyDescent="0.2">
      <c r="A132" s="59" t="s">
        <v>210</v>
      </c>
      <c r="B132" s="86" t="s">
        <v>211</v>
      </c>
      <c r="C132" s="35"/>
    </row>
    <row r="133" spans="1:4" ht="69" hidden="1" thickBot="1" x14ac:dyDescent="0.25">
      <c r="A133" s="72" t="s">
        <v>212</v>
      </c>
      <c r="B133" s="98" t="s">
        <v>213</v>
      </c>
      <c r="C133" s="74"/>
    </row>
    <row r="134" spans="1:4" s="89" customFormat="1" ht="13.5" thickBot="1" x14ac:dyDescent="0.25">
      <c r="A134" s="47"/>
      <c r="B134" s="75"/>
      <c r="C134" s="15"/>
    </row>
    <row r="135" spans="1:4" ht="26.25" customHeight="1" x14ac:dyDescent="0.2">
      <c r="A135" s="84" t="s">
        <v>214</v>
      </c>
      <c r="B135" s="99" t="s">
        <v>215</v>
      </c>
      <c r="C135" s="100">
        <f>[29]С2!F37</f>
        <v>20.818139999999996</v>
      </c>
    </row>
    <row r="136" spans="1:4" ht="14.25" x14ac:dyDescent="0.2">
      <c r="A136" s="59" t="s">
        <v>216</v>
      </c>
      <c r="B136" s="101" t="s">
        <v>217</v>
      </c>
      <c r="C136" s="34">
        <f>[29]С2!F38</f>
        <v>7</v>
      </c>
    </row>
    <row r="137" spans="1:4" ht="17.25" x14ac:dyDescent="0.2">
      <c r="A137" s="59" t="s">
        <v>218</v>
      </c>
      <c r="B137" s="101" t="s">
        <v>219</v>
      </c>
      <c r="C137" s="34">
        <f>[29]С2!F40</f>
        <v>0.97</v>
      </c>
    </row>
    <row r="138" spans="1:4" ht="15" thickBot="1" x14ac:dyDescent="0.25">
      <c r="A138" s="72" t="s">
        <v>220</v>
      </c>
      <c r="B138" s="102" t="s">
        <v>221</v>
      </c>
      <c r="C138" s="46">
        <f>[29]С2!F42</f>
        <v>0.35</v>
      </c>
    </row>
    <row r="139" spans="1:4" s="89" customFormat="1" ht="13.5" thickBot="1" x14ac:dyDescent="0.25">
      <c r="A139" s="47"/>
      <c r="B139" s="75"/>
      <c r="C139" s="15"/>
    </row>
    <row r="140" spans="1:4" ht="30" x14ac:dyDescent="0.2">
      <c r="A140" s="84" t="s">
        <v>222</v>
      </c>
      <c r="B140" s="103" t="s">
        <v>223</v>
      </c>
      <c r="C140" s="104">
        <f>[29]С2!F35</f>
        <v>1.4976266307379205</v>
      </c>
      <c r="D140" s="89"/>
    </row>
    <row r="141" spans="1:4" ht="22.7" customHeight="1" thickBot="1" x14ac:dyDescent="0.25">
      <c r="A141" s="72" t="s">
        <v>224</v>
      </c>
      <c r="B141" s="118" t="s">
        <v>225</v>
      </c>
      <c r="C141" s="118"/>
      <c r="D141" s="89"/>
    </row>
    <row r="142" spans="1:4" ht="13.5" thickBot="1" x14ac:dyDescent="0.25">
      <c r="A142" s="106"/>
      <c r="B142" s="107" t="s">
        <v>226</v>
      </c>
      <c r="C142" s="108"/>
      <c r="D142" s="89"/>
    </row>
    <row r="143" spans="1:4" x14ac:dyDescent="0.2">
      <c r="A143" s="106"/>
      <c r="B143" s="109">
        <v>2020</v>
      </c>
      <c r="C143" s="110">
        <f>[29]С2.5!$E$11</f>
        <v>-2.9000000000000026E-2</v>
      </c>
      <c r="D143" s="89"/>
    </row>
    <row r="144" spans="1:4" x14ac:dyDescent="0.2">
      <c r="A144" s="106"/>
      <c r="B144" s="111">
        <f>B143+1</f>
        <v>2021</v>
      </c>
      <c r="C144" s="112">
        <f>[29]С2.5!$F$11</f>
        <v>0.245</v>
      </c>
      <c r="D144" s="89"/>
    </row>
    <row r="145" spans="1:4" x14ac:dyDescent="0.2">
      <c r="A145" s="106"/>
      <c r="B145" s="111">
        <f t="shared" ref="B145:B208" si="0">B144+1</f>
        <v>2022</v>
      </c>
      <c r="C145" s="112">
        <f>[29]С2.5!$G$11</f>
        <v>0.114</v>
      </c>
      <c r="D145" s="89"/>
    </row>
    <row r="146" spans="1:4" ht="13.5" thickBot="1" x14ac:dyDescent="0.25">
      <c r="A146" s="106"/>
      <c r="B146" s="113">
        <f t="shared" si="0"/>
        <v>2023</v>
      </c>
      <c r="C146" s="114">
        <f>[29]С2.5!$H$11</f>
        <v>2.4E-2</v>
      </c>
      <c r="D146" s="89"/>
    </row>
    <row r="147" spans="1:4" x14ac:dyDescent="0.2">
      <c r="A147" s="106"/>
      <c r="B147" s="115">
        <f t="shared" si="0"/>
        <v>2024</v>
      </c>
      <c r="C147" s="116">
        <f>[29]С2.5!$I$11</f>
        <v>8.5999999999999993E-2</v>
      </c>
      <c r="D147" s="89"/>
    </row>
    <row r="148" spans="1:4" hidden="1" x14ac:dyDescent="0.2">
      <c r="A148" s="106"/>
      <c r="B148" s="111">
        <f t="shared" si="0"/>
        <v>2025</v>
      </c>
      <c r="C148" s="112">
        <f>[29]С2.5!$J$11</f>
        <v>0.21215960863291</v>
      </c>
      <c r="D148" s="89"/>
    </row>
    <row r="149" spans="1:4" hidden="1" x14ac:dyDescent="0.2">
      <c r="A149" s="106"/>
      <c r="B149" s="111">
        <f t="shared" si="0"/>
        <v>2026</v>
      </c>
      <c r="C149" s="112">
        <f>[29]С2.5!$K$11</f>
        <v>3.5813361771260002E-2</v>
      </c>
      <c r="D149" s="89"/>
    </row>
    <row r="150" spans="1:4" hidden="1" x14ac:dyDescent="0.2">
      <c r="A150" s="106"/>
      <c r="B150" s="111">
        <f t="shared" si="0"/>
        <v>2027</v>
      </c>
      <c r="C150" s="112">
        <f>[29]С2.5!$L$11</f>
        <v>3.2682303599220003E-2</v>
      </c>
      <c r="D150" s="89"/>
    </row>
    <row r="151" spans="1:4" hidden="1" x14ac:dyDescent="0.2">
      <c r="A151" s="106"/>
      <c r="B151" s="111">
        <f t="shared" si="0"/>
        <v>2028</v>
      </c>
      <c r="C151" s="112">
        <f>[29]С2.5!$M$11</f>
        <v>0</v>
      </c>
      <c r="D151" s="89"/>
    </row>
    <row r="152" spans="1:4" hidden="1" x14ac:dyDescent="0.2">
      <c r="A152" s="106"/>
      <c r="B152" s="111">
        <f t="shared" si="0"/>
        <v>2029</v>
      </c>
      <c r="C152" s="112">
        <f>[29]С2.5!$N$11</f>
        <v>0</v>
      </c>
      <c r="D152" s="89"/>
    </row>
    <row r="153" spans="1:4" hidden="1" x14ac:dyDescent="0.2">
      <c r="A153" s="106"/>
      <c r="B153" s="111">
        <f t="shared" si="0"/>
        <v>2030</v>
      </c>
      <c r="C153" s="112">
        <f>[29]С2.5!$O$11</f>
        <v>0</v>
      </c>
      <c r="D153" s="89"/>
    </row>
    <row r="154" spans="1:4" hidden="1" x14ac:dyDescent="0.2">
      <c r="A154" s="106"/>
      <c r="B154" s="111">
        <f t="shared" si="0"/>
        <v>2031</v>
      </c>
      <c r="C154" s="112">
        <f>[29]С2.5!$P$11</f>
        <v>0</v>
      </c>
      <c r="D154" s="89"/>
    </row>
    <row r="155" spans="1:4" hidden="1" x14ac:dyDescent="0.2">
      <c r="A155" s="89"/>
      <c r="B155" s="111">
        <f t="shared" si="0"/>
        <v>2032</v>
      </c>
      <c r="C155" s="112">
        <f>[29]С2.5!$Q$11</f>
        <v>0</v>
      </c>
      <c r="D155" s="89"/>
    </row>
    <row r="156" spans="1:4" hidden="1" x14ac:dyDescent="0.2">
      <c r="A156" s="89"/>
      <c r="B156" s="111">
        <f t="shared" si="0"/>
        <v>2033</v>
      </c>
      <c r="C156" s="112">
        <f>[29]С2.5!$R$11</f>
        <v>0</v>
      </c>
      <c r="D156" s="89"/>
    </row>
    <row r="157" spans="1:4" hidden="1" x14ac:dyDescent="0.2">
      <c r="B157" s="111">
        <f t="shared" si="0"/>
        <v>2034</v>
      </c>
      <c r="C157" s="112">
        <f>[29]С2.5!$S$11</f>
        <v>0</v>
      </c>
    </row>
    <row r="158" spans="1:4" hidden="1" x14ac:dyDescent="0.2">
      <c r="B158" s="111">
        <f t="shared" si="0"/>
        <v>2035</v>
      </c>
      <c r="C158" s="112">
        <f>[29]С2.5!$T$11</f>
        <v>0</v>
      </c>
    </row>
    <row r="159" spans="1:4" hidden="1" x14ac:dyDescent="0.2">
      <c r="B159" s="111">
        <f t="shared" si="0"/>
        <v>2036</v>
      </c>
      <c r="C159" s="112">
        <f>[29]С2.5!$U$11</f>
        <v>0</v>
      </c>
    </row>
    <row r="160" spans="1:4" hidden="1" x14ac:dyDescent="0.2">
      <c r="B160" s="111">
        <f t="shared" si="0"/>
        <v>2037</v>
      </c>
      <c r="C160" s="112">
        <f>[29]С2.5!$V$11</f>
        <v>0</v>
      </c>
    </row>
    <row r="161" spans="2:3" hidden="1" x14ac:dyDescent="0.2">
      <c r="B161" s="111">
        <f t="shared" si="0"/>
        <v>2038</v>
      </c>
      <c r="C161" s="112">
        <f>[29]С2.5!$W$11</f>
        <v>0</v>
      </c>
    </row>
    <row r="162" spans="2:3" hidden="1" x14ac:dyDescent="0.2">
      <c r="B162" s="111">
        <f t="shared" si="0"/>
        <v>2039</v>
      </c>
      <c r="C162" s="112">
        <f>[29]С2.5!$X$11</f>
        <v>0</v>
      </c>
    </row>
    <row r="163" spans="2:3" hidden="1" x14ac:dyDescent="0.2">
      <c r="B163" s="111">
        <f t="shared" si="0"/>
        <v>2040</v>
      </c>
      <c r="C163" s="112">
        <f>[29]С2.5!$Y$11</f>
        <v>0</v>
      </c>
    </row>
    <row r="164" spans="2:3" hidden="1" x14ac:dyDescent="0.2">
      <c r="B164" s="111">
        <f t="shared" si="0"/>
        <v>2041</v>
      </c>
      <c r="C164" s="112">
        <f>[29]С2.5!$Z$11</f>
        <v>0</v>
      </c>
    </row>
    <row r="165" spans="2:3" hidden="1" x14ac:dyDescent="0.2">
      <c r="B165" s="111">
        <f t="shared" si="0"/>
        <v>2042</v>
      </c>
      <c r="C165" s="112">
        <f>[29]С2.5!$AA$11</f>
        <v>0</v>
      </c>
    </row>
    <row r="166" spans="2:3" hidden="1" x14ac:dyDescent="0.2">
      <c r="B166" s="111">
        <f t="shared" si="0"/>
        <v>2043</v>
      </c>
      <c r="C166" s="112">
        <f>[29]С2.5!$AB$11</f>
        <v>0</v>
      </c>
    </row>
    <row r="167" spans="2:3" hidden="1" x14ac:dyDescent="0.2">
      <c r="B167" s="111">
        <f t="shared" si="0"/>
        <v>2044</v>
      </c>
      <c r="C167" s="112">
        <f>[29]С2.5!$AC$11</f>
        <v>0</v>
      </c>
    </row>
    <row r="168" spans="2:3" hidden="1" x14ac:dyDescent="0.2">
      <c r="B168" s="111">
        <f t="shared" si="0"/>
        <v>2045</v>
      </c>
      <c r="C168" s="112">
        <f>[29]С2.5!$AD$11</f>
        <v>0</v>
      </c>
    </row>
    <row r="169" spans="2:3" hidden="1" x14ac:dyDescent="0.2">
      <c r="B169" s="111">
        <f t="shared" si="0"/>
        <v>2046</v>
      </c>
      <c r="C169" s="112">
        <f>[29]С2.5!$AE$11</f>
        <v>0</v>
      </c>
    </row>
    <row r="170" spans="2:3" hidden="1" x14ac:dyDescent="0.2">
      <c r="B170" s="111">
        <f t="shared" si="0"/>
        <v>2047</v>
      </c>
      <c r="C170" s="112">
        <f>[29]С2.5!$AF$11</f>
        <v>0</v>
      </c>
    </row>
    <row r="171" spans="2:3" hidden="1" x14ac:dyDescent="0.2">
      <c r="B171" s="111">
        <f t="shared" si="0"/>
        <v>2048</v>
      </c>
      <c r="C171" s="112">
        <f>[29]С2.5!$AG$11</f>
        <v>0</v>
      </c>
    </row>
    <row r="172" spans="2:3" hidden="1" x14ac:dyDescent="0.2">
      <c r="B172" s="111">
        <f t="shared" si="0"/>
        <v>2049</v>
      </c>
      <c r="C172" s="112">
        <f>[29]С2.5!$AH$11</f>
        <v>0</v>
      </c>
    </row>
    <row r="173" spans="2:3" hidden="1" x14ac:dyDescent="0.2">
      <c r="B173" s="111">
        <f t="shared" si="0"/>
        <v>2050</v>
      </c>
      <c r="C173" s="112">
        <f>[29]С2.5!$AI$11</f>
        <v>0</v>
      </c>
    </row>
    <row r="174" spans="2:3" hidden="1" x14ac:dyDescent="0.2">
      <c r="B174" s="111">
        <f t="shared" si="0"/>
        <v>2051</v>
      </c>
      <c r="C174" s="112">
        <f>[29]С2.5!$AJ$11</f>
        <v>0</v>
      </c>
    </row>
    <row r="175" spans="2:3" hidden="1" x14ac:dyDescent="0.2">
      <c r="B175" s="111">
        <f t="shared" si="0"/>
        <v>2052</v>
      </c>
      <c r="C175" s="112">
        <f>[29]С2.5!$AK$11</f>
        <v>0</v>
      </c>
    </row>
    <row r="176" spans="2:3" hidden="1" x14ac:dyDescent="0.2">
      <c r="B176" s="111">
        <f t="shared" si="0"/>
        <v>2053</v>
      </c>
      <c r="C176" s="112">
        <f>[29]С2.5!$AL$11</f>
        <v>0</v>
      </c>
    </row>
    <row r="177" spans="2:3" hidden="1" x14ac:dyDescent="0.2">
      <c r="B177" s="111">
        <f t="shared" si="0"/>
        <v>2054</v>
      </c>
      <c r="C177" s="112">
        <f>[29]С2.5!$AM$11</f>
        <v>0</v>
      </c>
    </row>
    <row r="178" spans="2:3" hidden="1" x14ac:dyDescent="0.2">
      <c r="B178" s="111">
        <f t="shared" si="0"/>
        <v>2055</v>
      </c>
      <c r="C178" s="112">
        <f>[29]С2.5!$AN$11</f>
        <v>0</v>
      </c>
    </row>
    <row r="179" spans="2:3" hidden="1" x14ac:dyDescent="0.2">
      <c r="B179" s="111">
        <f t="shared" si="0"/>
        <v>2056</v>
      </c>
      <c r="C179" s="112">
        <f>[29]С2.5!$AO$11</f>
        <v>0</v>
      </c>
    </row>
    <row r="180" spans="2:3" hidden="1" x14ac:dyDescent="0.2">
      <c r="B180" s="111">
        <f t="shared" si="0"/>
        <v>2057</v>
      </c>
      <c r="C180" s="112">
        <f>[29]С2.5!$AP$11</f>
        <v>0</v>
      </c>
    </row>
    <row r="181" spans="2:3" hidden="1" x14ac:dyDescent="0.2">
      <c r="B181" s="111">
        <f t="shared" si="0"/>
        <v>2058</v>
      </c>
      <c r="C181" s="112">
        <f>[29]С2.5!$AQ$11</f>
        <v>0</v>
      </c>
    </row>
    <row r="182" spans="2:3" hidden="1" x14ac:dyDescent="0.2">
      <c r="B182" s="111">
        <f t="shared" si="0"/>
        <v>2059</v>
      </c>
      <c r="C182" s="112">
        <f>[29]С2.5!$AR$11</f>
        <v>0</v>
      </c>
    </row>
    <row r="183" spans="2:3" hidden="1" x14ac:dyDescent="0.2">
      <c r="B183" s="111">
        <f t="shared" si="0"/>
        <v>2060</v>
      </c>
      <c r="C183" s="112">
        <f>[29]С2.5!$AS$11</f>
        <v>0</v>
      </c>
    </row>
    <row r="184" spans="2:3" hidden="1" x14ac:dyDescent="0.2">
      <c r="B184" s="111">
        <f t="shared" si="0"/>
        <v>2061</v>
      </c>
      <c r="C184" s="112">
        <f>[29]С2.5!$AT$11</f>
        <v>0</v>
      </c>
    </row>
    <row r="185" spans="2:3" hidden="1" x14ac:dyDescent="0.2">
      <c r="B185" s="111">
        <f t="shared" si="0"/>
        <v>2062</v>
      </c>
      <c r="C185" s="112">
        <f>[29]С2.5!$AU$11</f>
        <v>0</v>
      </c>
    </row>
    <row r="186" spans="2:3" hidden="1" x14ac:dyDescent="0.2">
      <c r="B186" s="111">
        <f t="shared" si="0"/>
        <v>2063</v>
      </c>
      <c r="C186" s="112">
        <f>[29]С2.5!$AV$11</f>
        <v>0</v>
      </c>
    </row>
    <row r="187" spans="2:3" hidden="1" x14ac:dyDescent="0.2">
      <c r="B187" s="111">
        <f t="shared" si="0"/>
        <v>2064</v>
      </c>
      <c r="C187" s="112">
        <f>[29]С2.5!$AW$11</f>
        <v>0</v>
      </c>
    </row>
    <row r="188" spans="2:3" hidden="1" x14ac:dyDescent="0.2">
      <c r="B188" s="111">
        <f t="shared" si="0"/>
        <v>2065</v>
      </c>
      <c r="C188" s="112">
        <f>[29]С2.5!$AX$11</f>
        <v>0</v>
      </c>
    </row>
    <row r="189" spans="2:3" hidden="1" x14ac:dyDescent="0.2">
      <c r="B189" s="111">
        <f t="shared" si="0"/>
        <v>2066</v>
      </c>
      <c r="C189" s="112">
        <f>[29]С2.5!$AY$11</f>
        <v>0</v>
      </c>
    </row>
    <row r="190" spans="2:3" hidden="1" x14ac:dyDescent="0.2">
      <c r="B190" s="111">
        <f t="shared" si="0"/>
        <v>2067</v>
      </c>
      <c r="C190" s="112">
        <f>[29]С2.5!$AZ$11</f>
        <v>0</v>
      </c>
    </row>
    <row r="191" spans="2:3" hidden="1" x14ac:dyDescent="0.2">
      <c r="B191" s="111">
        <f t="shared" si="0"/>
        <v>2068</v>
      </c>
      <c r="C191" s="112">
        <f>[29]С2.5!$BA$11</f>
        <v>0</v>
      </c>
    </row>
    <row r="192" spans="2:3" hidden="1" x14ac:dyDescent="0.2">
      <c r="B192" s="111">
        <f t="shared" si="0"/>
        <v>2069</v>
      </c>
      <c r="C192" s="112">
        <f>[29]С2.5!$BB$11</f>
        <v>0</v>
      </c>
    </row>
    <row r="193" spans="2:3" hidden="1" x14ac:dyDescent="0.2">
      <c r="B193" s="111">
        <f t="shared" si="0"/>
        <v>2070</v>
      </c>
      <c r="C193" s="112">
        <f>[29]С2.5!$BC$11</f>
        <v>0</v>
      </c>
    </row>
    <row r="194" spans="2:3" hidden="1" x14ac:dyDescent="0.2">
      <c r="B194" s="111">
        <f t="shared" si="0"/>
        <v>2071</v>
      </c>
      <c r="C194" s="112">
        <f>[29]С2.5!$BD$11</f>
        <v>0</v>
      </c>
    </row>
    <row r="195" spans="2:3" hidden="1" x14ac:dyDescent="0.2">
      <c r="B195" s="111">
        <f t="shared" si="0"/>
        <v>2072</v>
      </c>
      <c r="C195" s="112">
        <f>[29]С2.5!$BE$11</f>
        <v>0</v>
      </c>
    </row>
    <row r="196" spans="2:3" hidden="1" x14ac:dyDescent="0.2">
      <c r="B196" s="111">
        <f t="shared" si="0"/>
        <v>2073</v>
      </c>
      <c r="C196" s="112">
        <f>[29]С2.5!$BF$11</f>
        <v>0</v>
      </c>
    </row>
    <row r="197" spans="2:3" hidden="1" x14ac:dyDescent="0.2">
      <c r="B197" s="111">
        <f t="shared" si="0"/>
        <v>2074</v>
      </c>
      <c r="C197" s="112">
        <f>[29]С2.5!$BG$11</f>
        <v>0</v>
      </c>
    </row>
    <row r="198" spans="2:3" hidden="1" x14ac:dyDescent="0.2">
      <c r="B198" s="111">
        <f t="shared" si="0"/>
        <v>2075</v>
      </c>
      <c r="C198" s="112">
        <f>[29]С2.5!$BH$11</f>
        <v>0</v>
      </c>
    </row>
    <row r="199" spans="2:3" hidden="1" x14ac:dyDescent="0.2">
      <c r="B199" s="111">
        <f t="shared" si="0"/>
        <v>2076</v>
      </c>
      <c r="C199" s="112">
        <f>[29]С2.5!$BI$11</f>
        <v>0</v>
      </c>
    </row>
    <row r="200" spans="2:3" hidden="1" x14ac:dyDescent="0.2">
      <c r="B200" s="111">
        <f t="shared" si="0"/>
        <v>2077</v>
      </c>
      <c r="C200" s="112">
        <f>[29]С2.5!$BJ$11</f>
        <v>0</v>
      </c>
    </row>
    <row r="201" spans="2:3" hidden="1" x14ac:dyDescent="0.2">
      <c r="B201" s="111">
        <f t="shared" si="0"/>
        <v>2078</v>
      </c>
      <c r="C201" s="112">
        <f>[29]С2.5!$BK$11</f>
        <v>0</v>
      </c>
    </row>
    <row r="202" spans="2:3" hidden="1" x14ac:dyDescent="0.2">
      <c r="B202" s="111">
        <f t="shared" si="0"/>
        <v>2079</v>
      </c>
      <c r="C202" s="112">
        <f>[29]С2.5!$BL$11</f>
        <v>0</v>
      </c>
    </row>
    <row r="203" spans="2:3" hidden="1" x14ac:dyDescent="0.2">
      <c r="B203" s="111">
        <f t="shared" si="0"/>
        <v>2080</v>
      </c>
      <c r="C203" s="112">
        <f>[29]С2.5!$BM$11</f>
        <v>0</v>
      </c>
    </row>
    <row r="204" spans="2:3" hidden="1" x14ac:dyDescent="0.2">
      <c r="B204" s="111">
        <f t="shared" si="0"/>
        <v>2081</v>
      </c>
      <c r="C204" s="112">
        <f>[29]С2.5!$BN$11</f>
        <v>0</v>
      </c>
    </row>
    <row r="205" spans="2:3" hidden="1" x14ac:dyDescent="0.2">
      <c r="B205" s="111">
        <f t="shared" si="0"/>
        <v>2082</v>
      </c>
      <c r="C205" s="112">
        <f>[29]С2.5!$BO$11</f>
        <v>0</v>
      </c>
    </row>
    <row r="206" spans="2:3" hidden="1" x14ac:dyDescent="0.2">
      <c r="B206" s="111">
        <f t="shared" si="0"/>
        <v>2083</v>
      </c>
      <c r="C206" s="112">
        <f>[29]С2.5!$BP$11</f>
        <v>0</v>
      </c>
    </row>
    <row r="207" spans="2:3" hidden="1" x14ac:dyDescent="0.2">
      <c r="B207" s="111">
        <f t="shared" si="0"/>
        <v>2084</v>
      </c>
      <c r="C207" s="112">
        <f>[29]С2.5!$BQ$11</f>
        <v>0</v>
      </c>
    </row>
    <row r="208" spans="2:3" hidden="1" x14ac:dyDescent="0.2">
      <c r="B208" s="111">
        <f t="shared" si="0"/>
        <v>2085</v>
      </c>
      <c r="C208" s="112">
        <f>[29]С2.5!$BR$11</f>
        <v>0</v>
      </c>
    </row>
    <row r="209" spans="2:3" hidden="1" x14ac:dyDescent="0.2">
      <c r="B209" s="111">
        <f t="shared" ref="B209:B223" si="1">B208+1</f>
        <v>2086</v>
      </c>
      <c r="C209" s="112">
        <f>[29]С2.5!$BS$11</f>
        <v>0</v>
      </c>
    </row>
    <row r="210" spans="2:3" hidden="1" x14ac:dyDescent="0.2">
      <c r="B210" s="111">
        <f t="shared" si="1"/>
        <v>2087</v>
      </c>
      <c r="C210" s="112">
        <f>[29]С2.5!$BT$11</f>
        <v>0</v>
      </c>
    </row>
    <row r="211" spans="2:3" hidden="1" x14ac:dyDescent="0.2">
      <c r="B211" s="111">
        <f t="shared" si="1"/>
        <v>2088</v>
      </c>
      <c r="C211" s="112">
        <f>[29]С2.5!$BU$11</f>
        <v>0</v>
      </c>
    </row>
    <row r="212" spans="2:3" hidden="1" x14ac:dyDescent="0.2">
      <c r="B212" s="111">
        <f t="shared" si="1"/>
        <v>2089</v>
      </c>
      <c r="C212" s="112">
        <f>[29]С2.5!$BV$11</f>
        <v>0</v>
      </c>
    </row>
    <row r="213" spans="2:3" hidden="1" x14ac:dyDescent="0.2">
      <c r="B213" s="111">
        <f t="shared" si="1"/>
        <v>2090</v>
      </c>
      <c r="C213" s="112">
        <f>[29]С2.5!$BW$11</f>
        <v>0</v>
      </c>
    </row>
    <row r="214" spans="2:3" hidden="1" x14ac:dyDescent="0.2">
      <c r="B214" s="111">
        <f t="shared" si="1"/>
        <v>2091</v>
      </c>
      <c r="C214" s="112">
        <f>[29]С2.5!$BX$11</f>
        <v>0</v>
      </c>
    </row>
    <row r="215" spans="2:3" hidden="1" x14ac:dyDescent="0.2">
      <c r="B215" s="111">
        <f t="shared" si="1"/>
        <v>2092</v>
      </c>
      <c r="C215" s="112">
        <f>[29]С2.5!$BY$11</f>
        <v>0</v>
      </c>
    </row>
    <row r="216" spans="2:3" hidden="1" x14ac:dyDescent="0.2">
      <c r="B216" s="111">
        <f t="shared" si="1"/>
        <v>2093</v>
      </c>
      <c r="C216" s="112">
        <f>[29]С2.5!$BZ$11</f>
        <v>0</v>
      </c>
    </row>
    <row r="217" spans="2:3" hidden="1" x14ac:dyDescent="0.2">
      <c r="B217" s="111">
        <f t="shared" si="1"/>
        <v>2094</v>
      </c>
      <c r="C217" s="112">
        <f>[29]С2.5!$CA$11</f>
        <v>0</v>
      </c>
    </row>
    <row r="218" spans="2:3" hidden="1" x14ac:dyDescent="0.2">
      <c r="B218" s="111">
        <f t="shared" si="1"/>
        <v>2095</v>
      </c>
      <c r="C218" s="112">
        <f>[29]С2.5!$CB$11</f>
        <v>0</v>
      </c>
    </row>
    <row r="219" spans="2:3" hidden="1" x14ac:dyDescent="0.2">
      <c r="B219" s="111">
        <f t="shared" si="1"/>
        <v>2096</v>
      </c>
      <c r="C219" s="112">
        <f>[29]С2.5!$CC$11</f>
        <v>0</v>
      </c>
    </row>
    <row r="220" spans="2:3" hidden="1" x14ac:dyDescent="0.2">
      <c r="B220" s="111">
        <f t="shared" si="1"/>
        <v>2097</v>
      </c>
      <c r="C220" s="112">
        <f>[29]С2.5!$CD$11</f>
        <v>0</v>
      </c>
    </row>
    <row r="221" spans="2:3" hidden="1" x14ac:dyDescent="0.2">
      <c r="B221" s="111">
        <f t="shared" si="1"/>
        <v>2098</v>
      </c>
      <c r="C221" s="112">
        <f>[29]С2.5!$CE$11</f>
        <v>0</v>
      </c>
    </row>
    <row r="222" spans="2:3" hidden="1" x14ac:dyDescent="0.2">
      <c r="B222" s="111">
        <f t="shared" si="1"/>
        <v>2099</v>
      </c>
      <c r="C222" s="112">
        <f>[29]С2.5!$CF$11</f>
        <v>0</v>
      </c>
    </row>
    <row r="223" spans="2:3" ht="13.5" hidden="1" thickBot="1" x14ac:dyDescent="0.25">
      <c r="B223" s="113">
        <f t="shared" si="1"/>
        <v>2100</v>
      </c>
      <c r="C223" s="114">
        <f>[29]С2.5!$CG$11</f>
        <v>0</v>
      </c>
    </row>
    <row r="224" spans="2:3" hidden="1" x14ac:dyDescent="0.2">
      <c r="C224" s="117"/>
    </row>
    <row r="225" spans="3:3" hidden="1" x14ac:dyDescent="0.2">
      <c r="C225" s="117"/>
    </row>
    <row r="226" spans="3:3" x14ac:dyDescent="0.2">
      <c r="C226" s="117"/>
    </row>
  </sheetData>
  <mergeCells count="9">
    <mergeCell ref="B141:C141"/>
    <mergeCell ref="A14:C14"/>
    <mergeCell ref="B1:C1"/>
    <mergeCell ref="B27:C27"/>
    <mergeCell ref="B40:C40"/>
    <mergeCell ref="B84:C84"/>
    <mergeCell ref="B95:C95"/>
    <mergeCell ref="B124:C124"/>
    <mergeCell ref="B127:C127"/>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5361" r:id="rId3" name="Button 1">
              <controlPr defaultSize="0" print="0" autoFill="0" autoPict="0" macro="[30]!Лист29.PrintBlock">
                <anchor moveWithCells="1" sizeWithCells="1">
                  <from>
                    <xdr:col>3</xdr:col>
                    <xdr:colOff>0</xdr:colOff>
                    <xdr:row>0</xdr:row>
                    <xdr:rowOff>85725</xdr:rowOff>
                  </from>
                  <to>
                    <xdr:col>4</xdr:col>
                    <xdr:colOff>0</xdr:colOff>
                    <xdr:row>0</xdr:row>
                    <xdr:rowOff>238125</xdr:rowOff>
                  </to>
                </anchor>
              </controlPr>
            </control>
          </mc:Choice>
        </mc:AlternateContent>
        <mc:AlternateContent xmlns:mc="http://schemas.openxmlformats.org/markup-compatibility/2006">
          <mc:Choice Requires="x14">
            <control shapeId="15362" r:id="rId4" name="Button 2">
              <controlPr defaultSize="0" print="0" autoFill="0" autoPict="0" macro="[29]!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C2" sqref="C2"/>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20" t="s">
        <v>0</v>
      </c>
      <c r="C1" s="120"/>
    </row>
    <row r="2" spans="1:3" x14ac:dyDescent="0.2">
      <c r="A2" s="3"/>
      <c r="B2" s="4" t="s">
        <v>1</v>
      </c>
      <c r="C2" s="5">
        <v>45317</v>
      </c>
    </row>
    <row r="3" spans="1:3" x14ac:dyDescent="0.2">
      <c r="A3" s="3"/>
      <c r="B3" s="6" t="s">
        <v>2</v>
      </c>
    </row>
    <row r="4" spans="1:3" ht="25.5" x14ac:dyDescent="0.2">
      <c r="A4" s="8"/>
      <c r="B4" s="9" t="str">
        <f>[3]И1!D13</f>
        <v>Субъект Российской Федерации</v>
      </c>
      <c r="C4" s="10" t="str">
        <f>[3]И1!E13</f>
        <v>Новосибирская область</v>
      </c>
    </row>
    <row r="5" spans="1:3" ht="46.9" customHeight="1" x14ac:dyDescent="0.2">
      <c r="A5" s="8"/>
      <c r="B5" s="9" t="str">
        <f>[3]И1!D14</f>
        <v>Тип муниципального образования (выберите из списка)</v>
      </c>
      <c r="C5" s="10" t="str">
        <f>[3]И1!E14</f>
        <v xml:space="preserve">село Битки, Сузунский муниципальный район </v>
      </c>
    </row>
    <row r="6" spans="1:3" x14ac:dyDescent="0.2">
      <c r="A6" s="8"/>
      <c r="B6" s="9" t="str">
        <f>IF([3]И1!E15="","",[3]И1!D15)</f>
        <v/>
      </c>
      <c r="C6" s="10" t="str">
        <f>IF([3]И1!E15="","",[3]И1!E15)</f>
        <v/>
      </c>
    </row>
    <row r="7" spans="1:3" x14ac:dyDescent="0.2">
      <c r="A7" s="8"/>
      <c r="B7" s="9" t="str">
        <f>[3]И1!D16</f>
        <v>Код ОКТМО</v>
      </c>
      <c r="C7" s="11" t="str">
        <f>[3]И1!E16</f>
        <v>(50648402101)</v>
      </c>
    </row>
    <row r="8" spans="1:3" x14ac:dyDescent="0.2">
      <c r="A8" s="8"/>
      <c r="B8" s="12" t="str">
        <f>[3]И1!D17</f>
        <v>Система теплоснабжения</v>
      </c>
      <c r="C8" s="13">
        <f>[3]И1!E17</f>
        <v>0</v>
      </c>
    </row>
    <row r="9" spans="1:3" x14ac:dyDescent="0.2">
      <c r="A9" s="8"/>
      <c r="B9" s="9" t="str">
        <f>[3]И1!D8</f>
        <v>Период регулирования (i)-й</v>
      </c>
      <c r="C9" s="14">
        <f>[3]И1!E8</f>
        <v>2024</v>
      </c>
    </row>
    <row r="10" spans="1:3" x14ac:dyDescent="0.2">
      <c r="A10" s="8"/>
      <c r="B10" s="9" t="str">
        <f>[3]И1!D9</f>
        <v>Период регулирования (i-1)-й</v>
      </c>
      <c r="C10" s="14">
        <f>[3]И1!E9</f>
        <v>2023</v>
      </c>
    </row>
    <row r="11" spans="1:3" x14ac:dyDescent="0.2">
      <c r="A11" s="8"/>
      <c r="B11" s="9" t="str">
        <f>[3]И1!D10</f>
        <v>Период регулирования (i-2)-й</v>
      </c>
      <c r="C11" s="14">
        <f>[3]И1!E10</f>
        <v>2022</v>
      </c>
    </row>
    <row r="12" spans="1:3" x14ac:dyDescent="0.2">
      <c r="A12" s="8"/>
      <c r="B12" s="9" t="str">
        <f>[3]И1!D11</f>
        <v>Базовый год (б)</v>
      </c>
      <c r="C12" s="14">
        <f>[3]И1!E11</f>
        <v>2019</v>
      </c>
    </row>
    <row r="13" spans="1:3" ht="38.25" x14ac:dyDescent="0.2">
      <c r="A13" s="8"/>
      <c r="B13" s="9" t="str">
        <f>[3]И1!D18</f>
        <v>Вид топлива, использование которого преобладает в системе теплоснабжения</v>
      </c>
      <c r="C13" s="15" t="str">
        <f>[3]С1.1!E13</f>
        <v>уголь (вид угля не указан в топливном балансе)</v>
      </c>
    </row>
    <row r="14" spans="1:3" ht="31.7" customHeight="1" thickBot="1" x14ac:dyDescent="0.25">
      <c r="A14" s="119" t="s">
        <v>3</v>
      </c>
      <c r="B14" s="119"/>
      <c r="C14" s="119"/>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3581.4835708451897</v>
      </c>
    </row>
    <row r="18" spans="1:3" ht="42.75" x14ac:dyDescent="0.2">
      <c r="A18" s="22" t="s">
        <v>8</v>
      </c>
      <c r="B18" s="25" t="s">
        <v>9</v>
      </c>
      <c r="C18" s="26">
        <f>[3]С1!F12</f>
        <v>611.9645610503693</v>
      </c>
    </row>
    <row r="19" spans="1:3" ht="42.75" x14ac:dyDescent="0.2">
      <c r="A19" s="22" t="s">
        <v>10</v>
      </c>
      <c r="B19" s="25" t="s">
        <v>11</v>
      </c>
      <c r="C19" s="26">
        <f>[3]С2!F12</f>
        <v>1990.8616285605142</v>
      </c>
    </row>
    <row r="20" spans="1:3" ht="30" x14ac:dyDescent="0.2">
      <c r="A20" s="22" t="s">
        <v>12</v>
      </c>
      <c r="B20" s="25" t="s">
        <v>13</v>
      </c>
      <c r="C20" s="26">
        <f>[3]С3!F12</f>
        <v>473.18998182045129</v>
      </c>
    </row>
    <row r="21" spans="1:3" ht="42.75" x14ac:dyDescent="0.2">
      <c r="A21" s="22" t="s">
        <v>14</v>
      </c>
      <c r="B21" s="25" t="s">
        <v>15</v>
      </c>
      <c r="C21" s="26">
        <f>[3]С4!F12</f>
        <v>435.24223135806722</v>
      </c>
    </row>
    <row r="22" spans="1:3" ht="30" x14ac:dyDescent="0.2">
      <c r="A22" s="22" t="s">
        <v>16</v>
      </c>
      <c r="B22" s="25" t="s">
        <v>17</v>
      </c>
      <c r="C22" s="26">
        <f>[3]С5!F12</f>
        <v>70.225168055788032</v>
      </c>
    </row>
    <row r="23" spans="1:3" ht="43.5" thickBot="1" x14ac:dyDescent="0.25">
      <c r="A23" s="27" t="s">
        <v>18</v>
      </c>
      <c r="B23" s="105" t="s">
        <v>19</v>
      </c>
      <c r="C23" s="28" t="str">
        <f>[3]С6!F12</f>
        <v>-</v>
      </c>
    </row>
    <row r="24" spans="1:3" ht="13.5" thickBot="1" x14ac:dyDescent="0.25">
      <c r="A24" s="3"/>
    </row>
    <row r="25" spans="1:3" x14ac:dyDescent="0.2">
      <c r="A25" s="16" t="s">
        <v>4</v>
      </c>
      <c r="B25" s="29" t="s">
        <v>5</v>
      </c>
      <c r="C25" s="30" t="s">
        <v>6</v>
      </c>
    </row>
    <row r="26" spans="1:3" x14ac:dyDescent="0.2">
      <c r="A26" s="19">
        <v>1</v>
      </c>
      <c r="B26" s="31">
        <v>2</v>
      </c>
      <c r="C26" s="32">
        <v>3</v>
      </c>
    </row>
    <row r="27" spans="1:3" ht="30" customHeight="1" x14ac:dyDescent="0.2">
      <c r="A27" s="22">
        <v>1</v>
      </c>
      <c r="B27" s="121" t="s">
        <v>20</v>
      </c>
      <c r="C27" s="121"/>
    </row>
    <row r="28" spans="1:3" x14ac:dyDescent="0.2">
      <c r="A28" s="22" t="s">
        <v>8</v>
      </c>
      <c r="B28" s="33" t="s">
        <v>21</v>
      </c>
      <c r="C28" s="34">
        <f>[3]С1.1!E16</f>
        <v>5100</v>
      </c>
    </row>
    <row r="29" spans="1:3" ht="42.75" x14ac:dyDescent="0.2">
      <c r="A29" s="22" t="s">
        <v>10</v>
      </c>
      <c r="B29" s="33" t="s">
        <v>22</v>
      </c>
      <c r="C29" s="34">
        <f>[3]С1.1!E27</f>
        <v>2749.5833333333335</v>
      </c>
    </row>
    <row r="30" spans="1:3" ht="17.25" x14ac:dyDescent="0.2">
      <c r="A30" s="22" t="s">
        <v>12</v>
      </c>
      <c r="B30" s="33" t="s">
        <v>23</v>
      </c>
      <c r="C30" s="35">
        <f>[3]С1.1!E19</f>
        <v>-0.19900000000000001</v>
      </c>
    </row>
    <row r="31" spans="1:3" ht="17.25" x14ac:dyDescent="0.2">
      <c r="A31" s="22" t="s">
        <v>14</v>
      </c>
      <c r="B31" s="33" t="s">
        <v>24</v>
      </c>
      <c r="C31" s="35">
        <f>[3]С1.1!E20</f>
        <v>5.7000000000000002E-2</v>
      </c>
    </row>
    <row r="32" spans="1:3" ht="30" x14ac:dyDescent="0.2">
      <c r="A32" s="22" t="s">
        <v>16</v>
      </c>
      <c r="B32" s="36" t="s">
        <v>25</v>
      </c>
      <c r="C32" s="37">
        <f>[3]С1!F13</f>
        <v>176.4</v>
      </c>
    </row>
    <row r="33" spans="1:3" x14ac:dyDescent="0.2">
      <c r="A33" s="22" t="s">
        <v>18</v>
      </c>
      <c r="B33" s="36" t="s">
        <v>26</v>
      </c>
      <c r="C33" s="38">
        <f>[3]С1!F16</f>
        <v>7000</v>
      </c>
    </row>
    <row r="34" spans="1:3" ht="14.25" x14ac:dyDescent="0.2">
      <c r="A34" s="22" t="s">
        <v>27</v>
      </c>
      <c r="B34" s="39" t="s">
        <v>28</v>
      </c>
      <c r="C34" s="40">
        <f>[3]С1!F17</f>
        <v>0.72857142857142854</v>
      </c>
    </row>
    <row r="35" spans="1:3" ht="15.75" x14ac:dyDescent="0.2">
      <c r="A35" s="41" t="s">
        <v>29</v>
      </c>
      <c r="B35" s="42" t="s">
        <v>30</v>
      </c>
      <c r="C35" s="40">
        <f>[3]С1!F20</f>
        <v>21.588411179999994</v>
      </c>
    </row>
    <row r="36" spans="1:3" ht="15.75" x14ac:dyDescent="0.2">
      <c r="A36" s="41" t="s">
        <v>31</v>
      </c>
      <c r="B36" s="43" t="s">
        <v>32</v>
      </c>
      <c r="C36" s="40">
        <f>[3]С1!F21</f>
        <v>20.818139999999996</v>
      </c>
    </row>
    <row r="37" spans="1:3" ht="14.25" x14ac:dyDescent="0.2">
      <c r="A37" s="41" t="s">
        <v>33</v>
      </c>
      <c r="B37" s="44" t="s">
        <v>34</v>
      </c>
      <c r="C37" s="40">
        <f>[3]С1!F22</f>
        <v>1.0369999999999999</v>
      </c>
    </row>
    <row r="38" spans="1:3" ht="53.25" thickBot="1" x14ac:dyDescent="0.25">
      <c r="A38" s="27" t="s">
        <v>35</v>
      </c>
      <c r="B38" s="45" t="s">
        <v>36</v>
      </c>
      <c r="C38" s="46">
        <f>[3]С1!F23</f>
        <v>1.0469999999999999</v>
      </c>
    </row>
    <row r="39" spans="1:3" ht="13.5" thickBot="1" x14ac:dyDescent="0.25">
      <c r="A39" s="47"/>
      <c r="B39" s="48"/>
      <c r="C39" s="49"/>
    </row>
    <row r="40" spans="1:3" ht="30" customHeight="1" x14ac:dyDescent="0.2">
      <c r="A40" s="50" t="s">
        <v>37</v>
      </c>
      <c r="B40" s="122" t="s">
        <v>38</v>
      </c>
      <c r="C40" s="122"/>
    </row>
    <row r="41" spans="1:3" ht="25.5" x14ac:dyDescent="0.2">
      <c r="A41" s="22" t="s">
        <v>39</v>
      </c>
      <c r="B41" s="36" t="s">
        <v>40</v>
      </c>
      <c r="C41" s="51" t="str">
        <f>[3]С2.1!E12</f>
        <v>V</v>
      </c>
    </row>
    <row r="42" spans="1:3" ht="25.5" x14ac:dyDescent="0.2">
      <c r="A42" s="22" t="s">
        <v>41</v>
      </c>
      <c r="B42" s="33" t="s">
        <v>42</v>
      </c>
      <c r="C42" s="51" t="str">
        <f>[3]С2.1!E13</f>
        <v>6 и менее баллов</v>
      </c>
    </row>
    <row r="43" spans="1:3" ht="25.5" x14ac:dyDescent="0.2">
      <c r="A43" s="22" t="s">
        <v>43</v>
      </c>
      <c r="B43" s="33" t="s">
        <v>44</v>
      </c>
      <c r="C43" s="51" t="str">
        <f>[3]С2.1!E14</f>
        <v>от 200 до 500</v>
      </c>
    </row>
    <row r="44" spans="1:3" ht="25.5" x14ac:dyDescent="0.2">
      <c r="A44" s="22" t="s">
        <v>45</v>
      </c>
      <c r="B44" s="33" t="s">
        <v>46</v>
      </c>
      <c r="C44" s="52" t="str">
        <f>[3]С2.1!E15</f>
        <v>нет</v>
      </c>
    </row>
    <row r="45" spans="1:3" ht="30" x14ac:dyDescent="0.2">
      <c r="A45" s="22" t="s">
        <v>47</v>
      </c>
      <c r="B45" s="33" t="s">
        <v>48</v>
      </c>
      <c r="C45" s="34">
        <f>[3]С2!F18</f>
        <v>35106.652004551666</v>
      </c>
    </row>
    <row r="46" spans="1:3" ht="30" x14ac:dyDescent="0.2">
      <c r="A46" s="22" t="s">
        <v>49</v>
      </c>
      <c r="B46" s="53" t="s">
        <v>50</v>
      </c>
      <c r="C46" s="34">
        <f>IF([3]С2!F19&gt;0,[3]С2!F19,[3]С2!F20)</f>
        <v>23441.524932855718</v>
      </c>
    </row>
    <row r="47" spans="1:3" ht="25.5" x14ac:dyDescent="0.2">
      <c r="A47" s="22" t="s">
        <v>51</v>
      </c>
      <c r="B47" s="54" t="s">
        <v>52</v>
      </c>
      <c r="C47" s="34">
        <f>[3]С2.1!E19</f>
        <v>-38</v>
      </c>
    </row>
    <row r="48" spans="1:3" ht="25.5" x14ac:dyDescent="0.2">
      <c r="A48" s="22" t="s">
        <v>53</v>
      </c>
      <c r="B48" s="54" t="s">
        <v>54</v>
      </c>
      <c r="C48" s="34" t="str">
        <f>[3]С2.1!E22</f>
        <v>нет</v>
      </c>
    </row>
    <row r="49" spans="1:3" ht="38.25" x14ac:dyDescent="0.2">
      <c r="A49" s="22" t="s">
        <v>55</v>
      </c>
      <c r="B49" s="55" t="s">
        <v>56</v>
      </c>
      <c r="C49" s="34">
        <f>[3]С2.2!E10</f>
        <v>1287</v>
      </c>
    </row>
    <row r="50" spans="1:3" ht="25.5" x14ac:dyDescent="0.2">
      <c r="A50" s="22" t="s">
        <v>57</v>
      </c>
      <c r="B50" s="56" t="s">
        <v>58</v>
      </c>
      <c r="C50" s="34">
        <f>[3]С2.2!E12</f>
        <v>5.97</v>
      </c>
    </row>
    <row r="51" spans="1:3" ht="52.5" x14ac:dyDescent="0.2">
      <c r="A51" s="22" t="s">
        <v>59</v>
      </c>
      <c r="B51" s="57" t="s">
        <v>60</v>
      </c>
      <c r="C51" s="34">
        <f>[3]С2.2!E13</f>
        <v>1</v>
      </c>
    </row>
    <row r="52" spans="1:3" ht="27.75" x14ac:dyDescent="0.2">
      <c r="A52" s="22" t="s">
        <v>61</v>
      </c>
      <c r="B52" s="56" t="s">
        <v>62</v>
      </c>
      <c r="C52" s="34">
        <f>[3]С2.2!E14</f>
        <v>12104</v>
      </c>
    </row>
    <row r="53" spans="1:3" ht="25.5" x14ac:dyDescent="0.2">
      <c r="A53" s="22" t="s">
        <v>63</v>
      </c>
      <c r="B53" s="57" t="s">
        <v>64</v>
      </c>
      <c r="C53" s="35">
        <f>[3]С2.2!E15</f>
        <v>4.8000000000000001E-2</v>
      </c>
    </row>
    <row r="54" spans="1:3" x14ac:dyDescent="0.2">
      <c r="A54" s="22" t="s">
        <v>65</v>
      </c>
      <c r="B54" s="57" t="s">
        <v>66</v>
      </c>
      <c r="C54" s="34">
        <f>[3]С2.2!E16</f>
        <v>1</v>
      </c>
    </row>
    <row r="55" spans="1:3" ht="15.75" x14ac:dyDescent="0.2">
      <c r="A55" s="22" t="s">
        <v>67</v>
      </c>
      <c r="B55" s="58" t="s">
        <v>68</v>
      </c>
      <c r="C55" s="34">
        <f>[3]С2!F21</f>
        <v>1</v>
      </c>
    </row>
    <row r="56" spans="1:3" ht="30" x14ac:dyDescent="0.2">
      <c r="A56" s="59" t="s">
        <v>69</v>
      </c>
      <c r="B56" s="33" t="s">
        <v>70</v>
      </c>
      <c r="C56" s="34">
        <f>[3]С2!F13</f>
        <v>183796.83936385796</v>
      </c>
    </row>
    <row r="57" spans="1:3" ht="30" x14ac:dyDescent="0.2">
      <c r="A57" s="59" t="s">
        <v>71</v>
      </c>
      <c r="B57" s="58" t="s">
        <v>72</v>
      </c>
      <c r="C57" s="34">
        <f>[3]С2!F14</f>
        <v>113455</v>
      </c>
    </row>
    <row r="58" spans="1:3" ht="15.75" x14ac:dyDescent="0.2">
      <c r="A58" s="59" t="s">
        <v>73</v>
      </c>
      <c r="B58" s="60" t="s">
        <v>74</v>
      </c>
      <c r="C58" s="40">
        <f>[3]С2!F15</f>
        <v>1.071</v>
      </c>
    </row>
    <row r="59" spans="1:3" ht="15.75" x14ac:dyDescent="0.2">
      <c r="A59" s="59" t="s">
        <v>75</v>
      </c>
      <c r="B59" s="60" t="s">
        <v>76</v>
      </c>
      <c r="C59" s="40">
        <f>[3]С2!F16</f>
        <v>1</v>
      </c>
    </row>
    <row r="60" spans="1:3" ht="17.25" x14ac:dyDescent="0.2">
      <c r="A60" s="59" t="s">
        <v>77</v>
      </c>
      <c r="B60" s="58" t="s">
        <v>78</v>
      </c>
      <c r="C60" s="34">
        <f>[3]С2!F17</f>
        <v>1.01</v>
      </c>
    </row>
    <row r="61" spans="1:3" s="63" customFormat="1" ht="14.25" x14ac:dyDescent="0.2">
      <c r="A61" s="59" t="s">
        <v>79</v>
      </c>
      <c r="B61" s="61" t="s">
        <v>80</v>
      </c>
      <c r="C61" s="62">
        <f>[3]С2!F33</f>
        <v>10</v>
      </c>
    </row>
    <row r="62" spans="1:3" ht="30" x14ac:dyDescent="0.2">
      <c r="A62" s="59" t="s">
        <v>81</v>
      </c>
      <c r="B62" s="64" t="s">
        <v>82</v>
      </c>
      <c r="C62" s="34">
        <f>[3]С2!F26</f>
        <v>1543.3634896839897</v>
      </c>
    </row>
    <row r="63" spans="1:3" ht="17.25" x14ac:dyDescent="0.2">
      <c r="A63" s="59" t="s">
        <v>83</v>
      </c>
      <c r="B63" s="53" t="s">
        <v>84</v>
      </c>
      <c r="C63" s="34">
        <f>[3]С2!F27</f>
        <v>0.24536656199999998</v>
      </c>
    </row>
    <row r="64" spans="1:3" ht="17.25" x14ac:dyDescent="0.2">
      <c r="A64" s="59" t="s">
        <v>85</v>
      </c>
      <c r="B64" s="58" t="s">
        <v>86</v>
      </c>
      <c r="C64" s="62">
        <f>[3]С2!F28</f>
        <v>4200</v>
      </c>
    </row>
    <row r="65" spans="1:3" ht="42.75" x14ac:dyDescent="0.2">
      <c r="A65" s="59" t="s">
        <v>87</v>
      </c>
      <c r="B65" s="33" t="s">
        <v>88</v>
      </c>
      <c r="C65" s="34">
        <f>[3]С2!F22</f>
        <v>38698.422798410109</v>
      </c>
    </row>
    <row r="66" spans="1:3" ht="30" x14ac:dyDescent="0.2">
      <c r="A66" s="59" t="s">
        <v>89</v>
      </c>
      <c r="B66" s="60" t="s">
        <v>90</v>
      </c>
      <c r="C66" s="34">
        <f>[3]С2!F23</f>
        <v>1990</v>
      </c>
    </row>
    <row r="67" spans="1:3" ht="30" x14ac:dyDescent="0.2">
      <c r="A67" s="59" t="s">
        <v>91</v>
      </c>
      <c r="B67" s="53" t="s">
        <v>92</v>
      </c>
      <c r="C67" s="34">
        <f>[3]С2.1!E27</f>
        <v>14307.876789999998</v>
      </c>
    </row>
    <row r="68" spans="1:3" ht="38.25" x14ac:dyDescent="0.2">
      <c r="A68" s="59" t="s">
        <v>93</v>
      </c>
      <c r="B68" s="65" t="s">
        <v>94</v>
      </c>
      <c r="C68" s="52">
        <f>[3]С2.3!E21</f>
        <v>0</v>
      </c>
    </row>
    <row r="69" spans="1:3" ht="25.5" x14ac:dyDescent="0.2">
      <c r="A69" s="59" t="s">
        <v>95</v>
      </c>
      <c r="B69" s="66" t="s">
        <v>96</v>
      </c>
      <c r="C69" s="67">
        <f>[3]С2.3!E11</f>
        <v>9.89</v>
      </c>
    </row>
    <row r="70" spans="1:3" ht="25.5" x14ac:dyDescent="0.2">
      <c r="A70" s="59" t="s">
        <v>97</v>
      </c>
      <c r="B70" s="66" t="s">
        <v>98</v>
      </c>
      <c r="C70" s="62">
        <f>[3]С2.3!E13</f>
        <v>300</v>
      </c>
    </row>
    <row r="71" spans="1:3" ht="25.5" x14ac:dyDescent="0.2">
      <c r="A71" s="59" t="s">
        <v>99</v>
      </c>
      <c r="B71" s="65" t="s">
        <v>100</v>
      </c>
      <c r="C71" s="68">
        <f>IF([3]С2.3!E22&gt;0,[3]С2.3!E22,[3]С2.3!E14)</f>
        <v>61211</v>
      </c>
    </row>
    <row r="72" spans="1:3" ht="38.25" x14ac:dyDescent="0.2">
      <c r="A72" s="59" t="s">
        <v>101</v>
      </c>
      <c r="B72" s="65" t="s">
        <v>102</v>
      </c>
      <c r="C72" s="68">
        <f>IF([3]С2.3!E23&gt;0,[3]С2.3!E23,[3]С2.3!E15)</f>
        <v>45675</v>
      </c>
    </row>
    <row r="73" spans="1:3" ht="30" x14ac:dyDescent="0.2">
      <c r="A73" s="59" t="s">
        <v>103</v>
      </c>
      <c r="B73" s="53" t="s">
        <v>104</v>
      </c>
      <c r="C73" s="34">
        <f>[3]С2.1!E28</f>
        <v>9541.9567200000001</v>
      </c>
    </row>
    <row r="74" spans="1:3" ht="38.25" x14ac:dyDescent="0.2">
      <c r="A74" s="59" t="s">
        <v>105</v>
      </c>
      <c r="B74" s="65" t="s">
        <v>106</v>
      </c>
      <c r="C74" s="52">
        <f>[3]С2.3!E25</f>
        <v>0</v>
      </c>
    </row>
    <row r="75" spans="1:3" ht="25.5" x14ac:dyDescent="0.2">
      <c r="A75" s="59" t="s">
        <v>107</v>
      </c>
      <c r="B75" s="66" t="s">
        <v>108</v>
      </c>
      <c r="C75" s="67">
        <f>[3]С2.3!E12</f>
        <v>0.56000000000000005</v>
      </c>
    </row>
    <row r="76" spans="1:3" ht="25.5" x14ac:dyDescent="0.2">
      <c r="A76" s="59" t="s">
        <v>109</v>
      </c>
      <c r="B76" s="66" t="s">
        <v>98</v>
      </c>
      <c r="C76" s="62">
        <f>[3]С2.3!E13</f>
        <v>300</v>
      </c>
    </row>
    <row r="77" spans="1:3" ht="25.5" x14ac:dyDescent="0.2">
      <c r="A77" s="59" t="s">
        <v>110</v>
      </c>
      <c r="B77" s="69" t="s">
        <v>111</v>
      </c>
      <c r="C77" s="68">
        <f>IF([3]С2.3!E26&gt;0,[3]С2.3!E26,[3]С2.3!E16)</f>
        <v>65637</v>
      </c>
    </row>
    <row r="78" spans="1:3" ht="38.25" x14ac:dyDescent="0.2">
      <c r="A78" s="59" t="s">
        <v>112</v>
      </c>
      <c r="B78" s="69" t="s">
        <v>113</v>
      </c>
      <c r="C78" s="68">
        <f>IF([3]С2.3!E27&gt;0,[3]С2.3!E27,[3]С2.3!E17)</f>
        <v>31684</v>
      </c>
    </row>
    <row r="79" spans="1:3" ht="17.25" x14ac:dyDescent="0.2">
      <c r="A79" s="59" t="s">
        <v>114</v>
      </c>
      <c r="B79" s="33" t="s">
        <v>115</v>
      </c>
      <c r="C79" s="35">
        <f>[3]С2!F29</f>
        <v>9.5962865259740182E-2</v>
      </c>
    </row>
    <row r="80" spans="1:3" ht="30" x14ac:dyDescent="0.2">
      <c r="A80" s="59" t="s">
        <v>116</v>
      </c>
      <c r="B80" s="53" t="s">
        <v>117</v>
      </c>
      <c r="C80" s="70">
        <f>[3]С2!F30</f>
        <v>8.4029304029304031E-2</v>
      </c>
    </row>
    <row r="81" spans="1:3" ht="17.25" x14ac:dyDescent="0.2">
      <c r="A81" s="59" t="s">
        <v>118</v>
      </c>
      <c r="B81" s="71" t="s">
        <v>119</v>
      </c>
      <c r="C81" s="35">
        <f>[3]С2!F31</f>
        <v>0.13880000000000001</v>
      </c>
    </row>
    <row r="82" spans="1:3" s="63" customFormat="1" ht="18" thickBot="1" x14ac:dyDescent="0.25">
      <c r="A82" s="72" t="s">
        <v>120</v>
      </c>
      <c r="B82" s="73" t="s">
        <v>121</v>
      </c>
      <c r="C82" s="74">
        <f>[3]С2!F32</f>
        <v>0.12640000000000001</v>
      </c>
    </row>
    <row r="83" spans="1:3" ht="13.5" thickBot="1" x14ac:dyDescent="0.25">
      <c r="A83" s="47"/>
      <c r="B83" s="75"/>
      <c r="C83" s="15"/>
    </row>
    <row r="84" spans="1:3" s="63" customFormat="1" ht="30" customHeight="1" x14ac:dyDescent="0.2">
      <c r="A84" s="76" t="s">
        <v>122</v>
      </c>
      <c r="B84" s="122" t="s">
        <v>123</v>
      </c>
      <c r="C84" s="122"/>
    </row>
    <row r="85" spans="1:3" s="63" customFormat="1" ht="30" x14ac:dyDescent="0.2">
      <c r="A85" s="77" t="s">
        <v>124</v>
      </c>
      <c r="B85" s="33" t="s">
        <v>125</v>
      </c>
      <c r="C85" s="34">
        <f>[3]С3!F14</f>
        <v>6068.1437898865324</v>
      </c>
    </row>
    <row r="86" spans="1:3" s="63" customFormat="1" ht="42.75" x14ac:dyDescent="0.2">
      <c r="A86" s="77" t="s">
        <v>126</v>
      </c>
      <c r="B86" s="53" t="s">
        <v>127</v>
      </c>
      <c r="C86" s="78">
        <f>[3]С3!F15</f>
        <v>0.2</v>
      </c>
    </row>
    <row r="87" spans="1:3" s="63" customFormat="1" ht="14.25" x14ac:dyDescent="0.2">
      <c r="A87" s="77" t="s">
        <v>128</v>
      </c>
      <c r="B87" s="79" t="s">
        <v>129</v>
      </c>
      <c r="C87" s="62">
        <f>[3]С3!F18</f>
        <v>15</v>
      </c>
    </row>
    <row r="88" spans="1:3" s="63" customFormat="1" ht="17.25" x14ac:dyDescent="0.2">
      <c r="A88" s="77" t="s">
        <v>130</v>
      </c>
      <c r="B88" s="33" t="s">
        <v>131</v>
      </c>
      <c r="C88" s="34">
        <f>[3]С3!F19</f>
        <v>3778.1614077800232</v>
      </c>
    </row>
    <row r="89" spans="1:3" s="63" customFormat="1" ht="55.5" x14ac:dyDescent="0.2">
      <c r="A89" s="77" t="s">
        <v>132</v>
      </c>
      <c r="B89" s="53" t="s">
        <v>133</v>
      </c>
      <c r="C89" s="80">
        <f>[3]С3!F20</f>
        <v>2.1999999999999999E-2</v>
      </c>
    </row>
    <row r="90" spans="1:3" s="63" customFormat="1" ht="14.25" x14ac:dyDescent="0.2">
      <c r="A90" s="77" t="s">
        <v>134</v>
      </c>
      <c r="B90" s="58" t="s">
        <v>80</v>
      </c>
      <c r="C90" s="62">
        <f>[3]С3!F21</f>
        <v>10</v>
      </c>
    </row>
    <row r="91" spans="1:3" s="63" customFormat="1" ht="17.25" x14ac:dyDescent="0.2">
      <c r="A91" s="77" t="s">
        <v>135</v>
      </c>
      <c r="B91" s="33" t="s">
        <v>136</v>
      </c>
      <c r="C91" s="34">
        <f>[3]С3!F22</f>
        <v>4.6300904690519689</v>
      </c>
    </row>
    <row r="92" spans="1:3" s="63" customFormat="1" ht="55.5" x14ac:dyDescent="0.2">
      <c r="A92" s="77" t="s">
        <v>137</v>
      </c>
      <c r="B92" s="53" t="s">
        <v>138</v>
      </c>
      <c r="C92" s="80">
        <f>[3]С3!F23</f>
        <v>3.0000000000000001E-3</v>
      </c>
    </row>
    <row r="93" spans="1:3" s="63" customFormat="1" ht="27.75" thickBot="1" x14ac:dyDescent="0.25">
      <c r="A93" s="81" t="s">
        <v>139</v>
      </c>
      <c r="B93" s="82" t="s">
        <v>140</v>
      </c>
      <c r="C93" s="83">
        <f>[3]С3!F24</f>
        <v>1543.3634896839897</v>
      </c>
    </row>
    <row r="94" spans="1:3" ht="13.5" thickBot="1" x14ac:dyDescent="0.25">
      <c r="A94" s="47"/>
      <c r="B94" s="75"/>
      <c r="C94" s="15"/>
    </row>
    <row r="95" spans="1:3" ht="30" customHeight="1" x14ac:dyDescent="0.2">
      <c r="A95" s="84" t="s">
        <v>141</v>
      </c>
      <c r="B95" s="122" t="s">
        <v>142</v>
      </c>
      <c r="C95" s="122"/>
    </row>
    <row r="96" spans="1:3" ht="30" x14ac:dyDescent="0.2">
      <c r="A96" s="59" t="s">
        <v>143</v>
      </c>
      <c r="B96" s="33" t="s">
        <v>144</v>
      </c>
      <c r="C96" s="34">
        <f>[3]С4!F16</f>
        <v>1652.5</v>
      </c>
    </row>
    <row r="97" spans="1:3" ht="30" x14ac:dyDescent="0.2">
      <c r="A97" s="59" t="s">
        <v>145</v>
      </c>
      <c r="B97" s="58" t="s">
        <v>146</v>
      </c>
      <c r="C97" s="34">
        <f>[3]С4!F17</f>
        <v>73547</v>
      </c>
    </row>
    <row r="98" spans="1:3" ht="17.25" x14ac:dyDescent="0.2">
      <c r="A98" s="59" t="s">
        <v>147</v>
      </c>
      <c r="B98" s="58" t="s">
        <v>148</v>
      </c>
      <c r="C98" s="40">
        <f>[3]С4!F18</f>
        <v>0.02</v>
      </c>
    </row>
    <row r="99" spans="1:3" ht="30" x14ac:dyDescent="0.2">
      <c r="A99" s="59" t="s">
        <v>149</v>
      </c>
      <c r="B99" s="58" t="s">
        <v>150</v>
      </c>
      <c r="C99" s="34">
        <f>[3]С4!F19</f>
        <v>12104</v>
      </c>
    </row>
    <row r="100" spans="1:3" ht="31.5" x14ac:dyDescent="0.2">
      <c r="A100" s="59" t="s">
        <v>151</v>
      </c>
      <c r="B100" s="58" t="s">
        <v>152</v>
      </c>
      <c r="C100" s="40">
        <f>[3]С4!F20</f>
        <v>1.4999999999999999E-2</v>
      </c>
    </row>
    <row r="101" spans="1:3" ht="30" x14ac:dyDescent="0.2">
      <c r="A101" s="59" t="s">
        <v>153</v>
      </c>
      <c r="B101" s="33" t="s">
        <v>154</v>
      </c>
      <c r="C101" s="34">
        <f>[3]С4!F21</f>
        <v>1933.1949342509995</v>
      </c>
    </row>
    <row r="102" spans="1:3" ht="24" customHeight="1" x14ac:dyDescent="0.2">
      <c r="A102" s="59" t="s">
        <v>155</v>
      </c>
      <c r="B102" s="53" t="s">
        <v>156</v>
      </c>
      <c r="C102" s="85">
        <f>IF([3]С4.2!F8="да",[3]С4.2!D21,[3]С4.2!D15)</f>
        <v>0</v>
      </c>
    </row>
    <row r="103" spans="1:3" ht="68.25" x14ac:dyDescent="0.2">
      <c r="A103" s="59" t="s">
        <v>157</v>
      </c>
      <c r="B103" s="53" t="s">
        <v>158</v>
      </c>
      <c r="C103" s="34">
        <f>[3]С4!F22</f>
        <v>3.6112641666666665</v>
      </c>
    </row>
    <row r="104" spans="1:3" ht="30" x14ac:dyDescent="0.2">
      <c r="A104" s="59" t="s">
        <v>159</v>
      </c>
      <c r="B104" s="58" t="s">
        <v>160</v>
      </c>
      <c r="C104" s="34">
        <f>[3]С4!F23</f>
        <v>180</v>
      </c>
    </row>
    <row r="105" spans="1:3" ht="14.25" x14ac:dyDescent="0.2">
      <c r="A105" s="59" t="s">
        <v>161</v>
      </c>
      <c r="B105" s="53" t="s">
        <v>162</v>
      </c>
      <c r="C105" s="34">
        <f>[3]С4!F24</f>
        <v>8497.1999999999989</v>
      </c>
    </row>
    <row r="106" spans="1:3" ht="14.25" x14ac:dyDescent="0.2">
      <c r="A106" s="59" t="s">
        <v>163</v>
      </c>
      <c r="B106" s="58" t="s">
        <v>164</v>
      </c>
      <c r="C106" s="40">
        <f>[3]С4!F25</f>
        <v>0.35</v>
      </c>
    </row>
    <row r="107" spans="1:3" ht="17.25" x14ac:dyDescent="0.2">
      <c r="A107" s="59" t="s">
        <v>165</v>
      </c>
      <c r="B107" s="33" t="s">
        <v>166</v>
      </c>
      <c r="C107" s="34">
        <f>[3]С4!F26</f>
        <v>85.988129999999998</v>
      </c>
    </row>
    <row r="108" spans="1:3" ht="25.5" x14ac:dyDescent="0.2">
      <c r="A108" s="59" t="s">
        <v>167</v>
      </c>
      <c r="B108" s="53" t="s">
        <v>94</v>
      </c>
      <c r="C108" s="85">
        <f>[3]С4.3!E16</f>
        <v>0</v>
      </c>
    </row>
    <row r="109" spans="1:3" ht="25.5" x14ac:dyDescent="0.2">
      <c r="A109" s="59" t="s">
        <v>168</v>
      </c>
      <c r="B109" s="53" t="s">
        <v>169</v>
      </c>
      <c r="C109" s="34">
        <f>[3]С4.3!E17</f>
        <v>20.350000000000001</v>
      </c>
    </row>
    <row r="110" spans="1:3" ht="38.25" x14ac:dyDescent="0.2">
      <c r="A110" s="59" t="s">
        <v>170</v>
      </c>
      <c r="B110" s="53" t="s">
        <v>106</v>
      </c>
      <c r="C110" s="85">
        <f>[3]С4.3!E18</f>
        <v>0</v>
      </c>
    </row>
    <row r="111" spans="1:3" x14ac:dyDescent="0.2">
      <c r="A111" s="59" t="s">
        <v>171</v>
      </c>
      <c r="B111" s="53" t="s">
        <v>172</v>
      </c>
      <c r="C111" s="34">
        <f>[3]С4.3!E19</f>
        <v>71.67</v>
      </c>
    </row>
    <row r="112" spans="1:3" x14ac:dyDescent="0.2">
      <c r="A112" s="59" t="s">
        <v>173</v>
      </c>
      <c r="B112" s="58" t="s">
        <v>174</v>
      </c>
      <c r="C112" s="34">
        <f>[3]С4.3!E11</f>
        <v>1871</v>
      </c>
    </row>
    <row r="113" spans="1:3" x14ac:dyDescent="0.2">
      <c r="A113" s="59" t="s">
        <v>175</v>
      </c>
      <c r="B113" s="58" t="s">
        <v>176</v>
      </c>
      <c r="C113" s="52">
        <f>[3]С4.3!E12</f>
        <v>1636</v>
      </c>
    </row>
    <row r="114" spans="1:3" x14ac:dyDescent="0.2">
      <c r="A114" s="59" t="s">
        <v>177</v>
      </c>
      <c r="B114" s="58" t="s">
        <v>178</v>
      </c>
      <c r="C114" s="52">
        <f>[3]С4.3!E13</f>
        <v>204</v>
      </c>
    </row>
    <row r="115" spans="1:3" ht="30" x14ac:dyDescent="0.2">
      <c r="A115" s="59" t="s">
        <v>179</v>
      </c>
      <c r="B115" s="33" t="s">
        <v>180</v>
      </c>
      <c r="C115" s="34">
        <f>[3]С4!F27</f>
        <v>1291.2863994686898</v>
      </c>
    </row>
    <row r="116" spans="1:3" ht="25.5" x14ac:dyDescent="0.2">
      <c r="A116" s="59" t="s">
        <v>181</v>
      </c>
      <c r="B116" s="53" t="s">
        <v>182</v>
      </c>
      <c r="C116" s="34">
        <f>[3]С4!F28</f>
        <v>991.77142816335618</v>
      </c>
    </row>
    <row r="117" spans="1:3" ht="42.75" x14ac:dyDescent="0.2">
      <c r="A117" s="59" t="s">
        <v>183</v>
      </c>
      <c r="B117" s="53" t="s">
        <v>184</v>
      </c>
      <c r="C117" s="34">
        <f>[3]С4!F29</f>
        <v>299.51497130533357</v>
      </c>
    </row>
    <row r="118" spans="1:3" ht="30" x14ac:dyDescent="0.2">
      <c r="A118" s="59" t="s">
        <v>185</v>
      </c>
      <c r="B118" s="39" t="s">
        <v>186</v>
      </c>
      <c r="C118" s="34">
        <f>[3]С4!F30</f>
        <v>1628.2584699189279</v>
      </c>
    </row>
    <row r="119" spans="1:3" ht="42.75" x14ac:dyDescent="0.2">
      <c r="A119" s="59" t="s">
        <v>187</v>
      </c>
      <c r="B119" s="86" t="s">
        <v>188</v>
      </c>
      <c r="C119" s="34">
        <f>[3]С4!F33</f>
        <v>908.83815448895939</v>
      </c>
    </row>
    <row r="120" spans="1:3" ht="30" x14ac:dyDescent="0.2">
      <c r="A120" s="59" t="s">
        <v>189</v>
      </c>
      <c r="B120" s="87" t="s">
        <v>190</v>
      </c>
      <c r="C120" s="34">
        <f>[3]С4!F35</f>
        <v>17.040680999999999</v>
      </c>
    </row>
    <row r="121" spans="1:3" ht="14.25" x14ac:dyDescent="0.2">
      <c r="A121" s="59" t="s">
        <v>191</v>
      </c>
      <c r="B121" s="56" t="s">
        <v>192</v>
      </c>
      <c r="C121" s="34">
        <f>[3]С4!F36</f>
        <v>14319.9</v>
      </c>
    </row>
    <row r="122" spans="1:3" ht="28.5" thickBot="1" x14ac:dyDescent="0.25">
      <c r="A122" s="72" t="s">
        <v>193</v>
      </c>
      <c r="B122" s="88" t="s">
        <v>194</v>
      </c>
      <c r="C122" s="83">
        <f>[3]С4!F37</f>
        <v>1.19</v>
      </c>
    </row>
    <row r="123" spans="1:3" s="89" customFormat="1" ht="13.5" thickBot="1" x14ac:dyDescent="0.25">
      <c r="A123" s="47"/>
      <c r="B123" s="75"/>
      <c r="C123" s="15"/>
    </row>
    <row r="124" spans="1:3" s="63" customFormat="1" ht="30" customHeight="1" x14ac:dyDescent="0.2">
      <c r="A124" s="76" t="s">
        <v>195</v>
      </c>
      <c r="B124" s="122" t="s">
        <v>196</v>
      </c>
      <c r="C124" s="122"/>
    </row>
    <row r="125" spans="1:3" ht="16.5" thickBot="1" x14ac:dyDescent="0.25">
      <c r="A125" s="27" t="s">
        <v>197</v>
      </c>
      <c r="B125" s="90" t="s">
        <v>198</v>
      </c>
      <c r="C125" s="83">
        <f>[3]С5!F17</f>
        <v>0.02</v>
      </c>
    </row>
    <row r="126" spans="1:3" s="89" customFormat="1" ht="13.5" thickBot="1" x14ac:dyDescent="0.25">
      <c r="A126" s="47"/>
      <c r="B126" s="75"/>
      <c r="C126" s="15"/>
    </row>
    <row r="127" spans="1:3" ht="42.75" customHeight="1" x14ac:dyDescent="0.2">
      <c r="A127" s="84" t="s">
        <v>199</v>
      </c>
      <c r="B127" s="123" t="s">
        <v>200</v>
      </c>
      <c r="C127" s="123"/>
    </row>
    <row r="128" spans="1:3" ht="68.25" x14ac:dyDescent="0.2">
      <c r="A128" s="59" t="s">
        <v>201</v>
      </c>
      <c r="B128" s="91" t="s">
        <v>202</v>
      </c>
      <c r="C128" s="34" t="s">
        <v>203</v>
      </c>
    </row>
    <row r="129" spans="1:4" ht="42.75" hidden="1" x14ac:dyDescent="0.2">
      <c r="A129" s="59" t="s">
        <v>204</v>
      </c>
      <c r="B129" s="86" t="s">
        <v>205</v>
      </c>
      <c r="C129" s="92"/>
    </row>
    <row r="130" spans="1:4" ht="69" thickBot="1" x14ac:dyDescent="0.25">
      <c r="A130" s="72" t="s">
        <v>206</v>
      </c>
      <c r="B130" s="93" t="s">
        <v>207</v>
      </c>
      <c r="C130" s="94" t="s">
        <v>203</v>
      </c>
    </row>
    <row r="131" spans="1:4" ht="62.25" hidden="1" customHeight="1" x14ac:dyDescent="0.2">
      <c r="A131" s="95" t="s">
        <v>208</v>
      </c>
      <c r="B131" s="96" t="s">
        <v>209</v>
      </c>
      <c r="C131" s="97"/>
    </row>
    <row r="132" spans="1:4" ht="68.25" hidden="1" x14ac:dyDescent="0.2">
      <c r="A132" s="59" t="s">
        <v>210</v>
      </c>
      <c r="B132" s="86" t="s">
        <v>211</v>
      </c>
      <c r="C132" s="35"/>
    </row>
    <row r="133" spans="1:4" ht="69" hidden="1" thickBot="1" x14ac:dyDescent="0.25">
      <c r="A133" s="72" t="s">
        <v>212</v>
      </c>
      <c r="B133" s="98" t="s">
        <v>213</v>
      </c>
      <c r="C133" s="74"/>
    </row>
    <row r="134" spans="1:4" s="89" customFormat="1" ht="13.5" thickBot="1" x14ac:dyDescent="0.25">
      <c r="A134" s="47"/>
      <c r="B134" s="75"/>
      <c r="C134" s="15"/>
    </row>
    <row r="135" spans="1:4" ht="26.25" customHeight="1" x14ac:dyDescent="0.2">
      <c r="A135" s="84" t="s">
        <v>214</v>
      </c>
      <c r="B135" s="99" t="s">
        <v>215</v>
      </c>
      <c r="C135" s="100">
        <f>[3]С2!F37</f>
        <v>20.818139999999996</v>
      </c>
    </row>
    <row r="136" spans="1:4" ht="14.25" x14ac:dyDescent="0.2">
      <c r="A136" s="59" t="s">
        <v>216</v>
      </c>
      <c r="B136" s="101" t="s">
        <v>217</v>
      </c>
      <c r="C136" s="34">
        <f>[3]С2!F38</f>
        <v>7</v>
      </c>
    </row>
    <row r="137" spans="1:4" ht="17.25" x14ac:dyDescent="0.2">
      <c r="A137" s="59" t="s">
        <v>218</v>
      </c>
      <c r="B137" s="101" t="s">
        <v>219</v>
      </c>
      <c r="C137" s="34">
        <f>[3]С2!F40</f>
        <v>0.97</v>
      </c>
    </row>
    <row r="138" spans="1:4" ht="15" thickBot="1" x14ac:dyDescent="0.25">
      <c r="A138" s="72" t="s">
        <v>220</v>
      </c>
      <c r="B138" s="102" t="s">
        <v>221</v>
      </c>
      <c r="C138" s="46">
        <f>[3]С2!F42</f>
        <v>0.35</v>
      </c>
    </row>
    <row r="139" spans="1:4" s="89" customFormat="1" ht="13.5" thickBot="1" x14ac:dyDescent="0.25">
      <c r="A139" s="47"/>
      <c r="B139" s="75"/>
      <c r="C139" s="15"/>
    </row>
    <row r="140" spans="1:4" ht="30" x14ac:dyDescent="0.2">
      <c r="A140" s="84" t="s">
        <v>222</v>
      </c>
      <c r="B140" s="103" t="s">
        <v>223</v>
      </c>
      <c r="C140" s="104">
        <f>[3]С2!F35</f>
        <v>1.4976266307379205</v>
      </c>
      <c r="D140" s="89"/>
    </row>
    <row r="141" spans="1:4" ht="22.7" customHeight="1" thickBot="1" x14ac:dyDescent="0.25">
      <c r="A141" s="72" t="s">
        <v>224</v>
      </c>
      <c r="B141" s="118" t="s">
        <v>225</v>
      </c>
      <c r="C141" s="118"/>
      <c r="D141" s="89"/>
    </row>
    <row r="142" spans="1:4" ht="13.5" thickBot="1" x14ac:dyDescent="0.25">
      <c r="A142" s="106"/>
      <c r="B142" s="107" t="s">
        <v>226</v>
      </c>
      <c r="C142" s="108"/>
      <c r="D142" s="89"/>
    </row>
    <row r="143" spans="1:4" x14ac:dyDescent="0.2">
      <c r="A143" s="106"/>
      <c r="B143" s="109">
        <v>2020</v>
      </c>
      <c r="C143" s="110">
        <f>[3]С2.5!$E$11</f>
        <v>-2.9000000000000026E-2</v>
      </c>
      <c r="D143" s="89"/>
    </row>
    <row r="144" spans="1:4" x14ac:dyDescent="0.2">
      <c r="A144" s="106"/>
      <c r="B144" s="111">
        <f>B143+1</f>
        <v>2021</v>
      </c>
      <c r="C144" s="112">
        <f>[3]С2.5!$F$11</f>
        <v>0.245</v>
      </c>
      <c r="D144" s="89"/>
    </row>
    <row r="145" spans="1:4" x14ac:dyDescent="0.2">
      <c r="A145" s="106"/>
      <c r="B145" s="111">
        <f t="shared" ref="B145:B208" si="0">B144+1</f>
        <v>2022</v>
      </c>
      <c r="C145" s="112">
        <f>[3]С2.5!$G$11</f>
        <v>0.114</v>
      </c>
      <c r="D145" s="89"/>
    </row>
    <row r="146" spans="1:4" ht="13.5" thickBot="1" x14ac:dyDescent="0.25">
      <c r="A146" s="106"/>
      <c r="B146" s="113">
        <f t="shared" si="0"/>
        <v>2023</v>
      </c>
      <c r="C146" s="114">
        <f>[3]С2.5!$H$11</f>
        <v>2.4E-2</v>
      </c>
      <c r="D146" s="89"/>
    </row>
    <row r="147" spans="1:4" x14ac:dyDescent="0.2">
      <c r="A147" s="106"/>
      <c r="B147" s="115">
        <f t="shared" si="0"/>
        <v>2024</v>
      </c>
      <c r="C147" s="116">
        <f>[3]С2.5!$I$11</f>
        <v>8.5999999999999993E-2</v>
      </c>
      <c r="D147" s="89"/>
    </row>
    <row r="148" spans="1:4" hidden="1" x14ac:dyDescent="0.2">
      <c r="A148" s="106"/>
      <c r="B148" s="111">
        <f t="shared" si="0"/>
        <v>2025</v>
      </c>
      <c r="C148" s="112">
        <f>[3]С2.5!$J$11</f>
        <v>0.21215960863291</v>
      </c>
      <c r="D148" s="89"/>
    </row>
    <row r="149" spans="1:4" hidden="1" x14ac:dyDescent="0.2">
      <c r="A149" s="106"/>
      <c r="B149" s="111">
        <f t="shared" si="0"/>
        <v>2026</v>
      </c>
      <c r="C149" s="112">
        <f>[3]С2.5!$K$11</f>
        <v>3.5813361771260002E-2</v>
      </c>
      <c r="D149" s="89"/>
    </row>
    <row r="150" spans="1:4" hidden="1" x14ac:dyDescent="0.2">
      <c r="A150" s="106"/>
      <c r="B150" s="111">
        <f t="shared" si="0"/>
        <v>2027</v>
      </c>
      <c r="C150" s="112">
        <f>[3]С2.5!$L$11</f>
        <v>3.2682303599220003E-2</v>
      </c>
      <c r="D150" s="89"/>
    </row>
    <row r="151" spans="1:4" hidden="1" x14ac:dyDescent="0.2">
      <c r="A151" s="106"/>
      <c r="B151" s="111">
        <f t="shared" si="0"/>
        <v>2028</v>
      </c>
      <c r="C151" s="112">
        <f>[3]С2.5!$M$11</f>
        <v>0</v>
      </c>
      <c r="D151" s="89"/>
    </row>
    <row r="152" spans="1:4" hidden="1" x14ac:dyDescent="0.2">
      <c r="A152" s="106"/>
      <c r="B152" s="111">
        <f t="shared" si="0"/>
        <v>2029</v>
      </c>
      <c r="C152" s="112">
        <f>[3]С2.5!$N$11</f>
        <v>0</v>
      </c>
      <c r="D152" s="89"/>
    </row>
    <row r="153" spans="1:4" hidden="1" x14ac:dyDescent="0.2">
      <c r="A153" s="106"/>
      <c r="B153" s="111">
        <f t="shared" si="0"/>
        <v>2030</v>
      </c>
      <c r="C153" s="112">
        <f>[3]С2.5!$O$11</f>
        <v>0</v>
      </c>
      <c r="D153" s="89"/>
    </row>
    <row r="154" spans="1:4" hidden="1" x14ac:dyDescent="0.2">
      <c r="A154" s="106"/>
      <c r="B154" s="111">
        <f t="shared" si="0"/>
        <v>2031</v>
      </c>
      <c r="C154" s="112">
        <f>[3]С2.5!$P$11</f>
        <v>0</v>
      </c>
      <c r="D154" s="89"/>
    </row>
    <row r="155" spans="1:4" hidden="1" x14ac:dyDescent="0.2">
      <c r="A155" s="89"/>
      <c r="B155" s="111">
        <f t="shared" si="0"/>
        <v>2032</v>
      </c>
      <c r="C155" s="112">
        <f>[3]С2.5!$Q$11</f>
        <v>0</v>
      </c>
      <c r="D155" s="89"/>
    </row>
    <row r="156" spans="1:4" hidden="1" x14ac:dyDescent="0.2">
      <c r="A156" s="89"/>
      <c r="B156" s="111">
        <f t="shared" si="0"/>
        <v>2033</v>
      </c>
      <c r="C156" s="112">
        <f>[3]С2.5!$R$11</f>
        <v>0</v>
      </c>
      <c r="D156" s="89"/>
    </row>
    <row r="157" spans="1:4" hidden="1" x14ac:dyDescent="0.2">
      <c r="B157" s="111">
        <f t="shared" si="0"/>
        <v>2034</v>
      </c>
      <c r="C157" s="112">
        <f>[3]С2.5!$S$11</f>
        <v>0</v>
      </c>
    </row>
    <row r="158" spans="1:4" hidden="1" x14ac:dyDescent="0.2">
      <c r="B158" s="111">
        <f t="shared" si="0"/>
        <v>2035</v>
      </c>
      <c r="C158" s="112">
        <f>[3]С2.5!$T$11</f>
        <v>0</v>
      </c>
    </row>
    <row r="159" spans="1:4" hidden="1" x14ac:dyDescent="0.2">
      <c r="B159" s="111">
        <f t="shared" si="0"/>
        <v>2036</v>
      </c>
      <c r="C159" s="112">
        <f>[3]С2.5!$U$11</f>
        <v>0</v>
      </c>
    </row>
    <row r="160" spans="1:4" hidden="1" x14ac:dyDescent="0.2">
      <c r="B160" s="111">
        <f t="shared" si="0"/>
        <v>2037</v>
      </c>
      <c r="C160" s="112">
        <f>[3]С2.5!$V$11</f>
        <v>0</v>
      </c>
    </row>
    <row r="161" spans="2:3" hidden="1" x14ac:dyDescent="0.2">
      <c r="B161" s="111">
        <f t="shared" si="0"/>
        <v>2038</v>
      </c>
      <c r="C161" s="112">
        <f>[3]С2.5!$W$11</f>
        <v>0</v>
      </c>
    </row>
    <row r="162" spans="2:3" hidden="1" x14ac:dyDescent="0.2">
      <c r="B162" s="111">
        <f t="shared" si="0"/>
        <v>2039</v>
      </c>
      <c r="C162" s="112">
        <f>[3]С2.5!$X$11</f>
        <v>0</v>
      </c>
    </row>
    <row r="163" spans="2:3" hidden="1" x14ac:dyDescent="0.2">
      <c r="B163" s="111">
        <f t="shared" si="0"/>
        <v>2040</v>
      </c>
      <c r="C163" s="112">
        <f>[3]С2.5!$Y$11</f>
        <v>0</v>
      </c>
    </row>
    <row r="164" spans="2:3" hidden="1" x14ac:dyDescent="0.2">
      <c r="B164" s="111">
        <f t="shared" si="0"/>
        <v>2041</v>
      </c>
      <c r="C164" s="112">
        <f>[3]С2.5!$Z$11</f>
        <v>0</v>
      </c>
    </row>
    <row r="165" spans="2:3" hidden="1" x14ac:dyDescent="0.2">
      <c r="B165" s="111">
        <f t="shared" si="0"/>
        <v>2042</v>
      </c>
      <c r="C165" s="112">
        <f>[3]С2.5!$AA$11</f>
        <v>0</v>
      </c>
    </row>
    <row r="166" spans="2:3" hidden="1" x14ac:dyDescent="0.2">
      <c r="B166" s="111">
        <f t="shared" si="0"/>
        <v>2043</v>
      </c>
      <c r="C166" s="112">
        <f>[3]С2.5!$AB$11</f>
        <v>0</v>
      </c>
    </row>
    <row r="167" spans="2:3" hidden="1" x14ac:dyDescent="0.2">
      <c r="B167" s="111">
        <f t="shared" si="0"/>
        <v>2044</v>
      </c>
      <c r="C167" s="112">
        <f>[3]С2.5!$AC$11</f>
        <v>0</v>
      </c>
    </row>
    <row r="168" spans="2:3" hidden="1" x14ac:dyDescent="0.2">
      <c r="B168" s="111">
        <f t="shared" si="0"/>
        <v>2045</v>
      </c>
      <c r="C168" s="112">
        <f>[3]С2.5!$AD$11</f>
        <v>0</v>
      </c>
    </row>
    <row r="169" spans="2:3" hidden="1" x14ac:dyDescent="0.2">
      <c r="B169" s="111">
        <f t="shared" si="0"/>
        <v>2046</v>
      </c>
      <c r="C169" s="112">
        <f>[3]С2.5!$AE$11</f>
        <v>0</v>
      </c>
    </row>
    <row r="170" spans="2:3" hidden="1" x14ac:dyDescent="0.2">
      <c r="B170" s="111">
        <f t="shared" si="0"/>
        <v>2047</v>
      </c>
      <c r="C170" s="112">
        <f>[3]С2.5!$AF$11</f>
        <v>0</v>
      </c>
    </row>
    <row r="171" spans="2:3" hidden="1" x14ac:dyDescent="0.2">
      <c r="B171" s="111">
        <f t="shared" si="0"/>
        <v>2048</v>
      </c>
      <c r="C171" s="112">
        <f>[3]С2.5!$AG$11</f>
        <v>0</v>
      </c>
    </row>
    <row r="172" spans="2:3" hidden="1" x14ac:dyDescent="0.2">
      <c r="B172" s="111">
        <f t="shared" si="0"/>
        <v>2049</v>
      </c>
      <c r="C172" s="112">
        <f>[3]С2.5!$AH$11</f>
        <v>0</v>
      </c>
    </row>
    <row r="173" spans="2:3" hidden="1" x14ac:dyDescent="0.2">
      <c r="B173" s="111">
        <f t="shared" si="0"/>
        <v>2050</v>
      </c>
      <c r="C173" s="112">
        <f>[3]С2.5!$AI$11</f>
        <v>0</v>
      </c>
    </row>
    <row r="174" spans="2:3" hidden="1" x14ac:dyDescent="0.2">
      <c r="B174" s="111">
        <f t="shared" si="0"/>
        <v>2051</v>
      </c>
      <c r="C174" s="112">
        <f>[3]С2.5!$AJ$11</f>
        <v>0</v>
      </c>
    </row>
    <row r="175" spans="2:3" hidden="1" x14ac:dyDescent="0.2">
      <c r="B175" s="111">
        <f t="shared" si="0"/>
        <v>2052</v>
      </c>
      <c r="C175" s="112">
        <f>[3]С2.5!$AK$11</f>
        <v>0</v>
      </c>
    </row>
    <row r="176" spans="2:3" hidden="1" x14ac:dyDescent="0.2">
      <c r="B176" s="111">
        <f t="shared" si="0"/>
        <v>2053</v>
      </c>
      <c r="C176" s="112">
        <f>[3]С2.5!$AL$11</f>
        <v>0</v>
      </c>
    </row>
    <row r="177" spans="2:3" hidden="1" x14ac:dyDescent="0.2">
      <c r="B177" s="111">
        <f t="shared" si="0"/>
        <v>2054</v>
      </c>
      <c r="C177" s="112">
        <f>[3]С2.5!$AM$11</f>
        <v>0</v>
      </c>
    </row>
    <row r="178" spans="2:3" hidden="1" x14ac:dyDescent="0.2">
      <c r="B178" s="111">
        <f t="shared" si="0"/>
        <v>2055</v>
      </c>
      <c r="C178" s="112">
        <f>[3]С2.5!$AN$11</f>
        <v>0</v>
      </c>
    </row>
    <row r="179" spans="2:3" hidden="1" x14ac:dyDescent="0.2">
      <c r="B179" s="111">
        <f t="shared" si="0"/>
        <v>2056</v>
      </c>
      <c r="C179" s="112">
        <f>[3]С2.5!$AO$11</f>
        <v>0</v>
      </c>
    </row>
    <row r="180" spans="2:3" hidden="1" x14ac:dyDescent="0.2">
      <c r="B180" s="111">
        <f t="shared" si="0"/>
        <v>2057</v>
      </c>
      <c r="C180" s="112">
        <f>[3]С2.5!$AP$11</f>
        <v>0</v>
      </c>
    </row>
    <row r="181" spans="2:3" hidden="1" x14ac:dyDescent="0.2">
      <c r="B181" s="111">
        <f t="shared" si="0"/>
        <v>2058</v>
      </c>
      <c r="C181" s="112">
        <f>[3]С2.5!$AQ$11</f>
        <v>0</v>
      </c>
    </row>
    <row r="182" spans="2:3" hidden="1" x14ac:dyDescent="0.2">
      <c r="B182" s="111">
        <f t="shared" si="0"/>
        <v>2059</v>
      </c>
      <c r="C182" s="112">
        <f>[3]С2.5!$AR$11</f>
        <v>0</v>
      </c>
    </row>
    <row r="183" spans="2:3" hidden="1" x14ac:dyDescent="0.2">
      <c r="B183" s="111">
        <f t="shared" si="0"/>
        <v>2060</v>
      </c>
      <c r="C183" s="112">
        <f>[3]С2.5!$AS$11</f>
        <v>0</v>
      </c>
    </row>
    <row r="184" spans="2:3" hidden="1" x14ac:dyDescent="0.2">
      <c r="B184" s="111">
        <f t="shared" si="0"/>
        <v>2061</v>
      </c>
      <c r="C184" s="112">
        <f>[3]С2.5!$AT$11</f>
        <v>0</v>
      </c>
    </row>
    <row r="185" spans="2:3" hidden="1" x14ac:dyDescent="0.2">
      <c r="B185" s="111">
        <f t="shared" si="0"/>
        <v>2062</v>
      </c>
      <c r="C185" s="112">
        <f>[3]С2.5!$AU$11</f>
        <v>0</v>
      </c>
    </row>
    <row r="186" spans="2:3" hidden="1" x14ac:dyDescent="0.2">
      <c r="B186" s="111">
        <f t="shared" si="0"/>
        <v>2063</v>
      </c>
      <c r="C186" s="112">
        <f>[3]С2.5!$AV$11</f>
        <v>0</v>
      </c>
    </row>
    <row r="187" spans="2:3" hidden="1" x14ac:dyDescent="0.2">
      <c r="B187" s="111">
        <f t="shared" si="0"/>
        <v>2064</v>
      </c>
      <c r="C187" s="112">
        <f>[3]С2.5!$AW$11</f>
        <v>0</v>
      </c>
    </row>
    <row r="188" spans="2:3" hidden="1" x14ac:dyDescent="0.2">
      <c r="B188" s="111">
        <f t="shared" si="0"/>
        <v>2065</v>
      </c>
      <c r="C188" s="112">
        <f>[3]С2.5!$AX$11</f>
        <v>0</v>
      </c>
    </row>
    <row r="189" spans="2:3" hidden="1" x14ac:dyDescent="0.2">
      <c r="B189" s="111">
        <f t="shared" si="0"/>
        <v>2066</v>
      </c>
      <c r="C189" s="112">
        <f>[3]С2.5!$AY$11</f>
        <v>0</v>
      </c>
    </row>
    <row r="190" spans="2:3" hidden="1" x14ac:dyDescent="0.2">
      <c r="B190" s="111">
        <f t="shared" si="0"/>
        <v>2067</v>
      </c>
      <c r="C190" s="112">
        <f>[3]С2.5!$AZ$11</f>
        <v>0</v>
      </c>
    </row>
    <row r="191" spans="2:3" hidden="1" x14ac:dyDescent="0.2">
      <c r="B191" s="111">
        <f t="shared" si="0"/>
        <v>2068</v>
      </c>
      <c r="C191" s="112">
        <f>[3]С2.5!$BA$11</f>
        <v>0</v>
      </c>
    </row>
    <row r="192" spans="2:3" hidden="1" x14ac:dyDescent="0.2">
      <c r="B192" s="111">
        <f t="shared" si="0"/>
        <v>2069</v>
      </c>
      <c r="C192" s="112">
        <f>[3]С2.5!$BB$11</f>
        <v>0</v>
      </c>
    </row>
    <row r="193" spans="2:3" hidden="1" x14ac:dyDescent="0.2">
      <c r="B193" s="111">
        <f t="shared" si="0"/>
        <v>2070</v>
      </c>
      <c r="C193" s="112">
        <f>[3]С2.5!$BC$11</f>
        <v>0</v>
      </c>
    </row>
    <row r="194" spans="2:3" hidden="1" x14ac:dyDescent="0.2">
      <c r="B194" s="111">
        <f t="shared" si="0"/>
        <v>2071</v>
      </c>
      <c r="C194" s="112">
        <f>[3]С2.5!$BD$11</f>
        <v>0</v>
      </c>
    </row>
    <row r="195" spans="2:3" hidden="1" x14ac:dyDescent="0.2">
      <c r="B195" s="111">
        <f t="shared" si="0"/>
        <v>2072</v>
      </c>
      <c r="C195" s="112">
        <f>[3]С2.5!$BE$11</f>
        <v>0</v>
      </c>
    </row>
    <row r="196" spans="2:3" hidden="1" x14ac:dyDescent="0.2">
      <c r="B196" s="111">
        <f t="shared" si="0"/>
        <v>2073</v>
      </c>
      <c r="C196" s="112">
        <f>[3]С2.5!$BF$11</f>
        <v>0</v>
      </c>
    </row>
    <row r="197" spans="2:3" hidden="1" x14ac:dyDescent="0.2">
      <c r="B197" s="111">
        <f t="shared" si="0"/>
        <v>2074</v>
      </c>
      <c r="C197" s="112">
        <f>[3]С2.5!$BG$11</f>
        <v>0</v>
      </c>
    </row>
    <row r="198" spans="2:3" hidden="1" x14ac:dyDescent="0.2">
      <c r="B198" s="111">
        <f t="shared" si="0"/>
        <v>2075</v>
      </c>
      <c r="C198" s="112">
        <f>[3]С2.5!$BH$11</f>
        <v>0</v>
      </c>
    </row>
    <row r="199" spans="2:3" hidden="1" x14ac:dyDescent="0.2">
      <c r="B199" s="111">
        <f t="shared" si="0"/>
        <v>2076</v>
      </c>
      <c r="C199" s="112">
        <f>[3]С2.5!$BI$11</f>
        <v>0</v>
      </c>
    </row>
    <row r="200" spans="2:3" hidden="1" x14ac:dyDescent="0.2">
      <c r="B200" s="111">
        <f t="shared" si="0"/>
        <v>2077</v>
      </c>
      <c r="C200" s="112">
        <f>[3]С2.5!$BJ$11</f>
        <v>0</v>
      </c>
    </row>
    <row r="201" spans="2:3" hidden="1" x14ac:dyDescent="0.2">
      <c r="B201" s="111">
        <f t="shared" si="0"/>
        <v>2078</v>
      </c>
      <c r="C201" s="112">
        <f>[3]С2.5!$BK$11</f>
        <v>0</v>
      </c>
    </row>
    <row r="202" spans="2:3" hidden="1" x14ac:dyDescent="0.2">
      <c r="B202" s="111">
        <f t="shared" si="0"/>
        <v>2079</v>
      </c>
      <c r="C202" s="112">
        <f>[3]С2.5!$BL$11</f>
        <v>0</v>
      </c>
    </row>
    <row r="203" spans="2:3" hidden="1" x14ac:dyDescent="0.2">
      <c r="B203" s="111">
        <f t="shared" si="0"/>
        <v>2080</v>
      </c>
      <c r="C203" s="112">
        <f>[3]С2.5!$BM$11</f>
        <v>0</v>
      </c>
    </row>
    <row r="204" spans="2:3" hidden="1" x14ac:dyDescent="0.2">
      <c r="B204" s="111">
        <f t="shared" si="0"/>
        <v>2081</v>
      </c>
      <c r="C204" s="112">
        <f>[3]С2.5!$BN$11</f>
        <v>0</v>
      </c>
    </row>
    <row r="205" spans="2:3" hidden="1" x14ac:dyDescent="0.2">
      <c r="B205" s="111">
        <f t="shared" si="0"/>
        <v>2082</v>
      </c>
      <c r="C205" s="112">
        <f>[3]С2.5!$BO$11</f>
        <v>0</v>
      </c>
    </row>
    <row r="206" spans="2:3" hidden="1" x14ac:dyDescent="0.2">
      <c r="B206" s="111">
        <f t="shared" si="0"/>
        <v>2083</v>
      </c>
      <c r="C206" s="112">
        <f>[3]С2.5!$BP$11</f>
        <v>0</v>
      </c>
    </row>
    <row r="207" spans="2:3" hidden="1" x14ac:dyDescent="0.2">
      <c r="B207" s="111">
        <f t="shared" si="0"/>
        <v>2084</v>
      </c>
      <c r="C207" s="112">
        <f>[3]С2.5!$BQ$11</f>
        <v>0</v>
      </c>
    </row>
    <row r="208" spans="2:3" hidden="1" x14ac:dyDescent="0.2">
      <c r="B208" s="111">
        <f t="shared" si="0"/>
        <v>2085</v>
      </c>
      <c r="C208" s="112">
        <f>[3]С2.5!$BR$11</f>
        <v>0</v>
      </c>
    </row>
    <row r="209" spans="2:3" hidden="1" x14ac:dyDescent="0.2">
      <c r="B209" s="111">
        <f t="shared" ref="B209:B223" si="1">B208+1</f>
        <v>2086</v>
      </c>
      <c r="C209" s="112">
        <f>[3]С2.5!$BS$11</f>
        <v>0</v>
      </c>
    </row>
    <row r="210" spans="2:3" hidden="1" x14ac:dyDescent="0.2">
      <c r="B210" s="111">
        <f t="shared" si="1"/>
        <v>2087</v>
      </c>
      <c r="C210" s="112">
        <f>[3]С2.5!$BT$11</f>
        <v>0</v>
      </c>
    </row>
    <row r="211" spans="2:3" hidden="1" x14ac:dyDescent="0.2">
      <c r="B211" s="111">
        <f t="shared" si="1"/>
        <v>2088</v>
      </c>
      <c r="C211" s="112">
        <f>[3]С2.5!$BU$11</f>
        <v>0</v>
      </c>
    </row>
    <row r="212" spans="2:3" hidden="1" x14ac:dyDescent="0.2">
      <c r="B212" s="111">
        <f t="shared" si="1"/>
        <v>2089</v>
      </c>
      <c r="C212" s="112">
        <f>[3]С2.5!$BV$11</f>
        <v>0</v>
      </c>
    </row>
    <row r="213" spans="2:3" hidden="1" x14ac:dyDescent="0.2">
      <c r="B213" s="111">
        <f t="shared" si="1"/>
        <v>2090</v>
      </c>
      <c r="C213" s="112">
        <f>[3]С2.5!$BW$11</f>
        <v>0</v>
      </c>
    </row>
    <row r="214" spans="2:3" hidden="1" x14ac:dyDescent="0.2">
      <c r="B214" s="111">
        <f t="shared" si="1"/>
        <v>2091</v>
      </c>
      <c r="C214" s="112">
        <f>[3]С2.5!$BX$11</f>
        <v>0</v>
      </c>
    </row>
    <row r="215" spans="2:3" hidden="1" x14ac:dyDescent="0.2">
      <c r="B215" s="111">
        <f t="shared" si="1"/>
        <v>2092</v>
      </c>
      <c r="C215" s="112">
        <f>[3]С2.5!$BY$11</f>
        <v>0</v>
      </c>
    </row>
    <row r="216" spans="2:3" hidden="1" x14ac:dyDescent="0.2">
      <c r="B216" s="111">
        <f t="shared" si="1"/>
        <v>2093</v>
      </c>
      <c r="C216" s="112">
        <f>[3]С2.5!$BZ$11</f>
        <v>0</v>
      </c>
    </row>
    <row r="217" spans="2:3" hidden="1" x14ac:dyDescent="0.2">
      <c r="B217" s="111">
        <f t="shared" si="1"/>
        <v>2094</v>
      </c>
      <c r="C217" s="112">
        <f>[3]С2.5!$CA$11</f>
        <v>0</v>
      </c>
    </row>
    <row r="218" spans="2:3" hidden="1" x14ac:dyDescent="0.2">
      <c r="B218" s="111">
        <f t="shared" si="1"/>
        <v>2095</v>
      </c>
      <c r="C218" s="112">
        <f>[3]С2.5!$CB$11</f>
        <v>0</v>
      </c>
    </row>
    <row r="219" spans="2:3" hidden="1" x14ac:dyDescent="0.2">
      <c r="B219" s="111">
        <f t="shared" si="1"/>
        <v>2096</v>
      </c>
      <c r="C219" s="112">
        <f>[3]С2.5!$CC$11</f>
        <v>0</v>
      </c>
    </row>
    <row r="220" spans="2:3" hidden="1" x14ac:dyDescent="0.2">
      <c r="B220" s="111">
        <f t="shared" si="1"/>
        <v>2097</v>
      </c>
      <c r="C220" s="112">
        <f>[3]С2.5!$CD$11</f>
        <v>0</v>
      </c>
    </row>
    <row r="221" spans="2:3" hidden="1" x14ac:dyDescent="0.2">
      <c r="B221" s="111">
        <f t="shared" si="1"/>
        <v>2098</v>
      </c>
      <c r="C221" s="112">
        <f>[3]С2.5!$CE$11</f>
        <v>0</v>
      </c>
    </row>
    <row r="222" spans="2:3" hidden="1" x14ac:dyDescent="0.2">
      <c r="B222" s="111">
        <f t="shared" si="1"/>
        <v>2099</v>
      </c>
      <c r="C222" s="112">
        <f>[3]С2.5!$CF$11</f>
        <v>0</v>
      </c>
    </row>
    <row r="223" spans="2:3" ht="13.5" hidden="1" thickBot="1" x14ac:dyDescent="0.25">
      <c r="B223" s="113">
        <f t="shared" si="1"/>
        <v>2100</v>
      </c>
      <c r="C223" s="114">
        <f>[3]С2.5!$CG$11</f>
        <v>0</v>
      </c>
    </row>
    <row r="224" spans="2:3" hidden="1" x14ac:dyDescent="0.2">
      <c r="C224" s="117"/>
    </row>
    <row r="225" spans="3:3" hidden="1" x14ac:dyDescent="0.2">
      <c r="C225" s="117"/>
    </row>
    <row r="226" spans="3:3" x14ac:dyDescent="0.2">
      <c r="C226" s="117"/>
    </row>
  </sheetData>
  <mergeCells count="9">
    <mergeCell ref="B141:C141"/>
    <mergeCell ref="A14:C14"/>
    <mergeCell ref="B1:C1"/>
    <mergeCell ref="B27:C27"/>
    <mergeCell ref="B40:C40"/>
    <mergeCell ref="B84:C84"/>
    <mergeCell ref="B95:C95"/>
    <mergeCell ref="B124:C124"/>
    <mergeCell ref="B127:C127"/>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9" r:id="rId3" name="Button 1">
              <controlPr defaultSize="0" print="0" autoFill="0" autoPict="0" macro="[4]!Лист29.PrintBlock">
                <anchor moveWithCells="1" sizeWithCells="1">
                  <from>
                    <xdr:col>3</xdr:col>
                    <xdr:colOff>0</xdr:colOff>
                    <xdr:row>0</xdr:row>
                    <xdr:rowOff>85725</xdr:rowOff>
                  </from>
                  <to>
                    <xdr:col>4</xdr:col>
                    <xdr:colOff>0</xdr:colOff>
                    <xdr:row>0</xdr:row>
                    <xdr:rowOff>238125</xdr:rowOff>
                  </to>
                </anchor>
              </controlPr>
            </control>
          </mc:Choice>
        </mc:AlternateContent>
        <mc:AlternateContent xmlns:mc="http://schemas.openxmlformats.org/markup-compatibility/2006">
          <mc:Choice Requires="x14">
            <control shapeId="2050" r:id="rId4" name="Button 2">
              <controlPr defaultSize="0" print="0" autoFill="0" autoPict="0" macro="[3]!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C2" sqref="C2"/>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20" t="s">
        <v>0</v>
      </c>
      <c r="C1" s="120"/>
    </row>
    <row r="2" spans="1:3" x14ac:dyDescent="0.2">
      <c r="A2" s="3"/>
      <c r="B2" s="4" t="s">
        <v>1</v>
      </c>
      <c r="C2" s="5">
        <v>45317</v>
      </c>
    </row>
    <row r="3" spans="1:3" x14ac:dyDescent="0.2">
      <c r="A3" s="3"/>
      <c r="B3" s="6" t="s">
        <v>2</v>
      </c>
    </row>
    <row r="4" spans="1:3" ht="25.5" x14ac:dyDescent="0.2">
      <c r="A4" s="8"/>
      <c r="B4" s="9" t="str">
        <f>[5]И1!D13</f>
        <v>Субъект Российской Федерации</v>
      </c>
      <c r="C4" s="10" t="str">
        <f>[5]И1!E13</f>
        <v>Новосибирская область</v>
      </c>
    </row>
    <row r="5" spans="1:3" ht="46.9" customHeight="1" x14ac:dyDescent="0.2">
      <c r="A5" s="8"/>
      <c r="B5" s="9" t="str">
        <f>[5]И1!D14</f>
        <v>Тип муниципального образования (выберите из списка)</v>
      </c>
      <c r="C5" s="10" t="str">
        <f>[5]И1!E14</f>
        <v xml:space="preserve">село Бобровка, Сузунский муниципальный район </v>
      </c>
    </row>
    <row r="6" spans="1:3" x14ac:dyDescent="0.2">
      <c r="A6" s="8"/>
      <c r="B6" s="9" t="str">
        <f>IF([5]И1!E15="","",[5]И1!D15)</f>
        <v/>
      </c>
      <c r="C6" s="10" t="str">
        <f>IF([5]И1!E15="","",[5]И1!E15)</f>
        <v/>
      </c>
    </row>
    <row r="7" spans="1:3" x14ac:dyDescent="0.2">
      <c r="A7" s="8"/>
      <c r="B7" s="9" t="str">
        <f>[5]И1!D16</f>
        <v>Код ОКТМО</v>
      </c>
      <c r="C7" s="11" t="str">
        <f>[5]И1!E16</f>
        <v>(50648404101)</v>
      </c>
    </row>
    <row r="8" spans="1:3" x14ac:dyDescent="0.2">
      <c r="A8" s="8"/>
      <c r="B8" s="12" t="str">
        <f>[5]И1!D17</f>
        <v>Система теплоснабжения</v>
      </c>
      <c r="C8" s="13">
        <f>[5]И1!E17</f>
        <v>0</v>
      </c>
    </row>
    <row r="9" spans="1:3" x14ac:dyDescent="0.2">
      <c r="A9" s="8"/>
      <c r="B9" s="9" t="str">
        <f>[5]И1!D8</f>
        <v>Период регулирования (i)-й</v>
      </c>
      <c r="C9" s="14">
        <f>[5]И1!E8</f>
        <v>2024</v>
      </c>
    </row>
    <row r="10" spans="1:3" x14ac:dyDescent="0.2">
      <c r="A10" s="8"/>
      <c r="B10" s="9" t="str">
        <f>[5]И1!D9</f>
        <v>Период регулирования (i-1)-й</v>
      </c>
      <c r="C10" s="14">
        <f>[5]И1!E9</f>
        <v>2023</v>
      </c>
    </row>
    <row r="11" spans="1:3" x14ac:dyDescent="0.2">
      <c r="A11" s="8"/>
      <c r="B11" s="9" t="str">
        <f>[5]И1!D10</f>
        <v>Период регулирования (i-2)-й</v>
      </c>
      <c r="C11" s="14">
        <f>[5]И1!E10</f>
        <v>2022</v>
      </c>
    </row>
    <row r="12" spans="1:3" x14ac:dyDescent="0.2">
      <c r="A12" s="8"/>
      <c r="B12" s="9" t="str">
        <f>[5]И1!D11</f>
        <v>Базовый год (б)</v>
      </c>
      <c r="C12" s="14">
        <f>[5]И1!E11</f>
        <v>2019</v>
      </c>
    </row>
    <row r="13" spans="1:3" ht="38.25" x14ac:dyDescent="0.2">
      <c r="A13" s="8"/>
      <c r="B13" s="9" t="str">
        <f>[5]И1!D18</f>
        <v>Вид топлива, использование которого преобладает в системе теплоснабжения</v>
      </c>
      <c r="C13" s="15" t="str">
        <f>[5]С1.1!E13</f>
        <v>уголь (вид угля не указан в топливном балансе)</v>
      </c>
    </row>
    <row r="14" spans="1:3" ht="31.7" customHeight="1" thickBot="1" x14ac:dyDescent="0.25">
      <c r="A14" s="119" t="s">
        <v>3</v>
      </c>
      <c r="B14" s="119"/>
      <c r="C14" s="119"/>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3541.4400471354556</v>
      </c>
    </row>
    <row r="18" spans="1:3" ht="42.75" x14ac:dyDescent="0.2">
      <c r="A18" s="22" t="s">
        <v>8</v>
      </c>
      <c r="B18" s="25" t="s">
        <v>9</v>
      </c>
      <c r="C18" s="26">
        <f>[5]С1!F12</f>
        <v>575.27450817357442</v>
      </c>
    </row>
    <row r="19" spans="1:3" ht="42.75" x14ac:dyDescent="0.2">
      <c r="A19" s="22" t="s">
        <v>10</v>
      </c>
      <c r="B19" s="25" t="s">
        <v>11</v>
      </c>
      <c r="C19" s="26">
        <f>[5]С2!F12</f>
        <v>1990.8616285605142</v>
      </c>
    </row>
    <row r="20" spans="1:3" ht="30" x14ac:dyDescent="0.2">
      <c r="A20" s="22" t="s">
        <v>12</v>
      </c>
      <c r="B20" s="25" t="s">
        <v>13</v>
      </c>
      <c r="C20" s="26">
        <f>[5]С3!F12</f>
        <v>473.18998182045129</v>
      </c>
    </row>
    <row r="21" spans="1:3" ht="42.75" x14ac:dyDescent="0.2">
      <c r="A21" s="22" t="s">
        <v>14</v>
      </c>
      <c r="B21" s="25" t="s">
        <v>15</v>
      </c>
      <c r="C21" s="26">
        <f>[5]С4!F12</f>
        <v>432.67392765669149</v>
      </c>
    </row>
    <row r="22" spans="1:3" ht="30" x14ac:dyDescent="0.2">
      <c r="A22" s="22" t="s">
        <v>16</v>
      </c>
      <c r="B22" s="25" t="s">
        <v>17</v>
      </c>
      <c r="C22" s="26">
        <f>[5]С5!F12</f>
        <v>69.44000092422462</v>
      </c>
    </row>
    <row r="23" spans="1:3" ht="43.5" thickBot="1" x14ac:dyDescent="0.25">
      <c r="A23" s="27" t="s">
        <v>18</v>
      </c>
      <c r="B23" s="105" t="s">
        <v>19</v>
      </c>
      <c r="C23" s="28" t="str">
        <f>[5]С6!F12</f>
        <v>-</v>
      </c>
    </row>
    <row r="24" spans="1:3" ht="13.5" thickBot="1" x14ac:dyDescent="0.25">
      <c r="A24" s="3"/>
    </row>
    <row r="25" spans="1:3" x14ac:dyDescent="0.2">
      <c r="A25" s="16" t="s">
        <v>4</v>
      </c>
      <c r="B25" s="29" t="s">
        <v>5</v>
      </c>
      <c r="C25" s="30" t="s">
        <v>6</v>
      </c>
    </row>
    <row r="26" spans="1:3" x14ac:dyDescent="0.2">
      <c r="A26" s="19">
        <v>1</v>
      </c>
      <c r="B26" s="31">
        <v>2</v>
      </c>
      <c r="C26" s="32">
        <v>3</v>
      </c>
    </row>
    <row r="27" spans="1:3" ht="30" customHeight="1" x14ac:dyDescent="0.2">
      <c r="A27" s="22">
        <v>1</v>
      </c>
      <c r="B27" s="121" t="s">
        <v>20</v>
      </c>
      <c r="C27" s="121"/>
    </row>
    <row r="28" spans="1:3" x14ac:dyDescent="0.2">
      <c r="A28" s="22" t="s">
        <v>8</v>
      </c>
      <c r="B28" s="33" t="s">
        <v>21</v>
      </c>
      <c r="C28" s="34">
        <f>[5]С1.1!E16</f>
        <v>5100</v>
      </c>
    </row>
    <row r="29" spans="1:3" ht="42.75" x14ac:dyDescent="0.2">
      <c r="A29" s="22" t="s">
        <v>10</v>
      </c>
      <c r="B29" s="33" t="s">
        <v>22</v>
      </c>
      <c r="C29" s="34">
        <f>[5]С1.1!E27</f>
        <v>2584.7333333333331</v>
      </c>
    </row>
    <row r="30" spans="1:3" ht="17.25" x14ac:dyDescent="0.2">
      <c r="A30" s="22" t="s">
        <v>12</v>
      </c>
      <c r="B30" s="33" t="s">
        <v>23</v>
      </c>
      <c r="C30" s="35">
        <f>[5]С1.1!E19</f>
        <v>-0.19900000000000001</v>
      </c>
    </row>
    <row r="31" spans="1:3" ht="17.25" x14ac:dyDescent="0.2">
      <c r="A31" s="22" t="s">
        <v>14</v>
      </c>
      <c r="B31" s="33" t="s">
        <v>24</v>
      </c>
      <c r="C31" s="35">
        <f>[5]С1.1!E20</f>
        <v>5.7000000000000002E-2</v>
      </c>
    </row>
    <row r="32" spans="1:3" ht="30" x14ac:dyDescent="0.2">
      <c r="A32" s="22" t="s">
        <v>16</v>
      </c>
      <c r="B32" s="36" t="s">
        <v>25</v>
      </c>
      <c r="C32" s="37">
        <f>[5]С1!F13</f>
        <v>176.4</v>
      </c>
    </row>
    <row r="33" spans="1:3" x14ac:dyDescent="0.2">
      <c r="A33" s="22" t="s">
        <v>18</v>
      </c>
      <c r="B33" s="36" t="s">
        <v>26</v>
      </c>
      <c r="C33" s="38">
        <f>[5]С1!F16</f>
        <v>7000</v>
      </c>
    </row>
    <row r="34" spans="1:3" ht="14.25" x14ac:dyDescent="0.2">
      <c r="A34" s="22" t="s">
        <v>27</v>
      </c>
      <c r="B34" s="39" t="s">
        <v>28</v>
      </c>
      <c r="C34" s="40">
        <f>[5]С1!F17</f>
        <v>0.72857142857142854</v>
      </c>
    </row>
    <row r="35" spans="1:3" ht="15.75" x14ac:dyDescent="0.2">
      <c r="A35" s="41" t="s">
        <v>29</v>
      </c>
      <c r="B35" s="42" t="s">
        <v>30</v>
      </c>
      <c r="C35" s="40">
        <f>[5]С1!F20</f>
        <v>21.588411179999994</v>
      </c>
    </row>
    <row r="36" spans="1:3" ht="15.75" x14ac:dyDescent="0.2">
      <c r="A36" s="41" t="s">
        <v>31</v>
      </c>
      <c r="B36" s="43" t="s">
        <v>32</v>
      </c>
      <c r="C36" s="40">
        <f>[5]С1!F21</f>
        <v>20.818139999999996</v>
      </c>
    </row>
    <row r="37" spans="1:3" ht="14.25" x14ac:dyDescent="0.2">
      <c r="A37" s="41" t="s">
        <v>33</v>
      </c>
      <c r="B37" s="44" t="s">
        <v>34</v>
      </c>
      <c r="C37" s="40">
        <f>[5]С1!F22</f>
        <v>1.0369999999999999</v>
      </c>
    </row>
    <row r="38" spans="1:3" ht="53.25" thickBot="1" x14ac:dyDescent="0.25">
      <c r="A38" s="27" t="s">
        <v>35</v>
      </c>
      <c r="B38" s="45" t="s">
        <v>36</v>
      </c>
      <c r="C38" s="46">
        <f>[5]С1!F23</f>
        <v>1.0469999999999999</v>
      </c>
    </row>
    <row r="39" spans="1:3" ht="13.5" thickBot="1" x14ac:dyDescent="0.25">
      <c r="A39" s="47"/>
      <c r="B39" s="48"/>
      <c r="C39" s="49"/>
    </row>
    <row r="40" spans="1:3" ht="30" customHeight="1" x14ac:dyDescent="0.2">
      <c r="A40" s="50" t="s">
        <v>37</v>
      </c>
      <c r="B40" s="122" t="s">
        <v>38</v>
      </c>
      <c r="C40" s="122"/>
    </row>
    <row r="41" spans="1:3" ht="25.5" x14ac:dyDescent="0.2">
      <c r="A41" s="22" t="s">
        <v>39</v>
      </c>
      <c r="B41" s="36" t="s">
        <v>40</v>
      </c>
      <c r="C41" s="51" t="str">
        <f>[5]С2.1!E12</f>
        <v>V</v>
      </c>
    </row>
    <row r="42" spans="1:3" ht="25.5" x14ac:dyDescent="0.2">
      <c r="A42" s="22" t="s">
        <v>41</v>
      </c>
      <c r="B42" s="33" t="s">
        <v>42</v>
      </c>
      <c r="C42" s="51" t="str">
        <f>[5]С2.1!E13</f>
        <v>6 и менее баллов</v>
      </c>
    </row>
    <row r="43" spans="1:3" ht="25.5" x14ac:dyDescent="0.2">
      <c r="A43" s="22" t="s">
        <v>43</v>
      </c>
      <c r="B43" s="33" t="s">
        <v>44</v>
      </c>
      <c r="C43" s="51" t="str">
        <f>[5]С2.1!E14</f>
        <v>от 200 до 500</v>
      </c>
    </row>
    <row r="44" spans="1:3" ht="25.5" x14ac:dyDescent="0.2">
      <c r="A44" s="22" t="s">
        <v>45</v>
      </c>
      <c r="B44" s="33" t="s">
        <v>46</v>
      </c>
      <c r="C44" s="52" t="str">
        <f>[5]С2.1!E15</f>
        <v>нет</v>
      </c>
    </row>
    <row r="45" spans="1:3" ht="30" x14ac:dyDescent="0.2">
      <c r="A45" s="22" t="s">
        <v>47</v>
      </c>
      <c r="B45" s="33" t="s">
        <v>48</v>
      </c>
      <c r="C45" s="34">
        <f>[5]С2!F18</f>
        <v>35106.652004551666</v>
      </c>
    </row>
    <row r="46" spans="1:3" ht="30" x14ac:dyDescent="0.2">
      <c r="A46" s="22" t="s">
        <v>49</v>
      </c>
      <c r="B46" s="53" t="s">
        <v>50</v>
      </c>
      <c r="C46" s="34">
        <f>IF([5]С2!F19&gt;0,[5]С2!F19,[5]С2!F20)</f>
        <v>23441.524932855718</v>
      </c>
    </row>
    <row r="47" spans="1:3" ht="25.5" x14ac:dyDescent="0.2">
      <c r="A47" s="22" t="s">
        <v>51</v>
      </c>
      <c r="B47" s="54" t="s">
        <v>52</v>
      </c>
      <c r="C47" s="34">
        <f>[5]С2.1!E19</f>
        <v>-38</v>
      </c>
    </row>
    <row r="48" spans="1:3" ht="25.5" x14ac:dyDescent="0.2">
      <c r="A48" s="22" t="s">
        <v>53</v>
      </c>
      <c r="B48" s="54" t="s">
        <v>54</v>
      </c>
      <c r="C48" s="34" t="str">
        <f>[5]С2.1!E22</f>
        <v>нет</v>
      </c>
    </row>
    <row r="49" spans="1:3" ht="38.25" x14ac:dyDescent="0.2">
      <c r="A49" s="22" t="s">
        <v>55</v>
      </c>
      <c r="B49" s="55" t="s">
        <v>56</v>
      </c>
      <c r="C49" s="34">
        <f>[5]С2.2!E10</f>
        <v>1287</v>
      </c>
    </row>
    <row r="50" spans="1:3" ht="25.5" x14ac:dyDescent="0.2">
      <c r="A50" s="22" t="s">
        <v>57</v>
      </c>
      <c r="B50" s="56" t="s">
        <v>58</v>
      </c>
      <c r="C50" s="34">
        <f>[5]С2.2!E12</f>
        <v>5.97</v>
      </c>
    </row>
    <row r="51" spans="1:3" ht="52.5" x14ac:dyDescent="0.2">
      <c r="A51" s="22" t="s">
        <v>59</v>
      </c>
      <c r="B51" s="57" t="s">
        <v>60</v>
      </c>
      <c r="C51" s="34">
        <f>[5]С2.2!E13</f>
        <v>1</v>
      </c>
    </row>
    <row r="52" spans="1:3" ht="27.75" x14ac:dyDescent="0.2">
      <c r="A52" s="22" t="s">
        <v>61</v>
      </c>
      <c r="B52" s="56" t="s">
        <v>62</v>
      </c>
      <c r="C52" s="34">
        <f>[5]С2.2!E14</f>
        <v>12104</v>
      </c>
    </row>
    <row r="53" spans="1:3" ht="25.5" x14ac:dyDescent="0.2">
      <c r="A53" s="22" t="s">
        <v>63</v>
      </c>
      <c r="B53" s="57" t="s">
        <v>64</v>
      </c>
      <c r="C53" s="35">
        <f>[5]С2.2!E15</f>
        <v>4.8000000000000001E-2</v>
      </c>
    </row>
    <row r="54" spans="1:3" x14ac:dyDescent="0.2">
      <c r="A54" s="22" t="s">
        <v>65</v>
      </c>
      <c r="B54" s="57" t="s">
        <v>66</v>
      </c>
      <c r="C54" s="34">
        <f>[5]С2.2!E16</f>
        <v>1</v>
      </c>
    </row>
    <row r="55" spans="1:3" ht="15.75" x14ac:dyDescent="0.2">
      <c r="A55" s="22" t="s">
        <v>67</v>
      </c>
      <c r="B55" s="58" t="s">
        <v>68</v>
      </c>
      <c r="C55" s="34">
        <f>[5]С2!F21</f>
        <v>1</v>
      </c>
    </row>
    <row r="56" spans="1:3" ht="30" x14ac:dyDescent="0.2">
      <c r="A56" s="59" t="s">
        <v>69</v>
      </c>
      <c r="B56" s="33" t="s">
        <v>70</v>
      </c>
      <c r="C56" s="34">
        <f>[5]С2!F13</f>
        <v>183796.83936385796</v>
      </c>
    </row>
    <row r="57" spans="1:3" ht="30" x14ac:dyDescent="0.2">
      <c r="A57" s="59" t="s">
        <v>71</v>
      </c>
      <c r="B57" s="58" t="s">
        <v>72</v>
      </c>
      <c r="C57" s="34">
        <f>[5]С2!F14</f>
        <v>113455</v>
      </c>
    </row>
    <row r="58" spans="1:3" ht="15.75" x14ac:dyDescent="0.2">
      <c r="A58" s="59" t="s">
        <v>73</v>
      </c>
      <c r="B58" s="60" t="s">
        <v>74</v>
      </c>
      <c r="C58" s="40">
        <f>[5]С2!F15</f>
        <v>1.071</v>
      </c>
    </row>
    <row r="59" spans="1:3" ht="15.75" x14ac:dyDescent="0.2">
      <c r="A59" s="59" t="s">
        <v>75</v>
      </c>
      <c r="B59" s="60" t="s">
        <v>76</v>
      </c>
      <c r="C59" s="40">
        <f>[5]С2!F16</f>
        <v>1</v>
      </c>
    </row>
    <row r="60" spans="1:3" ht="17.25" x14ac:dyDescent="0.2">
      <c r="A60" s="59" t="s">
        <v>77</v>
      </c>
      <c r="B60" s="58" t="s">
        <v>78</v>
      </c>
      <c r="C60" s="34">
        <f>[5]С2!F17</f>
        <v>1.01</v>
      </c>
    </row>
    <row r="61" spans="1:3" s="63" customFormat="1" ht="14.25" x14ac:dyDescent="0.2">
      <c r="A61" s="59" t="s">
        <v>79</v>
      </c>
      <c r="B61" s="61" t="s">
        <v>80</v>
      </c>
      <c r="C61" s="62">
        <f>[5]С2!F33</f>
        <v>10</v>
      </c>
    </row>
    <row r="62" spans="1:3" ht="30" x14ac:dyDescent="0.2">
      <c r="A62" s="59" t="s">
        <v>81</v>
      </c>
      <c r="B62" s="64" t="s">
        <v>82</v>
      </c>
      <c r="C62" s="34">
        <f>[5]С2!F26</f>
        <v>1543.3634896839897</v>
      </c>
    </row>
    <row r="63" spans="1:3" ht="17.25" x14ac:dyDescent="0.2">
      <c r="A63" s="59" t="s">
        <v>83</v>
      </c>
      <c r="B63" s="53" t="s">
        <v>84</v>
      </c>
      <c r="C63" s="34">
        <f>[5]С2!F27</f>
        <v>0.24536656199999998</v>
      </c>
    </row>
    <row r="64" spans="1:3" ht="17.25" x14ac:dyDescent="0.2">
      <c r="A64" s="59" t="s">
        <v>85</v>
      </c>
      <c r="B64" s="58" t="s">
        <v>86</v>
      </c>
      <c r="C64" s="62">
        <f>[5]С2!F28</f>
        <v>4200</v>
      </c>
    </row>
    <row r="65" spans="1:3" ht="42.75" x14ac:dyDescent="0.2">
      <c r="A65" s="59" t="s">
        <v>87</v>
      </c>
      <c r="B65" s="33" t="s">
        <v>88</v>
      </c>
      <c r="C65" s="34">
        <f>[5]С2!F22</f>
        <v>38698.422798410109</v>
      </c>
    </row>
    <row r="66" spans="1:3" ht="30" x14ac:dyDescent="0.2">
      <c r="A66" s="59" t="s">
        <v>89</v>
      </c>
      <c r="B66" s="60" t="s">
        <v>90</v>
      </c>
      <c r="C66" s="34">
        <f>[5]С2!F23</f>
        <v>1990</v>
      </c>
    </row>
    <row r="67" spans="1:3" ht="30" x14ac:dyDescent="0.2">
      <c r="A67" s="59" t="s">
        <v>91</v>
      </c>
      <c r="B67" s="53" t="s">
        <v>92</v>
      </c>
      <c r="C67" s="34">
        <f>[5]С2.1!E27</f>
        <v>14307.876789999998</v>
      </c>
    </row>
    <row r="68" spans="1:3" ht="38.25" x14ac:dyDescent="0.2">
      <c r="A68" s="59" t="s">
        <v>93</v>
      </c>
      <c r="B68" s="65" t="s">
        <v>94</v>
      </c>
      <c r="C68" s="52">
        <f>[5]С2.3!E21</f>
        <v>0</v>
      </c>
    </row>
    <row r="69" spans="1:3" ht="25.5" x14ac:dyDescent="0.2">
      <c r="A69" s="59" t="s">
        <v>95</v>
      </c>
      <c r="B69" s="66" t="s">
        <v>96</v>
      </c>
      <c r="C69" s="67">
        <f>[5]С2.3!E11</f>
        <v>9.89</v>
      </c>
    </row>
    <row r="70" spans="1:3" ht="25.5" x14ac:dyDescent="0.2">
      <c r="A70" s="59" t="s">
        <v>97</v>
      </c>
      <c r="B70" s="66" t="s">
        <v>98</v>
      </c>
      <c r="C70" s="62">
        <f>[5]С2.3!E13</f>
        <v>300</v>
      </c>
    </row>
    <row r="71" spans="1:3" ht="25.5" x14ac:dyDescent="0.2">
      <c r="A71" s="59" t="s">
        <v>99</v>
      </c>
      <c r="B71" s="65" t="s">
        <v>100</v>
      </c>
      <c r="C71" s="68">
        <f>IF([5]С2.3!E22&gt;0,[5]С2.3!E22,[5]С2.3!E14)</f>
        <v>61211</v>
      </c>
    </row>
    <row r="72" spans="1:3" ht="38.25" x14ac:dyDescent="0.2">
      <c r="A72" s="59" t="s">
        <v>101</v>
      </c>
      <c r="B72" s="65" t="s">
        <v>102</v>
      </c>
      <c r="C72" s="68">
        <f>IF([5]С2.3!E23&gt;0,[5]С2.3!E23,[5]С2.3!E15)</f>
        <v>45675</v>
      </c>
    </row>
    <row r="73" spans="1:3" ht="30" x14ac:dyDescent="0.2">
      <c r="A73" s="59" t="s">
        <v>103</v>
      </c>
      <c r="B73" s="53" t="s">
        <v>104</v>
      </c>
      <c r="C73" s="34">
        <f>[5]С2.1!E28</f>
        <v>9541.9567200000001</v>
      </c>
    </row>
    <row r="74" spans="1:3" ht="38.25" x14ac:dyDescent="0.2">
      <c r="A74" s="59" t="s">
        <v>105</v>
      </c>
      <c r="B74" s="65" t="s">
        <v>106</v>
      </c>
      <c r="C74" s="52">
        <f>[5]С2.3!E25</f>
        <v>0</v>
      </c>
    </row>
    <row r="75" spans="1:3" ht="25.5" x14ac:dyDescent="0.2">
      <c r="A75" s="59" t="s">
        <v>107</v>
      </c>
      <c r="B75" s="66" t="s">
        <v>108</v>
      </c>
      <c r="C75" s="67">
        <f>[5]С2.3!E12</f>
        <v>0.56000000000000005</v>
      </c>
    </row>
    <row r="76" spans="1:3" ht="25.5" x14ac:dyDescent="0.2">
      <c r="A76" s="59" t="s">
        <v>109</v>
      </c>
      <c r="B76" s="66" t="s">
        <v>98</v>
      </c>
      <c r="C76" s="62">
        <f>[5]С2.3!E13</f>
        <v>300</v>
      </c>
    </row>
    <row r="77" spans="1:3" ht="25.5" x14ac:dyDescent="0.2">
      <c r="A77" s="59" t="s">
        <v>110</v>
      </c>
      <c r="B77" s="69" t="s">
        <v>111</v>
      </c>
      <c r="C77" s="68">
        <f>IF([5]С2.3!E26&gt;0,[5]С2.3!E26,[5]С2.3!E16)</f>
        <v>65637</v>
      </c>
    </row>
    <row r="78" spans="1:3" ht="38.25" x14ac:dyDescent="0.2">
      <c r="A78" s="59" t="s">
        <v>112</v>
      </c>
      <c r="B78" s="69" t="s">
        <v>113</v>
      </c>
      <c r="C78" s="68">
        <f>IF([5]С2.3!E27&gt;0,[5]С2.3!E27,[5]С2.3!E17)</f>
        <v>31684</v>
      </c>
    </row>
    <row r="79" spans="1:3" ht="17.25" x14ac:dyDescent="0.2">
      <c r="A79" s="59" t="s">
        <v>114</v>
      </c>
      <c r="B79" s="33" t="s">
        <v>115</v>
      </c>
      <c r="C79" s="35">
        <f>[5]С2!F29</f>
        <v>9.5962865259740182E-2</v>
      </c>
    </row>
    <row r="80" spans="1:3" ht="30" x14ac:dyDescent="0.2">
      <c r="A80" s="59" t="s">
        <v>116</v>
      </c>
      <c r="B80" s="53" t="s">
        <v>117</v>
      </c>
      <c r="C80" s="70">
        <f>[5]С2!F30</f>
        <v>8.4029304029304031E-2</v>
      </c>
    </row>
    <row r="81" spans="1:3" ht="17.25" x14ac:dyDescent="0.2">
      <c r="A81" s="59" t="s">
        <v>118</v>
      </c>
      <c r="B81" s="71" t="s">
        <v>119</v>
      </c>
      <c r="C81" s="35">
        <f>[5]С2!F31</f>
        <v>0.13880000000000001</v>
      </c>
    </row>
    <row r="82" spans="1:3" s="63" customFormat="1" ht="18" thickBot="1" x14ac:dyDescent="0.25">
      <c r="A82" s="72" t="s">
        <v>120</v>
      </c>
      <c r="B82" s="73" t="s">
        <v>121</v>
      </c>
      <c r="C82" s="74">
        <f>[5]С2!F32</f>
        <v>0.12640000000000001</v>
      </c>
    </row>
    <row r="83" spans="1:3" ht="13.5" thickBot="1" x14ac:dyDescent="0.25">
      <c r="A83" s="47"/>
      <c r="B83" s="75"/>
      <c r="C83" s="15"/>
    </row>
    <row r="84" spans="1:3" s="63" customFormat="1" ht="30" customHeight="1" x14ac:dyDescent="0.2">
      <c r="A84" s="76" t="s">
        <v>122</v>
      </c>
      <c r="B84" s="122" t="s">
        <v>123</v>
      </c>
      <c r="C84" s="122"/>
    </row>
    <row r="85" spans="1:3" s="63" customFormat="1" ht="30" x14ac:dyDescent="0.2">
      <c r="A85" s="77" t="s">
        <v>124</v>
      </c>
      <c r="B85" s="33" t="s">
        <v>125</v>
      </c>
      <c r="C85" s="34">
        <f>[5]С3!F14</f>
        <v>6068.1437898865324</v>
      </c>
    </row>
    <row r="86" spans="1:3" s="63" customFormat="1" ht="42.75" x14ac:dyDescent="0.2">
      <c r="A86" s="77" t="s">
        <v>126</v>
      </c>
      <c r="B86" s="53" t="s">
        <v>127</v>
      </c>
      <c r="C86" s="78">
        <f>[5]С3!F15</f>
        <v>0.2</v>
      </c>
    </row>
    <row r="87" spans="1:3" s="63" customFormat="1" ht="14.25" x14ac:dyDescent="0.2">
      <c r="A87" s="77" t="s">
        <v>128</v>
      </c>
      <c r="B87" s="79" t="s">
        <v>129</v>
      </c>
      <c r="C87" s="62">
        <f>[5]С3!F18</f>
        <v>15</v>
      </c>
    </row>
    <row r="88" spans="1:3" s="63" customFormat="1" ht="17.25" x14ac:dyDescent="0.2">
      <c r="A88" s="77" t="s">
        <v>130</v>
      </c>
      <c r="B88" s="33" t="s">
        <v>131</v>
      </c>
      <c r="C88" s="34">
        <f>[5]С3!F19</f>
        <v>3778.1614077800232</v>
      </c>
    </row>
    <row r="89" spans="1:3" s="63" customFormat="1" ht="55.5" x14ac:dyDescent="0.2">
      <c r="A89" s="77" t="s">
        <v>132</v>
      </c>
      <c r="B89" s="53" t="s">
        <v>133</v>
      </c>
      <c r="C89" s="80">
        <f>[5]С3!F20</f>
        <v>2.1999999999999999E-2</v>
      </c>
    </row>
    <row r="90" spans="1:3" s="63" customFormat="1" ht="14.25" x14ac:dyDescent="0.2">
      <c r="A90" s="77" t="s">
        <v>134</v>
      </c>
      <c r="B90" s="58" t="s">
        <v>80</v>
      </c>
      <c r="C90" s="62">
        <f>[5]С3!F21</f>
        <v>10</v>
      </c>
    </row>
    <row r="91" spans="1:3" s="63" customFormat="1" ht="17.25" x14ac:dyDescent="0.2">
      <c r="A91" s="77" t="s">
        <v>135</v>
      </c>
      <c r="B91" s="33" t="s">
        <v>136</v>
      </c>
      <c r="C91" s="34">
        <f>[5]С3!F22</f>
        <v>4.6300904690519689</v>
      </c>
    </row>
    <row r="92" spans="1:3" s="63" customFormat="1" ht="55.5" x14ac:dyDescent="0.2">
      <c r="A92" s="77" t="s">
        <v>137</v>
      </c>
      <c r="B92" s="53" t="s">
        <v>138</v>
      </c>
      <c r="C92" s="80">
        <f>[5]С3!F23</f>
        <v>3.0000000000000001E-3</v>
      </c>
    </row>
    <row r="93" spans="1:3" s="63" customFormat="1" ht="27.75" thickBot="1" x14ac:dyDescent="0.25">
      <c r="A93" s="81" t="s">
        <v>139</v>
      </c>
      <c r="B93" s="82" t="s">
        <v>140</v>
      </c>
      <c r="C93" s="83">
        <f>[5]С3!F24</f>
        <v>1543.3634896839897</v>
      </c>
    </row>
    <row r="94" spans="1:3" ht="13.5" thickBot="1" x14ac:dyDescent="0.25">
      <c r="A94" s="47"/>
      <c r="B94" s="75"/>
      <c r="C94" s="15"/>
    </row>
    <row r="95" spans="1:3" ht="30" customHeight="1" x14ac:dyDescent="0.2">
      <c r="A95" s="84" t="s">
        <v>141</v>
      </c>
      <c r="B95" s="122" t="s">
        <v>142</v>
      </c>
      <c r="C95" s="122"/>
    </row>
    <row r="96" spans="1:3" ht="30" x14ac:dyDescent="0.2">
      <c r="A96" s="59" t="s">
        <v>143</v>
      </c>
      <c r="B96" s="33" t="s">
        <v>144</v>
      </c>
      <c r="C96" s="34">
        <f>[5]С4!F16</f>
        <v>1652.5</v>
      </c>
    </row>
    <row r="97" spans="1:3" ht="30" x14ac:dyDescent="0.2">
      <c r="A97" s="59" t="s">
        <v>145</v>
      </c>
      <c r="B97" s="58" t="s">
        <v>146</v>
      </c>
      <c r="C97" s="34">
        <f>[5]С4!F17</f>
        <v>73547</v>
      </c>
    </row>
    <row r="98" spans="1:3" ht="17.25" x14ac:dyDescent="0.2">
      <c r="A98" s="59" t="s">
        <v>147</v>
      </c>
      <c r="B98" s="58" t="s">
        <v>148</v>
      </c>
      <c r="C98" s="40">
        <f>[5]С4!F18</f>
        <v>0.02</v>
      </c>
    </row>
    <row r="99" spans="1:3" ht="30" x14ac:dyDescent="0.2">
      <c r="A99" s="59" t="s">
        <v>149</v>
      </c>
      <c r="B99" s="58" t="s">
        <v>150</v>
      </c>
      <c r="C99" s="34">
        <f>[5]С4!F19</f>
        <v>12104</v>
      </c>
    </row>
    <row r="100" spans="1:3" ht="31.5" x14ac:dyDescent="0.2">
      <c r="A100" s="59" t="s">
        <v>151</v>
      </c>
      <c r="B100" s="58" t="s">
        <v>152</v>
      </c>
      <c r="C100" s="40">
        <f>[5]С4!F20</f>
        <v>1.4999999999999999E-2</v>
      </c>
    </row>
    <row r="101" spans="1:3" ht="30" x14ac:dyDescent="0.2">
      <c r="A101" s="59" t="s">
        <v>153</v>
      </c>
      <c r="B101" s="33" t="s">
        <v>154</v>
      </c>
      <c r="C101" s="34">
        <f>[5]С4!F21</f>
        <v>1933.1949342509995</v>
      </c>
    </row>
    <row r="102" spans="1:3" ht="24" customHeight="1" x14ac:dyDescent="0.2">
      <c r="A102" s="59" t="s">
        <v>155</v>
      </c>
      <c r="B102" s="53" t="s">
        <v>156</v>
      </c>
      <c r="C102" s="85">
        <f>IF([5]С4.2!F8="да",[5]С4.2!D21,[5]С4.2!D15)</f>
        <v>0</v>
      </c>
    </row>
    <row r="103" spans="1:3" ht="68.25" x14ac:dyDescent="0.2">
      <c r="A103" s="59" t="s">
        <v>157</v>
      </c>
      <c r="B103" s="53" t="s">
        <v>158</v>
      </c>
      <c r="C103" s="34">
        <f>[5]С4!F22</f>
        <v>3.6112641666666665</v>
      </c>
    </row>
    <row r="104" spans="1:3" ht="30" x14ac:dyDescent="0.2">
      <c r="A104" s="59" t="s">
        <v>159</v>
      </c>
      <c r="B104" s="58" t="s">
        <v>160</v>
      </c>
      <c r="C104" s="34">
        <f>[5]С4!F23</f>
        <v>180</v>
      </c>
    </row>
    <row r="105" spans="1:3" ht="14.25" x14ac:dyDescent="0.2">
      <c r="A105" s="59" t="s">
        <v>161</v>
      </c>
      <c r="B105" s="53" t="s">
        <v>162</v>
      </c>
      <c r="C105" s="34">
        <f>[5]С4!F24</f>
        <v>8497.1999999999989</v>
      </c>
    </row>
    <row r="106" spans="1:3" ht="14.25" x14ac:dyDescent="0.2">
      <c r="A106" s="59" t="s">
        <v>163</v>
      </c>
      <c r="B106" s="58" t="s">
        <v>164</v>
      </c>
      <c r="C106" s="40">
        <f>[5]С4!F25</f>
        <v>0.35</v>
      </c>
    </row>
    <row r="107" spans="1:3" ht="17.25" x14ac:dyDescent="0.2">
      <c r="A107" s="59" t="s">
        <v>165</v>
      </c>
      <c r="B107" s="33" t="s">
        <v>166</v>
      </c>
      <c r="C107" s="34">
        <f>[5]С4!F26</f>
        <v>85.988129999999998</v>
      </c>
    </row>
    <row r="108" spans="1:3" ht="25.5" x14ac:dyDescent="0.2">
      <c r="A108" s="59" t="s">
        <v>167</v>
      </c>
      <c r="B108" s="53" t="s">
        <v>94</v>
      </c>
      <c r="C108" s="85">
        <f>[5]С4.3!E16</f>
        <v>0</v>
      </c>
    </row>
    <row r="109" spans="1:3" ht="25.5" x14ac:dyDescent="0.2">
      <c r="A109" s="59" t="s">
        <v>168</v>
      </c>
      <c r="B109" s="53" t="s">
        <v>169</v>
      </c>
      <c r="C109" s="34">
        <f>[5]С4.3!E17</f>
        <v>20.350000000000001</v>
      </c>
    </row>
    <row r="110" spans="1:3" ht="38.25" x14ac:dyDescent="0.2">
      <c r="A110" s="59" t="s">
        <v>170</v>
      </c>
      <c r="B110" s="53" t="s">
        <v>106</v>
      </c>
      <c r="C110" s="85">
        <f>[5]С4.3!E18</f>
        <v>0</v>
      </c>
    </row>
    <row r="111" spans="1:3" x14ac:dyDescent="0.2">
      <c r="A111" s="59" t="s">
        <v>171</v>
      </c>
      <c r="B111" s="53" t="s">
        <v>172</v>
      </c>
      <c r="C111" s="34">
        <f>[5]С4.3!E19</f>
        <v>71.67</v>
      </c>
    </row>
    <row r="112" spans="1:3" x14ac:dyDescent="0.2">
      <c r="A112" s="59" t="s">
        <v>173</v>
      </c>
      <c r="B112" s="58" t="s">
        <v>174</v>
      </c>
      <c r="C112" s="34">
        <f>[5]С4.3!E11</f>
        <v>1871</v>
      </c>
    </row>
    <row r="113" spans="1:3" x14ac:dyDescent="0.2">
      <c r="A113" s="59" t="s">
        <v>175</v>
      </c>
      <c r="B113" s="58" t="s">
        <v>176</v>
      </c>
      <c r="C113" s="52">
        <f>[5]С4.3!E12</f>
        <v>1636</v>
      </c>
    </row>
    <row r="114" spans="1:3" x14ac:dyDescent="0.2">
      <c r="A114" s="59" t="s">
        <v>177</v>
      </c>
      <c r="B114" s="58" t="s">
        <v>178</v>
      </c>
      <c r="C114" s="52">
        <f>[5]С4.3!E13</f>
        <v>204</v>
      </c>
    </row>
    <row r="115" spans="1:3" ht="30" x14ac:dyDescent="0.2">
      <c r="A115" s="59" t="s">
        <v>179</v>
      </c>
      <c r="B115" s="33" t="s">
        <v>180</v>
      </c>
      <c r="C115" s="34">
        <f>[5]С4!F27</f>
        <v>1291.2863994686898</v>
      </c>
    </row>
    <row r="116" spans="1:3" ht="25.5" x14ac:dyDescent="0.2">
      <c r="A116" s="59" t="s">
        <v>181</v>
      </c>
      <c r="B116" s="53" t="s">
        <v>182</v>
      </c>
      <c r="C116" s="34">
        <f>[5]С4!F28</f>
        <v>991.77142816335618</v>
      </c>
    </row>
    <row r="117" spans="1:3" ht="42.75" x14ac:dyDescent="0.2">
      <c r="A117" s="59" t="s">
        <v>183</v>
      </c>
      <c r="B117" s="53" t="s">
        <v>184</v>
      </c>
      <c r="C117" s="34">
        <f>[5]С4!F29</f>
        <v>299.51497130533357</v>
      </c>
    </row>
    <row r="118" spans="1:3" ht="30" x14ac:dyDescent="0.2">
      <c r="A118" s="59" t="s">
        <v>185</v>
      </c>
      <c r="B118" s="39" t="s">
        <v>186</v>
      </c>
      <c r="C118" s="34">
        <f>[5]С4!F30</f>
        <v>1574.7911639011716</v>
      </c>
    </row>
    <row r="119" spans="1:3" ht="42.75" x14ac:dyDescent="0.2">
      <c r="A119" s="59" t="s">
        <v>187</v>
      </c>
      <c r="B119" s="86" t="s">
        <v>188</v>
      </c>
      <c r="C119" s="34">
        <f>[5]С4!F33</f>
        <v>855.37084847120309</v>
      </c>
    </row>
    <row r="120" spans="1:3" ht="30" x14ac:dyDescent="0.2">
      <c r="A120" s="59" t="s">
        <v>189</v>
      </c>
      <c r="B120" s="87" t="s">
        <v>190</v>
      </c>
      <c r="C120" s="34">
        <f>[5]С4!F35</f>
        <v>17.040680999999999</v>
      </c>
    </row>
    <row r="121" spans="1:3" ht="14.25" x14ac:dyDescent="0.2">
      <c r="A121" s="59" t="s">
        <v>191</v>
      </c>
      <c r="B121" s="56" t="s">
        <v>192</v>
      </c>
      <c r="C121" s="34">
        <f>[5]С4!F36</f>
        <v>14319.9</v>
      </c>
    </row>
    <row r="122" spans="1:3" ht="28.5" thickBot="1" x14ac:dyDescent="0.25">
      <c r="A122" s="72" t="s">
        <v>193</v>
      </c>
      <c r="B122" s="88" t="s">
        <v>194</v>
      </c>
      <c r="C122" s="83">
        <f>[5]С4!F37</f>
        <v>1.19</v>
      </c>
    </row>
    <row r="123" spans="1:3" s="89" customFormat="1" ht="13.5" thickBot="1" x14ac:dyDescent="0.25">
      <c r="A123" s="47"/>
      <c r="B123" s="75"/>
      <c r="C123" s="15"/>
    </row>
    <row r="124" spans="1:3" s="63" customFormat="1" ht="30" customHeight="1" x14ac:dyDescent="0.2">
      <c r="A124" s="76" t="s">
        <v>195</v>
      </c>
      <c r="B124" s="122" t="s">
        <v>196</v>
      </c>
      <c r="C124" s="122"/>
    </row>
    <row r="125" spans="1:3" ht="16.5" thickBot="1" x14ac:dyDescent="0.25">
      <c r="A125" s="27" t="s">
        <v>197</v>
      </c>
      <c r="B125" s="90" t="s">
        <v>198</v>
      </c>
      <c r="C125" s="83">
        <f>[5]С5!F17</f>
        <v>0.02</v>
      </c>
    </row>
    <row r="126" spans="1:3" s="89" customFormat="1" ht="13.5" thickBot="1" x14ac:dyDescent="0.25">
      <c r="A126" s="47"/>
      <c r="B126" s="75"/>
      <c r="C126" s="15"/>
    </row>
    <row r="127" spans="1:3" ht="42.75" customHeight="1" x14ac:dyDescent="0.2">
      <c r="A127" s="84" t="s">
        <v>199</v>
      </c>
      <c r="B127" s="123" t="s">
        <v>200</v>
      </c>
      <c r="C127" s="123"/>
    </row>
    <row r="128" spans="1:3" ht="68.25" x14ac:dyDescent="0.2">
      <c r="A128" s="59" t="s">
        <v>201</v>
      </c>
      <c r="B128" s="91" t="s">
        <v>202</v>
      </c>
      <c r="C128" s="34" t="s">
        <v>203</v>
      </c>
    </row>
    <row r="129" spans="1:4" ht="42.75" hidden="1" x14ac:dyDescent="0.2">
      <c r="A129" s="59" t="s">
        <v>204</v>
      </c>
      <c r="B129" s="86" t="s">
        <v>205</v>
      </c>
      <c r="C129" s="92"/>
    </row>
    <row r="130" spans="1:4" ht="69" thickBot="1" x14ac:dyDescent="0.25">
      <c r="A130" s="72" t="s">
        <v>206</v>
      </c>
      <c r="B130" s="93" t="s">
        <v>207</v>
      </c>
      <c r="C130" s="94" t="s">
        <v>203</v>
      </c>
    </row>
    <row r="131" spans="1:4" ht="62.25" hidden="1" customHeight="1" x14ac:dyDescent="0.2">
      <c r="A131" s="95" t="s">
        <v>208</v>
      </c>
      <c r="B131" s="96" t="s">
        <v>209</v>
      </c>
      <c r="C131" s="97"/>
    </row>
    <row r="132" spans="1:4" ht="68.25" hidden="1" x14ac:dyDescent="0.2">
      <c r="A132" s="59" t="s">
        <v>210</v>
      </c>
      <c r="B132" s="86" t="s">
        <v>211</v>
      </c>
      <c r="C132" s="35"/>
    </row>
    <row r="133" spans="1:4" ht="69" hidden="1" thickBot="1" x14ac:dyDescent="0.25">
      <c r="A133" s="72" t="s">
        <v>212</v>
      </c>
      <c r="B133" s="98" t="s">
        <v>213</v>
      </c>
      <c r="C133" s="74"/>
    </row>
    <row r="134" spans="1:4" s="89" customFormat="1" ht="13.5" thickBot="1" x14ac:dyDescent="0.25">
      <c r="A134" s="47"/>
      <c r="B134" s="75"/>
      <c r="C134" s="15"/>
    </row>
    <row r="135" spans="1:4" ht="26.25" customHeight="1" x14ac:dyDescent="0.2">
      <c r="A135" s="84" t="s">
        <v>214</v>
      </c>
      <c r="B135" s="99" t="s">
        <v>215</v>
      </c>
      <c r="C135" s="100">
        <f>[5]С2!F37</f>
        <v>20.818139999999996</v>
      </c>
    </row>
    <row r="136" spans="1:4" ht="14.25" x14ac:dyDescent="0.2">
      <c r="A136" s="59" t="s">
        <v>216</v>
      </c>
      <c r="B136" s="101" t="s">
        <v>217</v>
      </c>
      <c r="C136" s="34">
        <f>[5]С2!F38</f>
        <v>7</v>
      </c>
    </row>
    <row r="137" spans="1:4" ht="17.25" x14ac:dyDescent="0.2">
      <c r="A137" s="59" t="s">
        <v>218</v>
      </c>
      <c r="B137" s="101" t="s">
        <v>219</v>
      </c>
      <c r="C137" s="34">
        <f>[5]С2!F40</f>
        <v>0.97</v>
      </c>
    </row>
    <row r="138" spans="1:4" ht="15" thickBot="1" x14ac:dyDescent="0.25">
      <c r="A138" s="72" t="s">
        <v>220</v>
      </c>
      <c r="B138" s="102" t="s">
        <v>221</v>
      </c>
      <c r="C138" s="46">
        <f>[5]С2!F42</f>
        <v>0.35</v>
      </c>
    </row>
    <row r="139" spans="1:4" s="89" customFormat="1" ht="13.5" thickBot="1" x14ac:dyDescent="0.25">
      <c r="A139" s="47"/>
      <c r="B139" s="75"/>
      <c r="C139" s="15"/>
    </row>
    <row r="140" spans="1:4" ht="30" x14ac:dyDescent="0.2">
      <c r="A140" s="84" t="s">
        <v>222</v>
      </c>
      <c r="B140" s="103" t="s">
        <v>223</v>
      </c>
      <c r="C140" s="104">
        <f>[5]С2!F35</f>
        <v>1.4976266307379205</v>
      </c>
      <c r="D140" s="89"/>
    </row>
    <row r="141" spans="1:4" ht="22.7" customHeight="1" thickBot="1" x14ac:dyDescent="0.25">
      <c r="A141" s="72" t="s">
        <v>224</v>
      </c>
      <c r="B141" s="118" t="s">
        <v>225</v>
      </c>
      <c r="C141" s="118"/>
      <c r="D141" s="89"/>
    </row>
    <row r="142" spans="1:4" ht="13.5" thickBot="1" x14ac:dyDescent="0.25">
      <c r="A142" s="106"/>
      <c r="B142" s="107" t="s">
        <v>226</v>
      </c>
      <c r="C142" s="108"/>
      <c r="D142" s="89"/>
    </row>
    <row r="143" spans="1:4" x14ac:dyDescent="0.2">
      <c r="A143" s="106"/>
      <c r="B143" s="109">
        <v>2020</v>
      </c>
      <c r="C143" s="110">
        <f>[5]С2.5!$E$11</f>
        <v>-2.9000000000000026E-2</v>
      </c>
      <c r="D143" s="89"/>
    </row>
    <row r="144" spans="1:4" x14ac:dyDescent="0.2">
      <c r="A144" s="106"/>
      <c r="B144" s="111">
        <f>B143+1</f>
        <v>2021</v>
      </c>
      <c r="C144" s="112">
        <f>[5]С2.5!$F$11</f>
        <v>0.245</v>
      </c>
      <c r="D144" s="89"/>
    </row>
    <row r="145" spans="1:4" x14ac:dyDescent="0.2">
      <c r="A145" s="106"/>
      <c r="B145" s="111">
        <f t="shared" ref="B145:B208" si="0">B144+1</f>
        <v>2022</v>
      </c>
      <c r="C145" s="112">
        <f>[5]С2.5!$G$11</f>
        <v>0.114</v>
      </c>
      <c r="D145" s="89"/>
    </row>
    <row r="146" spans="1:4" ht="13.5" thickBot="1" x14ac:dyDescent="0.25">
      <c r="A146" s="106"/>
      <c r="B146" s="113">
        <f t="shared" si="0"/>
        <v>2023</v>
      </c>
      <c r="C146" s="114">
        <f>[5]С2.5!$H$11</f>
        <v>2.4E-2</v>
      </c>
      <c r="D146" s="89"/>
    </row>
    <row r="147" spans="1:4" x14ac:dyDescent="0.2">
      <c r="A147" s="106"/>
      <c r="B147" s="115">
        <f t="shared" si="0"/>
        <v>2024</v>
      </c>
      <c r="C147" s="116">
        <f>[5]С2.5!$I$11</f>
        <v>8.5999999999999993E-2</v>
      </c>
      <c r="D147" s="89"/>
    </row>
    <row r="148" spans="1:4" hidden="1" x14ac:dyDescent="0.2">
      <c r="A148" s="106"/>
      <c r="B148" s="111">
        <f t="shared" si="0"/>
        <v>2025</v>
      </c>
      <c r="C148" s="112">
        <f>[5]С2.5!$J$11</f>
        <v>0.21215960863291</v>
      </c>
      <c r="D148" s="89"/>
    </row>
    <row r="149" spans="1:4" hidden="1" x14ac:dyDescent="0.2">
      <c r="A149" s="106"/>
      <c r="B149" s="111">
        <f t="shared" si="0"/>
        <v>2026</v>
      </c>
      <c r="C149" s="112">
        <f>[5]С2.5!$K$11</f>
        <v>3.5813361771260002E-2</v>
      </c>
      <c r="D149" s="89"/>
    </row>
    <row r="150" spans="1:4" hidden="1" x14ac:dyDescent="0.2">
      <c r="A150" s="106"/>
      <c r="B150" s="111">
        <f t="shared" si="0"/>
        <v>2027</v>
      </c>
      <c r="C150" s="112">
        <f>[5]С2.5!$L$11</f>
        <v>3.2682303599220003E-2</v>
      </c>
      <c r="D150" s="89"/>
    </row>
    <row r="151" spans="1:4" hidden="1" x14ac:dyDescent="0.2">
      <c r="A151" s="106"/>
      <c r="B151" s="111">
        <f t="shared" si="0"/>
        <v>2028</v>
      </c>
      <c r="C151" s="112">
        <f>[5]С2.5!$M$11</f>
        <v>0</v>
      </c>
      <c r="D151" s="89"/>
    </row>
    <row r="152" spans="1:4" hidden="1" x14ac:dyDescent="0.2">
      <c r="A152" s="106"/>
      <c r="B152" s="111">
        <f t="shared" si="0"/>
        <v>2029</v>
      </c>
      <c r="C152" s="112">
        <f>[5]С2.5!$N$11</f>
        <v>0</v>
      </c>
      <c r="D152" s="89"/>
    </row>
    <row r="153" spans="1:4" hidden="1" x14ac:dyDescent="0.2">
      <c r="A153" s="106"/>
      <c r="B153" s="111">
        <f t="shared" si="0"/>
        <v>2030</v>
      </c>
      <c r="C153" s="112">
        <f>[5]С2.5!$O$11</f>
        <v>0</v>
      </c>
      <c r="D153" s="89"/>
    </row>
    <row r="154" spans="1:4" hidden="1" x14ac:dyDescent="0.2">
      <c r="A154" s="106"/>
      <c r="B154" s="111">
        <f t="shared" si="0"/>
        <v>2031</v>
      </c>
      <c r="C154" s="112">
        <f>[5]С2.5!$P$11</f>
        <v>0</v>
      </c>
      <c r="D154" s="89"/>
    </row>
    <row r="155" spans="1:4" hidden="1" x14ac:dyDescent="0.2">
      <c r="A155" s="89"/>
      <c r="B155" s="111">
        <f t="shared" si="0"/>
        <v>2032</v>
      </c>
      <c r="C155" s="112">
        <f>[5]С2.5!$Q$11</f>
        <v>0</v>
      </c>
      <c r="D155" s="89"/>
    </row>
    <row r="156" spans="1:4" hidden="1" x14ac:dyDescent="0.2">
      <c r="A156" s="89"/>
      <c r="B156" s="111">
        <f t="shared" si="0"/>
        <v>2033</v>
      </c>
      <c r="C156" s="112">
        <f>[5]С2.5!$R$11</f>
        <v>0</v>
      </c>
      <c r="D156" s="89"/>
    </row>
    <row r="157" spans="1:4" hidden="1" x14ac:dyDescent="0.2">
      <c r="B157" s="111">
        <f t="shared" si="0"/>
        <v>2034</v>
      </c>
      <c r="C157" s="112">
        <f>[5]С2.5!$S$11</f>
        <v>0</v>
      </c>
    </row>
    <row r="158" spans="1:4" hidden="1" x14ac:dyDescent="0.2">
      <c r="B158" s="111">
        <f t="shared" si="0"/>
        <v>2035</v>
      </c>
      <c r="C158" s="112">
        <f>[5]С2.5!$T$11</f>
        <v>0</v>
      </c>
    </row>
    <row r="159" spans="1:4" hidden="1" x14ac:dyDescent="0.2">
      <c r="B159" s="111">
        <f t="shared" si="0"/>
        <v>2036</v>
      </c>
      <c r="C159" s="112">
        <f>[5]С2.5!$U$11</f>
        <v>0</v>
      </c>
    </row>
    <row r="160" spans="1:4" hidden="1" x14ac:dyDescent="0.2">
      <c r="B160" s="111">
        <f t="shared" si="0"/>
        <v>2037</v>
      </c>
      <c r="C160" s="112">
        <f>[5]С2.5!$V$11</f>
        <v>0</v>
      </c>
    </row>
    <row r="161" spans="2:3" hidden="1" x14ac:dyDescent="0.2">
      <c r="B161" s="111">
        <f t="shared" si="0"/>
        <v>2038</v>
      </c>
      <c r="C161" s="112">
        <f>[5]С2.5!$W$11</f>
        <v>0</v>
      </c>
    </row>
    <row r="162" spans="2:3" hidden="1" x14ac:dyDescent="0.2">
      <c r="B162" s="111">
        <f t="shared" si="0"/>
        <v>2039</v>
      </c>
      <c r="C162" s="112">
        <f>[5]С2.5!$X$11</f>
        <v>0</v>
      </c>
    </row>
    <row r="163" spans="2:3" hidden="1" x14ac:dyDescent="0.2">
      <c r="B163" s="111">
        <f t="shared" si="0"/>
        <v>2040</v>
      </c>
      <c r="C163" s="112">
        <f>[5]С2.5!$Y$11</f>
        <v>0</v>
      </c>
    </row>
    <row r="164" spans="2:3" hidden="1" x14ac:dyDescent="0.2">
      <c r="B164" s="111">
        <f t="shared" si="0"/>
        <v>2041</v>
      </c>
      <c r="C164" s="112">
        <f>[5]С2.5!$Z$11</f>
        <v>0</v>
      </c>
    </row>
    <row r="165" spans="2:3" hidden="1" x14ac:dyDescent="0.2">
      <c r="B165" s="111">
        <f t="shared" si="0"/>
        <v>2042</v>
      </c>
      <c r="C165" s="112">
        <f>[5]С2.5!$AA$11</f>
        <v>0</v>
      </c>
    </row>
    <row r="166" spans="2:3" hidden="1" x14ac:dyDescent="0.2">
      <c r="B166" s="111">
        <f t="shared" si="0"/>
        <v>2043</v>
      </c>
      <c r="C166" s="112">
        <f>[5]С2.5!$AB$11</f>
        <v>0</v>
      </c>
    </row>
    <row r="167" spans="2:3" hidden="1" x14ac:dyDescent="0.2">
      <c r="B167" s="111">
        <f t="shared" si="0"/>
        <v>2044</v>
      </c>
      <c r="C167" s="112">
        <f>[5]С2.5!$AC$11</f>
        <v>0</v>
      </c>
    </row>
    <row r="168" spans="2:3" hidden="1" x14ac:dyDescent="0.2">
      <c r="B168" s="111">
        <f t="shared" si="0"/>
        <v>2045</v>
      </c>
      <c r="C168" s="112">
        <f>[5]С2.5!$AD$11</f>
        <v>0</v>
      </c>
    </row>
    <row r="169" spans="2:3" hidden="1" x14ac:dyDescent="0.2">
      <c r="B169" s="111">
        <f t="shared" si="0"/>
        <v>2046</v>
      </c>
      <c r="C169" s="112">
        <f>[5]С2.5!$AE$11</f>
        <v>0</v>
      </c>
    </row>
    <row r="170" spans="2:3" hidden="1" x14ac:dyDescent="0.2">
      <c r="B170" s="111">
        <f t="shared" si="0"/>
        <v>2047</v>
      </c>
      <c r="C170" s="112">
        <f>[5]С2.5!$AF$11</f>
        <v>0</v>
      </c>
    </row>
    <row r="171" spans="2:3" hidden="1" x14ac:dyDescent="0.2">
      <c r="B171" s="111">
        <f t="shared" si="0"/>
        <v>2048</v>
      </c>
      <c r="C171" s="112">
        <f>[5]С2.5!$AG$11</f>
        <v>0</v>
      </c>
    </row>
    <row r="172" spans="2:3" hidden="1" x14ac:dyDescent="0.2">
      <c r="B172" s="111">
        <f t="shared" si="0"/>
        <v>2049</v>
      </c>
      <c r="C172" s="112">
        <f>[5]С2.5!$AH$11</f>
        <v>0</v>
      </c>
    </row>
    <row r="173" spans="2:3" hidden="1" x14ac:dyDescent="0.2">
      <c r="B173" s="111">
        <f t="shared" si="0"/>
        <v>2050</v>
      </c>
      <c r="C173" s="112">
        <f>[5]С2.5!$AI$11</f>
        <v>0</v>
      </c>
    </row>
    <row r="174" spans="2:3" hidden="1" x14ac:dyDescent="0.2">
      <c r="B174" s="111">
        <f t="shared" si="0"/>
        <v>2051</v>
      </c>
      <c r="C174" s="112">
        <f>[5]С2.5!$AJ$11</f>
        <v>0</v>
      </c>
    </row>
    <row r="175" spans="2:3" hidden="1" x14ac:dyDescent="0.2">
      <c r="B175" s="111">
        <f t="shared" si="0"/>
        <v>2052</v>
      </c>
      <c r="C175" s="112">
        <f>[5]С2.5!$AK$11</f>
        <v>0</v>
      </c>
    </row>
    <row r="176" spans="2:3" hidden="1" x14ac:dyDescent="0.2">
      <c r="B176" s="111">
        <f t="shared" si="0"/>
        <v>2053</v>
      </c>
      <c r="C176" s="112">
        <f>[5]С2.5!$AL$11</f>
        <v>0</v>
      </c>
    </row>
    <row r="177" spans="2:3" hidden="1" x14ac:dyDescent="0.2">
      <c r="B177" s="111">
        <f t="shared" si="0"/>
        <v>2054</v>
      </c>
      <c r="C177" s="112">
        <f>[5]С2.5!$AM$11</f>
        <v>0</v>
      </c>
    </row>
    <row r="178" spans="2:3" hidden="1" x14ac:dyDescent="0.2">
      <c r="B178" s="111">
        <f t="shared" si="0"/>
        <v>2055</v>
      </c>
      <c r="C178" s="112">
        <f>[5]С2.5!$AN$11</f>
        <v>0</v>
      </c>
    </row>
    <row r="179" spans="2:3" hidden="1" x14ac:dyDescent="0.2">
      <c r="B179" s="111">
        <f t="shared" si="0"/>
        <v>2056</v>
      </c>
      <c r="C179" s="112">
        <f>[5]С2.5!$AO$11</f>
        <v>0</v>
      </c>
    </row>
    <row r="180" spans="2:3" hidden="1" x14ac:dyDescent="0.2">
      <c r="B180" s="111">
        <f t="shared" si="0"/>
        <v>2057</v>
      </c>
      <c r="C180" s="112">
        <f>[5]С2.5!$AP$11</f>
        <v>0</v>
      </c>
    </row>
    <row r="181" spans="2:3" hidden="1" x14ac:dyDescent="0.2">
      <c r="B181" s="111">
        <f t="shared" si="0"/>
        <v>2058</v>
      </c>
      <c r="C181" s="112">
        <f>[5]С2.5!$AQ$11</f>
        <v>0</v>
      </c>
    </row>
    <row r="182" spans="2:3" hidden="1" x14ac:dyDescent="0.2">
      <c r="B182" s="111">
        <f t="shared" si="0"/>
        <v>2059</v>
      </c>
      <c r="C182" s="112">
        <f>[5]С2.5!$AR$11</f>
        <v>0</v>
      </c>
    </row>
    <row r="183" spans="2:3" hidden="1" x14ac:dyDescent="0.2">
      <c r="B183" s="111">
        <f t="shared" si="0"/>
        <v>2060</v>
      </c>
      <c r="C183" s="112">
        <f>[5]С2.5!$AS$11</f>
        <v>0</v>
      </c>
    </row>
    <row r="184" spans="2:3" hidden="1" x14ac:dyDescent="0.2">
      <c r="B184" s="111">
        <f t="shared" si="0"/>
        <v>2061</v>
      </c>
      <c r="C184" s="112">
        <f>[5]С2.5!$AT$11</f>
        <v>0</v>
      </c>
    </row>
    <row r="185" spans="2:3" hidden="1" x14ac:dyDescent="0.2">
      <c r="B185" s="111">
        <f t="shared" si="0"/>
        <v>2062</v>
      </c>
      <c r="C185" s="112">
        <f>[5]С2.5!$AU$11</f>
        <v>0</v>
      </c>
    </row>
    <row r="186" spans="2:3" hidden="1" x14ac:dyDescent="0.2">
      <c r="B186" s="111">
        <f t="shared" si="0"/>
        <v>2063</v>
      </c>
      <c r="C186" s="112">
        <f>[5]С2.5!$AV$11</f>
        <v>0</v>
      </c>
    </row>
    <row r="187" spans="2:3" hidden="1" x14ac:dyDescent="0.2">
      <c r="B187" s="111">
        <f t="shared" si="0"/>
        <v>2064</v>
      </c>
      <c r="C187" s="112">
        <f>[5]С2.5!$AW$11</f>
        <v>0</v>
      </c>
    </row>
    <row r="188" spans="2:3" hidden="1" x14ac:dyDescent="0.2">
      <c r="B188" s="111">
        <f t="shared" si="0"/>
        <v>2065</v>
      </c>
      <c r="C188" s="112">
        <f>[5]С2.5!$AX$11</f>
        <v>0</v>
      </c>
    </row>
    <row r="189" spans="2:3" hidden="1" x14ac:dyDescent="0.2">
      <c r="B189" s="111">
        <f t="shared" si="0"/>
        <v>2066</v>
      </c>
      <c r="C189" s="112">
        <f>[5]С2.5!$AY$11</f>
        <v>0</v>
      </c>
    </row>
    <row r="190" spans="2:3" hidden="1" x14ac:dyDescent="0.2">
      <c r="B190" s="111">
        <f t="shared" si="0"/>
        <v>2067</v>
      </c>
      <c r="C190" s="112">
        <f>[5]С2.5!$AZ$11</f>
        <v>0</v>
      </c>
    </row>
    <row r="191" spans="2:3" hidden="1" x14ac:dyDescent="0.2">
      <c r="B191" s="111">
        <f t="shared" si="0"/>
        <v>2068</v>
      </c>
      <c r="C191" s="112">
        <f>[5]С2.5!$BA$11</f>
        <v>0</v>
      </c>
    </row>
    <row r="192" spans="2:3" hidden="1" x14ac:dyDescent="0.2">
      <c r="B192" s="111">
        <f t="shared" si="0"/>
        <v>2069</v>
      </c>
      <c r="C192" s="112">
        <f>[5]С2.5!$BB$11</f>
        <v>0</v>
      </c>
    </row>
    <row r="193" spans="2:3" hidden="1" x14ac:dyDescent="0.2">
      <c r="B193" s="111">
        <f t="shared" si="0"/>
        <v>2070</v>
      </c>
      <c r="C193" s="112">
        <f>[5]С2.5!$BC$11</f>
        <v>0</v>
      </c>
    </row>
    <row r="194" spans="2:3" hidden="1" x14ac:dyDescent="0.2">
      <c r="B194" s="111">
        <f t="shared" si="0"/>
        <v>2071</v>
      </c>
      <c r="C194" s="112">
        <f>[5]С2.5!$BD$11</f>
        <v>0</v>
      </c>
    </row>
    <row r="195" spans="2:3" hidden="1" x14ac:dyDescent="0.2">
      <c r="B195" s="111">
        <f t="shared" si="0"/>
        <v>2072</v>
      </c>
      <c r="C195" s="112">
        <f>[5]С2.5!$BE$11</f>
        <v>0</v>
      </c>
    </row>
    <row r="196" spans="2:3" hidden="1" x14ac:dyDescent="0.2">
      <c r="B196" s="111">
        <f t="shared" si="0"/>
        <v>2073</v>
      </c>
      <c r="C196" s="112">
        <f>[5]С2.5!$BF$11</f>
        <v>0</v>
      </c>
    </row>
    <row r="197" spans="2:3" hidden="1" x14ac:dyDescent="0.2">
      <c r="B197" s="111">
        <f t="shared" si="0"/>
        <v>2074</v>
      </c>
      <c r="C197" s="112">
        <f>[5]С2.5!$BG$11</f>
        <v>0</v>
      </c>
    </row>
    <row r="198" spans="2:3" hidden="1" x14ac:dyDescent="0.2">
      <c r="B198" s="111">
        <f t="shared" si="0"/>
        <v>2075</v>
      </c>
      <c r="C198" s="112">
        <f>[5]С2.5!$BH$11</f>
        <v>0</v>
      </c>
    </row>
    <row r="199" spans="2:3" hidden="1" x14ac:dyDescent="0.2">
      <c r="B199" s="111">
        <f t="shared" si="0"/>
        <v>2076</v>
      </c>
      <c r="C199" s="112">
        <f>[5]С2.5!$BI$11</f>
        <v>0</v>
      </c>
    </row>
    <row r="200" spans="2:3" hidden="1" x14ac:dyDescent="0.2">
      <c r="B200" s="111">
        <f t="shared" si="0"/>
        <v>2077</v>
      </c>
      <c r="C200" s="112">
        <f>[5]С2.5!$BJ$11</f>
        <v>0</v>
      </c>
    </row>
    <row r="201" spans="2:3" hidden="1" x14ac:dyDescent="0.2">
      <c r="B201" s="111">
        <f t="shared" si="0"/>
        <v>2078</v>
      </c>
      <c r="C201" s="112">
        <f>[5]С2.5!$BK$11</f>
        <v>0</v>
      </c>
    </row>
    <row r="202" spans="2:3" hidden="1" x14ac:dyDescent="0.2">
      <c r="B202" s="111">
        <f t="shared" si="0"/>
        <v>2079</v>
      </c>
      <c r="C202" s="112">
        <f>[5]С2.5!$BL$11</f>
        <v>0</v>
      </c>
    </row>
    <row r="203" spans="2:3" hidden="1" x14ac:dyDescent="0.2">
      <c r="B203" s="111">
        <f t="shared" si="0"/>
        <v>2080</v>
      </c>
      <c r="C203" s="112">
        <f>[5]С2.5!$BM$11</f>
        <v>0</v>
      </c>
    </row>
    <row r="204" spans="2:3" hidden="1" x14ac:dyDescent="0.2">
      <c r="B204" s="111">
        <f t="shared" si="0"/>
        <v>2081</v>
      </c>
      <c r="C204" s="112">
        <f>[5]С2.5!$BN$11</f>
        <v>0</v>
      </c>
    </row>
    <row r="205" spans="2:3" hidden="1" x14ac:dyDescent="0.2">
      <c r="B205" s="111">
        <f t="shared" si="0"/>
        <v>2082</v>
      </c>
      <c r="C205" s="112">
        <f>[5]С2.5!$BO$11</f>
        <v>0</v>
      </c>
    </row>
    <row r="206" spans="2:3" hidden="1" x14ac:dyDescent="0.2">
      <c r="B206" s="111">
        <f t="shared" si="0"/>
        <v>2083</v>
      </c>
      <c r="C206" s="112">
        <f>[5]С2.5!$BP$11</f>
        <v>0</v>
      </c>
    </row>
    <row r="207" spans="2:3" hidden="1" x14ac:dyDescent="0.2">
      <c r="B207" s="111">
        <f t="shared" si="0"/>
        <v>2084</v>
      </c>
      <c r="C207" s="112">
        <f>[5]С2.5!$BQ$11</f>
        <v>0</v>
      </c>
    </row>
    <row r="208" spans="2:3" hidden="1" x14ac:dyDescent="0.2">
      <c r="B208" s="111">
        <f t="shared" si="0"/>
        <v>2085</v>
      </c>
      <c r="C208" s="112">
        <f>[5]С2.5!$BR$11</f>
        <v>0</v>
      </c>
    </row>
    <row r="209" spans="2:3" hidden="1" x14ac:dyDescent="0.2">
      <c r="B209" s="111">
        <f t="shared" ref="B209:B223" si="1">B208+1</f>
        <v>2086</v>
      </c>
      <c r="C209" s="112">
        <f>[5]С2.5!$BS$11</f>
        <v>0</v>
      </c>
    </row>
    <row r="210" spans="2:3" hidden="1" x14ac:dyDescent="0.2">
      <c r="B210" s="111">
        <f t="shared" si="1"/>
        <v>2087</v>
      </c>
      <c r="C210" s="112">
        <f>[5]С2.5!$BT$11</f>
        <v>0</v>
      </c>
    </row>
    <row r="211" spans="2:3" hidden="1" x14ac:dyDescent="0.2">
      <c r="B211" s="111">
        <f t="shared" si="1"/>
        <v>2088</v>
      </c>
      <c r="C211" s="112">
        <f>[5]С2.5!$BU$11</f>
        <v>0</v>
      </c>
    </row>
    <row r="212" spans="2:3" hidden="1" x14ac:dyDescent="0.2">
      <c r="B212" s="111">
        <f t="shared" si="1"/>
        <v>2089</v>
      </c>
      <c r="C212" s="112">
        <f>[5]С2.5!$BV$11</f>
        <v>0</v>
      </c>
    </row>
    <row r="213" spans="2:3" hidden="1" x14ac:dyDescent="0.2">
      <c r="B213" s="111">
        <f t="shared" si="1"/>
        <v>2090</v>
      </c>
      <c r="C213" s="112">
        <f>[5]С2.5!$BW$11</f>
        <v>0</v>
      </c>
    </row>
    <row r="214" spans="2:3" hidden="1" x14ac:dyDescent="0.2">
      <c r="B214" s="111">
        <f t="shared" si="1"/>
        <v>2091</v>
      </c>
      <c r="C214" s="112">
        <f>[5]С2.5!$BX$11</f>
        <v>0</v>
      </c>
    </row>
    <row r="215" spans="2:3" hidden="1" x14ac:dyDescent="0.2">
      <c r="B215" s="111">
        <f t="shared" si="1"/>
        <v>2092</v>
      </c>
      <c r="C215" s="112">
        <f>[5]С2.5!$BY$11</f>
        <v>0</v>
      </c>
    </row>
    <row r="216" spans="2:3" hidden="1" x14ac:dyDescent="0.2">
      <c r="B216" s="111">
        <f t="shared" si="1"/>
        <v>2093</v>
      </c>
      <c r="C216" s="112">
        <f>[5]С2.5!$BZ$11</f>
        <v>0</v>
      </c>
    </row>
    <row r="217" spans="2:3" hidden="1" x14ac:dyDescent="0.2">
      <c r="B217" s="111">
        <f t="shared" si="1"/>
        <v>2094</v>
      </c>
      <c r="C217" s="112">
        <f>[5]С2.5!$CA$11</f>
        <v>0</v>
      </c>
    </row>
    <row r="218" spans="2:3" hidden="1" x14ac:dyDescent="0.2">
      <c r="B218" s="111">
        <f t="shared" si="1"/>
        <v>2095</v>
      </c>
      <c r="C218" s="112">
        <f>[5]С2.5!$CB$11</f>
        <v>0</v>
      </c>
    </row>
    <row r="219" spans="2:3" hidden="1" x14ac:dyDescent="0.2">
      <c r="B219" s="111">
        <f t="shared" si="1"/>
        <v>2096</v>
      </c>
      <c r="C219" s="112">
        <f>[5]С2.5!$CC$11</f>
        <v>0</v>
      </c>
    </row>
    <row r="220" spans="2:3" hidden="1" x14ac:dyDescent="0.2">
      <c r="B220" s="111">
        <f t="shared" si="1"/>
        <v>2097</v>
      </c>
      <c r="C220" s="112">
        <f>[5]С2.5!$CD$11</f>
        <v>0</v>
      </c>
    </row>
    <row r="221" spans="2:3" hidden="1" x14ac:dyDescent="0.2">
      <c r="B221" s="111">
        <f t="shared" si="1"/>
        <v>2098</v>
      </c>
      <c r="C221" s="112">
        <f>[5]С2.5!$CE$11</f>
        <v>0</v>
      </c>
    </row>
    <row r="222" spans="2:3" hidden="1" x14ac:dyDescent="0.2">
      <c r="B222" s="111">
        <f t="shared" si="1"/>
        <v>2099</v>
      </c>
      <c r="C222" s="112">
        <f>[5]С2.5!$CF$11</f>
        <v>0</v>
      </c>
    </row>
    <row r="223" spans="2:3" ht="13.5" hidden="1" thickBot="1" x14ac:dyDescent="0.25">
      <c r="B223" s="113">
        <f t="shared" si="1"/>
        <v>2100</v>
      </c>
      <c r="C223" s="114">
        <f>[5]С2.5!$CG$11</f>
        <v>0</v>
      </c>
    </row>
    <row r="224" spans="2:3" hidden="1" x14ac:dyDescent="0.2">
      <c r="C224" s="117"/>
    </row>
    <row r="225" spans="3:3" hidden="1" x14ac:dyDescent="0.2">
      <c r="C225" s="117"/>
    </row>
    <row r="226" spans="3:3" x14ac:dyDescent="0.2">
      <c r="C226" s="117"/>
    </row>
  </sheetData>
  <mergeCells count="9">
    <mergeCell ref="B141:C141"/>
    <mergeCell ref="A14:C14"/>
    <mergeCell ref="B1:C1"/>
    <mergeCell ref="B27:C27"/>
    <mergeCell ref="B40:C40"/>
    <mergeCell ref="B84:C84"/>
    <mergeCell ref="B95:C95"/>
    <mergeCell ref="B124:C124"/>
    <mergeCell ref="B127:C127"/>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3" r:id="rId3" name="Button 1">
              <controlPr defaultSize="0" print="0" autoFill="0" autoPict="0" macro="[6]!Лист29.PrintBlock">
                <anchor moveWithCells="1" sizeWithCells="1">
                  <from>
                    <xdr:col>3</xdr:col>
                    <xdr:colOff>0</xdr:colOff>
                    <xdr:row>0</xdr:row>
                    <xdr:rowOff>85725</xdr:rowOff>
                  </from>
                  <to>
                    <xdr:col>4</xdr:col>
                    <xdr:colOff>0</xdr:colOff>
                    <xdr:row>0</xdr:row>
                    <xdr:rowOff>238125</xdr:rowOff>
                  </to>
                </anchor>
              </controlPr>
            </control>
          </mc:Choice>
        </mc:AlternateContent>
        <mc:AlternateContent xmlns:mc="http://schemas.openxmlformats.org/markup-compatibility/2006">
          <mc:Choice Requires="x14">
            <control shapeId="3074" r:id="rId4" name="Button 2">
              <controlPr defaultSize="0" print="0" autoFill="0" autoPict="0" macro="[5]!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C2" sqref="C2"/>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20" t="s">
        <v>0</v>
      </c>
      <c r="C1" s="120"/>
    </row>
    <row r="2" spans="1:3" x14ac:dyDescent="0.2">
      <c r="A2" s="3"/>
      <c r="B2" s="4" t="s">
        <v>1</v>
      </c>
      <c r="C2" s="5">
        <v>45317</v>
      </c>
    </row>
    <row r="3" spans="1:3" x14ac:dyDescent="0.2">
      <c r="A3" s="3"/>
      <c r="B3" s="6" t="s">
        <v>2</v>
      </c>
    </row>
    <row r="4" spans="1:3" ht="25.5" x14ac:dyDescent="0.2">
      <c r="A4" s="8"/>
      <c r="B4" s="9" t="str">
        <f>[7]И1!D13</f>
        <v>Субъект Российской Федерации</v>
      </c>
      <c r="C4" s="10" t="str">
        <f>[7]И1!E13</f>
        <v>Новосибирская область</v>
      </c>
    </row>
    <row r="5" spans="1:3" ht="46.9" customHeight="1" x14ac:dyDescent="0.2">
      <c r="A5" s="8"/>
      <c r="B5" s="9" t="str">
        <f>[7]И1!D14</f>
        <v>Тип муниципального образования (выберите из списка)</v>
      </c>
      <c r="C5" s="10" t="str">
        <f>[7]И1!E14</f>
        <v>село Болтово, Сузунский муниципальный район</v>
      </c>
    </row>
    <row r="6" spans="1:3" x14ac:dyDescent="0.2">
      <c r="A6" s="8"/>
      <c r="B6" s="9" t="str">
        <f>IF([7]И1!E15="","",[7]И1!D15)</f>
        <v/>
      </c>
      <c r="C6" s="10" t="str">
        <f>IF([7]И1!E15="","",[7]И1!E15)</f>
        <v/>
      </c>
    </row>
    <row r="7" spans="1:3" x14ac:dyDescent="0.2">
      <c r="A7" s="8"/>
      <c r="B7" s="9" t="str">
        <f>[7]И1!D16</f>
        <v>Код ОКТМО</v>
      </c>
      <c r="C7" s="11" t="str">
        <f>[7]И1!E16</f>
        <v xml:space="preserve"> (50648407101)</v>
      </c>
    </row>
    <row r="8" spans="1:3" x14ac:dyDescent="0.2">
      <c r="A8" s="8"/>
      <c r="B8" s="12" t="str">
        <f>[7]И1!D17</f>
        <v>Система теплоснабжения</v>
      </c>
      <c r="C8" s="13">
        <f>[7]И1!E17</f>
        <v>0</v>
      </c>
    </row>
    <row r="9" spans="1:3" x14ac:dyDescent="0.2">
      <c r="A9" s="8"/>
      <c r="B9" s="9" t="str">
        <f>[7]И1!D8</f>
        <v>Период регулирования (i)-й</v>
      </c>
      <c r="C9" s="14">
        <f>[7]И1!E8</f>
        <v>2024</v>
      </c>
    </row>
    <row r="10" spans="1:3" x14ac:dyDescent="0.2">
      <c r="A10" s="8"/>
      <c r="B10" s="9" t="str">
        <f>[7]И1!D9</f>
        <v>Период регулирования (i-1)-й</v>
      </c>
      <c r="C10" s="14">
        <f>[7]И1!E9</f>
        <v>2023</v>
      </c>
    </row>
    <row r="11" spans="1:3" x14ac:dyDescent="0.2">
      <c r="A11" s="8"/>
      <c r="B11" s="9" t="str">
        <f>[7]И1!D10</f>
        <v>Период регулирования (i-2)-й</v>
      </c>
      <c r="C11" s="14">
        <f>[7]И1!E10</f>
        <v>2022</v>
      </c>
    </row>
    <row r="12" spans="1:3" x14ac:dyDescent="0.2">
      <c r="A12" s="8"/>
      <c r="B12" s="9" t="str">
        <f>[7]И1!D11</f>
        <v>Базовый год (б)</v>
      </c>
      <c r="C12" s="14">
        <f>[7]И1!E11</f>
        <v>2019</v>
      </c>
    </row>
    <row r="13" spans="1:3" ht="38.25" x14ac:dyDescent="0.2">
      <c r="A13" s="8"/>
      <c r="B13" s="9" t="str">
        <f>[7]И1!D18</f>
        <v>Вид топлива, использование которого преобладает в системе теплоснабжения</v>
      </c>
      <c r="C13" s="15" t="str">
        <f>[7]С1.1!E13</f>
        <v>уголь (вид угля не указан в топливном балансе)</v>
      </c>
    </row>
    <row r="14" spans="1:3" ht="31.7" customHeight="1" thickBot="1" x14ac:dyDescent="0.25">
      <c r="A14" s="119" t="s">
        <v>3</v>
      </c>
      <c r="B14" s="119"/>
      <c r="C14" s="119"/>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3552.5531269639082</v>
      </c>
    </row>
    <row r="18" spans="1:3" ht="42.75" x14ac:dyDescent="0.2">
      <c r="A18" s="22" t="s">
        <v>8</v>
      </c>
      <c r="B18" s="25" t="s">
        <v>9</v>
      </c>
      <c r="C18" s="26">
        <f>[7]С1!F12</f>
        <v>585.45691593283061</v>
      </c>
    </row>
    <row r="19" spans="1:3" ht="42.75" x14ac:dyDescent="0.2">
      <c r="A19" s="22" t="s">
        <v>10</v>
      </c>
      <c r="B19" s="25" t="s">
        <v>11</v>
      </c>
      <c r="C19" s="26">
        <f>[7]С2!F12</f>
        <v>1990.8616285605142</v>
      </c>
    </row>
    <row r="20" spans="1:3" ht="30" x14ac:dyDescent="0.2">
      <c r="A20" s="22" t="s">
        <v>12</v>
      </c>
      <c r="B20" s="25" t="s">
        <v>13</v>
      </c>
      <c r="C20" s="26">
        <f>[7]С3!F12</f>
        <v>473.18998182045129</v>
      </c>
    </row>
    <row r="21" spans="1:3" ht="42.75" x14ac:dyDescent="0.2">
      <c r="A21" s="22" t="s">
        <v>14</v>
      </c>
      <c r="B21" s="25" t="s">
        <v>15</v>
      </c>
      <c r="C21" s="26">
        <f>[7]С4!F12</f>
        <v>433.38669619983943</v>
      </c>
    </row>
    <row r="22" spans="1:3" ht="30" x14ac:dyDescent="0.2">
      <c r="A22" s="22" t="s">
        <v>16</v>
      </c>
      <c r="B22" s="25" t="s">
        <v>17</v>
      </c>
      <c r="C22" s="26">
        <f>[7]С5!F12</f>
        <v>69.65790445027271</v>
      </c>
    </row>
    <row r="23" spans="1:3" ht="43.5" thickBot="1" x14ac:dyDescent="0.25">
      <c r="A23" s="27" t="s">
        <v>18</v>
      </c>
      <c r="B23" s="105" t="s">
        <v>19</v>
      </c>
      <c r="C23" s="28" t="str">
        <f>[7]С6!F12</f>
        <v>-</v>
      </c>
    </row>
    <row r="24" spans="1:3" ht="13.5" thickBot="1" x14ac:dyDescent="0.25">
      <c r="A24" s="3"/>
    </row>
    <row r="25" spans="1:3" x14ac:dyDescent="0.2">
      <c r="A25" s="16" t="s">
        <v>4</v>
      </c>
      <c r="B25" s="29" t="s">
        <v>5</v>
      </c>
      <c r="C25" s="30" t="s">
        <v>6</v>
      </c>
    </row>
    <row r="26" spans="1:3" x14ac:dyDescent="0.2">
      <c r="A26" s="19">
        <v>1</v>
      </c>
      <c r="B26" s="31">
        <v>2</v>
      </c>
      <c r="C26" s="32">
        <v>3</v>
      </c>
    </row>
    <row r="27" spans="1:3" ht="30" customHeight="1" x14ac:dyDescent="0.2">
      <c r="A27" s="22">
        <v>1</v>
      </c>
      <c r="B27" s="121" t="s">
        <v>20</v>
      </c>
      <c r="C27" s="121"/>
    </row>
    <row r="28" spans="1:3" x14ac:dyDescent="0.2">
      <c r="A28" s="22" t="s">
        <v>8</v>
      </c>
      <c r="B28" s="33" t="s">
        <v>21</v>
      </c>
      <c r="C28" s="34">
        <f>[7]С1.1!E16</f>
        <v>5100</v>
      </c>
    </row>
    <row r="29" spans="1:3" ht="42.75" x14ac:dyDescent="0.2">
      <c r="A29" s="22" t="s">
        <v>10</v>
      </c>
      <c r="B29" s="33" t="s">
        <v>22</v>
      </c>
      <c r="C29" s="34">
        <f>[7]С1.1!E27</f>
        <v>2630.4833333333336</v>
      </c>
    </row>
    <row r="30" spans="1:3" ht="17.25" x14ac:dyDescent="0.2">
      <c r="A30" s="22" t="s">
        <v>12</v>
      </c>
      <c r="B30" s="33" t="s">
        <v>23</v>
      </c>
      <c r="C30" s="35">
        <f>[7]С1.1!E19</f>
        <v>-0.19900000000000001</v>
      </c>
    </row>
    <row r="31" spans="1:3" ht="17.25" x14ac:dyDescent="0.2">
      <c r="A31" s="22" t="s">
        <v>14</v>
      </c>
      <c r="B31" s="33" t="s">
        <v>24</v>
      </c>
      <c r="C31" s="35">
        <f>[7]С1.1!E20</f>
        <v>5.7000000000000002E-2</v>
      </c>
    </row>
    <row r="32" spans="1:3" ht="30" x14ac:dyDescent="0.2">
      <c r="A32" s="22" t="s">
        <v>16</v>
      </c>
      <c r="B32" s="36" t="s">
        <v>25</v>
      </c>
      <c r="C32" s="37">
        <f>[7]С1!F13</f>
        <v>176.4</v>
      </c>
    </row>
    <row r="33" spans="1:3" x14ac:dyDescent="0.2">
      <c r="A33" s="22" t="s">
        <v>18</v>
      </c>
      <c r="B33" s="36" t="s">
        <v>26</v>
      </c>
      <c r="C33" s="38">
        <f>[7]С1!F16</f>
        <v>7000</v>
      </c>
    </row>
    <row r="34" spans="1:3" ht="14.25" x14ac:dyDescent="0.2">
      <c r="A34" s="22" t="s">
        <v>27</v>
      </c>
      <c r="B34" s="39" t="s">
        <v>28</v>
      </c>
      <c r="C34" s="40">
        <f>[7]С1!F17</f>
        <v>0.72857142857142854</v>
      </c>
    </row>
    <row r="35" spans="1:3" ht="15.75" x14ac:dyDescent="0.2">
      <c r="A35" s="41" t="s">
        <v>29</v>
      </c>
      <c r="B35" s="42" t="s">
        <v>30</v>
      </c>
      <c r="C35" s="40">
        <f>[7]С1!F20</f>
        <v>21.588411179999994</v>
      </c>
    </row>
    <row r="36" spans="1:3" ht="15.75" x14ac:dyDescent="0.2">
      <c r="A36" s="41" t="s">
        <v>31</v>
      </c>
      <c r="B36" s="43" t="s">
        <v>32</v>
      </c>
      <c r="C36" s="40">
        <f>[7]С1!F21</f>
        <v>20.818139999999996</v>
      </c>
    </row>
    <row r="37" spans="1:3" ht="14.25" x14ac:dyDescent="0.2">
      <c r="A37" s="41" t="s">
        <v>33</v>
      </c>
      <c r="B37" s="44" t="s">
        <v>34</v>
      </c>
      <c r="C37" s="40">
        <f>[7]С1!F22</f>
        <v>1.0369999999999999</v>
      </c>
    </row>
    <row r="38" spans="1:3" ht="53.25" thickBot="1" x14ac:dyDescent="0.25">
      <c r="A38" s="27" t="s">
        <v>35</v>
      </c>
      <c r="B38" s="45" t="s">
        <v>36</v>
      </c>
      <c r="C38" s="46">
        <f>[7]С1!F23</f>
        <v>1.0469999999999999</v>
      </c>
    </row>
    <row r="39" spans="1:3" ht="13.5" thickBot="1" x14ac:dyDescent="0.25">
      <c r="A39" s="47"/>
      <c r="B39" s="48"/>
      <c r="C39" s="49"/>
    </row>
    <row r="40" spans="1:3" ht="30" customHeight="1" x14ac:dyDescent="0.2">
      <c r="A40" s="50" t="s">
        <v>37</v>
      </c>
      <c r="B40" s="122" t="s">
        <v>38</v>
      </c>
      <c r="C40" s="122"/>
    </row>
    <row r="41" spans="1:3" ht="25.5" x14ac:dyDescent="0.2">
      <c r="A41" s="22" t="s">
        <v>39</v>
      </c>
      <c r="B41" s="36" t="s">
        <v>40</v>
      </c>
      <c r="C41" s="51" t="str">
        <f>[7]С2.1!E12</f>
        <v>V</v>
      </c>
    </row>
    <row r="42" spans="1:3" ht="25.5" x14ac:dyDescent="0.2">
      <c r="A42" s="22" t="s">
        <v>41</v>
      </c>
      <c r="B42" s="33" t="s">
        <v>42</v>
      </c>
      <c r="C42" s="51" t="str">
        <f>[7]С2.1!E13</f>
        <v>6 и менее баллов</v>
      </c>
    </row>
    <row r="43" spans="1:3" ht="25.5" x14ac:dyDescent="0.2">
      <c r="A43" s="22" t="s">
        <v>43</v>
      </c>
      <c r="B43" s="33" t="s">
        <v>44</v>
      </c>
      <c r="C43" s="51" t="str">
        <f>[7]С2.1!E14</f>
        <v>от 200 до 500</v>
      </c>
    </row>
    <row r="44" spans="1:3" ht="25.5" x14ac:dyDescent="0.2">
      <c r="A44" s="22" t="s">
        <v>45</v>
      </c>
      <c r="B44" s="33" t="s">
        <v>46</v>
      </c>
      <c r="C44" s="52" t="str">
        <f>[7]С2.1!E15</f>
        <v>нет</v>
      </c>
    </row>
    <row r="45" spans="1:3" ht="30" x14ac:dyDescent="0.2">
      <c r="A45" s="22" t="s">
        <v>47</v>
      </c>
      <c r="B45" s="33" t="s">
        <v>48</v>
      </c>
      <c r="C45" s="34">
        <f>[7]С2!F18</f>
        <v>35106.652004551666</v>
      </c>
    </row>
    <row r="46" spans="1:3" ht="30" x14ac:dyDescent="0.2">
      <c r="A46" s="22" t="s">
        <v>49</v>
      </c>
      <c r="B46" s="53" t="s">
        <v>50</v>
      </c>
      <c r="C46" s="34">
        <f>IF([7]С2!F19&gt;0,[7]С2!F19,[7]С2!F20)</f>
        <v>23441.524932855718</v>
      </c>
    </row>
    <row r="47" spans="1:3" ht="25.5" x14ac:dyDescent="0.2">
      <c r="A47" s="22" t="s">
        <v>51</v>
      </c>
      <c r="B47" s="54" t="s">
        <v>52</v>
      </c>
      <c r="C47" s="34">
        <f>[7]С2.1!E19</f>
        <v>-38</v>
      </c>
    </row>
    <row r="48" spans="1:3" ht="25.5" x14ac:dyDescent="0.2">
      <c r="A48" s="22" t="s">
        <v>53</v>
      </c>
      <c r="B48" s="54" t="s">
        <v>54</v>
      </c>
      <c r="C48" s="34" t="str">
        <f>[7]С2.1!E22</f>
        <v>нет</v>
      </c>
    </row>
    <row r="49" spans="1:3" ht="38.25" x14ac:dyDescent="0.2">
      <c r="A49" s="22" t="s">
        <v>55</v>
      </c>
      <c r="B49" s="55" t="s">
        <v>56</v>
      </c>
      <c r="C49" s="34">
        <f>[7]С2.2!E10</f>
        <v>1287</v>
      </c>
    </row>
    <row r="50" spans="1:3" ht="25.5" x14ac:dyDescent="0.2">
      <c r="A50" s="22" t="s">
        <v>57</v>
      </c>
      <c r="B50" s="56" t="s">
        <v>58</v>
      </c>
      <c r="C50" s="34">
        <f>[7]С2.2!E12</f>
        <v>5.97</v>
      </c>
    </row>
    <row r="51" spans="1:3" ht="52.5" x14ac:dyDescent="0.2">
      <c r="A51" s="22" t="s">
        <v>59</v>
      </c>
      <c r="B51" s="57" t="s">
        <v>60</v>
      </c>
      <c r="C51" s="34">
        <f>[7]С2.2!E13</f>
        <v>1</v>
      </c>
    </row>
    <row r="52" spans="1:3" ht="27.75" x14ac:dyDescent="0.2">
      <c r="A52" s="22" t="s">
        <v>61</v>
      </c>
      <c r="B52" s="56" t="s">
        <v>62</v>
      </c>
      <c r="C52" s="34">
        <f>[7]С2.2!E14</f>
        <v>12104</v>
      </c>
    </row>
    <row r="53" spans="1:3" ht="25.5" x14ac:dyDescent="0.2">
      <c r="A53" s="22" t="s">
        <v>63</v>
      </c>
      <c r="B53" s="57" t="s">
        <v>64</v>
      </c>
      <c r="C53" s="35">
        <f>[7]С2.2!E15</f>
        <v>4.8000000000000001E-2</v>
      </c>
    </row>
    <row r="54" spans="1:3" x14ac:dyDescent="0.2">
      <c r="A54" s="22" t="s">
        <v>65</v>
      </c>
      <c r="B54" s="57" t="s">
        <v>66</v>
      </c>
      <c r="C54" s="34">
        <f>[7]С2.2!E16</f>
        <v>1</v>
      </c>
    </row>
    <row r="55" spans="1:3" ht="15.75" x14ac:dyDescent="0.2">
      <c r="A55" s="22" t="s">
        <v>67</v>
      </c>
      <c r="B55" s="58" t="s">
        <v>68</v>
      </c>
      <c r="C55" s="34">
        <f>[7]С2!F21</f>
        <v>1</v>
      </c>
    </row>
    <row r="56" spans="1:3" ht="30" x14ac:dyDescent="0.2">
      <c r="A56" s="59" t="s">
        <v>69</v>
      </c>
      <c r="B56" s="33" t="s">
        <v>70</v>
      </c>
      <c r="C56" s="34">
        <f>[7]С2!F13</f>
        <v>183796.83936385796</v>
      </c>
    </row>
    <row r="57" spans="1:3" ht="30" x14ac:dyDescent="0.2">
      <c r="A57" s="59" t="s">
        <v>71</v>
      </c>
      <c r="B57" s="58" t="s">
        <v>72</v>
      </c>
      <c r="C57" s="34">
        <f>[7]С2!F14</f>
        <v>113455</v>
      </c>
    </row>
    <row r="58" spans="1:3" ht="15.75" x14ac:dyDescent="0.2">
      <c r="A58" s="59" t="s">
        <v>73</v>
      </c>
      <c r="B58" s="60" t="s">
        <v>74</v>
      </c>
      <c r="C58" s="40">
        <f>[7]С2!F15</f>
        <v>1.071</v>
      </c>
    </row>
    <row r="59" spans="1:3" ht="15.75" x14ac:dyDescent="0.2">
      <c r="A59" s="59" t="s">
        <v>75</v>
      </c>
      <c r="B59" s="60" t="s">
        <v>76</v>
      </c>
      <c r="C59" s="40">
        <f>[7]С2!F16</f>
        <v>1</v>
      </c>
    </row>
    <row r="60" spans="1:3" ht="17.25" x14ac:dyDescent="0.2">
      <c r="A60" s="59" t="s">
        <v>77</v>
      </c>
      <c r="B60" s="58" t="s">
        <v>78</v>
      </c>
      <c r="C60" s="34">
        <f>[7]С2!F17</f>
        <v>1.01</v>
      </c>
    </row>
    <row r="61" spans="1:3" s="63" customFormat="1" ht="14.25" x14ac:dyDescent="0.2">
      <c r="A61" s="59" t="s">
        <v>79</v>
      </c>
      <c r="B61" s="61" t="s">
        <v>80</v>
      </c>
      <c r="C61" s="62">
        <f>[7]С2!F33</f>
        <v>10</v>
      </c>
    </row>
    <row r="62" spans="1:3" ht="30" x14ac:dyDescent="0.2">
      <c r="A62" s="59" t="s">
        <v>81</v>
      </c>
      <c r="B62" s="64" t="s">
        <v>82</v>
      </c>
      <c r="C62" s="34">
        <f>[7]С2!F26</f>
        <v>1543.3634896839897</v>
      </c>
    </row>
    <row r="63" spans="1:3" ht="17.25" x14ac:dyDescent="0.2">
      <c r="A63" s="59" t="s">
        <v>83</v>
      </c>
      <c r="B63" s="53" t="s">
        <v>84</v>
      </c>
      <c r="C63" s="34">
        <f>[7]С2!F27</f>
        <v>0.24536656199999998</v>
      </c>
    </row>
    <row r="64" spans="1:3" ht="17.25" x14ac:dyDescent="0.2">
      <c r="A64" s="59" t="s">
        <v>85</v>
      </c>
      <c r="B64" s="58" t="s">
        <v>86</v>
      </c>
      <c r="C64" s="62">
        <f>[7]С2!F28</f>
        <v>4200</v>
      </c>
    </row>
    <row r="65" spans="1:3" ht="42.75" x14ac:dyDescent="0.2">
      <c r="A65" s="59" t="s">
        <v>87</v>
      </c>
      <c r="B65" s="33" t="s">
        <v>88</v>
      </c>
      <c r="C65" s="34">
        <f>[7]С2!F22</f>
        <v>38698.422798410109</v>
      </c>
    </row>
    <row r="66" spans="1:3" ht="30" x14ac:dyDescent="0.2">
      <c r="A66" s="59" t="s">
        <v>89</v>
      </c>
      <c r="B66" s="60" t="s">
        <v>90</v>
      </c>
      <c r="C66" s="34">
        <f>[7]С2!F23</f>
        <v>1990</v>
      </c>
    </row>
    <row r="67" spans="1:3" ht="30" x14ac:dyDescent="0.2">
      <c r="A67" s="59" t="s">
        <v>91</v>
      </c>
      <c r="B67" s="53" t="s">
        <v>92</v>
      </c>
      <c r="C67" s="34">
        <f>[7]С2.1!E27</f>
        <v>14307.876789999998</v>
      </c>
    </row>
    <row r="68" spans="1:3" ht="38.25" x14ac:dyDescent="0.2">
      <c r="A68" s="59" t="s">
        <v>93</v>
      </c>
      <c r="B68" s="65" t="s">
        <v>94</v>
      </c>
      <c r="C68" s="52">
        <f>[7]С2.3!E21</f>
        <v>0</v>
      </c>
    </row>
    <row r="69" spans="1:3" ht="25.5" x14ac:dyDescent="0.2">
      <c r="A69" s="59" t="s">
        <v>95</v>
      </c>
      <c r="B69" s="66" t="s">
        <v>96</v>
      </c>
      <c r="C69" s="67">
        <f>[7]С2.3!E11</f>
        <v>9.89</v>
      </c>
    </row>
    <row r="70" spans="1:3" ht="25.5" x14ac:dyDescent="0.2">
      <c r="A70" s="59" t="s">
        <v>97</v>
      </c>
      <c r="B70" s="66" t="s">
        <v>98</v>
      </c>
      <c r="C70" s="62">
        <f>[7]С2.3!E13</f>
        <v>300</v>
      </c>
    </row>
    <row r="71" spans="1:3" ht="25.5" x14ac:dyDescent="0.2">
      <c r="A71" s="59" t="s">
        <v>99</v>
      </c>
      <c r="B71" s="65" t="s">
        <v>100</v>
      </c>
      <c r="C71" s="68">
        <f>IF([7]С2.3!E22&gt;0,[7]С2.3!E22,[7]С2.3!E14)</f>
        <v>61211</v>
      </c>
    </row>
    <row r="72" spans="1:3" ht="38.25" x14ac:dyDescent="0.2">
      <c r="A72" s="59" t="s">
        <v>101</v>
      </c>
      <c r="B72" s="65" t="s">
        <v>102</v>
      </c>
      <c r="C72" s="68">
        <f>IF([7]С2.3!E23&gt;0,[7]С2.3!E23,[7]С2.3!E15)</f>
        <v>45675</v>
      </c>
    </row>
    <row r="73" spans="1:3" ht="30" x14ac:dyDescent="0.2">
      <c r="A73" s="59" t="s">
        <v>103</v>
      </c>
      <c r="B73" s="53" t="s">
        <v>104</v>
      </c>
      <c r="C73" s="34">
        <f>[7]С2.1!E28</f>
        <v>9541.9567200000001</v>
      </c>
    </row>
    <row r="74" spans="1:3" ht="38.25" x14ac:dyDescent="0.2">
      <c r="A74" s="59" t="s">
        <v>105</v>
      </c>
      <c r="B74" s="65" t="s">
        <v>106</v>
      </c>
      <c r="C74" s="52">
        <f>[7]С2.3!E25</f>
        <v>0</v>
      </c>
    </row>
    <row r="75" spans="1:3" ht="25.5" x14ac:dyDescent="0.2">
      <c r="A75" s="59" t="s">
        <v>107</v>
      </c>
      <c r="B75" s="66" t="s">
        <v>108</v>
      </c>
      <c r="C75" s="67">
        <f>[7]С2.3!E12</f>
        <v>0.56000000000000005</v>
      </c>
    </row>
    <row r="76" spans="1:3" ht="25.5" x14ac:dyDescent="0.2">
      <c r="A76" s="59" t="s">
        <v>109</v>
      </c>
      <c r="B76" s="66" t="s">
        <v>98</v>
      </c>
      <c r="C76" s="62">
        <f>[7]С2.3!E13</f>
        <v>300</v>
      </c>
    </row>
    <row r="77" spans="1:3" ht="25.5" x14ac:dyDescent="0.2">
      <c r="A77" s="59" t="s">
        <v>110</v>
      </c>
      <c r="B77" s="69" t="s">
        <v>111</v>
      </c>
      <c r="C77" s="68">
        <f>IF([7]С2.3!E26&gt;0,[7]С2.3!E26,[7]С2.3!E16)</f>
        <v>65637</v>
      </c>
    </row>
    <row r="78" spans="1:3" ht="38.25" x14ac:dyDescent="0.2">
      <c r="A78" s="59" t="s">
        <v>112</v>
      </c>
      <c r="B78" s="69" t="s">
        <v>113</v>
      </c>
      <c r="C78" s="68">
        <f>IF([7]С2.3!E27&gt;0,[7]С2.3!E27,[7]С2.3!E17)</f>
        <v>31684</v>
      </c>
    </row>
    <row r="79" spans="1:3" ht="17.25" x14ac:dyDescent="0.2">
      <c r="A79" s="59" t="s">
        <v>114</v>
      </c>
      <c r="B79" s="33" t="s">
        <v>115</v>
      </c>
      <c r="C79" s="35">
        <f>[7]С2!F29</f>
        <v>9.5962865259740182E-2</v>
      </c>
    </row>
    <row r="80" spans="1:3" ht="30" x14ac:dyDescent="0.2">
      <c r="A80" s="59" t="s">
        <v>116</v>
      </c>
      <c r="B80" s="53" t="s">
        <v>117</v>
      </c>
      <c r="C80" s="70">
        <f>[7]С2!F30</f>
        <v>8.4029304029304031E-2</v>
      </c>
    </row>
    <row r="81" spans="1:3" ht="17.25" x14ac:dyDescent="0.2">
      <c r="A81" s="59" t="s">
        <v>118</v>
      </c>
      <c r="B81" s="71" t="s">
        <v>119</v>
      </c>
      <c r="C81" s="35">
        <f>[7]С2!F31</f>
        <v>0.13880000000000001</v>
      </c>
    </row>
    <row r="82" spans="1:3" s="63" customFormat="1" ht="18" thickBot="1" x14ac:dyDescent="0.25">
      <c r="A82" s="72" t="s">
        <v>120</v>
      </c>
      <c r="B82" s="73" t="s">
        <v>121</v>
      </c>
      <c r="C82" s="74">
        <f>[7]С2!F32</f>
        <v>0.12640000000000001</v>
      </c>
    </row>
    <row r="83" spans="1:3" ht="13.5" thickBot="1" x14ac:dyDescent="0.25">
      <c r="A83" s="47"/>
      <c r="B83" s="75"/>
      <c r="C83" s="15"/>
    </row>
    <row r="84" spans="1:3" s="63" customFormat="1" ht="30" customHeight="1" x14ac:dyDescent="0.2">
      <c r="A84" s="76" t="s">
        <v>122</v>
      </c>
      <c r="B84" s="122" t="s">
        <v>123</v>
      </c>
      <c r="C84" s="122"/>
    </row>
    <row r="85" spans="1:3" s="63" customFormat="1" ht="30" x14ac:dyDescent="0.2">
      <c r="A85" s="77" t="s">
        <v>124</v>
      </c>
      <c r="B85" s="33" t="s">
        <v>125</v>
      </c>
      <c r="C85" s="34">
        <f>[7]С3!F14</f>
        <v>6068.1437898865324</v>
      </c>
    </row>
    <row r="86" spans="1:3" s="63" customFormat="1" ht="42.75" x14ac:dyDescent="0.2">
      <c r="A86" s="77" t="s">
        <v>126</v>
      </c>
      <c r="B86" s="53" t="s">
        <v>127</v>
      </c>
      <c r="C86" s="78">
        <f>[7]С3!F15</f>
        <v>0.2</v>
      </c>
    </row>
    <row r="87" spans="1:3" s="63" customFormat="1" ht="14.25" x14ac:dyDescent="0.2">
      <c r="A87" s="77" t="s">
        <v>128</v>
      </c>
      <c r="B87" s="79" t="s">
        <v>129</v>
      </c>
      <c r="C87" s="62">
        <f>[7]С3!F18</f>
        <v>15</v>
      </c>
    </row>
    <row r="88" spans="1:3" s="63" customFormat="1" ht="17.25" x14ac:dyDescent="0.2">
      <c r="A88" s="77" t="s">
        <v>130</v>
      </c>
      <c r="B88" s="33" t="s">
        <v>131</v>
      </c>
      <c r="C88" s="34">
        <f>[7]С3!F19</f>
        <v>3778.1614077800232</v>
      </c>
    </row>
    <row r="89" spans="1:3" s="63" customFormat="1" ht="55.5" x14ac:dyDescent="0.2">
      <c r="A89" s="77" t="s">
        <v>132</v>
      </c>
      <c r="B89" s="53" t="s">
        <v>133</v>
      </c>
      <c r="C89" s="80">
        <f>[7]С3!F20</f>
        <v>2.1999999999999999E-2</v>
      </c>
    </row>
    <row r="90" spans="1:3" s="63" customFormat="1" ht="14.25" x14ac:dyDescent="0.2">
      <c r="A90" s="77" t="s">
        <v>134</v>
      </c>
      <c r="B90" s="58" t="s">
        <v>80</v>
      </c>
      <c r="C90" s="62">
        <f>[7]С3!F21</f>
        <v>10</v>
      </c>
    </row>
    <row r="91" spans="1:3" s="63" customFormat="1" ht="17.25" x14ac:dyDescent="0.2">
      <c r="A91" s="77" t="s">
        <v>135</v>
      </c>
      <c r="B91" s="33" t="s">
        <v>136</v>
      </c>
      <c r="C91" s="34">
        <f>[7]С3!F22</f>
        <v>4.6300904690519689</v>
      </c>
    </row>
    <row r="92" spans="1:3" s="63" customFormat="1" ht="55.5" x14ac:dyDescent="0.2">
      <c r="A92" s="77" t="s">
        <v>137</v>
      </c>
      <c r="B92" s="53" t="s">
        <v>138</v>
      </c>
      <c r="C92" s="80">
        <f>[7]С3!F23</f>
        <v>3.0000000000000001E-3</v>
      </c>
    </row>
    <row r="93" spans="1:3" s="63" customFormat="1" ht="27.75" thickBot="1" x14ac:dyDescent="0.25">
      <c r="A93" s="81" t="s">
        <v>139</v>
      </c>
      <c r="B93" s="82" t="s">
        <v>140</v>
      </c>
      <c r="C93" s="83">
        <f>[7]С3!F24</f>
        <v>1543.3634896839897</v>
      </c>
    </row>
    <row r="94" spans="1:3" ht="13.5" thickBot="1" x14ac:dyDescent="0.25">
      <c r="A94" s="47"/>
      <c r="B94" s="75"/>
      <c r="C94" s="15"/>
    </row>
    <row r="95" spans="1:3" ht="30" customHeight="1" x14ac:dyDescent="0.2">
      <c r="A95" s="84" t="s">
        <v>141</v>
      </c>
      <c r="B95" s="122" t="s">
        <v>142</v>
      </c>
      <c r="C95" s="122"/>
    </row>
    <row r="96" spans="1:3" ht="30" x14ac:dyDescent="0.2">
      <c r="A96" s="59" t="s">
        <v>143</v>
      </c>
      <c r="B96" s="33" t="s">
        <v>144</v>
      </c>
      <c r="C96" s="34">
        <f>[7]С4!F16</f>
        <v>1652.5</v>
      </c>
    </row>
    <row r="97" spans="1:3" ht="30" x14ac:dyDescent="0.2">
      <c r="A97" s="59" t="s">
        <v>145</v>
      </c>
      <c r="B97" s="58" t="s">
        <v>146</v>
      </c>
      <c r="C97" s="34">
        <f>[7]С4!F17</f>
        <v>73547</v>
      </c>
    </row>
    <row r="98" spans="1:3" ht="17.25" x14ac:dyDescent="0.2">
      <c r="A98" s="59" t="s">
        <v>147</v>
      </c>
      <c r="B98" s="58" t="s">
        <v>148</v>
      </c>
      <c r="C98" s="40">
        <f>[7]С4!F18</f>
        <v>0.02</v>
      </c>
    </row>
    <row r="99" spans="1:3" ht="30" x14ac:dyDescent="0.2">
      <c r="A99" s="59" t="s">
        <v>149</v>
      </c>
      <c r="B99" s="58" t="s">
        <v>150</v>
      </c>
      <c r="C99" s="34">
        <f>[7]С4!F19</f>
        <v>12104</v>
      </c>
    </row>
    <row r="100" spans="1:3" ht="31.5" x14ac:dyDescent="0.2">
      <c r="A100" s="59" t="s">
        <v>151</v>
      </c>
      <c r="B100" s="58" t="s">
        <v>152</v>
      </c>
      <c r="C100" s="40">
        <f>[7]С4!F20</f>
        <v>1.4999999999999999E-2</v>
      </c>
    </row>
    <row r="101" spans="1:3" ht="30" x14ac:dyDescent="0.2">
      <c r="A101" s="59" t="s">
        <v>153</v>
      </c>
      <c r="B101" s="33" t="s">
        <v>154</v>
      </c>
      <c r="C101" s="34">
        <f>[7]С4!F21</f>
        <v>1933.1949342509995</v>
      </c>
    </row>
    <row r="102" spans="1:3" ht="24" customHeight="1" x14ac:dyDescent="0.2">
      <c r="A102" s="59" t="s">
        <v>155</v>
      </c>
      <c r="B102" s="53" t="s">
        <v>156</v>
      </c>
      <c r="C102" s="85">
        <f>IF([7]С4.2!F8="да",[7]С4.2!D21,[7]С4.2!D15)</f>
        <v>0</v>
      </c>
    </row>
    <row r="103" spans="1:3" ht="68.25" x14ac:dyDescent="0.2">
      <c r="A103" s="59" t="s">
        <v>157</v>
      </c>
      <c r="B103" s="53" t="s">
        <v>158</v>
      </c>
      <c r="C103" s="34">
        <f>[7]С4!F22</f>
        <v>3.6112641666666665</v>
      </c>
    </row>
    <row r="104" spans="1:3" ht="30" x14ac:dyDescent="0.2">
      <c r="A104" s="59" t="s">
        <v>159</v>
      </c>
      <c r="B104" s="58" t="s">
        <v>160</v>
      </c>
      <c r="C104" s="34">
        <f>[7]С4!F23</f>
        <v>180</v>
      </c>
    </row>
    <row r="105" spans="1:3" ht="14.25" x14ac:dyDescent="0.2">
      <c r="A105" s="59" t="s">
        <v>161</v>
      </c>
      <c r="B105" s="53" t="s">
        <v>162</v>
      </c>
      <c r="C105" s="34">
        <f>[7]С4!F24</f>
        <v>8497.1999999999989</v>
      </c>
    </row>
    <row r="106" spans="1:3" ht="14.25" x14ac:dyDescent="0.2">
      <c r="A106" s="59" t="s">
        <v>163</v>
      </c>
      <c r="B106" s="58" t="s">
        <v>164</v>
      </c>
      <c r="C106" s="40">
        <f>[7]С4!F25</f>
        <v>0.35</v>
      </c>
    </row>
    <row r="107" spans="1:3" ht="17.25" x14ac:dyDescent="0.2">
      <c r="A107" s="59" t="s">
        <v>165</v>
      </c>
      <c r="B107" s="33" t="s">
        <v>166</v>
      </c>
      <c r="C107" s="34">
        <f>[7]С4!F26</f>
        <v>85.988129999999998</v>
      </c>
    </row>
    <row r="108" spans="1:3" ht="25.5" x14ac:dyDescent="0.2">
      <c r="A108" s="59" t="s">
        <v>167</v>
      </c>
      <c r="B108" s="53" t="s">
        <v>94</v>
      </c>
      <c r="C108" s="85">
        <f>[7]С4.3!E16</f>
        <v>0</v>
      </c>
    </row>
    <row r="109" spans="1:3" ht="25.5" x14ac:dyDescent="0.2">
      <c r="A109" s="59" t="s">
        <v>168</v>
      </c>
      <c r="B109" s="53" t="s">
        <v>169</v>
      </c>
      <c r="C109" s="34">
        <f>[7]С4.3!E17</f>
        <v>20.350000000000001</v>
      </c>
    </row>
    <row r="110" spans="1:3" ht="38.25" x14ac:dyDescent="0.2">
      <c r="A110" s="59" t="s">
        <v>170</v>
      </c>
      <c r="B110" s="53" t="s">
        <v>106</v>
      </c>
      <c r="C110" s="85">
        <f>[7]С4.3!E18</f>
        <v>0</v>
      </c>
    </row>
    <row r="111" spans="1:3" x14ac:dyDescent="0.2">
      <c r="A111" s="59" t="s">
        <v>171</v>
      </c>
      <c r="B111" s="53" t="s">
        <v>172</v>
      </c>
      <c r="C111" s="34">
        <f>[7]С4.3!E19</f>
        <v>71.67</v>
      </c>
    </row>
    <row r="112" spans="1:3" x14ac:dyDescent="0.2">
      <c r="A112" s="59" t="s">
        <v>173</v>
      </c>
      <c r="B112" s="58" t="s">
        <v>174</v>
      </c>
      <c r="C112" s="34">
        <f>[7]С4.3!E11</f>
        <v>1871</v>
      </c>
    </row>
    <row r="113" spans="1:3" x14ac:dyDescent="0.2">
      <c r="A113" s="59" t="s">
        <v>175</v>
      </c>
      <c r="B113" s="58" t="s">
        <v>176</v>
      </c>
      <c r="C113" s="52">
        <f>[7]С4.3!E12</f>
        <v>1636</v>
      </c>
    </row>
    <row r="114" spans="1:3" x14ac:dyDescent="0.2">
      <c r="A114" s="59" t="s">
        <v>177</v>
      </c>
      <c r="B114" s="58" t="s">
        <v>178</v>
      </c>
      <c r="C114" s="52">
        <f>[7]С4.3!E13</f>
        <v>204</v>
      </c>
    </row>
    <row r="115" spans="1:3" ht="30" x14ac:dyDescent="0.2">
      <c r="A115" s="59" t="s">
        <v>179</v>
      </c>
      <c r="B115" s="33" t="s">
        <v>180</v>
      </c>
      <c r="C115" s="34">
        <f>[7]С4!F27</f>
        <v>1291.2863994686898</v>
      </c>
    </row>
    <row r="116" spans="1:3" ht="25.5" x14ac:dyDescent="0.2">
      <c r="A116" s="59" t="s">
        <v>181</v>
      </c>
      <c r="B116" s="53" t="s">
        <v>182</v>
      </c>
      <c r="C116" s="34">
        <f>[7]С4!F28</f>
        <v>991.77142816335618</v>
      </c>
    </row>
    <row r="117" spans="1:3" ht="42.75" x14ac:dyDescent="0.2">
      <c r="A117" s="59" t="s">
        <v>183</v>
      </c>
      <c r="B117" s="53" t="s">
        <v>184</v>
      </c>
      <c r="C117" s="34">
        <f>[7]С4!F29</f>
        <v>299.51497130533357</v>
      </c>
    </row>
    <row r="118" spans="1:3" ht="30" x14ac:dyDescent="0.2">
      <c r="A118" s="59" t="s">
        <v>185</v>
      </c>
      <c r="B118" s="39" t="s">
        <v>186</v>
      </c>
      <c r="C118" s="34">
        <f>[7]С4!F30</f>
        <v>1589.6296792200212</v>
      </c>
    </row>
    <row r="119" spans="1:3" ht="42.75" x14ac:dyDescent="0.2">
      <c r="A119" s="59" t="s">
        <v>187</v>
      </c>
      <c r="B119" s="86" t="s">
        <v>188</v>
      </c>
      <c r="C119" s="34">
        <f>[7]С4!F33</f>
        <v>870.20936379005275</v>
      </c>
    </row>
    <row r="120" spans="1:3" ht="30" x14ac:dyDescent="0.2">
      <c r="A120" s="59" t="s">
        <v>189</v>
      </c>
      <c r="B120" s="87" t="s">
        <v>190</v>
      </c>
      <c r="C120" s="34">
        <f>[7]С4!F35</f>
        <v>17.040680999999999</v>
      </c>
    </row>
    <row r="121" spans="1:3" ht="14.25" x14ac:dyDescent="0.2">
      <c r="A121" s="59" t="s">
        <v>191</v>
      </c>
      <c r="B121" s="56" t="s">
        <v>192</v>
      </c>
      <c r="C121" s="34">
        <f>[7]С4!F36</f>
        <v>14319.9</v>
      </c>
    </row>
    <row r="122" spans="1:3" ht="28.5" thickBot="1" x14ac:dyDescent="0.25">
      <c r="A122" s="72" t="s">
        <v>193</v>
      </c>
      <c r="B122" s="88" t="s">
        <v>194</v>
      </c>
      <c r="C122" s="83">
        <f>[7]С4!F37</f>
        <v>1.19</v>
      </c>
    </row>
    <row r="123" spans="1:3" s="89" customFormat="1" ht="13.5" thickBot="1" x14ac:dyDescent="0.25">
      <c r="A123" s="47"/>
      <c r="B123" s="75"/>
      <c r="C123" s="15"/>
    </row>
    <row r="124" spans="1:3" s="63" customFormat="1" ht="30" customHeight="1" x14ac:dyDescent="0.2">
      <c r="A124" s="76" t="s">
        <v>195</v>
      </c>
      <c r="B124" s="122" t="s">
        <v>196</v>
      </c>
      <c r="C124" s="122"/>
    </row>
    <row r="125" spans="1:3" ht="16.5" thickBot="1" x14ac:dyDescent="0.25">
      <c r="A125" s="27" t="s">
        <v>197</v>
      </c>
      <c r="B125" s="90" t="s">
        <v>198</v>
      </c>
      <c r="C125" s="83">
        <f>[7]С5!F17</f>
        <v>0.02</v>
      </c>
    </row>
    <row r="126" spans="1:3" s="89" customFormat="1" ht="13.5" thickBot="1" x14ac:dyDescent="0.25">
      <c r="A126" s="47"/>
      <c r="B126" s="75"/>
      <c r="C126" s="15"/>
    </row>
    <row r="127" spans="1:3" ht="42.75" customHeight="1" x14ac:dyDescent="0.2">
      <c r="A127" s="84" t="s">
        <v>199</v>
      </c>
      <c r="B127" s="123" t="s">
        <v>200</v>
      </c>
      <c r="C127" s="123"/>
    </row>
    <row r="128" spans="1:3" ht="68.25" x14ac:dyDescent="0.2">
      <c r="A128" s="59" t="s">
        <v>201</v>
      </c>
      <c r="B128" s="91" t="s">
        <v>202</v>
      </c>
      <c r="C128" s="34" t="s">
        <v>203</v>
      </c>
    </row>
    <row r="129" spans="1:4" ht="42.75" hidden="1" x14ac:dyDescent="0.2">
      <c r="A129" s="59" t="s">
        <v>204</v>
      </c>
      <c r="B129" s="86" t="s">
        <v>205</v>
      </c>
      <c r="C129" s="92"/>
    </row>
    <row r="130" spans="1:4" ht="69" thickBot="1" x14ac:dyDescent="0.25">
      <c r="A130" s="72" t="s">
        <v>206</v>
      </c>
      <c r="B130" s="93" t="s">
        <v>207</v>
      </c>
      <c r="C130" s="94" t="s">
        <v>203</v>
      </c>
    </row>
    <row r="131" spans="1:4" ht="62.25" hidden="1" customHeight="1" x14ac:dyDescent="0.2">
      <c r="A131" s="95" t="s">
        <v>208</v>
      </c>
      <c r="B131" s="96" t="s">
        <v>209</v>
      </c>
      <c r="C131" s="97"/>
    </row>
    <row r="132" spans="1:4" ht="68.25" hidden="1" x14ac:dyDescent="0.2">
      <c r="A132" s="59" t="s">
        <v>210</v>
      </c>
      <c r="B132" s="86" t="s">
        <v>211</v>
      </c>
      <c r="C132" s="35"/>
    </row>
    <row r="133" spans="1:4" ht="69" hidden="1" thickBot="1" x14ac:dyDescent="0.25">
      <c r="A133" s="72" t="s">
        <v>212</v>
      </c>
      <c r="B133" s="98" t="s">
        <v>213</v>
      </c>
      <c r="C133" s="74"/>
    </row>
    <row r="134" spans="1:4" s="89" customFormat="1" ht="13.5" thickBot="1" x14ac:dyDescent="0.25">
      <c r="A134" s="47"/>
      <c r="B134" s="75"/>
      <c r="C134" s="15"/>
    </row>
    <row r="135" spans="1:4" ht="26.25" customHeight="1" x14ac:dyDescent="0.2">
      <c r="A135" s="84" t="s">
        <v>214</v>
      </c>
      <c r="B135" s="99" t="s">
        <v>215</v>
      </c>
      <c r="C135" s="100">
        <f>[7]С2!F37</f>
        <v>20.818139999999996</v>
      </c>
    </row>
    <row r="136" spans="1:4" ht="14.25" x14ac:dyDescent="0.2">
      <c r="A136" s="59" t="s">
        <v>216</v>
      </c>
      <c r="B136" s="101" t="s">
        <v>217</v>
      </c>
      <c r="C136" s="34">
        <f>[7]С2!F38</f>
        <v>7</v>
      </c>
    </row>
    <row r="137" spans="1:4" ht="17.25" x14ac:dyDescent="0.2">
      <c r="A137" s="59" t="s">
        <v>218</v>
      </c>
      <c r="B137" s="101" t="s">
        <v>219</v>
      </c>
      <c r="C137" s="34">
        <f>[7]С2!F40</f>
        <v>0.97</v>
      </c>
    </row>
    <row r="138" spans="1:4" ht="15" thickBot="1" x14ac:dyDescent="0.25">
      <c r="A138" s="72" t="s">
        <v>220</v>
      </c>
      <c r="B138" s="102" t="s">
        <v>221</v>
      </c>
      <c r="C138" s="46">
        <f>[7]С2!F42</f>
        <v>0.35</v>
      </c>
    </row>
    <row r="139" spans="1:4" s="89" customFormat="1" ht="13.5" thickBot="1" x14ac:dyDescent="0.25">
      <c r="A139" s="47"/>
      <c r="B139" s="75"/>
      <c r="C139" s="15"/>
    </row>
    <row r="140" spans="1:4" ht="30" x14ac:dyDescent="0.2">
      <c r="A140" s="84" t="s">
        <v>222</v>
      </c>
      <c r="B140" s="103" t="s">
        <v>223</v>
      </c>
      <c r="C140" s="104">
        <f>[7]С2!F35</f>
        <v>1.4976266307379205</v>
      </c>
      <c r="D140" s="89"/>
    </row>
    <row r="141" spans="1:4" ht="22.7" customHeight="1" thickBot="1" x14ac:dyDescent="0.25">
      <c r="A141" s="72" t="s">
        <v>224</v>
      </c>
      <c r="B141" s="118" t="s">
        <v>225</v>
      </c>
      <c r="C141" s="118"/>
      <c r="D141" s="89"/>
    </row>
    <row r="142" spans="1:4" ht="13.5" thickBot="1" x14ac:dyDescent="0.25">
      <c r="A142" s="106"/>
      <c r="B142" s="107" t="s">
        <v>226</v>
      </c>
      <c r="C142" s="108"/>
      <c r="D142" s="89"/>
    </row>
    <row r="143" spans="1:4" x14ac:dyDescent="0.2">
      <c r="A143" s="106"/>
      <c r="B143" s="109">
        <v>2020</v>
      </c>
      <c r="C143" s="110">
        <f>[7]С2.5!$E$11</f>
        <v>-2.9000000000000026E-2</v>
      </c>
      <c r="D143" s="89"/>
    </row>
    <row r="144" spans="1:4" x14ac:dyDescent="0.2">
      <c r="A144" s="106"/>
      <c r="B144" s="111">
        <f>B143+1</f>
        <v>2021</v>
      </c>
      <c r="C144" s="112">
        <f>[7]С2.5!$F$11</f>
        <v>0.245</v>
      </c>
      <c r="D144" s="89"/>
    </row>
    <row r="145" spans="1:4" x14ac:dyDescent="0.2">
      <c r="A145" s="106"/>
      <c r="B145" s="111">
        <f t="shared" ref="B145:B208" si="0">B144+1</f>
        <v>2022</v>
      </c>
      <c r="C145" s="112">
        <f>[7]С2.5!$G$11</f>
        <v>0.114</v>
      </c>
      <c r="D145" s="89"/>
    </row>
    <row r="146" spans="1:4" ht="13.5" thickBot="1" x14ac:dyDescent="0.25">
      <c r="A146" s="106"/>
      <c r="B146" s="113">
        <f t="shared" si="0"/>
        <v>2023</v>
      </c>
      <c r="C146" s="114">
        <f>[7]С2.5!$H$11</f>
        <v>2.4E-2</v>
      </c>
      <c r="D146" s="89"/>
    </row>
    <row r="147" spans="1:4" x14ac:dyDescent="0.2">
      <c r="A147" s="106"/>
      <c r="B147" s="115">
        <f t="shared" si="0"/>
        <v>2024</v>
      </c>
      <c r="C147" s="116">
        <f>[7]С2.5!$I$11</f>
        <v>8.5999999999999993E-2</v>
      </c>
      <c r="D147" s="89"/>
    </row>
    <row r="148" spans="1:4" hidden="1" x14ac:dyDescent="0.2">
      <c r="A148" s="106"/>
      <c r="B148" s="111">
        <f t="shared" si="0"/>
        <v>2025</v>
      </c>
      <c r="C148" s="112">
        <f>[7]С2.5!$J$11</f>
        <v>0.21215960863291</v>
      </c>
      <c r="D148" s="89"/>
    </row>
    <row r="149" spans="1:4" hidden="1" x14ac:dyDescent="0.2">
      <c r="A149" s="106"/>
      <c r="B149" s="111">
        <f t="shared" si="0"/>
        <v>2026</v>
      </c>
      <c r="C149" s="112">
        <f>[7]С2.5!$K$11</f>
        <v>3.5813361771260002E-2</v>
      </c>
      <c r="D149" s="89"/>
    </row>
    <row r="150" spans="1:4" hidden="1" x14ac:dyDescent="0.2">
      <c r="A150" s="106"/>
      <c r="B150" s="111">
        <f t="shared" si="0"/>
        <v>2027</v>
      </c>
      <c r="C150" s="112">
        <f>[7]С2.5!$L$11</f>
        <v>3.2682303599220003E-2</v>
      </c>
      <c r="D150" s="89"/>
    </row>
    <row r="151" spans="1:4" hidden="1" x14ac:dyDescent="0.2">
      <c r="A151" s="106"/>
      <c r="B151" s="111">
        <f t="shared" si="0"/>
        <v>2028</v>
      </c>
      <c r="C151" s="112">
        <f>[7]С2.5!$M$11</f>
        <v>0</v>
      </c>
      <c r="D151" s="89"/>
    </row>
    <row r="152" spans="1:4" hidden="1" x14ac:dyDescent="0.2">
      <c r="A152" s="106"/>
      <c r="B152" s="111">
        <f t="shared" si="0"/>
        <v>2029</v>
      </c>
      <c r="C152" s="112">
        <f>[7]С2.5!$N$11</f>
        <v>0</v>
      </c>
      <c r="D152" s="89"/>
    </row>
    <row r="153" spans="1:4" hidden="1" x14ac:dyDescent="0.2">
      <c r="A153" s="106"/>
      <c r="B153" s="111">
        <f t="shared" si="0"/>
        <v>2030</v>
      </c>
      <c r="C153" s="112">
        <f>[7]С2.5!$O$11</f>
        <v>0</v>
      </c>
      <c r="D153" s="89"/>
    </row>
    <row r="154" spans="1:4" hidden="1" x14ac:dyDescent="0.2">
      <c r="A154" s="106"/>
      <c r="B154" s="111">
        <f t="shared" si="0"/>
        <v>2031</v>
      </c>
      <c r="C154" s="112">
        <f>[7]С2.5!$P$11</f>
        <v>0</v>
      </c>
      <c r="D154" s="89"/>
    </row>
    <row r="155" spans="1:4" hidden="1" x14ac:dyDescent="0.2">
      <c r="A155" s="89"/>
      <c r="B155" s="111">
        <f t="shared" si="0"/>
        <v>2032</v>
      </c>
      <c r="C155" s="112">
        <f>[7]С2.5!$Q$11</f>
        <v>0</v>
      </c>
      <c r="D155" s="89"/>
    </row>
    <row r="156" spans="1:4" hidden="1" x14ac:dyDescent="0.2">
      <c r="A156" s="89"/>
      <c r="B156" s="111">
        <f t="shared" si="0"/>
        <v>2033</v>
      </c>
      <c r="C156" s="112">
        <f>[7]С2.5!$R$11</f>
        <v>0</v>
      </c>
      <c r="D156" s="89"/>
    </row>
    <row r="157" spans="1:4" hidden="1" x14ac:dyDescent="0.2">
      <c r="B157" s="111">
        <f t="shared" si="0"/>
        <v>2034</v>
      </c>
      <c r="C157" s="112">
        <f>[7]С2.5!$S$11</f>
        <v>0</v>
      </c>
    </row>
    <row r="158" spans="1:4" hidden="1" x14ac:dyDescent="0.2">
      <c r="B158" s="111">
        <f t="shared" si="0"/>
        <v>2035</v>
      </c>
      <c r="C158" s="112">
        <f>[7]С2.5!$T$11</f>
        <v>0</v>
      </c>
    </row>
    <row r="159" spans="1:4" hidden="1" x14ac:dyDescent="0.2">
      <c r="B159" s="111">
        <f t="shared" si="0"/>
        <v>2036</v>
      </c>
      <c r="C159" s="112">
        <f>[7]С2.5!$U$11</f>
        <v>0</v>
      </c>
    </row>
    <row r="160" spans="1:4" hidden="1" x14ac:dyDescent="0.2">
      <c r="B160" s="111">
        <f t="shared" si="0"/>
        <v>2037</v>
      </c>
      <c r="C160" s="112">
        <f>[7]С2.5!$V$11</f>
        <v>0</v>
      </c>
    </row>
    <row r="161" spans="2:3" hidden="1" x14ac:dyDescent="0.2">
      <c r="B161" s="111">
        <f t="shared" si="0"/>
        <v>2038</v>
      </c>
      <c r="C161" s="112">
        <f>[7]С2.5!$W$11</f>
        <v>0</v>
      </c>
    </row>
    <row r="162" spans="2:3" hidden="1" x14ac:dyDescent="0.2">
      <c r="B162" s="111">
        <f t="shared" si="0"/>
        <v>2039</v>
      </c>
      <c r="C162" s="112">
        <f>[7]С2.5!$X$11</f>
        <v>0</v>
      </c>
    </row>
    <row r="163" spans="2:3" hidden="1" x14ac:dyDescent="0.2">
      <c r="B163" s="111">
        <f t="shared" si="0"/>
        <v>2040</v>
      </c>
      <c r="C163" s="112">
        <f>[7]С2.5!$Y$11</f>
        <v>0</v>
      </c>
    </row>
    <row r="164" spans="2:3" hidden="1" x14ac:dyDescent="0.2">
      <c r="B164" s="111">
        <f t="shared" si="0"/>
        <v>2041</v>
      </c>
      <c r="C164" s="112">
        <f>[7]С2.5!$Z$11</f>
        <v>0</v>
      </c>
    </row>
    <row r="165" spans="2:3" hidden="1" x14ac:dyDescent="0.2">
      <c r="B165" s="111">
        <f t="shared" si="0"/>
        <v>2042</v>
      </c>
      <c r="C165" s="112">
        <f>[7]С2.5!$AA$11</f>
        <v>0</v>
      </c>
    </row>
    <row r="166" spans="2:3" hidden="1" x14ac:dyDescent="0.2">
      <c r="B166" s="111">
        <f t="shared" si="0"/>
        <v>2043</v>
      </c>
      <c r="C166" s="112">
        <f>[7]С2.5!$AB$11</f>
        <v>0</v>
      </c>
    </row>
    <row r="167" spans="2:3" hidden="1" x14ac:dyDescent="0.2">
      <c r="B167" s="111">
        <f t="shared" si="0"/>
        <v>2044</v>
      </c>
      <c r="C167" s="112">
        <f>[7]С2.5!$AC$11</f>
        <v>0</v>
      </c>
    </row>
    <row r="168" spans="2:3" hidden="1" x14ac:dyDescent="0.2">
      <c r="B168" s="111">
        <f t="shared" si="0"/>
        <v>2045</v>
      </c>
      <c r="C168" s="112">
        <f>[7]С2.5!$AD$11</f>
        <v>0</v>
      </c>
    </row>
    <row r="169" spans="2:3" hidden="1" x14ac:dyDescent="0.2">
      <c r="B169" s="111">
        <f t="shared" si="0"/>
        <v>2046</v>
      </c>
      <c r="C169" s="112">
        <f>[7]С2.5!$AE$11</f>
        <v>0</v>
      </c>
    </row>
    <row r="170" spans="2:3" hidden="1" x14ac:dyDescent="0.2">
      <c r="B170" s="111">
        <f t="shared" si="0"/>
        <v>2047</v>
      </c>
      <c r="C170" s="112">
        <f>[7]С2.5!$AF$11</f>
        <v>0</v>
      </c>
    </row>
    <row r="171" spans="2:3" hidden="1" x14ac:dyDescent="0.2">
      <c r="B171" s="111">
        <f t="shared" si="0"/>
        <v>2048</v>
      </c>
      <c r="C171" s="112">
        <f>[7]С2.5!$AG$11</f>
        <v>0</v>
      </c>
    </row>
    <row r="172" spans="2:3" hidden="1" x14ac:dyDescent="0.2">
      <c r="B172" s="111">
        <f t="shared" si="0"/>
        <v>2049</v>
      </c>
      <c r="C172" s="112">
        <f>[7]С2.5!$AH$11</f>
        <v>0</v>
      </c>
    </row>
    <row r="173" spans="2:3" hidden="1" x14ac:dyDescent="0.2">
      <c r="B173" s="111">
        <f t="shared" si="0"/>
        <v>2050</v>
      </c>
      <c r="C173" s="112">
        <f>[7]С2.5!$AI$11</f>
        <v>0</v>
      </c>
    </row>
    <row r="174" spans="2:3" hidden="1" x14ac:dyDescent="0.2">
      <c r="B174" s="111">
        <f t="shared" si="0"/>
        <v>2051</v>
      </c>
      <c r="C174" s="112">
        <f>[7]С2.5!$AJ$11</f>
        <v>0</v>
      </c>
    </row>
    <row r="175" spans="2:3" hidden="1" x14ac:dyDescent="0.2">
      <c r="B175" s="111">
        <f t="shared" si="0"/>
        <v>2052</v>
      </c>
      <c r="C175" s="112">
        <f>[7]С2.5!$AK$11</f>
        <v>0</v>
      </c>
    </row>
    <row r="176" spans="2:3" hidden="1" x14ac:dyDescent="0.2">
      <c r="B176" s="111">
        <f t="shared" si="0"/>
        <v>2053</v>
      </c>
      <c r="C176" s="112">
        <f>[7]С2.5!$AL$11</f>
        <v>0</v>
      </c>
    </row>
    <row r="177" spans="2:3" hidden="1" x14ac:dyDescent="0.2">
      <c r="B177" s="111">
        <f t="shared" si="0"/>
        <v>2054</v>
      </c>
      <c r="C177" s="112">
        <f>[7]С2.5!$AM$11</f>
        <v>0</v>
      </c>
    </row>
    <row r="178" spans="2:3" hidden="1" x14ac:dyDescent="0.2">
      <c r="B178" s="111">
        <f t="shared" si="0"/>
        <v>2055</v>
      </c>
      <c r="C178" s="112">
        <f>[7]С2.5!$AN$11</f>
        <v>0</v>
      </c>
    </row>
    <row r="179" spans="2:3" hidden="1" x14ac:dyDescent="0.2">
      <c r="B179" s="111">
        <f t="shared" si="0"/>
        <v>2056</v>
      </c>
      <c r="C179" s="112">
        <f>[7]С2.5!$AO$11</f>
        <v>0</v>
      </c>
    </row>
    <row r="180" spans="2:3" hidden="1" x14ac:dyDescent="0.2">
      <c r="B180" s="111">
        <f t="shared" si="0"/>
        <v>2057</v>
      </c>
      <c r="C180" s="112">
        <f>[7]С2.5!$AP$11</f>
        <v>0</v>
      </c>
    </row>
    <row r="181" spans="2:3" hidden="1" x14ac:dyDescent="0.2">
      <c r="B181" s="111">
        <f t="shared" si="0"/>
        <v>2058</v>
      </c>
      <c r="C181" s="112">
        <f>[7]С2.5!$AQ$11</f>
        <v>0</v>
      </c>
    </row>
    <row r="182" spans="2:3" hidden="1" x14ac:dyDescent="0.2">
      <c r="B182" s="111">
        <f t="shared" si="0"/>
        <v>2059</v>
      </c>
      <c r="C182" s="112">
        <f>[7]С2.5!$AR$11</f>
        <v>0</v>
      </c>
    </row>
    <row r="183" spans="2:3" hidden="1" x14ac:dyDescent="0.2">
      <c r="B183" s="111">
        <f t="shared" si="0"/>
        <v>2060</v>
      </c>
      <c r="C183" s="112">
        <f>[7]С2.5!$AS$11</f>
        <v>0</v>
      </c>
    </row>
    <row r="184" spans="2:3" hidden="1" x14ac:dyDescent="0.2">
      <c r="B184" s="111">
        <f t="shared" si="0"/>
        <v>2061</v>
      </c>
      <c r="C184" s="112">
        <f>[7]С2.5!$AT$11</f>
        <v>0</v>
      </c>
    </row>
    <row r="185" spans="2:3" hidden="1" x14ac:dyDescent="0.2">
      <c r="B185" s="111">
        <f t="shared" si="0"/>
        <v>2062</v>
      </c>
      <c r="C185" s="112">
        <f>[7]С2.5!$AU$11</f>
        <v>0</v>
      </c>
    </row>
    <row r="186" spans="2:3" hidden="1" x14ac:dyDescent="0.2">
      <c r="B186" s="111">
        <f t="shared" si="0"/>
        <v>2063</v>
      </c>
      <c r="C186" s="112">
        <f>[7]С2.5!$AV$11</f>
        <v>0</v>
      </c>
    </row>
    <row r="187" spans="2:3" hidden="1" x14ac:dyDescent="0.2">
      <c r="B187" s="111">
        <f t="shared" si="0"/>
        <v>2064</v>
      </c>
      <c r="C187" s="112">
        <f>[7]С2.5!$AW$11</f>
        <v>0</v>
      </c>
    </row>
    <row r="188" spans="2:3" hidden="1" x14ac:dyDescent="0.2">
      <c r="B188" s="111">
        <f t="shared" si="0"/>
        <v>2065</v>
      </c>
      <c r="C188" s="112">
        <f>[7]С2.5!$AX$11</f>
        <v>0</v>
      </c>
    </row>
    <row r="189" spans="2:3" hidden="1" x14ac:dyDescent="0.2">
      <c r="B189" s="111">
        <f t="shared" si="0"/>
        <v>2066</v>
      </c>
      <c r="C189" s="112">
        <f>[7]С2.5!$AY$11</f>
        <v>0</v>
      </c>
    </row>
    <row r="190" spans="2:3" hidden="1" x14ac:dyDescent="0.2">
      <c r="B190" s="111">
        <f t="shared" si="0"/>
        <v>2067</v>
      </c>
      <c r="C190" s="112">
        <f>[7]С2.5!$AZ$11</f>
        <v>0</v>
      </c>
    </row>
    <row r="191" spans="2:3" hidden="1" x14ac:dyDescent="0.2">
      <c r="B191" s="111">
        <f t="shared" si="0"/>
        <v>2068</v>
      </c>
      <c r="C191" s="112">
        <f>[7]С2.5!$BA$11</f>
        <v>0</v>
      </c>
    </row>
    <row r="192" spans="2:3" hidden="1" x14ac:dyDescent="0.2">
      <c r="B192" s="111">
        <f t="shared" si="0"/>
        <v>2069</v>
      </c>
      <c r="C192" s="112">
        <f>[7]С2.5!$BB$11</f>
        <v>0</v>
      </c>
    </row>
    <row r="193" spans="2:3" hidden="1" x14ac:dyDescent="0.2">
      <c r="B193" s="111">
        <f t="shared" si="0"/>
        <v>2070</v>
      </c>
      <c r="C193" s="112">
        <f>[7]С2.5!$BC$11</f>
        <v>0</v>
      </c>
    </row>
    <row r="194" spans="2:3" hidden="1" x14ac:dyDescent="0.2">
      <c r="B194" s="111">
        <f t="shared" si="0"/>
        <v>2071</v>
      </c>
      <c r="C194" s="112">
        <f>[7]С2.5!$BD$11</f>
        <v>0</v>
      </c>
    </row>
    <row r="195" spans="2:3" hidden="1" x14ac:dyDescent="0.2">
      <c r="B195" s="111">
        <f t="shared" si="0"/>
        <v>2072</v>
      </c>
      <c r="C195" s="112">
        <f>[7]С2.5!$BE$11</f>
        <v>0</v>
      </c>
    </row>
    <row r="196" spans="2:3" hidden="1" x14ac:dyDescent="0.2">
      <c r="B196" s="111">
        <f t="shared" si="0"/>
        <v>2073</v>
      </c>
      <c r="C196" s="112">
        <f>[7]С2.5!$BF$11</f>
        <v>0</v>
      </c>
    </row>
    <row r="197" spans="2:3" hidden="1" x14ac:dyDescent="0.2">
      <c r="B197" s="111">
        <f t="shared" si="0"/>
        <v>2074</v>
      </c>
      <c r="C197" s="112">
        <f>[7]С2.5!$BG$11</f>
        <v>0</v>
      </c>
    </row>
    <row r="198" spans="2:3" hidden="1" x14ac:dyDescent="0.2">
      <c r="B198" s="111">
        <f t="shared" si="0"/>
        <v>2075</v>
      </c>
      <c r="C198" s="112">
        <f>[7]С2.5!$BH$11</f>
        <v>0</v>
      </c>
    </row>
    <row r="199" spans="2:3" hidden="1" x14ac:dyDescent="0.2">
      <c r="B199" s="111">
        <f t="shared" si="0"/>
        <v>2076</v>
      </c>
      <c r="C199" s="112">
        <f>[7]С2.5!$BI$11</f>
        <v>0</v>
      </c>
    </row>
    <row r="200" spans="2:3" hidden="1" x14ac:dyDescent="0.2">
      <c r="B200" s="111">
        <f t="shared" si="0"/>
        <v>2077</v>
      </c>
      <c r="C200" s="112">
        <f>[7]С2.5!$BJ$11</f>
        <v>0</v>
      </c>
    </row>
    <row r="201" spans="2:3" hidden="1" x14ac:dyDescent="0.2">
      <c r="B201" s="111">
        <f t="shared" si="0"/>
        <v>2078</v>
      </c>
      <c r="C201" s="112">
        <f>[7]С2.5!$BK$11</f>
        <v>0</v>
      </c>
    </row>
    <row r="202" spans="2:3" hidden="1" x14ac:dyDescent="0.2">
      <c r="B202" s="111">
        <f t="shared" si="0"/>
        <v>2079</v>
      </c>
      <c r="C202" s="112">
        <f>[7]С2.5!$BL$11</f>
        <v>0</v>
      </c>
    </row>
    <row r="203" spans="2:3" hidden="1" x14ac:dyDescent="0.2">
      <c r="B203" s="111">
        <f t="shared" si="0"/>
        <v>2080</v>
      </c>
      <c r="C203" s="112">
        <f>[7]С2.5!$BM$11</f>
        <v>0</v>
      </c>
    </row>
    <row r="204" spans="2:3" hidden="1" x14ac:dyDescent="0.2">
      <c r="B204" s="111">
        <f t="shared" si="0"/>
        <v>2081</v>
      </c>
      <c r="C204" s="112">
        <f>[7]С2.5!$BN$11</f>
        <v>0</v>
      </c>
    </row>
    <row r="205" spans="2:3" hidden="1" x14ac:dyDescent="0.2">
      <c r="B205" s="111">
        <f t="shared" si="0"/>
        <v>2082</v>
      </c>
      <c r="C205" s="112">
        <f>[7]С2.5!$BO$11</f>
        <v>0</v>
      </c>
    </row>
    <row r="206" spans="2:3" hidden="1" x14ac:dyDescent="0.2">
      <c r="B206" s="111">
        <f t="shared" si="0"/>
        <v>2083</v>
      </c>
      <c r="C206" s="112">
        <f>[7]С2.5!$BP$11</f>
        <v>0</v>
      </c>
    </row>
    <row r="207" spans="2:3" hidden="1" x14ac:dyDescent="0.2">
      <c r="B207" s="111">
        <f t="shared" si="0"/>
        <v>2084</v>
      </c>
      <c r="C207" s="112">
        <f>[7]С2.5!$BQ$11</f>
        <v>0</v>
      </c>
    </row>
    <row r="208" spans="2:3" hidden="1" x14ac:dyDescent="0.2">
      <c r="B208" s="111">
        <f t="shared" si="0"/>
        <v>2085</v>
      </c>
      <c r="C208" s="112">
        <f>[7]С2.5!$BR$11</f>
        <v>0</v>
      </c>
    </row>
    <row r="209" spans="2:3" hidden="1" x14ac:dyDescent="0.2">
      <c r="B209" s="111">
        <f t="shared" ref="B209:B223" si="1">B208+1</f>
        <v>2086</v>
      </c>
      <c r="C209" s="112">
        <f>[7]С2.5!$BS$11</f>
        <v>0</v>
      </c>
    </row>
    <row r="210" spans="2:3" hidden="1" x14ac:dyDescent="0.2">
      <c r="B210" s="111">
        <f t="shared" si="1"/>
        <v>2087</v>
      </c>
      <c r="C210" s="112">
        <f>[7]С2.5!$BT$11</f>
        <v>0</v>
      </c>
    </row>
    <row r="211" spans="2:3" hidden="1" x14ac:dyDescent="0.2">
      <c r="B211" s="111">
        <f t="shared" si="1"/>
        <v>2088</v>
      </c>
      <c r="C211" s="112">
        <f>[7]С2.5!$BU$11</f>
        <v>0</v>
      </c>
    </row>
    <row r="212" spans="2:3" hidden="1" x14ac:dyDescent="0.2">
      <c r="B212" s="111">
        <f t="shared" si="1"/>
        <v>2089</v>
      </c>
      <c r="C212" s="112">
        <f>[7]С2.5!$BV$11</f>
        <v>0</v>
      </c>
    </row>
    <row r="213" spans="2:3" hidden="1" x14ac:dyDescent="0.2">
      <c r="B213" s="111">
        <f t="shared" si="1"/>
        <v>2090</v>
      </c>
      <c r="C213" s="112">
        <f>[7]С2.5!$BW$11</f>
        <v>0</v>
      </c>
    </row>
    <row r="214" spans="2:3" hidden="1" x14ac:dyDescent="0.2">
      <c r="B214" s="111">
        <f t="shared" si="1"/>
        <v>2091</v>
      </c>
      <c r="C214" s="112">
        <f>[7]С2.5!$BX$11</f>
        <v>0</v>
      </c>
    </row>
    <row r="215" spans="2:3" hidden="1" x14ac:dyDescent="0.2">
      <c r="B215" s="111">
        <f t="shared" si="1"/>
        <v>2092</v>
      </c>
      <c r="C215" s="112">
        <f>[7]С2.5!$BY$11</f>
        <v>0</v>
      </c>
    </row>
    <row r="216" spans="2:3" hidden="1" x14ac:dyDescent="0.2">
      <c r="B216" s="111">
        <f t="shared" si="1"/>
        <v>2093</v>
      </c>
      <c r="C216" s="112">
        <f>[7]С2.5!$BZ$11</f>
        <v>0</v>
      </c>
    </row>
    <row r="217" spans="2:3" hidden="1" x14ac:dyDescent="0.2">
      <c r="B217" s="111">
        <f t="shared" si="1"/>
        <v>2094</v>
      </c>
      <c r="C217" s="112">
        <f>[7]С2.5!$CA$11</f>
        <v>0</v>
      </c>
    </row>
    <row r="218" spans="2:3" hidden="1" x14ac:dyDescent="0.2">
      <c r="B218" s="111">
        <f t="shared" si="1"/>
        <v>2095</v>
      </c>
      <c r="C218" s="112">
        <f>[7]С2.5!$CB$11</f>
        <v>0</v>
      </c>
    </row>
    <row r="219" spans="2:3" hidden="1" x14ac:dyDescent="0.2">
      <c r="B219" s="111">
        <f t="shared" si="1"/>
        <v>2096</v>
      </c>
      <c r="C219" s="112">
        <f>[7]С2.5!$CC$11</f>
        <v>0</v>
      </c>
    </row>
    <row r="220" spans="2:3" hidden="1" x14ac:dyDescent="0.2">
      <c r="B220" s="111">
        <f t="shared" si="1"/>
        <v>2097</v>
      </c>
      <c r="C220" s="112">
        <f>[7]С2.5!$CD$11</f>
        <v>0</v>
      </c>
    </row>
    <row r="221" spans="2:3" hidden="1" x14ac:dyDescent="0.2">
      <c r="B221" s="111">
        <f t="shared" si="1"/>
        <v>2098</v>
      </c>
      <c r="C221" s="112">
        <f>[7]С2.5!$CE$11</f>
        <v>0</v>
      </c>
    </row>
    <row r="222" spans="2:3" hidden="1" x14ac:dyDescent="0.2">
      <c r="B222" s="111">
        <f t="shared" si="1"/>
        <v>2099</v>
      </c>
      <c r="C222" s="112">
        <f>[7]С2.5!$CF$11</f>
        <v>0</v>
      </c>
    </row>
    <row r="223" spans="2:3" ht="13.5" hidden="1" thickBot="1" x14ac:dyDescent="0.25">
      <c r="B223" s="113">
        <f t="shared" si="1"/>
        <v>2100</v>
      </c>
      <c r="C223" s="114">
        <f>[7]С2.5!$CG$11</f>
        <v>0</v>
      </c>
    </row>
    <row r="224" spans="2:3" hidden="1" x14ac:dyDescent="0.2">
      <c r="C224" s="117"/>
    </row>
    <row r="225" spans="3:3" hidden="1" x14ac:dyDescent="0.2">
      <c r="C225" s="117"/>
    </row>
    <row r="226" spans="3:3" x14ac:dyDescent="0.2">
      <c r="C226" s="117"/>
    </row>
  </sheetData>
  <mergeCells count="9">
    <mergeCell ref="B141:C141"/>
    <mergeCell ref="A14:C14"/>
    <mergeCell ref="B1:C1"/>
    <mergeCell ref="B27:C27"/>
    <mergeCell ref="B40:C40"/>
    <mergeCell ref="B84:C84"/>
    <mergeCell ref="B95:C95"/>
    <mergeCell ref="B124:C124"/>
    <mergeCell ref="B127:C127"/>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097" r:id="rId3" name="Button 1">
              <controlPr defaultSize="0" print="0" autoFill="0" autoPict="0" macro="[8]!Лист29.PrintBlock">
                <anchor moveWithCells="1" sizeWithCells="1">
                  <from>
                    <xdr:col>3</xdr:col>
                    <xdr:colOff>0</xdr:colOff>
                    <xdr:row>0</xdr:row>
                    <xdr:rowOff>85725</xdr:rowOff>
                  </from>
                  <to>
                    <xdr:col>4</xdr:col>
                    <xdr:colOff>0</xdr:colOff>
                    <xdr:row>0</xdr:row>
                    <xdr:rowOff>238125</xdr:rowOff>
                  </to>
                </anchor>
              </controlPr>
            </control>
          </mc:Choice>
        </mc:AlternateContent>
        <mc:AlternateContent xmlns:mc="http://schemas.openxmlformats.org/markup-compatibility/2006">
          <mc:Choice Requires="x14">
            <control shapeId="4098" r:id="rId4" name="Button 2">
              <controlPr defaultSize="0" print="0" autoFill="0" autoPict="0" macro="[7]!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C2" sqref="C2"/>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20" t="s">
        <v>0</v>
      </c>
      <c r="C1" s="120"/>
    </row>
    <row r="2" spans="1:3" x14ac:dyDescent="0.2">
      <c r="A2" s="3"/>
      <c r="B2" s="4" t="s">
        <v>1</v>
      </c>
      <c r="C2" s="5">
        <v>45317</v>
      </c>
    </row>
    <row r="3" spans="1:3" x14ac:dyDescent="0.2">
      <c r="A3" s="3"/>
      <c r="B3" s="6" t="s">
        <v>2</v>
      </c>
    </row>
    <row r="4" spans="1:3" ht="25.5" x14ac:dyDescent="0.2">
      <c r="A4" s="8"/>
      <c r="B4" s="9" t="str">
        <f>[9]И1!D13</f>
        <v>Субъект Российской Федерации</v>
      </c>
      <c r="C4" s="10" t="str">
        <f>[9]И1!E13</f>
        <v>Новосибирская область</v>
      </c>
    </row>
    <row r="5" spans="1:3" ht="46.9" customHeight="1" x14ac:dyDescent="0.2">
      <c r="A5" s="8"/>
      <c r="B5" s="9" t="str">
        <f>[9]И1!D14</f>
        <v>Тип муниципального образования (выберите из списка)</v>
      </c>
      <c r="C5" s="10" t="str">
        <f>[9]И1!E14</f>
        <v xml:space="preserve">село Верх-Сузун, Сузунский муниципальный район </v>
      </c>
    </row>
    <row r="6" spans="1:3" x14ac:dyDescent="0.2">
      <c r="A6" s="8"/>
      <c r="B6" s="9" t="str">
        <f>IF([9]И1!E15="","",[9]И1!D15)</f>
        <v/>
      </c>
      <c r="C6" s="10" t="str">
        <f>IF([9]И1!E15="","",[9]И1!E15)</f>
        <v/>
      </c>
    </row>
    <row r="7" spans="1:3" x14ac:dyDescent="0.2">
      <c r="A7" s="8"/>
      <c r="B7" s="9" t="str">
        <f>[9]И1!D16</f>
        <v>Код ОКТМО</v>
      </c>
      <c r="C7" s="11" t="str">
        <f>[9]И1!E16</f>
        <v>(50648410101)</v>
      </c>
    </row>
    <row r="8" spans="1:3" x14ac:dyDescent="0.2">
      <c r="A8" s="8"/>
      <c r="B8" s="12" t="str">
        <f>[9]И1!D17</f>
        <v>Система теплоснабжения</v>
      </c>
      <c r="C8" s="13">
        <f>[9]И1!E17</f>
        <v>0</v>
      </c>
    </row>
    <row r="9" spans="1:3" x14ac:dyDescent="0.2">
      <c r="A9" s="8"/>
      <c r="B9" s="9" t="str">
        <f>[9]И1!D8</f>
        <v>Период регулирования (i)-й</v>
      </c>
      <c r="C9" s="14">
        <f>[9]И1!E8</f>
        <v>2024</v>
      </c>
    </row>
    <row r="10" spans="1:3" x14ac:dyDescent="0.2">
      <c r="A10" s="8"/>
      <c r="B10" s="9" t="str">
        <f>[9]И1!D9</f>
        <v>Период регулирования (i-1)-й</v>
      </c>
      <c r="C10" s="14">
        <f>[9]И1!E9</f>
        <v>2023</v>
      </c>
    </row>
    <row r="11" spans="1:3" x14ac:dyDescent="0.2">
      <c r="A11" s="8"/>
      <c r="B11" s="9" t="str">
        <f>[9]И1!D10</f>
        <v>Период регулирования (i-2)-й</v>
      </c>
      <c r="C11" s="14">
        <f>[9]И1!E10</f>
        <v>2022</v>
      </c>
    </row>
    <row r="12" spans="1:3" x14ac:dyDescent="0.2">
      <c r="A12" s="8"/>
      <c r="B12" s="9" t="str">
        <f>[9]И1!D11</f>
        <v>Базовый год (б)</v>
      </c>
      <c r="C12" s="14">
        <f>[9]И1!E11</f>
        <v>2019</v>
      </c>
    </row>
    <row r="13" spans="1:3" ht="38.25" x14ac:dyDescent="0.2">
      <c r="A13" s="8"/>
      <c r="B13" s="9" t="str">
        <f>[9]И1!D18</f>
        <v>Вид топлива, использование которого преобладает в системе теплоснабжения</v>
      </c>
      <c r="C13" s="15" t="str">
        <f>[9]С1.1!E13</f>
        <v>уголь (вид угля не указан в топливном балансе)</v>
      </c>
    </row>
    <row r="14" spans="1:3" ht="31.7" customHeight="1" thickBot="1" x14ac:dyDescent="0.25">
      <c r="A14" s="119" t="s">
        <v>3</v>
      </c>
      <c r="B14" s="119"/>
      <c r="C14" s="119"/>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3596.3840044731014</v>
      </c>
    </row>
    <row r="18" spans="1:3" ht="42.75" x14ac:dyDescent="0.2">
      <c r="A18" s="22" t="s">
        <v>8</v>
      </c>
      <c r="B18" s="25" t="s">
        <v>9</v>
      </c>
      <c r="C18" s="26">
        <f>[9]С1!F12</f>
        <v>625.61714821173234</v>
      </c>
    </row>
    <row r="19" spans="1:3" ht="42.75" x14ac:dyDescent="0.2">
      <c r="A19" s="22" t="s">
        <v>10</v>
      </c>
      <c r="B19" s="25" t="s">
        <v>11</v>
      </c>
      <c r="C19" s="26">
        <f>[9]С2!F12</f>
        <v>1990.8616285605142</v>
      </c>
    </row>
    <row r="20" spans="1:3" ht="30" x14ac:dyDescent="0.2">
      <c r="A20" s="22" t="s">
        <v>12</v>
      </c>
      <c r="B20" s="25" t="s">
        <v>13</v>
      </c>
      <c r="C20" s="26">
        <f>[9]С3!F12</f>
        <v>473.18998182045129</v>
      </c>
    </row>
    <row r="21" spans="1:3" ht="42.75" x14ac:dyDescent="0.2">
      <c r="A21" s="22" t="s">
        <v>14</v>
      </c>
      <c r="B21" s="25" t="s">
        <v>15</v>
      </c>
      <c r="C21" s="26">
        <f>[9]С4!F12</f>
        <v>436.19791245936256</v>
      </c>
    </row>
    <row r="22" spans="1:3" ht="30" x14ac:dyDescent="0.2">
      <c r="A22" s="22" t="s">
        <v>16</v>
      </c>
      <c r="B22" s="25" t="s">
        <v>17</v>
      </c>
      <c r="C22" s="26">
        <f>[9]С5!F12</f>
        <v>70.517333421041201</v>
      </c>
    </row>
    <row r="23" spans="1:3" ht="43.5" thickBot="1" x14ac:dyDescent="0.25">
      <c r="A23" s="27" t="s">
        <v>18</v>
      </c>
      <c r="B23" s="105" t="s">
        <v>19</v>
      </c>
      <c r="C23" s="28" t="str">
        <f>[9]С6!F12</f>
        <v>-</v>
      </c>
    </row>
    <row r="24" spans="1:3" ht="13.5" thickBot="1" x14ac:dyDescent="0.25">
      <c r="A24" s="3"/>
    </row>
    <row r="25" spans="1:3" x14ac:dyDescent="0.2">
      <c r="A25" s="16" t="s">
        <v>4</v>
      </c>
      <c r="B25" s="29" t="s">
        <v>5</v>
      </c>
      <c r="C25" s="30" t="s">
        <v>6</v>
      </c>
    </row>
    <row r="26" spans="1:3" x14ac:dyDescent="0.2">
      <c r="A26" s="19">
        <v>1</v>
      </c>
      <c r="B26" s="31">
        <v>2</v>
      </c>
      <c r="C26" s="32">
        <v>3</v>
      </c>
    </row>
    <row r="27" spans="1:3" ht="30" customHeight="1" x14ac:dyDescent="0.2">
      <c r="A27" s="22">
        <v>1</v>
      </c>
      <c r="B27" s="121" t="s">
        <v>20</v>
      </c>
      <c r="C27" s="121"/>
    </row>
    <row r="28" spans="1:3" x14ac:dyDescent="0.2">
      <c r="A28" s="22" t="s">
        <v>8</v>
      </c>
      <c r="B28" s="33" t="s">
        <v>21</v>
      </c>
      <c r="C28" s="34">
        <f>[9]С1.1!E16</f>
        <v>5100</v>
      </c>
    </row>
    <row r="29" spans="1:3" ht="42.75" x14ac:dyDescent="0.2">
      <c r="A29" s="22" t="s">
        <v>10</v>
      </c>
      <c r="B29" s="33" t="s">
        <v>22</v>
      </c>
      <c r="C29" s="34">
        <f>[9]С1.1!E27</f>
        <v>2810.9250000000002</v>
      </c>
    </row>
    <row r="30" spans="1:3" ht="17.25" x14ac:dyDescent="0.2">
      <c r="A30" s="22" t="s">
        <v>12</v>
      </c>
      <c r="B30" s="33" t="s">
        <v>23</v>
      </c>
      <c r="C30" s="35">
        <f>[9]С1.1!E19</f>
        <v>-0.19900000000000001</v>
      </c>
    </row>
    <row r="31" spans="1:3" ht="17.25" x14ac:dyDescent="0.2">
      <c r="A31" s="22" t="s">
        <v>14</v>
      </c>
      <c r="B31" s="33" t="s">
        <v>24</v>
      </c>
      <c r="C31" s="35">
        <f>[9]С1.1!E20</f>
        <v>5.7000000000000002E-2</v>
      </c>
    </row>
    <row r="32" spans="1:3" ht="30" x14ac:dyDescent="0.2">
      <c r="A32" s="22" t="s">
        <v>16</v>
      </c>
      <c r="B32" s="36" t="s">
        <v>25</v>
      </c>
      <c r="C32" s="37">
        <f>[9]С1!F13</f>
        <v>176.4</v>
      </c>
    </row>
    <row r="33" spans="1:3" x14ac:dyDescent="0.2">
      <c r="A33" s="22" t="s">
        <v>18</v>
      </c>
      <c r="B33" s="36" t="s">
        <v>26</v>
      </c>
      <c r="C33" s="38">
        <f>[9]С1!F16</f>
        <v>7000</v>
      </c>
    </row>
    <row r="34" spans="1:3" ht="14.25" x14ac:dyDescent="0.2">
      <c r="A34" s="22" t="s">
        <v>27</v>
      </c>
      <c r="B34" s="39" t="s">
        <v>28</v>
      </c>
      <c r="C34" s="40">
        <f>[9]С1!F17</f>
        <v>0.72857142857142854</v>
      </c>
    </row>
    <row r="35" spans="1:3" ht="15.75" x14ac:dyDescent="0.2">
      <c r="A35" s="41" t="s">
        <v>29</v>
      </c>
      <c r="B35" s="42" t="s">
        <v>30</v>
      </c>
      <c r="C35" s="40">
        <f>[9]С1!F20</f>
        <v>21.588411179999994</v>
      </c>
    </row>
    <row r="36" spans="1:3" ht="15.75" x14ac:dyDescent="0.2">
      <c r="A36" s="41" t="s">
        <v>31</v>
      </c>
      <c r="B36" s="43" t="s">
        <v>32</v>
      </c>
      <c r="C36" s="40">
        <f>[9]С1!F21</f>
        <v>20.818139999999996</v>
      </c>
    </row>
    <row r="37" spans="1:3" ht="14.25" x14ac:dyDescent="0.2">
      <c r="A37" s="41" t="s">
        <v>33</v>
      </c>
      <c r="B37" s="44" t="s">
        <v>34</v>
      </c>
      <c r="C37" s="40">
        <f>[9]С1!F22</f>
        <v>1.0369999999999999</v>
      </c>
    </row>
    <row r="38" spans="1:3" ht="53.25" thickBot="1" x14ac:dyDescent="0.25">
      <c r="A38" s="27" t="s">
        <v>35</v>
      </c>
      <c r="B38" s="45" t="s">
        <v>36</v>
      </c>
      <c r="C38" s="46">
        <f>[9]С1!F23</f>
        <v>1.0469999999999999</v>
      </c>
    </row>
    <row r="39" spans="1:3" ht="13.5" thickBot="1" x14ac:dyDescent="0.25">
      <c r="A39" s="47"/>
      <c r="B39" s="48"/>
      <c r="C39" s="49"/>
    </row>
    <row r="40" spans="1:3" ht="30" customHeight="1" x14ac:dyDescent="0.2">
      <c r="A40" s="50" t="s">
        <v>37</v>
      </c>
      <c r="B40" s="122" t="s">
        <v>38</v>
      </c>
      <c r="C40" s="122"/>
    </row>
    <row r="41" spans="1:3" ht="25.5" x14ac:dyDescent="0.2">
      <c r="A41" s="22" t="s">
        <v>39</v>
      </c>
      <c r="B41" s="36" t="s">
        <v>40</v>
      </c>
      <c r="C41" s="51" t="str">
        <f>[9]С2.1!E12</f>
        <v>V</v>
      </c>
    </row>
    <row r="42" spans="1:3" ht="25.5" x14ac:dyDescent="0.2">
      <c r="A42" s="22" t="s">
        <v>41</v>
      </c>
      <c r="B42" s="33" t="s">
        <v>42</v>
      </c>
      <c r="C42" s="51" t="str">
        <f>[9]С2.1!E13</f>
        <v>6 и менее баллов</v>
      </c>
    </row>
    <row r="43" spans="1:3" ht="25.5" x14ac:dyDescent="0.2">
      <c r="A43" s="22" t="s">
        <v>43</v>
      </c>
      <c r="B43" s="33" t="s">
        <v>44</v>
      </c>
      <c r="C43" s="51" t="str">
        <f>[9]С2.1!E14</f>
        <v>от 200 до 500</v>
      </c>
    </row>
    <row r="44" spans="1:3" ht="25.5" x14ac:dyDescent="0.2">
      <c r="A44" s="22" t="s">
        <v>45</v>
      </c>
      <c r="B44" s="33" t="s">
        <v>46</v>
      </c>
      <c r="C44" s="52" t="str">
        <f>[9]С2.1!E15</f>
        <v>нет</v>
      </c>
    </row>
    <row r="45" spans="1:3" ht="30" x14ac:dyDescent="0.2">
      <c r="A45" s="22" t="s">
        <v>47</v>
      </c>
      <c r="B45" s="33" t="s">
        <v>48</v>
      </c>
      <c r="C45" s="34">
        <f>[9]С2!F18</f>
        <v>35106.652004551666</v>
      </c>
    </row>
    <row r="46" spans="1:3" ht="30" x14ac:dyDescent="0.2">
      <c r="A46" s="22" t="s">
        <v>49</v>
      </c>
      <c r="B46" s="53" t="s">
        <v>50</v>
      </c>
      <c r="C46" s="34">
        <f>IF([9]С2!F19&gt;0,[9]С2!F19,[9]С2!F20)</f>
        <v>23441.524932855718</v>
      </c>
    </row>
    <row r="47" spans="1:3" ht="25.5" x14ac:dyDescent="0.2">
      <c r="A47" s="22" t="s">
        <v>51</v>
      </c>
      <c r="B47" s="54" t="s">
        <v>52</v>
      </c>
      <c r="C47" s="34">
        <f>[9]С2.1!E19</f>
        <v>-38</v>
      </c>
    </row>
    <row r="48" spans="1:3" ht="25.5" x14ac:dyDescent="0.2">
      <c r="A48" s="22" t="s">
        <v>53</v>
      </c>
      <c r="B48" s="54" t="s">
        <v>54</v>
      </c>
      <c r="C48" s="34" t="str">
        <f>[9]С2.1!E22</f>
        <v>нет</v>
      </c>
    </row>
    <row r="49" spans="1:3" ht="38.25" x14ac:dyDescent="0.2">
      <c r="A49" s="22" t="s">
        <v>55</v>
      </c>
      <c r="B49" s="55" t="s">
        <v>56</v>
      </c>
      <c r="C49" s="34">
        <f>[9]С2.2!E10</f>
        <v>1287</v>
      </c>
    </row>
    <row r="50" spans="1:3" ht="25.5" x14ac:dyDescent="0.2">
      <c r="A50" s="22" t="s">
        <v>57</v>
      </c>
      <c r="B50" s="56" t="s">
        <v>58</v>
      </c>
      <c r="C50" s="34">
        <f>[9]С2.2!E12</f>
        <v>5.97</v>
      </c>
    </row>
    <row r="51" spans="1:3" ht="52.5" x14ac:dyDescent="0.2">
      <c r="A51" s="22" t="s">
        <v>59</v>
      </c>
      <c r="B51" s="57" t="s">
        <v>60</v>
      </c>
      <c r="C51" s="34">
        <f>[9]С2.2!E13</f>
        <v>1</v>
      </c>
    </row>
    <row r="52" spans="1:3" ht="27.75" x14ac:dyDescent="0.2">
      <c r="A52" s="22" t="s">
        <v>61</v>
      </c>
      <c r="B52" s="56" t="s">
        <v>62</v>
      </c>
      <c r="C52" s="34">
        <f>[9]С2.2!E14</f>
        <v>12104</v>
      </c>
    </row>
    <row r="53" spans="1:3" ht="25.5" x14ac:dyDescent="0.2">
      <c r="A53" s="22" t="s">
        <v>63</v>
      </c>
      <c r="B53" s="57" t="s">
        <v>64</v>
      </c>
      <c r="C53" s="35">
        <f>[9]С2.2!E15</f>
        <v>4.8000000000000001E-2</v>
      </c>
    </row>
    <row r="54" spans="1:3" x14ac:dyDescent="0.2">
      <c r="A54" s="22" t="s">
        <v>65</v>
      </c>
      <c r="B54" s="57" t="s">
        <v>66</v>
      </c>
      <c r="C54" s="34">
        <f>[9]С2.2!E16</f>
        <v>1</v>
      </c>
    </row>
    <row r="55" spans="1:3" ht="15.75" x14ac:dyDescent="0.2">
      <c r="A55" s="22" t="s">
        <v>67</v>
      </c>
      <c r="B55" s="58" t="s">
        <v>68</v>
      </c>
      <c r="C55" s="34">
        <f>[9]С2!F21</f>
        <v>1</v>
      </c>
    </row>
    <row r="56" spans="1:3" ht="30" x14ac:dyDescent="0.2">
      <c r="A56" s="59" t="s">
        <v>69</v>
      </c>
      <c r="B56" s="33" t="s">
        <v>70</v>
      </c>
      <c r="C56" s="34">
        <f>[9]С2!F13</f>
        <v>183796.83936385796</v>
      </c>
    </row>
    <row r="57" spans="1:3" ht="30" x14ac:dyDescent="0.2">
      <c r="A57" s="59" t="s">
        <v>71</v>
      </c>
      <c r="B57" s="58" t="s">
        <v>72</v>
      </c>
      <c r="C57" s="34">
        <f>[9]С2!F14</f>
        <v>113455</v>
      </c>
    </row>
    <row r="58" spans="1:3" ht="15.75" x14ac:dyDescent="0.2">
      <c r="A58" s="59" t="s">
        <v>73</v>
      </c>
      <c r="B58" s="60" t="s">
        <v>74</v>
      </c>
      <c r="C58" s="40">
        <f>[9]С2!F15</f>
        <v>1.071</v>
      </c>
    </row>
    <row r="59" spans="1:3" ht="15.75" x14ac:dyDescent="0.2">
      <c r="A59" s="59" t="s">
        <v>75</v>
      </c>
      <c r="B59" s="60" t="s">
        <v>76</v>
      </c>
      <c r="C59" s="40">
        <f>[9]С2!F16</f>
        <v>1</v>
      </c>
    </row>
    <row r="60" spans="1:3" ht="17.25" x14ac:dyDescent="0.2">
      <c r="A60" s="59" t="s">
        <v>77</v>
      </c>
      <c r="B60" s="58" t="s">
        <v>78</v>
      </c>
      <c r="C60" s="34">
        <f>[9]С2!F17</f>
        <v>1.01</v>
      </c>
    </row>
    <row r="61" spans="1:3" s="63" customFormat="1" ht="14.25" x14ac:dyDescent="0.2">
      <c r="A61" s="59" t="s">
        <v>79</v>
      </c>
      <c r="B61" s="61" t="s">
        <v>80</v>
      </c>
      <c r="C61" s="62">
        <f>[9]С2!F33</f>
        <v>10</v>
      </c>
    </row>
    <row r="62" spans="1:3" ht="30" x14ac:dyDescent="0.2">
      <c r="A62" s="59" t="s">
        <v>81</v>
      </c>
      <c r="B62" s="64" t="s">
        <v>82</v>
      </c>
      <c r="C62" s="34">
        <f>[9]С2!F26</f>
        <v>1543.3634896839897</v>
      </c>
    </row>
    <row r="63" spans="1:3" ht="17.25" x14ac:dyDescent="0.2">
      <c r="A63" s="59" t="s">
        <v>83</v>
      </c>
      <c r="B63" s="53" t="s">
        <v>84</v>
      </c>
      <c r="C63" s="34">
        <f>[9]С2!F27</f>
        <v>0.24536656199999998</v>
      </c>
    </row>
    <row r="64" spans="1:3" ht="17.25" x14ac:dyDescent="0.2">
      <c r="A64" s="59" t="s">
        <v>85</v>
      </c>
      <c r="B64" s="58" t="s">
        <v>86</v>
      </c>
      <c r="C64" s="62">
        <f>[9]С2!F28</f>
        <v>4200</v>
      </c>
    </row>
    <row r="65" spans="1:3" ht="42.75" x14ac:dyDescent="0.2">
      <c r="A65" s="59" t="s">
        <v>87</v>
      </c>
      <c r="B65" s="33" t="s">
        <v>88</v>
      </c>
      <c r="C65" s="34">
        <f>[9]С2!F22</f>
        <v>38698.422798410109</v>
      </c>
    </row>
    <row r="66" spans="1:3" ht="30" x14ac:dyDescent="0.2">
      <c r="A66" s="59" t="s">
        <v>89</v>
      </c>
      <c r="B66" s="60" t="s">
        <v>90</v>
      </c>
      <c r="C66" s="34">
        <f>[9]С2!F23</f>
        <v>1990</v>
      </c>
    </row>
    <row r="67" spans="1:3" ht="30" x14ac:dyDescent="0.2">
      <c r="A67" s="59" t="s">
        <v>91</v>
      </c>
      <c r="B67" s="53" t="s">
        <v>92</v>
      </c>
      <c r="C67" s="34">
        <f>[9]С2.1!E27</f>
        <v>14307.876789999998</v>
      </c>
    </row>
    <row r="68" spans="1:3" ht="38.25" x14ac:dyDescent="0.2">
      <c r="A68" s="59" t="s">
        <v>93</v>
      </c>
      <c r="B68" s="65" t="s">
        <v>94</v>
      </c>
      <c r="C68" s="52">
        <f>[9]С2.3!E21</f>
        <v>0</v>
      </c>
    </row>
    <row r="69" spans="1:3" ht="25.5" x14ac:dyDescent="0.2">
      <c r="A69" s="59" t="s">
        <v>95</v>
      </c>
      <c r="B69" s="66" t="s">
        <v>96</v>
      </c>
      <c r="C69" s="67">
        <f>[9]С2.3!E11</f>
        <v>9.89</v>
      </c>
    </row>
    <row r="70" spans="1:3" ht="25.5" x14ac:dyDescent="0.2">
      <c r="A70" s="59" t="s">
        <v>97</v>
      </c>
      <c r="B70" s="66" t="s">
        <v>98</v>
      </c>
      <c r="C70" s="62">
        <f>[9]С2.3!E13</f>
        <v>300</v>
      </c>
    </row>
    <row r="71" spans="1:3" ht="25.5" x14ac:dyDescent="0.2">
      <c r="A71" s="59" t="s">
        <v>99</v>
      </c>
      <c r="B71" s="65" t="s">
        <v>100</v>
      </c>
      <c r="C71" s="68">
        <f>IF([9]С2.3!E22&gt;0,[9]С2.3!E22,[9]С2.3!E14)</f>
        <v>61211</v>
      </c>
    </row>
    <row r="72" spans="1:3" ht="38.25" x14ac:dyDescent="0.2">
      <c r="A72" s="59" t="s">
        <v>101</v>
      </c>
      <c r="B72" s="65" t="s">
        <v>102</v>
      </c>
      <c r="C72" s="68">
        <f>IF([9]С2.3!E23&gt;0,[9]С2.3!E23,[9]С2.3!E15)</f>
        <v>45675</v>
      </c>
    </row>
    <row r="73" spans="1:3" ht="30" x14ac:dyDescent="0.2">
      <c r="A73" s="59" t="s">
        <v>103</v>
      </c>
      <c r="B73" s="53" t="s">
        <v>104</v>
      </c>
      <c r="C73" s="34">
        <f>[9]С2.1!E28</f>
        <v>9541.9567200000001</v>
      </c>
    </row>
    <row r="74" spans="1:3" ht="38.25" x14ac:dyDescent="0.2">
      <c r="A74" s="59" t="s">
        <v>105</v>
      </c>
      <c r="B74" s="65" t="s">
        <v>106</v>
      </c>
      <c r="C74" s="52">
        <f>[9]С2.3!E25</f>
        <v>0</v>
      </c>
    </row>
    <row r="75" spans="1:3" ht="25.5" x14ac:dyDescent="0.2">
      <c r="A75" s="59" t="s">
        <v>107</v>
      </c>
      <c r="B75" s="66" t="s">
        <v>108</v>
      </c>
      <c r="C75" s="67">
        <f>[9]С2.3!E12</f>
        <v>0.56000000000000005</v>
      </c>
    </row>
    <row r="76" spans="1:3" ht="25.5" x14ac:dyDescent="0.2">
      <c r="A76" s="59" t="s">
        <v>109</v>
      </c>
      <c r="B76" s="66" t="s">
        <v>98</v>
      </c>
      <c r="C76" s="62">
        <f>[9]С2.3!E13</f>
        <v>300</v>
      </c>
    </row>
    <row r="77" spans="1:3" ht="25.5" x14ac:dyDescent="0.2">
      <c r="A77" s="59" t="s">
        <v>110</v>
      </c>
      <c r="B77" s="69" t="s">
        <v>111</v>
      </c>
      <c r="C77" s="68">
        <f>IF([9]С2.3!E26&gt;0,[9]С2.3!E26,[9]С2.3!E16)</f>
        <v>65637</v>
      </c>
    </row>
    <row r="78" spans="1:3" ht="38.25" x14ac:dyDescent="0.2">
      <c r="A78" s="59" t="s">
        <v>112</v>
      </c>
      <c r="B78" s="69" t="s">
        <v>113</v>
      </c>
      <c r="C78" s="68">
        <f>IF([9]С2.3!E27&gt;0,[9]С2.3!E27,[9]С2.3!E17)</f>
        <v>31684</v>
      </c>
    </row>
    <row r="79" spans="1:3" ht="17.25" x14ac:dyDescent="0.2">
      <c r="A79" s="59" t="s">
        <v>114</v>
      </c>
      <c r="B79" s="33" t="s">
        <v>115</v>
      </c>
      <c r="C79" s="35">
        <f>[9]С2!F29</f>
        <v>9.5962865259740182E-2</v>
      </c>
    </row>
    <row r="80" spans="1:3" ht="30" x14ac:dyDescent="0.2">
      <c r="A80" s="59" t="s">
        <v>116</v>
      </c>
      <c r="B80" s="53" t="s">
        <v>117</v>
      </c>
      <c r="C80" s="70">
        <f>[9]С2!F30</f>
        <v>8.4029304029304031E-2</v>
      </c>
    </row>
    <row r="81" spans="1:3" ht="17.25" x14ac:dyDescent="0.2">
      <c r="A81" s="59" t="s">
        <v>118</v>
      </c>
      <c r="B81" s="71" t="s">
        <v>119</v>
      </c>
      <c r="C81" s="35">
        <f>[9]С2!F31</f>
        <v>0.13880000000000001</v>
      </c>
    </row>
    <row r="82" spans="1:3" s="63" customFormat="1" ht="18" thickBot="1" x14ac:dyDescent="0.25">
      <c r="A82" s="72" t="s">
        <v>120</v>
      </c>
      <c r="B82" s="73" t="s">
        <v>121</v>
      </c>
      <c r="C82" s="74">
        <f>[9]С2!F32</f>
        <v>0.12640000000000001</v>
      </c>
    </row>
    <row r="83" spans="1:3" ht="13.5" thickBot="1" x14ac:dyDescent="0.25">
      <c r="A83" s="47"/>
      <c r="B83" s="75"/>
      <c r="C83" s="15"/>
    </row>
    <row r="84" spans="1:3" s="63" customFormat="1" ht="30" customHeight="1" x14ac:dyDescent="0.2">
      <c r="A84" s="76" t="s">
        <v>122</v>
      </c>
      <c r="B84" s="122" t="s">
        <v>123</v>
      </c>
      <c r="C84" s="122"/>
    </row>
    <row r="85" spans="1:3" s="63" customFormat="1" ht="30" x14ac:dyDescent="0.2">
      <c r="A85" s="77" t="s">
        <v>124</v>
      </c>
      <c r="B85" s="33" t="s">
        <v>125</v>
      </c>
      <c r="C85" s="34">
        <f>[9]С3!F14</f>
        <v>6068.1437898865324</v>
      </c>
    </row>
    <row r="86" spans="1:3" s="63" customFormat="1" ht="42.75" x14ac:dyDescent="0.2">
      <c r="A86" s="77" t="s">
        <v>126</v>
      </c>
      <c r="B86" s="53" t="s">
        <v>127</v>
      </c>
      <c r="C86" s="78">
        <f>[9]С3!F15</f>
        <v>0.2</v>
      </c>
    </row>
    <row r="87" spans="1:3" s="63" customFormat="1" ht="14.25" x14ac:dyDescent="0.2">
      <c r="A87" s="77" t="s">
        <v>128</v>
      </c>
      <c r="B87" s="79" t="s">
        <v>129</v>
      </c>
      <c r="C87" s="62">
        <f>[9]С3!F18</f>
        <v>15</v>
      </c>
    </row>
    <row r="88" spans="1:3" s="63" customFormat="1" ht="17.25" x14ac:dyDescent="0.2">
      <c r="A88" s="77" t="s">
        <v>130</v>
      </c>
      <c r="B88" s="33" t="s">
        <v>131</v>
      </c>
      <c r="C88" s="34">
        <f>[9]С3!F19</f>
        <v>3778.1614077800232</v>
      </c>
    </row>
    <row r="89" spans="1:3" s="63" customFormat="1" ht="55.5" x14ac:dyDescent="0.2">
      <c r="A89" s="77" t="s">
        <v>132</v>
      </c>
      <c r="B89" s="53" t="s">
        <v>133</v>
      </c>
      <c r="C89" s="80">
        <f>[9]С3!F20</f>
        <v>2.1999999999999999E-2</v>
      </c>
    </row>
    <row r="90" spans="1:3" s="63" customFormat="1" ht="14.25" x14ac:dyDescent="0.2">
      <c r="A90" s="77" t="s">
        <v>134</v>
      </c>
      <c r="B90" s="58" t="s">
        <v>80</v>
      </c>
      <c r="C90" s="62">
        <f>[9]С3!F21</f>
        <v>10</v>
      </c>
    </row>
    <row r="91" spans="1:3" s="63" customFormat="1" ht="17.25" x14ac:dyDescent="0.2">
      <c r="A91" s="77" t="s">
        <v>135</v>
      </c>
      <c r="B91" s="33" t="s">
        <v>136</v>
      </c>
      <c r="C91" s="34">
        <f>[9]С3!F22</f>
        <v>4.6300904690519689</v>
      </c>
    </row>
    <row r="92" spans="1:3" s="63" customFormat="1" ht="55.5" x14ac:dyDescent="0.2">
      <c r="A92" s="77" t="s">
        <v>137</v>
      </c>
      <c r="B92" s="53" t="s">
        <v>138</v>
      </c>
      <c r="C92" s="80">
        <f>[9]С3!F23</f>
        <v>3.0000000000000001E-3</v>
      </c>
    </row>
    <row r="93" spans="1:3" s="63" customFormat="1" ht="27.75" thickBot="1" x14ac:dyDescent="0.25">
      <c r="A93" s="81" t="s">
        <v>139</v>
      </c>
      <c r="B93" s="82" t="s">
        <v>140</v>
      </c>
      <c r="C93" s="83">
        <f>[9]С3!F24</f>
        <v>1543.3634896839897</v>
      </c>
    </row>
    <row r="94" spans="1:3" ht="13.5" thickBot="1" x14ac:dyDescent="0.25">
      <c r="A94" s="47"/>
      <c r="B94" s="75"/>
      <c r="C94" s="15"/>
    </row>
    <row r="95" spans="1:3" ht="30" customHeight="1" x14ac:dyDescent="0.2">
      <c r="A95" s="84" t="s">
        <v>141</v>
      </c>
      <c r="B95" s="122" t="s">
        <v>142</v>
      </c>
      <c r="C95" s="122"/>
    </row>
    <row r="96" spans="1:3" ht="30" x14ac:dyDescent="0.2">
      <c r="A96" s="59" t="s">
        <v>143</v>
      </c>
      <c r="B96" s="33" t="s">
        <v>144</v>
      </c>
      <c r="C96" s="34">
        <f>[9]С4!F16</f>
        <v>1652.5</v>
      </c>
    </row>
    <row r="97" spans="1:3" ht="30" x14ac:dyDescent="0.2">
      <c r="A97" s="59" t="s">
        <v>145</v>
      </c>
      <c r="B97" s="58" t="s">
        <v>146</v>
      </c>
      <c r="C97" s="34">
        <f>[9]С4!F17</f>
        <v>73547</v>
      </c>
    </row>
    <row r="98" spans="1:3" ht="17.25" x14ac:dyDescent="0.2">
      <c r="A98" s="59" t="s">
        <v>147</v>
      </c>
      <c r="B98" s="58" t="s">
        <v>148</v>
      </c>
      <c r="C98" s="40">
        <f>[9]С4!F18</f>
        <v>0.02</v>
      </c>
    </row>
    <row r="99" spans="1:3" ht="30" x14ac:dyDescent="0.2">
      <c r="A99" s="59" t="s">
        <v>149</v>
      </c>
      <c r="B99" s="58" t="s">
        <v>150</v>
      </c>
      <c r="C99" s="34">
        <f>[9]С4!F19</f>
        <v>12104</v>
      </c>
    </row>
    <row r="100" spans="1:3" ht="31.5" x14ac:dyDescent="0.2">
      <c r="A100" s="59" t="s">
        <v>151</v>
      </c>
      <c r="B100" s="58" t="s">
        <v>152</v>
      </c>
      <c r="C100" s="40">
        <f>[9]С4!F20</f>
        <v>1.4999999999999999E-2</v>
      </c>
    </row>
    <row r="101" spans="1:3" ht="30" x14ac:dyDescent="0.2">
      <c r="A101" s="59" t="s">
        <v>153</v>
      </c>
      <c r="B101" s="33" t="s">
        <v>154</v>
      </c>
      <c r="C101" s="34">
        <f>[9]С4!F21</f>
        <v>1933.1949342509995</v>
      </c>
    </row>
    <row r="102" spans="1:3" ht="24" customHeight="1" x14ac:dyDescent="0.2">
      <c r="A102" s="59" t="s">
        <v>155</v>
      </c>
      <c r="B102" s="53" t="s">
        <v>156</v>
      </c>
      <c r="C102" s="85">
        <f>IF([9]С4.2!F8="да",[9]С4.2!D21,[9]С4.2!D15)</f>
        <v>0</v>
      </c>
    </row>
    <row r="103" spans="1:3" ht="68.25" x14ac:dyDescent="0.2">
      <c r="A103" s="59" t="s">
        <v>157</v>
      </c>
      <c r="B103" s="53" t="s">
        <v>158</v>
      </c>
      <c r="C103" s="34">
        <f>[9]С4!F22</f>
        <v>3.6112641666666665</v>
      </c>
    </row>
    <row r="104" spans="1:3" ht="30" x14ac:dyDescent="0.2">
      <c r="A104" s="59" t="s">
        <v>159</v>
      </c>
      <c r="B104" s="58" t="s">
        <v>160</v>
      </c>
      <c r="C104" s="34">
        <f>[9]С4!F23</f>
        <v>180</v>
      </c>
    </row>
    <row r="105" spans="1:3" ht="14.25" x14ac:dyDescent="0.2">
      <c r="A105" s="59" t="s">
        <v>161</v>
      </c>
      <c r="B105" s="53" t="s">
        <v>162</v>
      </c>
      <c r="C105" s="34">
        <f>[9]С4!F24</f>
        <v>8497.1999999999989</v>
      </c>
    </row>
    <row r="106" spans="1:3" ht="14.25" x14ac:dyDescent="0.2">
      <c r="A106" s="59" t="s">
        <v>163</v>
      </c>
      <c r="B106" s="58" t="s">
        <v>164</v>
      </c>
      <c r="C106" s="40">
        <f>[9]С4!F25</f>
        <v>0.35</v>
      </c>
    </row>
    <row r="107" spans="1:3" ht="17.25" x14ac:dyDescent="0.2">
      <c r="A107" s="59" t="s">
        <v>165</v>
      </c>
      <c r="B107" s="33" t="s">
        <v>166</v>
      </c>
      <c r="C107" s="34">
        <f>[9]С4!F26</f>
        <v>85.988129999999998</v>
      </c>
    </row>
    <row r="108" spans="1:3" ht="25.5" x14ac:dyDescent="0.2">
      <c r="A108" s="59" t="s">
        <v>167</v>
      </c>
      <c r="B108" s="53" t="s">
        <v>94</v>
      </c>
      <c r="C108" s="85">
        <f>[9]С4.3!E16</f>
        <v>0</v>
      </c>
    </row>
    <row r="109" spans="1:3" ht="25.5" x14ac:dyDescent="0.2">
      <c r="A109" s="59" t="s">
        <v>168</v>
      </c>
      <c r="B109" s="53" t="s">
        <v>169</v>
      </c>
      <c r="C109" s="34">
        <f>[9]С4.3!E17</f>
        <v>20.350000000000001</v>
      </c>
    </row>
    <row r="110" spans="1:3" ht="38.25" x14ac:dyDescent="0.2">
      <c r="A110" s="59" t="s">
        <v>170</v>
      </c>
      <c r="B110" s="53" t="s">
        <v>106</v>
      </c>
      <c r="C110" s="85">
        <f>[9]С4.3!E18</f>
        <v>0</v>
      </c>
    </row>
    <row r="111" spans="1:3" x14ac:dyDescent="0.2">
      <c r="A111" s="59" t="s">
        <v>171</v>
      </c>
      <c r="B111" s="53" t="s">
        <v>172</v>
      </c>
      <c r="C111" s="34">
        <f>[9]С4.3!E19</f>
        <v>71.67</v>
      </c>
    </row>
    <row r="112" spans="1:3" x14ac:dyDescent="0.2">
      <c r="A112" s="59" t="s">
        <v>173</v>
      </c>
      <c r="B112" s="58" t="s">
        <v>174</v>
      </c>
      <c r="C112" s="34">
        <f>[9]С4.3!E11</f>
        <v>1871</v>
      </c>
    </row>
    <row r="113" spans="1:3" x14ac:dyDescent="0.2">
      <c r="A113" s="59" t="s">
        <v>175</v>
      </c>
      <c r="B113" s="58" t="s">
        <v>176</v>
      </c>
      <c r="C113" s="52">
        <f>[9]С4.3!E12</f>
        <v>1636</v>
      </c>
    </row>
    <row r="114" spans="1:3" x14ac:dyDescent="0.2">
      <c r="A114" s="59" t="s">
        <v>177</v>
      </c>
      <c r="B114" s="58" t="s">
        <v>178</v>
      </c>
      <c r="C114" s="52">
        <f>[9]С4.3!E13</f>
        <v>204</v>
      </c>
    </row>
    <row r="115" spans="1:3" ht="30" x14ac:dyDescent="0.2">
      <c r="A115" s="59" t="s">
        <v>179</v>
      </c>
      <c r="B115" s="33" t="s">
        <v>180</v>
      </c>
      <c r="C115" s="34">
        <f>[9]С4!F27</f>
        <v>1291.2863994686898</v>
      </c>
    </row>
    <row r="116" spans="1:3" ht="25.5" x14ac:dyDescent="0.2">
      <c r="A116" s="59" t="s">
        <v>181</v>
      </c>
      <c r="B116" s="53" t="s">
        <v>182</v>
      </c>
      <c r="C116" s="34">
        <f>[9]С4!F28</f>
        <v>991.77142816335618</v>
      </c>
    </row>
    <row r="117" spans="1:3" ht="42.75" x14ac:dyDescent="0.2">
      <c r="A117" s="59" t="s">
        <v>183</v>
      </c>
      <c r="B117" s="53" t="s">
        <v>184</v>
      </c>
      <c r="C117" s="34">
        <f>[9]С4!F29</f>
        <v>299.51497130533357</v>
      </c>
    </row>
    <row r="118" spans="1:3" ht="30" x14ac:dyDescent="0.2">
      <c r="A118" s="59" t="s">
        <v>185</v>
      </c>
      <c r="B118" s="39" t="s">
        <v>186</v>
      </c>
      <c r="C118" s="34">
        <f>[9]С4!F30</f>
        <v>1648.1539728810499</v>
      </c>
    </row>
    <row r="119" spans="1:3" ht="42.75" x14ac:dyDescent="0.2">
      <c r="A119" s="59" t="s">
        <v>187</v>
      </c>
      <c r="B119" s="86" t="s">
        <v>188</v>
      </c>
      <c r="C119" s="34">
        <f>[9]С4!F33</f>
        <v>928.7336574510814</v>
      </c>
    </row>
    <row r="120" spans="1:3" ht="30" x14ac:dyDescent="0.2">
      <c r="A120" s="59" t="s">
        <v>189</v>
      </c>
      <c r="B120" s="87" t="s">
        <v>190</v>
      </c>
      <c r="C120" s="34">
        <f>[9]С4!F35</f>
        <v>17.040680999999999</v>
      </c>
    </row>
    <row r="121" spans="1:3" ht="14.25" x14ac:dyDescent="0.2">
      <c r="A121" s="59" t="s">
        <v>191</v>
      </c>
      <c r="B121" s="56" t="s">
        <v>192</v>
      </c>
      <c r="C121" s="34">
        <f>[9]С4!F36</f>
        <v>14319.9</v>
      </c>
    </row>
    <row r="122" spans="1:3" ht="28.5" thickBot="1" x14ac:dyDescent="0.25">
      <c r="A122" s="72" t="s">
        <v>193</v>
      </c>
      <c r="B122" s="88" t="s">
        <v>194</v>
      </c>
      <c r="C122" s="83">
        <f>[9]С4!F37</f>
        <v>1.19</v>
      </c>
    </row>
    <row r="123" spans="1:3" s="89" customFormat="1" ht="13.5" thickBot="1" x14ac:dyDescent="0.25">
      <c r="A123" s="47"/>
      <c r="B123" s="75"/>
      <c r="C123" s="15"/>
    </row>
    <row r="124" spans="1:3" s="63" customFormat="1" ht="30" customHeight="1" x14ac:dyDescent="0.2">
      <c r="A124" s="76" t="s">
        <v>195</v>
      </c>
      <c r="B124" s="122" t="s">
        <v>196</v>
      </c>
      <c r="C124" s="122"/>
    </row>
    <row r="125" spans="1:3" ht="16.5" thickBot="1" x14ac:dyDescent="0.25">
      <c r="A125" s="27" t="s">
        <v>197</v>
      </c>
      <c r="B125" s="90" t="s">
        <v>198</v>
      </c>
      <c r="C125" s="83">
        <f>[9]С5!F17</f>
        <v>0.02</v>
      </c>
    </row>
    <row r="126" spans="1:3" s="89" customFormat="1" ht="13.5" thickBot="1" x14ac:dyDescent="0.25">
      <c r="A126" s="47"/>
      <c r="B126" s="75"/>
      <c r="C126" s="15"/>
    </row>
    <row r="127" spans="1:3" ht="42.75" customHeight="1" x14ac:dyDescent="0.2">
      <c r="A127" s="84" t="s">
        <v>199</v>
      </c>
      <c r="B127" s="123" t="s">
        <v>200</v>
      </c>
      <c r="C127" s="123"/>
    </row>
    <row r="128" spans="1:3" ht="68.25" x14ac:dyDescent="0.2">
      <c r="A128" s="59" t="s">
        <v>201</v>
      </c>
      <c r="B128" s="91" t="s">
        <v>202</v>
      </c>
      <c r="C128" s="34" t="s">
        <v>203</v>
      </c>
    </row>
    <row r="129" spans="1:4" ht="42.75" hidden="1" x14ac:dyDescent="0.2">
      <c r="A129" s="59" t="s">
        <v>204</v>
      </c>
      <c r="B129" s="86" t="s">
        <v>205</v>
      </c>
      <c r="C129" s="92"/>
    </row>
    <row r="130" spans="1:4" ht="69" thickBot="1" x14ac:dyDescent="0.25">
      <c r="A130" s="72" t="s">
        <v>206</v>
      </c>
      <c r="B130" s="93" t="s">
        <v>207</v>
      </c>
      <c r="C130" s="94" t="s">
        <v>203</v>
      </c>
    </row>
    <row r="131" spans="1:4" ht="62.25" hidden="1" customHeight="1" x14ac:dyDescent="0.2">
      <c r="A131" s="95" t="s">
        <v>208</v>
      </c>
      <c r="B131" s="96" t="s">
        <v>209</v>
      </c>
      <c r="C131" s="97"/>
    </row>
    <row r="132" spans="1:4" ht="68.25" hidden="1" x14ac:dyDescent="0.2">
      <c r="A132" s="59" t="s">
        <v>210</v>
      </c>
      <c r="B132" s="86" t="s">
        <v>211</v>
      </c>
      <c r="C132" s="35"/>
    </row>
    <row r="133" spans="1:4" ht="69" hidden="1" thickBot="1" x14ac:dyDescent="0.25">
      <c r="A133" s="72" t="s">
        <v>212</v>
      </c>
      <c r="B133" s="98" t="s">
        <v>213</v>
      </c>
      <c r="C133" s="74"/>
    </row>
    <row r="134" spans="1:4" s="89" customFormat="1" ht="13.5" thickBot="1" x14ac:dyDescent="0.25">
      <c r="A134" s="47"/>
      <c r="B134" s="75"/>
      <c r="C134" s="15"/>
    </row>
    <row r="135" spans="1:4" ht="26.25" customHeight="1" x14ac:dyDescent="0.2">
      <c r="A135" s="84" t="s">
        <v>214</v>
      </c>
      <c r="B135" s="99" t="s">
        <v>215</v>
      </c>
      <c r="C135" s="100">
        <f>[9]С2!F37</f>
        <v>20.818139999999996</v>
      </c>
    </row>
    <row r="136" spans="1:4" ht="14.25" x14ac:dyDescent="0.2">
      <c r="A136" s="59" t="s">
        <v>216</v>
      </c>
      <c r="B136" s="101" t="s">
        <v>217</v>
      </c>
      <c r="C136" s="34">
        <f>[9]С2!F38</f>
        <v>7</v>
      </c>
    </row>
    <row r="137" spans="1:4" ht="17.25" x14ac:dyDescent="0.2">
      <c r="A137" s="59" t="s">
        <v>218</v>
      </c>
      <c r="B137" s="101" t="s">
        <v>219</v>
      </c>
      <c r="C137" s="34">
        <f>[9]С2!F40</f>
        <v>0.97</v>
      </c>
    </row>
    <row r="138" spans="1:4" ht="15" thickBot="1" x14ac:dyDescent="0.25">
      <c r="A138" s="72" t="s">
        <v>220</v>
      </c>
      <c r="B138" s="102" t="s">
        <v>221</v>
      </c>
      <c r="C138" s="46">
        <f>[9]С2!F42</f>
        <v>0.35</v>
      </c>
    </row>
    <row r="139" spans="1:4" s="89" customFormat="1" ht="13.5" thickBot="1" x14ac:dyDescent="0.25">
      <c r="A139" s="47"/>
      <c r="B139" s="75"/>
      <c r="C139" s="15"/>
    </row>
    <row r="140" spans="1:4" ht="30" x14ac:dyDescent="0.2">
      <c r="A140" s="84" t="s">
        <v>222</v>
      </c>
      <c r="B140" s="103" t="s">
        <v>223</v>
      </c>
      <c r="C140" s="104">
        <f>[9]С2!F35</f>
        <v>1.4976266307379205</v>
      </c>
      <c r="D140" s="89"/>
    </row>
    <row r="141" spans="1:4" ht="22.7" customHeight="1" thickBot="1" x14ac:dyDescent="0.25">
      <c r="A141" s="72" t="s">
        <v>224</v>
      </c>
      <c r="B141" s="118" t="s">
        <v>225</v>
      </c>
      <c r="C141" s="118"/>
      <c r="D141" s="89"/>
    </row>
    <row r="142" spans="1:4" ht="13.5" thickBot="1" x14ac:dyDescent="0.25">
      <c r="A142" s="106"/>
      <c r="B142" s="107" t="s">
        <v>226</v>
      </c>
      <c r="C142" s="108"/>
      <c r="D142" s="89"/>
    </row>
    <row r="143" spans="1:4" x14ac:dyDescent="0.2">
      <c r="A143" s="106"/>
      <c r="B143" s="109">
        <v>2020</v>
      </c>
      <c r="C143" s="110">
        <f>[9]С2.5!$E$11</f>
        <v>-2.9000000000000026E-2</v>
      </c>
      <c r="D143" s="89"/>
    </row>
    <row r="144" spans="1:4" x14ac:dyDescent="0.2">
      <c r="A144" s="106"/>
      <c r="B144" s="111">
        <f>B143+1</f>
        <v>2021</v>
      </c>
      <c r="C144" s="112">
        <f>[9]С2.5!$F$11</f>
        <v>0.245</v>
      </c>
      <c r="D144" s="89"/>
    </row>
    <row r="145" spans="1:4" x14ac:dyDescent="0.2">
      <c r="A145" s="106"/>
      <c r="B145" s="111">
        <f t="shared" ref="B145:B208" si="0">B144+1</f>
        <v>2022</v>
      </c>
      <c r="C145" s="112">
        <f>[9]С2.5!$G$11</f>
        <v>0.114</v>
      </c>
      <c r="D145" s="89"/>
    </row>
    <row r="146" spans="1:4" ht="13.5" thickBot="1" x14ac:dyDescent="0.25">
      <c r="A146" s="106"/>
      <c r="B146" s="113">
        <f t="shared" si="0"/>
        <v>2023</v>
      </c>
      <c r="C146" s="114">
        <f>[9]С2.5!$H$11</f>
        <v>2.4E-2</v>
      </c>
      <c r="D146" s="89"/>
    </row>
    <row r="147" spans="1:4" x14ac:dyDescent="0.2">
      <c r="A147" s="106"/>
      <c r="B147" s="115">
        <f t="shared" si="0"/>
        <v>2024</v>
      </c>
      <c r="C147" s="116">
        <f>[9]С2.5!$I$11</f>
        <v>8.5999999999999993E-2</v>
      </c>
      <c r="D147" s="89"/>
    </row>
    <row r="148" spans="1:4" hidden="1" x14ac:dyDescent="0.2">
      <c r="A148" s="106"/>
      <c r="B148" s="111">
        <f t="shared" si="0"/>
        <v>2025</v>
      </c>
      <c r="C148" s="112">
        <f>[9]С2.5!$J$11</f>
        <v>0.21215960863291</v>
      </c>
      <c r="D148" s="89"/>
    </row>
    <row r="149" spans="1:4" hidden="1" x14ac:dyDescent="0.2">
      <c r="A149" s="106"/>
      <c r="B149" s="111">
        <f t="shared" si="0"/>
        <v>2026</v>
      </c>
      <c r="C149" s="112">
        <f>[9]С2.5!$K$11</f>
        <v>3.5813361771260002E-2</v>
      </c>
      <c r="D149" s="89"/>
    </row>
    <row r="150" spans="1:4" hidden="1" x14ac:dyDescent="0.2">
      <c r="A150" s="106"/>
      <c r="B150" s="111">
        <f t="shared" si="0"/>
        <v>2027</v>
      </c>
      <c r="C150" s="112">
        <f>[9]С2.5!$L$11</f>
        <v>3.2682303599220003E-2</v>
      </c>
      <c r="D150" s="89"/>
    </row>
    <row r="151" spans="1:4" hidden="1" x14ac:dyDescent="0.2">
      <c r="A151" s="106"/>
      <c r="B151" s="111">
        <f t="shared" si="0"/>
        <v>2028</v>
      </c>
      <c r="C151" s="112">
        <f>[9]С2.5!$M$11</f>
        <v>0</v>
      </c>
      <c r="D151" s="89"/>
    </row>
    <row r="152" spans="1:4" hidden="1" x14ac:dyDescent="0.2">
      <c r="A152" s="106"/>
      <c r="B152" s="111">
        <f t="shared" si="0"/>
        <v>2029</v>
      </c>
      <c r="C152" s="112">
        <f>[9]С2.5!$N$11</f>
        <v>0</v>
      </c>
      <c r="D152" s="89"/>
    </row>
    <row r="153" spans="1:4" hidden="1" x14ac:dyDescent="0.2">
      <c r="A153" s="106"/>
      <c r="B153" s="111">
        <f t="shared" si="0"/>
        <v>2030</v>
      </c>
      <c r="C153" s="112">
        <f>[9]С2.5!$O$11</f>
        <v>0</v>
      </c>
      <c r="D153" s="89"/>
    </row>
    <row r="154" spans="1:4" hidden="1" x14ac:dyDescent="0.2">
      <c r="A154" s="106"/>
      <c r="B154" s="111">
        <f t="shared" si="0"/>
        <v>2031</v>
      </c>
      <c r="C154" s="112">
        <f>[9]С2.5!$P$11</f>
        <v>0</v>
      </c>
      <c r="D154" s="89"/>
    </row>
    <row r="155" spans="1:4" hidden="1" x14ac:dyDescent="0.2">
      <c r="A155" s="89"/>
      <c r="B155" s="111">
        <f t="shared" si="0"/>
        <v>2032</v>
      </c>
      <c r="C155" s="112">
        <f>[9]С2.5!$Q$11</f>
        <v>0</v>
      </c>
      <c r="D155" s="89"/>
    </row>
    <row r="156" spans="1:4" hidden="1" x14ac:dyDescent="0.2">
      <c r="A156" s="89"/>
      <c r="B156" s="111">
        <f t="shared" si="0"/>
        <v>2033</v>
      </c>
      <c r="C156" s="112">
        <f>[9]С2.5!$R$11</f>
        <v>0</v>
      </c>
      <c r="D156" s="89"/>
    </row>
    <row r="157" spans="1:4" hidden="1" x14ac:dyDescent="0.2">
      <c r="B157" s="111">
        <f t="shared" si="0"/>
        <v>2034</v>
      </c>
      <c r="C157" s="112">
        <f>[9]С2.5!$S$11</f>
        <v>0</v>
      </c>
    </row>
    <row r="158" spans="1:4" hidden="1" x14ac:dyDescent="0.2">
      <c r="B158" s="111">
        <f t="shared" si="0"/>
        <v>2035</v>
      </c>
      <c r="C158" s="112">
        <f>[9]С2.5!$T$11</f>
        <v>0</v>
      </c>
    </row>
    <row r="159" spans="1:4" hidden="1" x14ac:dyDescent="0.2">
      <c r="B159" s="111">
        <f t="shared" si="0"/>
        <v>2036</v>
      </c>
      <c r="C159" s="112">
        <f>[9]С2.5!$U$11</f>
        <v>0</v>
      </c>
    </row>
    <row r="160" spans="1:4" hidden="1" x14ac:dyDescent="0.2">
      <c r="B160" s="111">
        <f t="shared" si="0"/>
        <v>2037</v>
      </c>
      <c r="C160" s="112">
        <f>[9]С2.5!$V$11</f>
        <v>0</v>
      </c>
    </row>
    <row r="161" spans="2:3" hidden="1" x14ac:dyDescent="0.2">
      <c r="B161" s="111">
        <f t="shared" si="0"/>
        <v>2038</v>
      </c>
      <c r="C161" s="112">
        <f>[9]С2.5!$W$11</f>
        <v>0</v>
      </c>
    </row>
    <row r="162" spans="2:3" hidden="1" x14ac:dyDescent="0.2">
      <c r="B162" s="111">
        <f t="shared" si="0"/>
        <v>2039</v>
      </c>
      <c r="C162" s="112">
        <f>[9]С2.5!$X$11</f>
        <v>0</v>
      </c>
    </row>
    <row r="163" spans="2:3" hidden="1" x14ac:dyDescent="0.2">
      <c r="B163" s="111">
        <f t="shared" si="0"/>
        <v>2040</v>
      </c>
      <c r="C163" s="112">
        <f>[9]С2.5!$Y$11</f>
        <v>0</v>
      </c>
    </row>
    <row r="164" spans="2:3" hidden="1" x14ac:dyDescent="0.2">
      <c r="B164" s="111">
        <f t="shared" si="0"/>
        <v>2041</v>
      </c>
      <c r="C164" s="112">
        <f>[9]С2.5!$Z$11</f>
        <v>0</v>
      </c>
    </row>
    <row r="165" spans="2:3" hidden="1" x14ac:dyDescent="0.2">
      <c r="B165" s="111">
        <f t="shared" si="0"/>
        <v>2042</v>
      </c>
      <c r="C165" s="112">
        <f>[9]С2.5!$AA$11</f>
        <v>0</v>
      </c>
    </row>
    <row r="166" spans="2:3" hidden="1" x14ac:dyDescent="0.2">
      <c r="B166" s="111">
        <f t="shared" si="0"/>
        <v>2043</v>
      </c>
      <c r="C166" s="112">
        <f>[9]С2.5!$AB$11</f>
        <v>0</v>
      </c>
    </row>
    <row r="167" spans="2:3" hidden="1" x14ac:dyDescent="0.2">
      <c r="B167" s="111">
        <f t="shared" si="0"/>
        <v>2044</v>
      </c>
      <c r="C167" s="112">
        <f>[9]С2.5!$AC$11</f>
        <v>0</v>
      </c>
    </row>
    <row r="168" spans="2:3" hidden="1" x14ac:dyDescent="0.2">
      <c r="B168" s="111">
        <f t="shared" si="0"/>
        <v>2045</v>
      </c>
      <c r="C168" s="112">
        <f>[9]С2.5!$AD$11</f>
        <v>0</v>
      </c>
    </row>
    <row r="169" spans="2:3" hidden="1" x14ac:dyDescent="0.2">
      <c r="B169" s="111">
        <f t="shared" si="0"/>
        <v>2046</v>
      </c>
      <c r="C169" s="112">
        <f>[9]С2.5!$AE$11</f>
        <v>0</v>
      </c>
    </row>
    <row r="170" spans="2:3" hidden="1" x14ac:dyDescent="0.2">
      <c r="B170" s="111">
        <f t="shared" si="0"/>
        <v>2047</v>
      </c>
      <c r="C170" s="112">
        <f>[9]С2.5!$AF$11</f>
        <v>0</v>
      </c>
    </row>
    <row r="171" spans="2:3" hidden="1" x14ac:dyDescent="0.2">
      <c r="B171" s="111">
        <f t="shared" si="0"/>
        <v>2048</v>
      </c>
      <c r="C171" s="112">
        <f>[9]С2.5!$AG$11</f>
        <v>0</v>
      </c>
    </row>
    <row r="172" spans="2:3" hidden="1" x14ac:dyDescent="0.2">
      <c r="B172" s="111">
        <f t="shared" si="0"/>
        <v>2049</v>
      </c>
      <c r="C172" s="112">
        <f>[9]С2.5!$AH$11</f>
        <v>0</v>
      </c>
    </row>
    <row r="173" spans="2:3" hidden="1" x14ac:dyDescent="0.2">
      <c r="B173" s="111">
        <f t="shared" si="0"/>
        <v>2050</v>
      </c>
      <c r="C173" s="112">
        <f>[9]С2.5!$AI$11</f>
        <v>0</v>
      </c>
    </row>
    <row r="174" spans="2:3" hidden="1" x14ac:dyDescent="0.2">
      <c r="B174" s="111">
        <f t="shared" si="0"/>
        <v>2051</v>
      </c>
      <c r="C174" s="112">
        <f>[9]С2.5!$AJ$11</f>
        <v>0</v>
      </c>
    </row>
    <row r="175" spans="2:3" hidden="1" x14ac:dyDescent="0.2">
      <c r="B175" s="111">
        <f t="shared" si="0"/>
        <v>2052</v>
      </c>
      <c r="C175" s="112">
        <f>[9]С2.5!$AK$11</f>
        <v>0</v>
      </c>
    </row>
    <row r="176" spans="2:3" hidden="1" x14ac:dyDescent="0.2">
      <c r="B176" s="111">
        <f t="shared" si="0"/>
        <v>2053</v>
      </c>
      <c r="C176" s="112">
        <f>[9]С2.5!$AL$11</f>
        <v>0</v>
      </c>
    </row>
    <row r="177" spans="2:3" hidden="1" x14ac:dyDescent="0.2">
      <c r="B177" s="111">
        <f t="shared" si="0"/>
        <v>2054</v>
      </c>
      <c r="C177" s="112">
        <f>[9]С2.5!$AM$11</f>
        <v>0</v>
      </c>
    </row>
    <row r="178" spans="2:3" hidden="1" x14ac:dyDescent="0.2">
      <c r="B178" s="111">
        <f t="shared" si="0"/>
        <v>2055</v>
      </c>
      <c r="C178" s="112">
        <f>[9]С2.5!$AN$11</f>
        <v>0</v>
      </c>
    </row>
    <row r="179" spans="2:3" hidden="1" x14ac:dyDescent="0.2">
      <c r="B179" s="111">
        <f t="shared" si="0"/>
        <v>2056</v>
      </c>
      <c r="C179" s="112">
        <f>[9]С2.5!$AO$11</f>
        <v>0</v>
      </c>
    </row>
    <row r="180" spans="2:3" hidden="1" x14ac:dyDescent="0.2">
      <c r="B180" s="111">
        <f t="shared" si="0"/>
        <v>2057</v>
      </c>
      <c r="C180" s="112">
        <f>[9]С2.5!$AP$11</f>
        <v>0</v>
      </c>
    </row>
    <row r="181" spans="2:3" hidden="1" x14ac:dyDescent="0.2">
      <c r="B181" s="111">
        <f t="shared" si="0"/>
        <v>2058</v>
      </c>
      <c r="C181" s="112">
        <f>[9]С2.5!$AQ$11</f>
        <v>0</v>
      </c>
    </row>
    <row r="182" spans="2:3" hidden="1" x14ac:dyDescent="0.2">
      <c r="B182" s="111">
        <f t="shared" si="0"/>
        <v>2059</v>
      </c>
      <c r="C182" s="112">
        <f>[9]С2.5!$AR$11</f>
        <v>0</v>
      </c>
    </row>
    <row r="183" spans="2:3" hidden="1" x14ac:dyDescent="0.2">
      <c r="B183" s="111">
        <f t="shared" si="0"/>
        <v>2060</v>
      </c>
      <c r="C183" s="112">
        <f>[9]С2.5!$AS$11</f>
        <v>0</v>
      </c>
    </row>
    <row r="184" spans="2:3" hidden="1" x14ac:dyDescent="0.2">
      <c r="B184" s="111">
        <f t="shared" si="0"/>
        <v>2061</v>
      </c>
      <c r="C184" s="112">
        <f>[9]С2.5!$AT$11</f>
        <v>0</v>
      </c>
    </row>
    <row r="185" spans="2:3" hidden="1" x14ac:dyDescent="0.2">
      <c r="B185" s="111">
        <f t="shared" si="0"/>
        <v>2062</v>
      </c>
      <c r="C185" s="112">
        <f>[9]С2.5!$AU$11</f>
        <v>0</v>
      </c>
    </row>
    <row r="186" spans="2:3" hidden="1" x14ac:dyDescent="0.2">
      <c r="B186" s="111">
        <f t="shared" si="0"/>
        <v>2063</v>
      </c>
      <c r="C186" s="112">
        <f>[9]С2.5!$AV$11</f>
        <v>0</v>
      </c>
    </row>
    <row r="187" spans="2:3" hidden="1" x14ac:dyDescent="0.2">
      <c r="B187" s="111">
        <f t="shared" si="0"/>
        <v>2064</v>
      </c>
      <c r="C187" s="112">
        <f>[9]С2.5!$AW$11</f>
        <v>0</v>
      </c>
    </row>
    <row r="188" spans="2:3" hidden="1" x14ac:dyDescent="0.2">
      <c r="B188" s="111">
        <f t="shared" si="0"/>
        <v>2065</v>
      </c>
      <c r="C188" s="112">
        <f>[9]С2.5!$AX$11</f>
        <v>0</v>
      </c>
    </row>
    <row r="189" spans="2:3" hidden="1" x14ac:dyDescent="0.2">
      <c r="B189" s="111">
        <f t="shared" si="0"/>
        <v>2066</v>
      </c>
      <c r="C189" s="112">
        <f>[9]С2.5!$AY$11</f>
        <v>0</v>
      </c>
    </row>
    <row r="190" spans="2:3" hidden="1" x14ac:dyDescent="0.2">
      <c r="B190" s="111">
        <f t="shared" si="0"/>
        <v>2067</v>
      </c>
      <c r="C190" s="112">
        <f>[9]С2.5!$AZ$11</f>
        <v>0</v>
      </c>
    </row>
    <row r="191" spans="2:3" hidden="1" x14ac:dyDescent="0.2">
      <c r="B191" s="111">
        <f t="shared" si="0"/>
        <v>2068</v>
      </c>
      <c r="C191" s="112">
        <f>[9]С2.5!$BA$11</f>
        <v>0</v>
      </c>
    </row>
    <row r="192" spans="2:3" hidden="1" x14ac:dyDescent="0.2">
      <c r="B192" s="111">
        <f t="shared" si="0"/>
        <v>2069</v>
      </c>
      <c r="C192" s="112">
        <f>[9]С2.5!$BB$11</f>
        <v>0</v>
      </c>
    </row>
    <row r="193" spans="2:3" hidden="1" x14ac:dyDescent="0.2">
      <c r="B193" s="111">
        <f t="shared" si="0"/>
        <v>2070</v>
      </c>
      <c r="C193" s="112">
        <f>[9]С2.5!$BC$11</f>
        <v>0</v>
      </c>
    </row>
    <row r="194" spans="2:3" hidden="1" x14ac:dyDescent="0.2">
      <c r="B194" s="111">
        <f t="shared" si="0"/>
        <v>2071</v>
      </c>
      <c r="C194" s="112">
        <f>[9]С2.5!$BD$11</f>
        <v>0</v>
      </c>
    </row>
    <row r="195" spans="2:3" hidden="1" x14ac:dyDescent="0.2">
      <c r="B195" s="111">
        <f t="shared" si="0"/>
        <v>2072</v>
      </c>
      <c r="C195" s="112">
        <f>[9]С2.5!$BE$11</f>
        <v>0</v>
      </c>
    </row>
    <row r="196" spans="2:3" hidden="1" x14ac:dyDescent="0.2">
      <c r="B196" s="111">
        <f t="shared" si="0"/>
        <v>2073</v>
      </c>
      <c r="C196" s="112">
        <f>[9]С2.5!$BF$11</f>
        <v>0</v>
      </c>
    </row>
    <row r="197" spans="2:3" hidden="1" x14ac:dyDescent="0.2">
      <c r="B197" s="111">
        <f t="shared" si="0"/>
        <v>2074</v>
      </c>
      <c r="C197" s="112">
        <f>[9]С2.5!$BG$11</f>
        <v>0</v>
      </c>
    </row>
    <row r="198" spans="2:3" hidden="1" x14ac:dyDescent="0.2">
      <c r="B198" s="111">
        <f t="shared" si="0"/>
        <v>2075</v>
      </c>
      <c r="C198" s="112">
        <f>[9]С2.5!$BH$11</f>
        <v>0</v>
      </c>
    </row>
    <row r="199" spans="2:3" hidden="1" x14ac:dyDescent="0.2">
      <c r="B199" s="111">
        <f t="shared" si="0"/>
        <v>2076</v>
      </c>
      <c r="C199" s="112">
        <f>[9]С2.5!$BI$11</f>
        <v>0</v>
      </c>
    </row>
    <row r="200" spans="2:3" hidden="1" x14ac:dyDescent="0.2">
      <c r="B200" s="111">
        <f t="shared" si="0"/>
        <v>2077</v>
      </c>
      <c r="C200" s="112">
        <f>[9]С2.5!$BJ$11</f>
        <v>0</v>
      </c>
    </row>
    <row r="201" spans="2:3" hidden="1" x14ac:dyDescent="0.2">
      <c r="B201" s="111">
        <f t="shared" si="0"/>
        <v>2078</v>
      </c>
      <c r="C201" s="112">
        <f>[9]С2.5!$BK$11</f>
        <v>0</v>
      </c>
    </row>
    <row r="202" spans="2:3" hidden="1" x14ac:dyDescent="0.2">
      <c r="B202" s="111">
        <f t="shared" si="0"/>
        <v>2079</v>
      </c>
      <c r="C202" s="112">
        <f>[9]С2.5!$BL$11</f>
        <v>0</v>
      </c>
    </row>
    <row r="203" spans="2:3" hidden="1" x14ac:dyDescent="0.2">
      <c r="B203" s="111">
        <f t="shared" si="0"/>
        <v>2080</v>
      </c>
      <c r="C203" s="112">
        <f>[9]С2.5!$BM$11</f>
        <v>0</v>
      </c>
    </row>
    <row r="204" spans="2:3" hidden="1" x14ac:dyDescent="0.2">
      <c r="B204" s="111">
        <f t="shared" si="0"/>
        <v>2081</v>
      </c>
      <c r="C204" s="112">
        <f>[9]С2.5!$BN$11</f>
        <v>0</v>
      </c>
    </row>
    <row r="205" spans="2:3" hidden="1" x14ac:dyDescent="0.2">
      <c r="B205" s="111">
        <f t="shared" si="0"/>
        <v>2082</v>
      </c>
      <c r="C205" s="112">
        <f>[9]С2.5!$BO$11</f>
        <v>0</v>
      </c>
    </row>
    <row r="206" spans="2:3" hidden="1" x14ac:dyDescent="0.2">
      <c r="B206" s="111">
        <f t="shared" si="0"/>
        <v>2083</v>
      </c>
      <c r="C206" s="112">
        <f>[9]С2.5!$BP$11</f>
        <v>0</v>
      </c>
    </row>
    <row r="207" spans="2:3" hidden="1" x14ac:dyDescent="0.2">
      <c r="B207" s="111">
        <f t="shared" si="0"/>
        <v>2084</v>
      </c>
      <c r="C207" s="112">
        <f>[9]С2.5!$BQ$11</f>
        <v>0</v>
      </c>
    </row>
    <row r="208" spans="2:3" hidden="1" x14ac:dyDescent="0.2">
      <c r="B208" s="111">
        <f t="shared" si="0"/>
        <v>2085</v>
      </c>
      <c r="C208" s="112">
        <f>[9]С2.5!$BR$11</f>
        <v>0</v>
      </c>
    </row>
    <row r="209" spans="2:3" hidden="1" x14ac:dyDescent="0.2">
      <c r="B209" s="111">
        <f t="shared" ref="B209:B223" si="1">B208+1</f>
        <v>2086</v>
      </c>
      <c r="C209" s="112">
        <f>[9]С2.5!$BS$11</f>
        <v>0</v>
      </c>
    </row>
    <row r="210" spans="2:3" hidden="1" x14ac:dyDescent="0.2">
      <c r="B210" s="111">
        <f t="shared" si="1"/>
        <v>2087</v>
      </c>
      <c r="C210" s="112">
        <f>[9]С2.5!$BT$11</f>
        <v>0</v>
      </c>
    </row>
    <row r="211" spans="2:3" hidden="1" x14ac:dyDescent="0.2">
      <c r="B211" s="111">
        <f t="shared" si="1"/>
        <v>2088</v>
      </c>
      <c r="C211" s="112">
        <f>[9]С2.5!$BU$11</f>
        <v>0</v>
      </c>
    </row>
    <row r="212" spans="2:3" hidden="1" x14ac:dyDescent="0.2">
      <c r="B212" s="111">
        <f t="shared" si="1"/>
        <v>2089</v>
      </c>
      <c r="C212" s="112">
        <f>[9]С2.5!$BV$11</f>
        <v>0</v>
      </c>
    </row>
    <row r="213" spans="2:3" hidden="1" x14ac:dyDescent="0.2">
      <c r="B213" s="111">
        <f t="shared" si="1"/>
        <v>2090</v>
      </c>
      <c r="C213" s="112">
        <f>[9]С2.5!$BW$11</f>
        <v>0</v>
      </c>
    </row>
    <row r="214" spans="2:3" hidden="1" x14ac:dyDescent="0.2">
      <c r="B214" s="111">
        <f t="shared" si="1"/>
        <v>2091</v>
      </c>
      <c r="C214" s="112">
        <f>[9]С2.5!$BX$11</f>
        <v>0</v>
      </c>
    </row>
    <row r="215" spans="2:3" hidden="1" x14ac:dyDescent="0.2">
      <c r="B215" s="111">
        <f t="shared" si="1"/>
        <v>2092</v>
      </c>
      <c r="C215" s="112">
        <f>[9]С2.5!$BY$11</f>
        <v>0</v>
      </c>
    </row>
    <row r="216" spans="2:3" hidden="1" x14ac:dyDescent="0.2">
      <c r="B216" s="111">
        <f t="shared" si="1"/>
        <v>2093</v>
      </c>
      <c r="C216" s="112">
        <f>[9]С2.5!$BZ$11</f>
        <v>0</v>
      </c>
    </row>
    <row r="217" spans="2:3" hidden="1" x14ac:dyDescent="0.2">
      <c r="B217" s="111">
        <f t="shared" si="1"/>
        <v>2094</v>
      </c>
      <c r="C217" s="112">
        <f>[9]С2.5!$CA$11</f>
        <v>0</v>
      </c>
    </row>
    <row r="218" spans="2:3" hidden="1" x14ac:dyDescent="0.2">
      <c r="B218" s="111">
        <f t="shared" si="1"/>
        <v>2095</v>
      </c>
      <c r="C218" s="112">
        <f>[9]С2.5!$CB$11</f>
        <v>0</v>
      </c>
    </row>
    <row r="219" spans="2:3" hidden="1" x14ac:dyDescent="0.2">
      <c r="B219" s="111">
        <f t="shared" si="1"/>
        <v>2096</v>
      </c>
      <c r="C219" s="112">
        <f>[9]С2.5!$CC$11</f>
        <v>0</v>
      </c>
    </row>
    <row r="220" spans="2:3" hidden="1" x14ac:dyDescent="0.2">
      <c r="B220" s="111">
        <f t="shared" si="1"/>
        <v>2097</v>
      </c>
      <c r="C220" s="112">
        <f>[9]С2.5!$CD$11</f>
        <v>0</v>
      </c>
    </row>
    <row r="221" spans="2:3" hidden="1" x14ac:dyDescent="0.2">
      <c r="B221" s="111">
        <f t="shared" si="1"/>
        <v>2098</v>
      </c>
      <c r="C221" s="112">
        <f>[9]С2.5!$CE$11</f>
        <v>0</v>
      </c>
    </row>
    <row r="222" spans="2:3" hidden="1" x14ac:dyDescent="0.2">
      <c r="B222" s="111">
        <f t="shared" si="1"/>
        <v>2099</v>
      </c>
      <c r="C222" s="112">
        <f>[9]С2.5!$CF$11</f>
        <v>0</v>
      </c>
    </row>
    <row r="223" spans="2:3" ht="13.5" hidden="1" thickBot="1" x14ac:dyDescent="0.25">
      <c r="B223" s="113">
        <f t="shared" si="1"/>
        <v>2100</v>
      </c>
      <c r="C223" s="114">
        <f>[9]С2.5!$CG$11</f>
        <v>0</v>
      </c>
    </row>
    <row r="224" spans="2:3" hidden="1" x14ac:dyDescent="0.2">
      <c r="C224" s="117"/>
    </row>
    <row r="225" spans="3:3" hidden="1" x14ac:dyDescent="0.2">
      <c r="C225" s="117"/>
    </row>
    <row r="226" spans="3:3" x14ac:dyDescent="0.2">
      <c r="C226" s="117"/>
    </row>
  </sheetData>
  <mergeCells count="9">
    <mergeCell ref="B141:C141"/>
    <mergeCell ref="A14:C14"/>
    <mergeCell ref="B1:C1"/>
    <mergeCell ref="B27:C27"/>
    <mergeCell ref="B40:C40"/>
    <mergeCell ref="B84:C84"/>
    <mergeCell ref="B95:C95"/>
    <mergeCell ref="B124:C124"/>
    <mergeCell ref="B127:C127"/>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1" r:id="rId3" name="Button 1">
              <controlPr defaultSize="0" print="0" autoFill="0" autoPict="0" macro="[10]!Лист29.PrintBlock">
                <anchor moveWithCells="1" sizeWithCells="1">
                  <from>
                    <xdr:col>3</xdr:col>
                    <xdr:colOff>0</xdr:colOff>
                    <xdr:row>0</xdr:row>
                    <xdr:rowOff>85725</xdr:rowOff>
                  </from>
                  <to>
                    <xdr:col>4</xdr:col>
                    <xdr:colOff>0</xdr:colOff>
                    <xdr:row>0</xdr:row>
                    <xdr:rowOff>238125</xdr:rowOff>
                  </to>
                </anchor>
              </controlPr>
            </control>
          </mc:Choice>
        </mc:AlternateContent>
        <mc:AlternateContent xmlns:mc="http://schemas.openxmlformats.org/markup-compatibility/2006">
          <mc:Choice Requires="x14">
            <control shapeId="5122" r:id="rId4" name="Button 2">
              <controlPr defaultSize="0" print="0" autoFill="0" autoPict="0" macro="[9]!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C2" sqref="C2"/>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20" t="s">
        <v>0</v>
      </c>
      <c r="C1" s="120"/>
    </row>
    <row r="2" spans="1:3" x14ac:dyDescent="0.2">
      <c r="A2" s="3"/>
      <c r="B2" s="4" t="s">
        <v>1</v>
      </c>
      <c r="C2" s="5">
        <v>45317</v>
      </c>
    </row>
    <row r="3" spans="1:3" x14ac:dyDescent="0.2">
      <c r="A3" s="3"/>
      <c r="B3" s="6" t="s">
        <v>2</v>
      </c>
    </row>
    <row r="4" spans="1:3" ht="25.5" x14ac:dyDescent="0.2">
      <c r="A4" s="8"/>
      <c r="B4" s="9" t="str">
        <f>[11]И1!D13</f>
        <v>Субъект Российской Федерации</v>
      </c>
      <c r="C4" s="10" t="str">
        <f>[11]И1!E13</f>
        <v>Новосибирская область</v>
      </c>
    </row>
    <row r="5" spans="1:3" ht="46.9" customHeight="1" x14ac:dyDescent="0.2">
      <c r="A5" s="8"/>
      <c r="B5" s="9" t="str">
        <f>[11]И1!D14</f>
        <v>Тип муниципального образования (выберите из списка)</v>
      </c>
      <c r="C5" s="10" t="str">
        <f>[11]И1!E14</f>
        <v xml:space="preserve">село Заковряжино, Сузунский муниципальный район </v>
      </c>
    </row>
    <row r="6" spans="1:3" x14ac:dyDescent="0.2">
      <c r="A6" s="8"/>
      <c r="B6" s="9" t="str">
        <f>IF([11]И1!E15="","",[11]И1!D15)</f>
        <v/>
      </c>
      <c r="C6" s="10" t="str">
        <f>IF([11]И1!E15="","",[11]И1!E15)</f>
        <v/>
      </c>
    </row>
    <row r="7" spans="1:3" x14ac:dyDescent="0.2">
      <c r="A7" s="8"/>
      <c r="B7" s="9" t="str">
        <f>[11]И1!D16</f>
        <v>Код ОКТМО</v>
      </c>
      <c r="C7" s="11" t="str">
        <f>[11]И1!E16</f>
        <v>(50648416101)</v>
      </c>
    </row>
    <row r="8" spans="1:3" x14ac:dyDescent="0.2">
      <c r="A8" s="8"/>
      <c r="B8" s="12" t="str">
        <f>[11]И1!D17</f>
        <v>Система теплоснабжения</v>
      </c>
      <c r="C8" s="13">
        <f>[11]И1!E17</f>
        <v>0</v>
      </c>
    </row>
    <row r="9" spans="1:3" x14ac:dyDescent="0.2">
      <c r="A9" s="8"/>
      <c r="B9" s="9" t="str">
        <f>[11]И1!D8</f>
        <v>Период регулирования (i)-й</v>
      </c>
      <c r="C9" s="14">
        <f>[11]И1!E8</f>
        <v>2024</v>
      </c>
    </row>
    <row r="10" spans="1:3" x14ac:dyDescent="0.2">
      <c r="A10" s="8"/>
      <c r="B10" s="9" t="str">
        <f>[11]И1!D9</f>
        <v>Период регулирования (i-1)-й</v>
      </c>
      <c r="C10" s="14">
        <f>[11]И1!E9</f>
        <v>2023</v>
      </c>
    </row>
    <row r="11" spans="1:3" x14ac:dyDescent="0.2">
      <c r="A11" s="8"/>
      <c r="B11" s="9" t="str">
        <f>[11]И1!D10</f>
        <v>Период регулирования (i-2)-й</v>
      </c>
      <c r="C11" s="14">
        <f>[11]И1!E10</f>
        <v>2022</v>
      </c>
    </row>
    <row r="12" spans="1:3" x14ac:dyDescent="0.2">
      <c r="A12" s="8"/>
      <c r="B12" s="9" t="str">
        <f>[11]И1!D11</f>
        <v>Базовый год (б)</v>
      </c>
      <c r="C12" s="14">
        <f>[11]И1!E11</f>
        <v>2019</v>
      </c>
    </row>
    <row r="13" spans="1:3" ht="38.25" x14ac:dyDescent="0.2">
      <c r="A13" s="8"/>
      <c r="B13" s="9" t="str">
        <f>[11]И1!D18</f>
        <v>Вид топлива, использование которого преобладает в системе теплоснабжения</v>
      </c>
      <c r="C13" s="15" t="str">
        <f>[11]С1.1!E13</f>
        <v>уголь (вид угля не указан в топливном балансе)</v>
      </c>
    </row>
    <row r="14" spans="1:3" ht="31.7" customHeight="1" thickBot="1" x14ac:dyDescent="0.25">
      <c r="A14" s="119" t="s">
        <v>3</v>
      </c>
      <c r="B14" s="119"/>
      <c r="C14" s="119"/>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3555.9255114801567</v>
      </c>
    </row>
    <row r="18" spans="1:3" ht="42.75" x14ac:dyDescent="0.2">
      <c r="A18" s="22" t="s">
        <v>8</v>
      </c>
      <c r="B18" s="25" t="s">
        <v>9</v>
      </c>
      <c r="C18" s="26">
        <f>[11]С1!F12</f>
        <v>588.54687792316247</v>
      </c>
    </row>
    <row r="19" spans="1:3" ht="42.75" x14ac:dyDescent="0.2">
      <c r="A19" s="22" t="s">
        <v>10</v>
      </c>
      <c r="B19" s="25" t="s">
        <v>11</v>
      </c>
      <c r="C19" s="26">
        <f>[11]С2!F12</f>
        <v>1990.8616285605142</v>
      </c>
    </row>
    <row r="20" spans="1:3" ht="30" x14ac:dyDescent="0.2">
      <c r="A20" s="22" t="s">
        <v>12</v>
      </c>
      <c r="B20" s="25" t="s">
        <v>13</v>
      </c>
      <c r="C20" s="26">
        <f>[11]С3!F12</f>
        <v>473.18998182045129</v>
      </c>
    </row>
    <row r="21" spans="1:3" ht="42.75" x14ac:dyDescent="0.2">
      <c r="A21" s="22" t="s">
        <v>14</v>
      </c>
      <c r="B21" s="25" t="s">
        <v>15</v>
      </c>
      <c r="C21" s="26">
        <f>[11]С4!F12</f>
        <v>433.6029935391627</v>
      </c>
    </row>
    <row r="22" spans="1:3" ht="30" x14ac:dyDescent="0.2">
      <c r="A22" s="22" t="s">
        <v>16</v>
      </c>
      <c r="B22" s="25" t="s">
        <v>17</v>
      </c>
      <c r="C22" s="26">
        <f>[11]С5!F12</f>
        <v>69.724029636865822</v>
      </c>
    </row>
    <row r="23" spans="1:3" ht="43.5" thickBot="1" x14ac:dyDescent="0.25">
      <c r="A23" s="27" t="s">
        <v>18</v>
      </c>
      <c r="B23" s="105" t="s">
        <v>19</v>
      </c>
      <c r="C23" s="28" t="str">
        <f>[11]С6!F12</f>
        <v>-</v>
      </c>
    </row>
    <row r="24" spans="1:3" ht="13.5" thickBot="1" x14ac:dyDescent="0.25">
      <c r="A24" s="3"/>
    </row>
    <row r="25" spans="1:3" x14ac:dyDescent="0.2">
      <c r="A25" s="16" t="s">
        <v>4</v>
      </c>
      <c r="B25" s="29" t="s">
        <v>5</v>
      </c>
      <c r="C25" s="30" t="s">
        <v>6</v>
      </c>
    </row>
    <row r="26" spans="1:3" x14ac:dyDescent="0.2">
      <c r="A26" s="19">
        <v>1</v>
      </c>
      <c r="B26" s="31">
        <v>2</v>
      </c>
      <c r="C26" s="32">
        <v>3</v>
      </c>
    </row>
    <row r="27" spans="1:3" ht="30" customHeight="1" x14ac:dyDescent="0.2">
      <c r="A27" s="22">
        <v>1</v>
      </c>
      <c r="B27" s="121" t="s">
        <v>20</v>
      </c>
      <c r="C27" s="121"/>
    </row>
    <row r="28" spans="1:3" x14ac:dyDescent="0.2">
      <c r="A28" s="22" t="s">
        <v>8</v>
      </c>
      <c r="B28" s="33" t="s">
        <v>21</v>
      </c>
      <c r="C28" s="34">
        <f>[11]С1.1!E16</f>
        <v>5100</v>
      </c>
    </row>
    <row r="29" spans="1:3" ht="42.75" x14ac:dyDescent="0.2">
      <c r="A29" s="22" t="s">
        <v>10</v>
      </c>
      <c r="B29" s="33" t="s">
        <v>22</v>
      </c>
      <c r="C29" s="34">
        <f>[11]С1.1!E27</f>
        <v>2644.3666666666668</v>
      </c>
    </row>
    <row r="30" spans="1:3" ht="17.25" x14ac:dyDescent="0.2">
      <c r="A30" s="22" t="s">
        <v>12</v>
      </c>
      <c r="B30" s="33" t="s">
        <v>23</v>
      </c>
      <c r="C30" s="35">
        <f>[11]С1.1!E19</f>
        <v>-0.19900000000000001</v>
      </c>
    </row>
    <row r="31" spans="1:3" ht="17.25" x14ac:dyDescent="0.2">
      <c r="A31" s="22" t="s">
        <v>14</v>
      </c>
      <c r="B31" s="33" t="s">
        <v>24</v>
      </c>
      <c r="C31" s="35">
        <f>[11]С1.1!E20</f>
        <v>5.7000000000000002E-2</v>
      </c>
    </row>
    <row r="32" spans="1:3" ht="30" x14ac:dyDescent="0.2">
      <c r="A32" s="22" t="s">
        <v>16</v>
      </c>
      <c r="B32" s="36" t="s">
        <v>25</v>
      </c>
      <c r="C32" s="37">
        <f>[11]С1!F13</f>
        <v>176.4</v>
      </c>
    </row>
    <row r="33" spans="1:3" x14ac:dyDescent="0.2">
      <c r="A33" s="22" t="s">
        <v>18</v>
      </c>
      <c r="B33" s="36" t="s">
        <v>26</v>
      </c>
      <c r="C33" s="38">
        <f>[11]С1!F16</f>
        <v>7000</v>
      </c>
    </row>
    <row r="34" spans="1:3" ht="14.25" x14ac:dyDescent="0.2">
      <c r="A34" s="22" t="s">
        <v>27</v>
      </c>
      <c r="B34" s="39" t="s">
        <v>28</v>
      </c>
      <c r="C34" s="40">
        <f>[11]С1!F17</f>
        <v>0.72857142857142854</v>
      </c>
    </row>
    <row r="35" spans="1:3" ht="15.75" x14ac:dyDescent="0.2">
      <c r="A35" s="41" t="s">
        <v>29</v>
      </c>
      <c r="B35" s="42" t="s">
        <v>30</v>
      </c>
      <c r="C35" s="40">
        <f>[11]С1!F20</f>
        <v>21.588411179999994</v>
      </c>
    </row>
    <row r="36" spans="1:3" ht="15.75" x14ac:dyDescent="0.2">
      <c r="A36" s="41" t="s">
        <v>31</v>
      </c>
      <c r="B36" s="43" t="s">
        <v>32</v>
      </c>
      <c r="C36" s="40">
        <f>[11]С1!F21</f>
        <v>20.818139999999996</v>
      </c>
    </row>
    <row r="37" spans="1:3" ht="14.25" x14ac:dyDescent="0.2">
      <c r="A37" s="41" t="s">
        <v>33</v>
      </c>
      <c r="B37" s="44" t="s">
        <v>34</v>
      </c>
      <c r="C37" s="40">
        <f>[11]С1!F22</f>
        <v>1.0369999999999999</v>
      </c>
    </row>
    <row r="38" spans="1:3" ht="53.25" thickBot="1" x14ac:dyDescent="0.25">
      <c r="A38" s="27" t="s">
        <v>35</v>
      </c>
      <c r="B38" s="45" t="s">
        <v>36</v>
      </c>
      <c r="C38" s="46">
        <f>[11]С1!F23</f>
        <v>1.0469999999999999</v>
      </c>
    </row>
    <row r="39" spans="1:3" ht="13.5" thickBot="1" x14ac:dyDescent="0.25">
      <c r="A39" s="47"/>
      <c r="B39" s="48"/>
      <c r="C39" s="49"/>
    </row>
    <row r="40" spans="1:3" ht="30" customHeight="1" x14ac:dyDescent="0.2">
      <c r="A40" s="50" t="s">
        <v>37</v>
      </c>
      <c r="B40" s="122" t="s">
        <v>38</v>
      </c>
      <c r="C40" s="122"/>
    </row>
    <row r="41" spans="1:3" ht="25.5" x14ac:dyDescent="0.2">
      <c r="A41" s="22" t="s">
        <v>39</v>
      </c>
      <c r="B41" s="36" t="s">
        <v>40</v>
      </c>
      <c r="C41" s="51" t="str">
        <f>[11]С2.1!E12</f>
        <v>V</v>
      </c>
    </row>
    <row r="42" spans="1:3" ht="25.5" x14ac:dyDescent="0.2">
      <c r="A42" s="22" t="s">
        <v>41</v>
      </c>
      <c r="B42" s="33" t="s">
        <v>42</v>
      </c>
      <c r="C42" s="51" t="str">
        <f>[11]С2.1!E13</f>
        <v>6 и менее баллов</v>
      </c>
    </row>
    <row r="43" spans="1:3" ht="25.5" x14ac:dyDescent="0.2">
      <c r="A43" s="22" t="s">
        <v>43</v>
      </c>
      <c r="B43" s="33" t="s">
        <v>44</v>
      </c>
      <c r="C43" s="51" t="str">
        <f>[11]С2.1!E14</f>
        <v>от 200 до 500</v>
      </c>
    </row>
    <row r="44" spans="1:3" ht="25.5" x14ac:dyDescent="0.2">
      <c r="A44" s="22" t="s">
        <v>45</v>
      </c>
      <c r="B44" s="33" t="s">
        <v>46</v>
      </c>
      <c r="C44" s="52" t="str">
        <f>[11]С2.1!E15</f>
        <v>нет</v>
      </c>
    </row>
    <row r="45" spans="1:3" ht="30" x14ac:dyDescent="0.2">
      <c r="A45" s="22" t="s">
        <v>47</v>
      </c>
      <c r="B45" s="33" t="s">
        <v>48</v>
      </c>
      <c r="C45" s="34">
        <f>[11]С2!F18</f>
        <v>35106.652004551666</v>
      </c>
    </row>
    <row r="46" spans="1:3" ht="30" x14ac:dyDescent="0.2">
      <c r="A46" s="22" t="s">
        <v>49</v>
      </c>
      <c r="B46" s="53" t="s">
        <v>50</v>
      </c>
      <c r="C46" s="34">
        <f>IF([11]С2!F19&gt;0,[11]С2!F19,[11]С2!F20)</f>
        <v>23441.524932855718</v>
      </c>
    </row>
    <row r="47" spans="1:3" ht="25.5" x14ac:dyDescent="0.2">
      <c r="A47" s="22" t="s">
        <v>51</v>
      </c>
      <c r="B47" s="54" t="s">
        <v>52</v>
      </c>
      <c r="C47" s="34">
        <f>[11]С2.1!E19</f>
        <v>-38</v>
      </c>
    </row>
    <row r="48" spans="1:3" ht="25.5" x14ac:dyDescent="0.2">
      <c r="A48" s="22" t="s">
        <v>53</v>
      </c>
      <c r="B48" s="54" t="s">
        <v>54</v>
      </c>
      <c r="C48" s="34" t="str">
        <f>[11]С2.1!E22</f>
        <v>нет</v>
      </c>
    </row>
    <row r="49" spans="1:3" ht="38.25" x14ac:dyDescent="0.2">
      <c r="A49" s="22" t="s">
        <v>55</v>
      </c>
      <c r="B49" s="55" t="s">
        <v>56</v>
      </c>
      <c r="C49" s="34">
        <f>[11]С2.2!E10</f>
        <v>1287</v>
      </c>
    </row>
    <row r="50" spans="1:3" ht="25.5" x14ac:dyDescent="0.2">
      <c r="A50" s="22" t="s">
        <v>57</v>
      </c>
      <c r="B50" s="56" t="s">
        <v>58</v>
      </c>
      <c r="C50" s="34">
        <f>[11]С2.2!E12</f>
        <v>5.97</v>
      </c>
    </row>
    <row r="51" spans="1:3" ht="52.5" x14ac:dyDescent="0.2">
      <c r="A51" s="22" t="s">
        <v>59</v>
      </c>
      <c r="B51" s="57" t="s">
        <v>60</v>
      </c>
      <c r="C51" s="34">
        <f>[11]С2.2!E13</f>
        <v>1</v>
      </c>
    </row>
    <row r="52" spans="1:3" ht="27.75" x14ac:dyDescent="0.2">
      <c r="A52" s="22" t="s">
        <v>61</v>
      </c>
      <c r="B52" s="56" t="s">
        <v>62</v>
      </c>
      <c r="C52" s="34">
        <f>[11]С2.2!E14</f>
        <v>12104</v>
      </c>
    </row>
    <row r="53" spans="1:3" ht="25.5" x14ac:dyDescent="0.2">
      <c r="A53" s="22" t="s">
        <v>63</v>
      </c>
      <c r="B53" s="57" t="s">
        <v>64</v>
      </c>
      <c r="C53" s="35">
        <f>[11]С2.2!E15</f>
        <v>4.8000000000000001E-2</v>
      </c>
    </row>
    <row r="54" spans="1:3" x14ac:dyDescent="0.2">
      <c r="A54" s="22" t="s">
        <v>65</v>
      </c>
      <c r="B54" s="57" t="s">
        <v>66</v>
      </c>
      <c r="C54" s="34">
        <f>[11]С2.2!E16</f>
        <v>1</v>
      </c>
    </row>
    <row r="55" spans="1:3" ht="15.75" x14ac:dyDescent="0.2">
      <c r="A55" s="22" t="s">
        <v>67</v>
      </c>
      <c r="B55" s="58" t="s">
        <v>68</v>
      </c>
      <c r="C55" s="34">
        <f>[11]С2!F21</f>
        <v>1</v>
      </c>
    </row>
    <row r="56" spans="1:3" ht="30" x14ac:dyDescent="0.2">
      <c r="A56" s="59" t="s">
        <v>69</v>
      </c>
      <c r="B56" s="33" t="s">
        <v>70</v>
      </c>
      <c r="C56" s="34">
        <f>[11]С2!F13</f>
        <v>183796.83936385796</v>
      </c>
    </row>
    <row r="57" spans="1:3" ht="30" x14ac:dyDescent="0.2">
      <c r="A57" s="59" t="s">
        <v>71</v>
      </c>
      <c r="B57" s="58" t="s">
        <v>72</v>
      </c>
      <c r="C57" s="34">
        <f>[11]С2!F14</f>
        <v>113455</v>
      </c>
    </row>
    <row r="58" spans="1:3" ht="15.75" x14ac:dyDescent="0.2">
      <c r="A58" s="59" t="s">
        <v>73</v>
      </c>
      <c r="B58" s="60" t="s">
        <v>74</v>
      </c>
      <c r="C58" s="40">
        <f>[11]С2!F15</f>
        <v>1.071</v>
      </c>
    </row>
    <row r="59" spans="1:3" ht="15.75" x14ac:dyDescent="0.2">
      <c r="A59" s="59" t="s">
        <v>75</v>
      </c>
      <c r="B59" s="60" t="s">
        <v>76</v>
      </c>
      <c r="C59" s="40">
        <f>[11]С2!F16</f>
        <v>1</v>
      </c>
    </row>
    <row r="60" spans="1:3" ht="17.25" x14ac:dyDescent="0.2">
      <c r="A60" s="59" t="s">
        <v>77</v>
      </c>
      <c r="B60" s="58" t="s">
        <v>78</v>
      </c>
      <c r="C60" s="34">
        <f>[11]С2!F17</f>
        <v>1.01</v>
      </c>
    </row>
    <row r="61" spans="1:3" s="63" customFormat="1" ht="14.25" x14ac:dyDescent="0.2">
      <c r="A61" s="59" t="s">
        <v>79</v>
      </c>
      <c r="B61" s="61" t="s">
        <v>80</v>
      </c>
      <c r="C61" s="62">
        <f>[11]С2!F33</f>
        <v>10</v>
      </c>
    </row>
    <row r="62" spans="1:3" ht="30" x14ac:dyDescent="0.2">
      <c r="A62" s="59" t="s">
        <v>81</v>
      </c>
      <c r="B62" s="64" t="s">
        <v>82</v>
      </c>
      <c r="C62" s="34">
        <f>[11]С2!F26</f>
        <v>1543.3634896839897</v>
      </c>
    </row>
    <row r="63" spans="1:3" ht="17.25" x14ac:dyDescent="0.2">
      <c r="A63" s="59" t="s">
        <v>83</v>
      </c>
      <c r="B63" s="53" t="s">
        <v>84</v>
      </c>
      <c r="C63" s="34">
        <f>[11]С2!F27</f>
        <v>0.24536656199999998</v>
      </c>
    </row>
    <row r="64" spans="1:3" ht="17.25" x14ac:dyDescent="0.2">
      <c r="A64" s="59" t="s">
        <v>85</v>
      </c>
      <c r="B64" s="58" t="s">
        <v>86</v>
      </c>
      <c r="C64" s="62">
        <f>[11]С2!F28</f>
        <v>4200</v>
      </c>
    </row>
    <row r="65" spans="1:3" ht="42.75" x14ac:dyDescent="0.2">
      <c r="A65" s="59" t="s">
        <v>87</v>
      </c>
      <c r="B65" s="33" t="s">
        <v>88</v>
      </c>
      <c r="C65" s="34">
        <f>[11]С2!F22</f>
        <v>38698.422798410109</v>
      </c>
    </row>
    <row r="66" spans="1:3" ht="30" x14ac:dyDescent="0.2">
      <c r="A66" s="59" t="s">
        <v>89</v>
      </c>
      <c r="B66" s="60" t="s">
        <v>90</v>
      </c>
      <c r="C66" s="34">
        <f>[11]С2!F23</f>
        <v>1990</v>
      </c>
    </row>
    <row r="67" spans="1:3" ht="30" x14ac:dyDescent="0.2">
      <c r="A67" s="59" t="s">
        <v>91</v>
      </c>
      <c r="B67" s="53" t="s">
        <v>92</v>
      </c>
      <c r="C67" s="34">
        <f>[11]С2.1!E27</f>
        <v>14307.876789999998</v>
      </c>
    </row>
    <row r="68" spans="1:3" ht="38.25" x14ac:dyDescent="0.2">
      <c r="A68" s="59" t="s">
        <v>93</v>
      </c>
      <c r="B68" s="65" t="s">
        <v>94</v>
      </c>
      <c r="C68" s="52">
        <f>[11]С2.3!E21</f>
        <v>0</v>
      </c>
    </row>
    <row r="69" spans="1:3" ht="25.5" x14ac:dyDescent="0.2">
      <c r="A69" s="59" t="s">
        <v>95</v>
      </c>
      <c r="B69" s="66" t="s">
        <v>96</v>
      </c>
      <c r="C69" s="67">
        <f>[11]С2.3!E11</f>
        <v>9.89</v>
      </c>
    </row>
    <row r="70" spans="1:3" ht="25.5" x14ac:dyDescent="0.2">
      <c r="A70" s="59" t="s">
        <v>97</v>
      </c>
      <c r="B70" s="66" t="s">
        <v>98</v>
      </c>
      <c r="C70" s="62">
        <f>[11]С2.3!E13</f>
        <v>300</v>
      </c>
    </row>
    <row r="71" spans="1:3" ht="25.5" x14ac:dyDescent="0.2">
      <c r="A71" s="59" t="s">
        <v>99</v>
      </c>
      <c r="B71" s="65" t="s">
        <v>100</v>
      </c>
      <c r="C71" s="68">
        <f>IF([11]С2.3!E22&gt;0,[11]С2.3!E22,[11]С2.3!E14)</f>
        <v>61211</v>
      </c>
    </row>
    <row r="72" spans="1:3" ht="38.25" x14ac:dyDescent="0.2">
      <c r="A72" s="59" t="s">
        <v>101</v>
      </c>
      <c r="B72" s="65" t="s">
        <v>102</v>
      </c>
      <c r="C72" s="68">
        <f>IF([11]С2.3!E23&gt;0,[11]С2.3!E23,[11]С2.3!E15)</f>
        <v>45675</v>
      </c>
    </row>
    <row r="73" spans="1:3" ht="30" x14ac:dyDescent="0.2">
      <c r="A73" s="59" t="s">
        <v>103</v>
      </c>
      <c r="B73" s="53" t="s">
        <v>104</v>
      </c>
      <c r="C73" s="34">
        <f>[11]С2.1!E28</f>
        <v>9541.9567200000001</v>
      </c>
    </row>
    <row r="74" spans="1:3" ht="38.25" x14ac:dyDescent="0.2">
      <c r="A74" s="59" t="s">
        <v>105</v>
      </c>
      <c r="B74" s="65" t="s">
        <v>106</v>
      </c>
      <c r="C74" s="52">
        <f>[11]С2.3!E25</f>
        <v>0</v>
      </c>
    </row>
    <row r="75" spans="1:3" ht="25.5" x14ac:dyDescent="0.2">
      <c r="A75" s="59" t="s">
        <v>107</v>
      </c>
      <c r="B75" s="66" t="s">
        <v>108</v>
      </c>
      <c r="C75" s="67">
        <f>[11]С2.3!E12</f>
        <v>0.56000000000000005</v>
      </c>
    </row>
    <row r="76" spans="1:3" ht="25.5" x14ac:dyDescent="0.2">
      <c r="A76" s="59" t="s">
        <v>109</v>
      </c>
      <c r="B76" s="66" t="s">
        <v>98</v>
      </c>
      <c r="C76" s="62">
        <f>[11]С2.3!E13</f>
        <v>300</v>
      </c>
    </row>
    <row r="77" spans="1:3" ht="25.5" x14ac:dyDescent="0.2">
      <c r="A77" s="59" t="s">
        <v>110</v>
      </c>
      <c r="B77" s="69" t="s">
        <v>111</v>
      </c>
      <c r="C77" s="68">
        <f>IF([11]С2.3!E26&gt;0,[11]С2.3!E26,[11]С2.3!E16)</f>
        <v>65637</v>
      </c>
    </row>
    <row r="78" spans="1:3" ht="38.25" x14ac:dyDescent="0.2">
      <c r="A78" s="59" t="s">
        <v>112</v>
      </c>
      <c r="B78" s="69" t="s">
        <v>113</v>
      </c>
      <c r="C78" s="68">
        <f>IF([11]С2.3!E27&gt;0,[11]С2.3!E27,[11]С2.3!E17)</f>
        <v>31684</v>
      </c>
    </row>
    <row r="79" spans="1:3" ht="17.25" x14ac:dyDescent="0.2">
      <c r="A79" s="59" t="s">
        <v>114</v>
      </c>
      <c r="B79" s="33" t="s">
        <v>115</v>
      </c>
      <c r="C79" s="35">
        <f>[11]С2!F29</f>
        <v>9.5962865259740182E-2</v>
      </c>
    </row>
    <row r="80" spans="1:3" ht="30" x14ac:dyDescent="0.2">
      <c r="A80" s="59" t="s">
        <v>116</v>
      </c>
      <c r="B80" s="53" t="s">
        <v>117</v>
      </c>
      <c r="C80" s="70">
        <f>[11]С2!F30</f>
        <v>8.4029304029304031E-2</v>
      </c>
    </row>
    <row r="81" spans="1:3" ht="17.25" x14ac:dyDescent="0.2">
      <c r="A81" s="59" t="s">
        <v>118</v>
      </c>
      <c r="B81" s="71" t="s">
        <v>119</v>
      </c>
      <c r="C81" s="35">
        <f>[11]С2!F31</f>
        <v>0.13880000000000001</v>
      </c>
    </row>
    <row r="82" spans="1:3" s="63" customFormat="1" ht="18" thickBot="1" x14ac:dyDescent="0.25">
      <c r="A82" s="72" t="s">
        <v>120</v>
      </c>
      <c r="B82" s="73" t="s">
        <v>121</v>
      </c>
      <c r="C82" s="74">
        <f>[11]С2!F32</f>
        <v>0.12640000000000001</v>
      </c>
    </row>
    <row r="83" spans="1:3" ht="13.5" thickBot="1" x14ac:dyDescent="0.25">
      <c r="A83" s="47"/>
      <c r="B83" s="75"/>
      <c r="C83" s="15"/>
    </row>
    <row r="84" spans="1:3" s="63" customFormat="1" ht="30" customHeight="1" x14ac:dyDescent="0.2">
      <c r="A84" s="76" t="s">
        <v>122</v>
      </c>
      <c r="B84" s="122" t="s">
        <v>123</v>
      </c>
      <c r="C84" s="122"/>
    </row>
    <row r="85" spans="1:3" s="63" customFormat="1" ht="30" x14ac:dyDescent="0.2">
      <c r="A85" s="77" t="s">
        <v>124</v>
      </c>
      <c r="B85" s="33" t="s">
        <v>125</v>
      </c>
      <c r="C85" s="34">
        <f>[11]С3!F14</f>
        <v>6068.1437898865324</v>
      </c>
    </row>
    <row r="86" spans="1:3" s="63" customFormat="1" ht="42.75" x14ac:dyDescent="0.2">
      <c r="A86" s="77" t="s">
        <v>126</v>
      </c>
      <c r="B86" s="53" t="s">
        <v>127</v>
      </c>
      <c r="C86" s="78">
        <f>[11]С3!F15</f>
        <v>0.2</v>
      </c>
    </row>
    <row r="87" spans="1:3" s="63" customFormat="1" ht="14.25" x14ac:dyDescent="0.2">
      <c r="A87" s="77" t="s">
        <v>128</v>
      </c>
      <c r="B87" s="79" t="s">
        <v>129</v>
      </c>
      <c r="C87" s="62">
        <f>[11]С3!F18</f>
        <v>15</v>
      </c>
    </row>
    <row r="88" spans="1:3" s="63" customFormat="1" ht="17.25" x14ac:dyDescent="0.2">
      <c r="A88" s="77" t="s">
        <v>130</v>
      </c>
      <c r="B88" s="33" t="s">
        <v>131</v>
      </c>
      <c r="C88" s="34">
        <f>[11]С3!F19</f>
        <v>3778.1614077800232</v>
      </c>
    </row>
    <row r="89" spans="1:3" s="63" customFormat="1" ht="55.5" x14ac:dyDescent="0.2">
      <c r="A89" s="77" t="s">
        <v>132</v>
      </c>
      <c r="B89" s="53" t="s">
        <v>133</v>
      </c>
      <c r="C89" s="80">
        <f>[11]С3!F20</f>
        <v>2.1999999999999999E-2</v>
      </c>
    </row>
    <row r="90" spans="1:3" s="63" customFormat="1" ht="14.25" x14ac:dyDescent="0.2">
      <c r="A90" s="77" t="s">
        <v>134</v>
      </c>
      <c r="B90" s="58" t="s">
        <v>80</v>
      </c>
      <c r="C90" s="62">
        <f>[11]С3!F21</f>
        <v>10</v>
      </c>
    </row>
    <row r="91" spans="1:3" s="63" customFormat="1" ht="17.25" x14ac:dyDescent="0.2">
      <c r="A91" s="77" t="s">
        <v>135</v>
      </c>
      <c r="B91" s="33" t="s">
        <v>136</v>
      </c>
      <c r="C91" s="34">
        <f>[11]С3!F22</f>
        <v>4.6300904690519689</v>
      </c>
    </row>
    <row r="92" spans="1:3" s="63" customFormat="1" ht="55.5" x14ac:dyDescent="0.2">
      <c r="A92" s="77" t="s">
        <v>137</v>
      </c>
      <c r="B92" s="53" t="s">
        <v>138</v>
      </c>
      <c r="C92" s="80">
        <f>[11]С3!F23</f>
        <v>3.0000000000000001E-3</v>
      </c>
    </row>
    <row r="93" spans="1:3" s="63" customFormat="1" ht="27.75" thickBot="1" x14ac:dyDescent="0.25">
      <c r="A93" s="81" t="s">
        <v>139</v>
      </c>
      <c r="B93" s="82" t="s">
        <v>140</v>
      </c>
      <c r="C93" s="83">
        <f>[11]С3!F24</f>
        <v>1543.3634896839897</v>
      </c>
    </row>
    <row r="94" spans="1:3" ht="13.5" thickBot="1" x14ac:dyDescent="0.25">
      <c r="A94" s="47"/>
      <c r="B94" s="75"/>
      <c r="C94" s="15"/>
    </row>
    <row r="95" spans="1:3" ht="30" customHeight="1" x14ac:dyDescent="0.2">
      <c r="A95" s="84" t="s">
        <v>141</v>
      </c>
      <c r="B95" s="122" t="s">
        <v>142</v>
      </c>
      <c r="C95" s="122"/>
    </row>
    <row r="96" spans="1:3" ht="30" x14ac:dyDescent="0.2">
      <c r="A96" s="59" t="s">
        <v>143</v>
      </c>
      <c r="B96" s="33" t="s">
        <v>144</v>
      </c>
      <c r="C96" s="34">
        <f>[11]С4!F16</f>
        <v>1652.5</v>
      </c>
    </row>
    <row r="97" spans="1:3" ht="30" x14ac:dyDescent="0.2">
      <c r="A97" s="59" t="s">
        <v>145</v>
      </c>
      <c r="B97" s="58" t="s">
        <v>146</v>
      </c>
      <c r="C97" s="34">
        <f>[11]С4!F17</f>
        <v>73547</v>
      </c>
    </row>
    <row r="98" spans="1:3" ht="17.25" x14ac:dyDescent="0.2">
      <c r="A98" s="59" t="s">
        <v>147</v>
      </c>
      <c r="B98" s="58" t="s">
        <v>148</v>
      </c>
      <c r="C98" s="40">
        <f>[11]С4!F18</f>
        <v>0.02</v>
      </c>
    </row>
    <row r="99" spans="1:3" ht="30" x14ac:dyDescent="0.2">
      <c r="A99" s="59" t="s">
        <v>149</v>
      </c>
      <c r="B99" s="58" t="s">
        <v>150</v>
      </c>
      <c r="C99" s="34">
        <f>[11]С4!F19</f>
        <v>12104</v>
      </c>
    </row>
    <row r="100" spans="1:3" ht="31.5" x14ac:dyDescent="0.2">
      <c r="A100" s="59" t="s">
        <v>151</v>
      </c>
      <c r="B100" s="58" t="s">
        <v>152</v>
      </c>
      <c r="C100" s="40">
        <f>[11]С4!F20</f>
        <v>1.4999999999999999E-2</v>
      </c>
    </row>
    <row r="101" spans="1:3" ht="30" x14ac:dyDescent="0.2">
      <c r="A101" s="59" t="s">
        <v>153</v>
      </c>
      <c r="B101" s="33" t="s">
        <v>154</v>
      </c>
      <c r="C101" s="34">
        <f>[11]С4!F21</f>
        <v>1933.1949342509995</v>
      </c>
    </row>
    <row r="102" spans="1:3" ht="24" customHeight="1" x14ac:dyDescent="0.2">
      <c r="A102" s="59" t="s">
        <v>155</v>
      </c>
      <c r="B102" s="53" t="s">
        <v>156</v>
      </c>
      <c r="C102" s="85">
        <f>IF([11]С4.2!F8="да",[11]С4.2!D21,[11]С4.2!D15)</f>
        <v>0</v>
      </c>
    </row>
    <row r="103" spans="1:3" ht="68.25" x14ac:dyDescent="0.2">
      <c r="A103" s="59" t="s">
        <v>157</v>
      </c>
      <c r="B103" s="53" t="s">
        <v>158</v>
      </c>
      <c r="C103" s="34">
        <f>[11]С4!F22</f>
        <v>3.6112641666666665</v>
      </c>
    </row>
    <row r="104" spans="1:3" ht="30" x14ac:dyDescent="0.2">
      <c r="A104" s="59" t="s">
        <v>159</v>
      </c>
      <c r="B104" s="58" t="s">
        <v>160</v>
      </c>
      <c r="C104" s="34">
        <f>[11]С4!F23</f>
        <v>180</v>
      </c>
    </row>
    <row r="105" spans="1:3" ht="14.25" x14ac:dyDescent="0.2">
      <c r="A105" s="59" t="s">
        <v>161</v>
      </c>
      <c r="B105" s="53" t="s">
        <v>162</v>
      </c>
      <c r="C105" s="34">
        <f>[11]С4!F24</f>
        <v>8497.1999999999989</v>
      </c>
    </row>
    <row r="106" spans="1:3" ht="14.25" x14ac:dyDescent="0.2">
      <c r="A106" s="59" t="s">
        <v>163</v>
      </c>
      <c r="B106" s="58" t="s">
        <v>164</v>
      </c>
      <c r="C106" s="40">
        <f>[11]С4!F25</f>
        <v>0.35</v>
      </c>
    </row>
    <row r="107" spans="1:3" ht="17.25" x14ac:dyDescent="0.2">
      <c r="A107" s="59" t="s">
        <v>165</v>
      </c>
      <c r="B107" s="33" t="s">
        <v>166</v>
      </c>
      <c r="C107" s="34">
        <f>[11]С4!F26</f>
        <v>85.988129999999998</v>
      </c>
    </row>
    <row r="108" spans="1:3" ht="25.5" x14ac:dyDescent="0.2">
      <c r="A108" s="59" t="s">
        <v>167</v>
      </c>
      <c r="B108" s="53" t="s">
        <v>94</v>
      </c>
      <c r="C108" s="85">
        <f>[11]С4.3!E16</f>
        <v>0</v>
      </c>
    </row>
    <row r="109" spans="1:3" ht="25.5" x14ac:dyDescent="0.2">
      <c r="A109" s="59" t="s">
        <v>168</v>
      </c>
      <c r="B109" s="53" t="s">
        <v>169</v>
      </c>
      <c r="C109" s="34">
        <f>[11]С4.3!E17</f>
        <v>20.350000000000001</v>
      </c>
    </row>
    <row r="110" spans="1:3" ht="38.25" x14ac:dyDescent="0.2">
      <c r="A110" s="59" t="s">
        <v>170</v>
      </c>
      <c r="B110" s="53" t="s">
        <v>106</v>
      </c>
      <c r="C110" s="85">
        <f>[11]С4.3!E18</f>
        <v>0</v>
      </c>
    </row>
    <row r="111" spans="1:3" x14ac:dyDescent="0.2">
      <c r="A111" s="59" t="s">
        <v>171</v>
      </c>
      <c r="B111" s="53" t="s">
        <v>172</v>
      </c>
      <c r="C111" s="34">
        <f>[11]С4.3!E19</f>
        <v>71.67</v>
      </c>
    </row>
    <row r="112" spans="1:3" x14ac:dyDescent="0.2">
      <c r="A112" s="59" t="s">
        <v>173</v>
      </c>
      <c r="B112" s="58" t="s">
        <v>174</v>
      </c>
      <c r="C112" s="34">
        <f>[11]С4.3!E11</f>
        <v>1871</v>
      </c>
    </row>
    <row r="113" spans="1:3" x14ac:dyDescent="0.2">
      <c r="A113" s="59" t="s">
        <v>175</v>
      </c>
      <c r="B113" s="58" t="s">
        <v>176</v>
      </c>
      <c r="C113" s="52">
        <f>[11]С4.3!E12</f>
        <v>1636</v>
      </c>
    </row>
    <row r="114" spans="1:3" x14ac:dyDescent="0.2">
      <c r="A114" s="59" t="s">
        <v>177</v>
      </c>
      <c r="B114" s="58" t="s">
        <v>178</v>
      </c>
      <c r="C114" s="52">
        <f>[11]С4.3!E13</f>
        <v>204</v>
      </c>
    </row>
    <row r="115" spans="1:3" ht="30" x14ac:dyDescent="0.2">
      <c r="A115" s="59" t="s">
        <v>179</v>
      </c>
      <c r="B115" s="33" t="s">
        <v>180</v>
      </c>
      <c r="C115" s="34">
        <f>[11]С4!F27</f>
        <v>1291.2863994686898</v>
      </c>
    </row>
    <row r="116" spans="1:3" ht="25.5" x14ac:dyDescent="0.2">
      <c r="A116" s="59" t="s">
        <v>181</v>
      </c>
      <c r="B116" s="53" t="s">
        <v>182</v>
      </c>
      <c r="C116" s="34">
        <f>[11]С4!F28</f>
        <v>991.77142816335618</v>
      </c>
    </row>
    <row r="117" spans="1:3" ht="42.75" x14ac:dyDescent="0.2">
      <c r="A117" s="59" t="s">
        <v>183</v>
      </c>
      <c r="B117" s="53" t="s">
        <v>184</v>
      </c>
      <c r="C117" s="34">
        <f>[11]С4!F29</f>
        <v>299.51497130533357</v>
      </c>
    </row>
    <row r="118" spans="1:3" ht="30" x14ac:dyDescent="0.2">
      <c r="A118" s="59" t="s">
        <v>185</v>
      </c>
      <c r="B118" s="39" t="s">
        <v>186</v>
      </c>
      <c r="C118" s="34">
        <f>[11]С4!F30</f>
        <v>1594.13258751168</v>
      </c>
    </row>
    <row r="119" spans="1:3" ht="42.75" x14ac:dyDescent="0.2">
      <c r="A119" s="59" t="s">
        <v>187</v>
      </c>
      <c r="B119" s="86" t="s">
        <v>188</v>
      </c>
      <c r="C119" s="34">
        <f>[11]С4!F33</f>
        <v>874.71227208171138</v>
      </c>
    </row>
    <row r="120" spans="1:3" ht="30" x14ac:dyDescent="0.2">
      <c r="A120" s="59" t="s">
        <v>189</v>
      </c>
      <c r="B120" s="87" t="s">
        <v>190</v>
      </c>
      <c r="C120" s="34">
        <f>[11]С4!F35</f>
        <v>17.040680999999999</v>
      </c>
    </row>
    <row r="121" spans="1:3" ht="14.25" x14ac:dyDescent="0.2">
      <c r="A121" s="59" t="s">
        <v>191</v>
      </c>
      <c r="B121" s="56" t="s">
        <v>192</v>
      </c>
      <c r="C121" s="34">
        <f>[11]С4!F36</f>
        <v>14319.9</v>
      </c>
    </row>
    <row r="122" spans="1:3" ht="28.5" thickBot="1" x14ac:dyDescent="0.25">
      <c r="A122" s="72" t="s">
        <v>193</v>
      </c>
      <c r="B122" s="88" t="s">
        <v>194</v>
      </c>
      <c r="C122" s="83">
        <f>[11]С4!F37</f>
        <v>1.19</v>
      </c>
    </row>
    <row r="123" spans="1:3" s="89" customFormat="1" ht="13.5" thickBot="1" x14ac:dyDescent="0.25">
      <c r="A123" s="47"/>
      <c r="B123" s="75"/>
      <c r="C123" s="15"/>
    </row>
    <row r="124" spans="1:3" s="63" customFormat="1" ht="30" customHeight="1" x14ac:dyDescent="0.2">
      <c r="A124" s="76" t="s">
        <v>195</v>
      </c>
      <c r="B124" s="122" t="s">
        <v>196</v>
      </c>
      <c r="C124" s="122"/>
    </row>
    <row r="125" spans="1:3" ht="16.5" thickBot="1" x14ac:dyDescent="0.25">
      <c r="A125" s="27" t="s">
        <v>197</v>
      </c>
      <c r="B125" s="90" t="s">
        <v>198</v>
      </c>
      <c r="C125" s="83">
        <f>[11]С5!F17</f>
        <v>0.02</v>
      </c>
    </row>
    <row r="126" spans="1:3" s="89" customFormat="1" ht="13.5" thickBot="1" x14ac:dyDescent="0.25">
      <c r="A126" s="47"/>
      <c r="B126" s="75"/>
      <c r="C126" s="15"/>
    </row>
    <row r="127" spans="1:3" ht="42.75" customHeight="1" x14ac:dyDescent="0.2">
      <c r="A127" s="84" t="s">
        <v>199</v>
      </c>
      <c r="B127" s="123" t="s">
        <v>200</v>
      </c>
      <c r="C127" s="123"/>
    </row>
    <row r="128" spans="1:3" ht="68.25" x14ac:dyDescent="0.2">
      <c r="A128" s="59" t="s">
        <v>201</v>
      </c>
      <c r="B128" s="91" t="s">
        <v>202</v>
      </c>
      <c r="C128" s="34" t="s">
        <v>203</v>
      </c>
    </row>
    <row r="129" spans="1:4" ht="42.75" hidden="1" x14ac:dyDescent="0.2">
      <c r="A129" s="59" t="s">
        <v>204</v>
      </c>
      <c r="B129" s="86" t="s">
        <v>205</v>
      </c>
      <c r="C129" s="92"/>
    </row>
    <row r="130" spans="1:4" ht="69" thickBot="1" x14ac:dyDescent="0.25">
      <c r="A130" s="72" t="s">
        <v>206</v>
      </c>
      <c r="B130" s="93" t="s">
        <v>207</v>
      </c>
      <c r="C130" s="94" t="s">
        <v>203</v>
      </c>
    </row>
    <row r="131" spans="1:4" ht="62.25" hidden="1" customHeight="1" x14ac:dyDescent="0.2">
      <c r="A131" s="95" t="s">
        <v>208</v>
      </c>
      <c r="B131" s="96" t="s">
        <v>209</v>
      </c>
      <c r="C131" s="97"/>
    </row>
    <row r="132" spans="1:4" ht="68.25" hidden="1" x14ac:dyDescent="0.2">
      <c r="A132" s="59" t="s">
        <v>210</v>
      </c>
      <c r="B132" s="86" t="s">
        <v>211</v>
      </c>
      <c r="C132" s="35"/>
    </row>
    <row r="133" spans="1:4" ht="69" hidden="1" thickBot="1" x14ac:dyDescent="0.25">
      <c r="A133" s="72" t="s">
        <v>212</v>
      </c>
      <c r="B133" s="98" t="s">
        <v>213</v>
      </c>
      <c r="C133" s="74"/>
    </row>
    <row r="134" spans="1:4" s="89" customFormat="1" ht="13.5" thickBot="1" x14ac:dyDescent="0.25">
      <c r="A134" s="47"/>
      <c r="B134" s="75"/>
      <c r="C134" s="15"/>
    </row>
    <row r="135" spans="1:4" ht="26.25" customHeight="1" x14ac:dyDescent="0.2">
      <c r="A135" s="84" t="s">
        <v>214</v>
      </c>
      <c r="B135" s="99" t="s">
        <v>215</v>
      </c>
      <c r="C135" s="100">
        <f>[11]С2!F37</f>
        <v>20.818139999999996</v>
      </c>
    </row>
    <row r="136" spans="1:4" ht="14.25" x14ac:dyDescent="0.2">
      <c r="A136" s="59" t="s">
        <v>216</v>
      </c>
      <c r="B136" s="101" t="s">
        <v>217</v>
      </c>
      <c r="C136" s="34">
        <f>[11]С2!F38</f>
        <v>7</v>
      </c>
    </row>
    <row r="137" spans="1:4" ht="17.25" x14ac:dyDescent="0.2">
      <c r="A137" s="59" t="s">
        <v>218</v>
      </c>
      <c r="B137" s="101" t="s">
        <v>219</v>
      </c>
      <c r="C137" s="34">
        <f>[11]С2!F40</f>
        <v>0.97</v>
      </c>
    </row>
    <row r="138" spans="1:4" ht="15" thickBot="1" x14ac:dyDescent="0.25">
      <c r="A138" s="72" t="s">
        <v>220</v>
      </c>
      <c r="B138" s="102" t="s">
        <v>221</v>
      </c>
      <c r="C138" s="46">
        <f>[11]С2!F42</f>
        <v>0.35</v>
      </c>
    </row>
    <row r="139" spans="1:4" s="89" customFormat="1" ht="13.5" thickBot="1" x14ac:dyDescent="0.25">
      <c r="A139" s="47"/>
      <c r="B139" s="75"/>
      <c r="C139" s="15"/>
    </row>
    <row r="140" spans="1:4" ht="30" x14ac:dyDescent="0.2">
      <c r="A140" s="84" t="s">
        <v>222</v>
      </c>
      <c r="B140" s="103" t="s">
        <v>223</v>
      </c>
      <c r="C140" s="104">
        <f>[11]С2!F35</f>
        <v>1.4976266307379205</v>
      </c>
      <c r="D140" s="89"/>
    </row>
    <row r="141" spans="1:4" ht="22.7" customHeight="1" thickBot="1" x14ac:dyDescent="0.25">
      <c r="A141" s="72" t="s">
        <v>224</v>
      </c>
      <c r="B141" s="118" t="s">
        <v>225</v>
      </c>
      <c r="C141" s="118"/>
      <c r="D141" s="89"/>
    </row>
    <row r="142" spans="1:4" ht="13.5" thickBot="1" x14ac:dyDescent="0.25">
      <c r="A142" s="106"/>
      <c r="B142" s="107" t="s">
        <v>226</v>
      </c>
      <c r="C142" s="108"/>
      <c r="D142" s="89"/>
    </row>
    <row r="143" spans="1:4" x14ac:dyDescent="0.2">
      <c r="A143" s="106"/>
      <c r="B143" s="109">
        <v>2020</v>
      </c>
      <c r="C143" s="110">
        <f>[11]С2.5!$E$11</f>
        <v>-2.9000000000000026E-2</v>
      </c>
      <c r="D143" s="89"/>
    </row>
    <row r="144" spans="1:4" x14ac:dyDescent="0.2">
      <c r="A144" s="106"/>
      <c r="B144" s="111">
        <f>B143+1</f>
        <v>2021</v>
      </c>
      <c r="C144" s="112">
        <f>[11]С2.5!$F$11</f>
        <v>0.245</v>
      </c>
      <c r="D144" s="89"/>
    </row>
    <row r="145" spans="1:4" x14ac:dyDescent="0.2">
      <c r="A145" s="106"/>
      <c r="B145" s="111">
        <f t="shared" ref="B145:B208" si="0">B144+1</f>
        <v>2022</v>
      </c>
      <c r="C145" s="112">
        <f>[11]С2.5!$G$11</f>
        <v>0.114</v>
      </c>
      <c r="D145" s="89"/>
    </row>
    <row r="146" spans="1:4" ht="13.5" thickBot="1" x14ac:dyDescent="0.25">
      <c r="A146" s="106"/>
      <c r="B146" s="113">
        <f t="shared" si="0"/>
        <v>2023</v>
      </c>
      <c r="C146" s="114">
        <f>[11]С2.5!$H$11</f>
        <v>2.4E-2</v>
      </c>
      <c r="D146" s="89"/>
    </row>
    <row r="147" spans="1:4" x14ac:dyDescent="0.2">
      <c r="A147" s="106"/>
      <c r="B147" s="115">
        <f t="shared" si="0"/>
        <v>2024</v>
      </c>
      <c r="C147" s="116">
        <f>[11]С2.5!$I$11</f>
        <v>8.5999999999999993E-2</v>
      </c>
      <c r="D147" s="89"/>
    </row>
    <row r="148" spans="1:4" hidden="1" x14ac:dyDescent="0.2">
      <c r="A148" s="106"/>
      <c r="B148" s="111">
        <f t="shared" si="0"/>
        <v>2025</v>
      </c>
      <c r="C148" s="112">
        <f>[11]С2.5!$J$11</f>
        <v>0.21215960863291</v>
      </c>
      <c r="D148" s="89"/>
    </row>
    <row r="149" spans="1:4" hidden="1" x14ac:dyDescent="0.2">
      <c r="A149" s="106"/>
      <c r="B149" s="111">
        <f t="shared" si="0"/>
        <v>2026</v>
      </c>
      <c r="C149" s="112">
        <f>[11]С2.5!$K$11</f>
        <v>3.5813361771260002E-2</v>
      </c>
      <c r="D149" s="89"/>
    </row>
    <row r="150" spans="1:4" hidden="1" x14ac:dyDescent="0.2">
      <c r="A150" s="106"/>
      <c r="B150" s="111">
        <f t="shared" si="0"/>
        <v>2027</v>
      </c>
      <c r="C150" s="112">
        <f>[11]С2.5!$L$11</f>
        <v>3.2682303599220003E-2</v>
      </c>
      <c r="D150" s="89"/>
    </row>
    <row r="151" spans="1:4" hidden="1" x14ac:dyDescent="0.2">
      <c r="A151" s="106"/>
      <c r="B151" s="111">
        <f t="shared" si="0"/>
        <v>2028</v>
      </c>
      <c r="C151" s="112">
        <f>[11]С2.5!$M$11</f>
        <v>0</v>
      </c>
      <c r="D151" s="89"/>
    </row>
    <row r="152" spans="1:4" hidden="1" x14ac:dyDescent="0.2">
      <c r="A152" s="106"/>
      <c r="B152" s="111">
        <f t="shared" si="0"/>
        <v>2029</v>
      </c>
      <c r="C152" s="112">
        <f>[11]С2.5!$N$11</f>
        <v>0</v>
      </c>
      <c r="D152" s="89"/>
    </row>
    <row r="153" spans="1:4" hidden="1" x14ac:dyDescent="0.2">
      <c r="A153" s="106"/>
      <c r="B153" s="111">
        <f t="shared" si="0"/>
        <v>2030</v>
      </c>
      <c r="C153" s="112">
        <f>[11]С2.5!$O$11</f>
        <v>0</v>
      </c>
      <c r="D153" s="89"/>
    </row>
    <row r="154" spans="1:4" hidden="1" x14ac:dyDescent="0.2">
      <c r="A154" s="106"/>
      <c r="B154" s="111">
        <f t="shared" si="0"/>
        <v>2031</v>
      </c>
      <c r="C154" s="112">
        <f>[11]С2.5!$P$11</f>
        <v>0</v>
      </c>
      <c r="D154" s="89"/>
    </row>
    <row r="155" spans="1:4" hidden="1" x14ac:dyDescent="0.2">
      <c r="A155" s="89"/>
      <c r="B155" s="111">
        <f t="shared" si="0"/>
        <v>2032</v>
      </c>
      <c r="C155" s="112">
        <f>[11]С2.5!$Q$11</f>
        <v>0</v>
      </c>
      <c r="D155" s="89"/>
    </row>
    <row r="156" spans="1:4" hidden="1" x14ac:dyDescent="0.2">
      <c r="A156" s="89"/>
      <c r="B156" s="111">
        <f t="shared" si="0"/>
        <v>2033</v>
      </c>
      <c r="C156" s="112">
        <f>[11]С2.5!$R$11</f>
        <v>0</v>
      </c>
      <c r="D156" s="89"/>
    </row>
    <row r="157" spans="1:4" hidden="1" x14ac:dyDescent="0.2">
      <c r="B157" s="111">
        <f t="shared" si="0"/>
        <v>2034</v>
      </c>
      <c r="C157" s="112">
        <f>[11]С2.5!$S$11</f>
        <v>0</v>
      </c>
    </row>
    <row r="158" spans="1:4" hidden="1" x14ac:dyDescent="0.2">
      <c r="B158" s="111">
        <f t="shared" si="0"/>
        <v>2035</v>
      </c>
      <c r="C158" s="112">
        <f>[11]С2.5!$T$11</f>
        <v>0</v>
      </c>
    </row>
    <row r="159" spans="1:4" hidden="1" x14ac:dyDescent="0.2">
      <c r="B159" s="111">
        <f t="shared" si="0"/>
        <v>2036</v>
      </c>
      <c r="C159" s="112">
        <f>[11]С2.5!$U$11</f>
        <v>0</v>
      </c>
    </row>
    <row r="160" spans="1:4" hidden="1" x14ac:dyDescent="0.2">
      <c r="B160" s="111">
        <f t="shared" si="0"/>
        <v>2037</v>
      </c>
      <c r="C160" s="112">
        <f>[11]С2.5!$V$11</f>
        <v>0</v>
      </c>
    </row>
    <row r="161" spans="2:3" hidden="1" x14ac:dyDescent="0.2">
      <c r="B161" s="111">
        <f t="shared" si="0"/>
        <v>2038</v>
      </c>
      <c r="C161" s="112">
        <f>[11]С2.5!$W$11</f>
        <v>0</v>
      </c>
    </row>
    <row r="162" spans="2:3" hidden="1" x14ac:dyDescent="0.2">
      <c r="B162" s="111">
        <f t="shared" si="0"/>
        <v>2039</v>
      </c>
      <c r="C162" s="112">
        <f>[11]С2.5!$X$11</f>
        <v>0</v>
      </c>
    </row>
    <row r="163" spans="2:3" hidden="1" x14ac:dyDescent="0.2">
      <c r="B163" s="111">
        <f t="shared" si="0"/>
        <v>2040</v>
      </c>
      <c r="C163" s="112">
        <f>[11]С2.5!$Y$11</f>
        <v>0</v>
      </c>
    </row>
    <row r="164" spans="2:3" hidden="1" x14ac:dyDescent="0.2">
      <c r="B164" s="111">
        <f t="shared" si="0"/>
        <v>2041</v>
      </c>
      <c r="C164" s="112">
        <f>[11]С2.5!$Z$11</f>
        <v>0</v>
      </c>
    </row>
    <row r="165" spans="2:3" hidden="1" x14ac:dyDescent="0.2">
      <c r="B165" s="111">
        <f t="shared" si="0"/>
        <v>2042</v>
      </c>
      <c r="C165" s="112">
        <f>[11]С2.5!$AA$11</f>
        <v>0</v>
      </c>
    </row>
    <row r="166" spans="2:3" hidden="1" x14ac:dyDescent="0.2">
      <c r="B166" s="111">
        <f t="shared" si="0"/>
        <v>2043</v>
      </c>
      <c r="C166" s="112">
        <f>[11]С2.5!$AB$11</f>
        <v>0</v>
      </c>
    </row>
    <row r="167" spans="2:3" hidden="1" x14ac:dyDescent="0.2">
      <c r="B167" s="111">
        <f t="shared" si="0"/>
        <v>2044</v>
      </c>
      <c r="C167" s="112">
        <f>[11]С2.5!$AC$11</f>
        <v>0</v>
      </c>
    </row>
    <row r="168" spans="2:3" hidden="1" x14ac:dyDescent="0.2">
      <c r="B168" s="111">
        <f t="shared" si="0"/>
        <v>2045</v>
      </c>
      <c r="C168" s="112">
        <f>[11]С2.5!$AD$11</f>
        <v>0</v>
      </c>
    </row>
    <row r="169" spans="2:3" hidden="1" x14ac:dyDescent="0.2">
      <c r="B169" s="111">
        <f t="shared" si="0"/>
        <v>2046</v>
      </c>
      <c r="C169" s="112">
        <f>[11]С2.5!$AE$11</f>
        <v>0</v>
      </c>
    </row>
    <row r="170" spans="2:3" hidden="1" x14ac:dyDescent="0.2">
      <c r="B170" s="111">
        <f t="shared" si="0"/>
        <v>2047</v>
      </c>
      <c r="C170" s="112">
        <f>[11]С2.5!$AF$11</f>
        <v>0</v>
      </c>
    </row>
    <row r="171" spans="2:3" hidden="1" x14ac:dyDescent="0.2">
      <c r="B171" s="111">
        <f t="shared" si="0"/>
        <v>2048</v>
      </c>
      <c r="C171" s="112">
        <f>[11]С2.5!$AG$11</f>
        <v>0</v>
      </c>
    </row>
    <row r="172" spans="2:3" hidden="1" x14ac:dyDescent="0.2">
      <c r="B172" s="111">
        <f t="shared" si="0"/>
        <v>2049</v>
      </c>
      <c r="C172" s="112">
        <f>[11]С2.5!$AH$11</f>
        <v>0</v>
      </c>
    </row>
    <row r="173" spans="2:3" hidden="1" x14ac:dyDescent="0.2">
      <c r="B173" s="111">
        <f t="shared" si="0"/>
        <v>2050</v>
      </c>
      <c r="C173" s="112">
        <f>[11]С2.5!$AI$11</f>
        <v>0</v>
      </c>
    </row>
    <row r="174" spans="2:3" hidden="1" x14ac:dyDescent="0.2">
      <c r="B174" s="111">
        <f t="shared" si="0"/>
        <v>2051</v>
      </c>
      <c r="C174" s="112">
        <f>[11]С2.5!$AJ$11</f>
        <v>0</v>
      </c>
    </row>
    <row r="175" spans="2:3" hidden="1" x14ac:dyDescent="0.2">
      <c r="B175" s="111">
        <f t="shared" si="0"/>
        <v>2052</v>
      </c>
      <c r="C175" s="112">
        <f>[11]С2.5!$AK$11</f>
        <v>0</v>
      </c>
    </row>
    <row r="176" spans="2:3" hidden="1" x14ac:dyDescent="0.2">
      <c r="B176" s="111">
        <f t="shared" si="0"/>
        <v>2053</v>
      </c>
      <c r="C176" s="112">
        <f>[11]С2.5!$AL$11</f>
        <v>0</v>
      </c>
    </row>
    <row r="177" spans="2:3" hidden="1" x14ac:dyDescent="0.2">
      <c r="B177" s="111">
        <f t="shared" si="0"/>
        <v>2054</v>
      </c>
      <c r="C177" s="112">
        <f>[11]С2.5!$AM$11</f>
        <v>0</v>
      </c>
    </row>
    <row r="178" spans="2:3" hidden="1" x14ac:dyDescent="0.2">
      <c r="B178" s="111">
        <f t="shared" si="0"/>
        <v>2055</v>
      </c>
      <c r="C178" s="112">
        <f>[11]С2.5!$AN$11</f>
        <v>0</v>
      </c>
    </row>
    <row r="179" spans="2:3" hidden="1" x14ac:dyDescent="0.2">
      <c r="B179" s="111">
        <f t="shared" si="0"/>
        <v>2056</v>
      </c>
      <c r="C179" s="112">
        <f>[11]С2.5!$AO$11</f>
        <v>0</v>
      </c>
    </row>
    <row r="180" spans="2:3" hidden="1" x14ac:dyDescent="0.2">
      <c r="B180" s="111">
        <f t="shared" si="0"/>
        <v>2057</v>
      </c>
      <c r="C180" s="112">
        <f>[11]С2.5!$AP$11</f>
        <v>0</v>
      </c>
    </row>
    <row r="181" spans="2:3" hidden="1" x14ac:dyDescent="0.2">
      <c r="B181" s="111">
        <f t="shared" si="0"/>
        <v>2058</v>
      </c>
      <c r="C181" s="112">
        <f>[11]С2.5!$AQ$11</f>
        <v>0</v>
      </c>
    </row>
    <row r="182" spans="2:3" hidden="1" x14ac:dyDescent="0.2">
      <c r="B182" s="111">
        <f t="shared" si="0"/>
        <v>2059</v>
      </c>
      <c r="C182" s="112">
        <f>[11]С2.5!$AR$11</f>
        <v>0</v>
      </c>
    </row>
    <row r="183" spans="2:3" hidden="1" x14ac:dyDescent="0.2">
      <c r="B183" s="111">
        <f t="shared" si="0"/>
        <v>2060</v>
      </c>
      <c r="C183" s="112">
        <f>[11]С2.5!$AS$11</f>
        <v>0</v>
      </c>
    </row>
    <row r="184" spans="2:3" hidden="1" x14ac:dyDescent="0.2">
      <c r="B184" s="111">
        <f t="shared" si="0"/>
        <v>2061</v>
      </c>
      <c r="C184" s="112">
        <f>[11]С2.5!$AT$11</f>
        <v>0</v>
      </c>
    </row>
    <row r="185" spans="2:3" hidden="1" x14ac:dyDescent="0.2">
      <c r="B185" s="111">
        <f t="shared" si="0"/>
        <v>2062</v>
      </c>
      <c r="C185" s="112">
        <f>[11]С2.5!$AU$11</f>
        <v>0</v>
      </c>
    </row>
    <row r="186" spans="2:3" hidden="1" x14ac:dyDescent="0.2">
      <c r="B186" s="111">
        <f t="shared" si="0"/>
        <v>2063</v>
      </c>
      <c r="C186" s="112">
        <f>[11]С2.5!$AV$11</f>
        <v>0</v>
      </c>
    </row>
    <row r="187" spans="2:3" hidden="1" x14ac:dyDescent="0.2">
      <c r="B187" s="111">
        <f t="shared" si="0"/>
        <v>2064</v>
      </c>
      <c r="C187" s="112">
        <f>[11]С2.5!$AW$11</f>
        <v>0</v>
      </c>
    </row>
    <row r="188" spans="2:3" hidden="1" x14ac:dyDescent="0.2">
      <c r="B188" s="111">
        <f t="shared" si="0"/>
        <v>2065</v>
      </c>
      <c r="C188" s="112">
        <f>[11]С2.5!$AX$11</f>
        <v>0</v>
      </c>
    </row>
    <row r="189" spans="2:3" hidden="1" x14ac:dyDescent="0.2">
      <c r="B189" s="111">
        <f t="shared" si="0"/>
        <v>2066</v>
      </c>
      <c r="C189" s="112">
        <f>[11]С2.5!$AY$11</f>
        <v>0</v>
      </c>
    </row>
    <row r="190" spans="2:3" hidden="1" x14ac:dyDescent="0.2">
      <c r="B190" s="111">
        <f t="shared" si="0"/>
        <v>2067</v>
      </c>
      <c r="C190" s="112">
        <f>[11]С2.5!$AZ$11</f>
        <v>0</v>
      </c>
    </row>
    <row r="191" spans="2:3" hidden="1" x14ac:dyDescent="0.2">
      <c r="B191" s="111">
        <f t="shared" si="0"/>
        <v>2068</v>
      </c>
      <c r="C191" s="112">
        <f>[11]С2.5!$BA$11</f>
        <v>0</v>
      </c>
    </row>
    <row r="192" spans="2:3" hidden="1" x14ac:dyDescent="0.2">
      <c r="B192" s="111">
        <f t="shared" si="0"/>
        <v>2069</v>
      </c>
      <c r="C192" s="112">
        <f>[11]С2.5!$BB$11</f>
        <v>0</v>
      </c>
    </row>
    <row r="193" spans="2:3" hidden="1" x14ac:dyDescent="0.2">
      <c r="B193" s="111">
        <f t="shared" si="0"/>
        <v>2070</v>
      </c>
      <c r="C193" s="112">
        <f>[11]С2.5!$BC$11</f>
        <v>0</v>
      </c>
    </row>
    <row r="194" spans="2:3" hidden="1" x14ac:dyDescent="0.2">
      <c r="B194" s="111">
        <f t="shared" si="0"/>
        <v>2071</v>
      </c>
      <c r="C194" s="112">
        <f>[11]С2.5!$BD$11</f>
        <v>0</v>
      </c>
    </row>
    <row r="195" spans="2:3" hidden="1" x14ac:dyDescent="0.2">
      <c r="B195" s="111">
        <f t="shared" si="0"/>
        <v>2072</v>
      </c>
      <c r="C195" s="112">
        <f>[11]С2.5!$BE$11</f>
        <v>0</v>
      </c>
    </row>
    <row r="196" spans="2:3" hidden="1" x14ac:dyDescent="0.2">
      <c r="B196" s="111">
        <f t="shared" si="0"/>
        <v>2073</v>
      </c>
      <c r="C196" s="112">
        <f>[11]С2.5!$BF$11</f>
        <v>0</v>
      </c>
    </row>
    <row r="197" spans="2:3" hidden="1" x14ac:dyDescent="0.2">
      <c r="B197" s="111">
        <f t="shared" si="0"/>
        <v>2074</v>
      </c>
      <c r="C197" s="112">
        <f>[11]С2.5!$BG$11</f>
        <v>0</v>
      </c>
    </row>
    <row r="198" spans="2:3" hidden="1" x14ac:dyDescent="0.2">
      <c r="B198" s="111">
        <f t="shared" si="0"/>
        <v>2075</v>
      </c>
      <c r="C198" s="112">
        <f>[11]С2.5!$BH$11</f>
        <v>0</v>
      </c>
    </row>
    <row r="199" spans="2:3" hidden="1" x14ac:dyDescent="0.2">
      <c r="B199" s="111">
        <f t="shared" si="0"/>
        <v>2076</v>
      </c>
      <c r="C199" s="112">
        <f>[11]С2.5!$BI$11</f>
        <v>0</v>
      </c>
    </row>
    <row r="200" spans="2:3" hidden="1" x14ac:dyDescent="0.2">
      <c r="B200" s="111">
        <f t="shared" si="0"/>
        <v>2077</v>
      </c>
      <c r="C200" s="112">
        <f>[11]С2.5!$BJ$11</f>
        <v>0</v>
      </c>
    </row>
    <row r="201" spans="2:3" hidden="1" x14ac:dyDescent="0.2">
      <c r="B201" s="111">
        <f t="shared" si="0"/>
        <v>2078</v>
      </c>
      <c r="C201" s="112">
        <f>[11]С2.5!$BK$11</f>
        <v>0</v>
      </c>
    </row>
    <row r="202" spans="2:3" hidden="1" x14ac:dyDescent="0.2">
      <c r="B202" s="111">
        <f t="shared" si="0"/>
        <v>2079</v>
      </c>
      <c r="C202" s="112">
        <f>[11]С2.5!$BL$11</f>
        <v>0</v>
      </c>
    </row>
    <row r="203" spans="2:3" hidden="1" x14ac:dyDescent="0.2">
      <c r="B203" s="111">
        <f t="shared" si="0"/>
        <v>2080</v>
      </c>
      <c r="C203" s="112">
        <f>[11]С2.5!$BM$11</f>
        <v>0</v>
      </c>
    </row>
    <row r="204" spans="2:3" hidden="1" x14ac:dyDescent="0.2">
      <c r="B204" s="111">
        <f t="shared" si="0"/>
        <v>2081</v>
      </c>
      <c r="C204" s="112">
        <f>[11]С2.5!$BN$11</f>
        <v>0</v>
      </c>
    </row>
    <row r="205" spans="2:3" hidden="1" x14ac:dyDescent="0.2">
      <c r="B205" s="111">
        <f t="shared" si="0"/>
        <v>2082</v>
      </c>
      <c r="C205" s="112">
        <f>[11]С2.5!$BO$11</f>
        <v>0</v>
      </c>
    </row>
    <row r="206" spans="2:3" hidden="1" x14ac:dyDescent="0.2">
      <c r="B206" s="111">
        <f t="shared" si="0"/>
        <v>2083</v>
      </c>
      <c r="C206" s="112">
        <f>[11]С2.5!$BP$11</f>
        <v>0</v>
      </c>
    </row>
    <row r="207" spans="2:3" hidden="1" x14ac:dyDescent="0.2">
      <c r="B207" s="111">
        <f t="shared" si="0"/>
        <v>2084</v>
      </c>
      <c r="C207" s="112">
        <f>[11]С2.5!$BQ$11</f>
        <v>0</v>
      </c>
    </row>
    <row r="208" spans="2:3" hidden="1" x14ac:dyDescent="0.2">
      <c r="B208" s="111">
        <f t="shared" si="0"/>
        <v>2085</v>
      </c>
      <c r="C208" s="112">
        <f>[11]С2.5!$BR$11</f>
        <v>0</v>
      </c>
    </row>
    <row r="209" spans="2:3" hidden="1" x14ac:dyDescent="0.2">
      <c r="B209" s="111">
        <f t="shared" ref="B209:B223" si="1">B208+1</f>
        <v>2086</v>
      </c>
      <c r="C209" s="112">
        <f>[11]С2.5!$BS$11</f>
        <v>0</v>
      </c>
    </row>
    <row r="210" spans="2:3" hidden="1" x14ac:dyDescent="0.2">
      <c r="B210" s="111">
        <f t="shared" si="1"/>
        <v>2087</v>
      </c>
      <c r="C210" s="112">
        <f>[11]С2.5!$BT$11</f>
        <v>0</v>
      </c>
    </row>
    <row r="211" spans="2:3" hidden="1" x14ac:dyDescent="0.2">
      <c r="B211" s="111">
        <f t="shared" si="1"/>
        <v>2088</v>
      </c>
      <c r="C211" s="112">
        <f>[11]С2.5!$BU$11</f>
        <v>0</v>
      </c>
    </row>
    <row r="212" spans="2:3" hidden="1" x14ac:dyDescent="0.2">
      <c r="B212" s="111">
        <f t="shared" si="1"/>
        <v>2089</v>
      </c>
      <c r="C212" s="112">
        <f>[11]С2.5!$BV$11</f>
        <v>0</v>
      </c>
    </row>
    <row r="213" spans="2:3" hidden="1" x14ac:dyDescent="0.2">
      <c r="B213" s="111">
        <f t="shared" si="1"/>
        <v>2090</v>
      </c>
      <c r="C213" s="112">
        <f>[11]С2.5!$BW$11</f>
        <v>0</v>
      </c>
    </row>
    <row r="214" spans="2:3" hidden="1" x14ac:dyDescent="0.2">
      <c r="B214" s="111">
        <f t="shared" si="1"/>
        <v>2091</v>
      </c>
      <c r="C214" s="112">
        <f>[11]С2.5!$BX$11</f>
        <v>0</v>
      </c>
    </row>
    <row r="215" spans="2:3" hidden="1" x14ac:dyDescent="0.2">
      <c r="B215" s="111">
        <f t="shared" si="1"/>
        <v>2092</v>
      </c>
      <c r="C215" s="112">
        <f>[11]С2.5!$BY$11</f>
        <v>0</v>
      </c>
    </row>
    <row r="216" spans="2:3" hidden="1" x14ac:dyDescent="0.2">
      <c r="B216" s="111">
        <f t="shared" si="1"/>
        <v>2093</v>
      </c>
      <c r="C216" s="112">
        <f>[11]С2.5!$BZ$11</f>
        <v>0</v>
      </c>
    </row>
    <row r="217" spans="2:3" hidden="1" x14ac:dyDescent="0.2">
      <c r="B217" s="111">
        <f t="shared" si="1"/>
        <v>2094</v>
      </c>
      <c r="C217" s="112">
        <f>[11]С2.5!$CA$11</f>
        <v>0</v>
      </c>
    </row>
    <row r="218" spans="2:3" hidden="1" x14ac:dyDescent="0.2">
      <c r="B218" s="111">
        <f t="shared" si="1"/>
        <v>2095</v>
      </c>
      <c r="C218" s="112">
        <f>[11]С2.5!$CB$11</f>
        <v>0</v>
      </c>
    </row>
    <row r="219" spans="2:3" hidden="1" x14ac:dyDescent="0.2">
      <c r="B219" s="111">
        <f t="shared" si="1"/>
        <v>2096</v>
      </c>
      <c r="C219" s="112">
        <f>[11]С2.5!$CC$11</f>
        <v>0</v>
      </c>
    </row>
    <row r="220" spans="2:3" hidden="1" x14ac:dyDescent="0.2">
      <c r="B220" s="111">
        <f t="shared" si="1"/>
        <v>2097</v>
      </c>
      <c r="C220" s="112">
        <f>[11]С2.5!$CD$11</f>
        <v>0</v>
      </c>
    </row>
    <row r="221" spans="2:3" hidden="1" x14ac:dyDescent="0.2">
      <c r="B221" s="111">
        <f t="shared" si="1"/>
        <v>2098</v>
      </c>
      <c r="C221" s="112">
        <f>[11]С2.5!$CE$11</f>
        <v>0</v>
      </c>
    </row>
    <row r="222" spans="2:3" hidden="1" x14ac:dyDescent="0.2">
      <c r="B222" s="111">
        <f t="shared" si="1"/>
        <v>2099</v>
      </c>
      <c r="C222" s="112">
        <f>[11]С2.5!$CF$11</f>
        <v>0</v>
      </c>
    </row>
    <row r="223" spans="2:3" ht="13.5" hidden="1" thickBot="1" x14ac:dyDescent="0.25">
      <c r="B223" s="113">
        <f t="shared" si="1"/>
        <v>2100</v>
      </c>
      <c r="C223" s="114">
        <f>[11]С2.5!$CG$11</f>
        <v>0</v>
      </c>
    </row>
    <row r="224" spans="2:3" hidden="1" x14ac:dyDescent="0.2">
      <c r="C224" s="117"/>
    </row>
    <row r="225" spans="3:3" hidden="1" x14ac:dyDescent="0.2">
      <c r="C225" s="117"/>
    </row>
    <row r="226" spans="3:3" x14ac:dyDescent="0.2">
      <c r="C226" s="117"/>
    </row>
  </sheetData>
  <mergeCells count="9">
    <mergeCell ref="B141:C141"/>
    <mergeCell ref="A14:C14"/>
    <mergeCell ref="B1:C1"/>
    <mergeCell ref="B27:C27"/>
    <mergeCell ref="B40:C40"/>
    <mergeCell ref="B84:C84"/>
    <mergeCell ref="B95:C95"/>
    <mergeCell ref="B124:C124"/>
    <mergeCell ref="B127:C127"/>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145" r:id="rId3" name="Button 1">
              <controlPr defaultSize="0" print="0" autoFill="0" autoPict="0" macro="[12]!Лист29.PrintBlock">
                <anchor moveWithCells="1" sizeWithCells="1">
                  <from>
                    <xdr:col>3</xdr:col>
                    <xdr:colOff>0</xdr:colOff>
                    <xdr:row>0</xdr:row>
                    <xdr:rowOff>85725</xdr:rowOff>
                  </from>
                  <to>
                    <xdr:col>4</xdr:col>
                    <xdr:colOff>0</xdr:colOff>
                    <xdr:row>0</xdr:row>
                    <xdr:rowOff>238125</xdr:rowOff>
                  </to>
                </anchor>
              </controlPr>
            </control>
          </mc:Choice>
        </mc:AlternateContent>
        <mc:AlternateContent xmlns:mc="http://schemas.openxmlformats.org/markup-compatibility/2006">
          <mc:Choice Requires="x14">
            <control shapeId="6146" r:id="rId4" name="Button 2">
              <controlPr defaultSize="0" print="0" autoFill="0" autoPict="0" macro="[11]!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C2" sqref="C2"/>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20" t="s">
        <v>0</v>
      </c>
      <c r="C1" s="120"/>
    </row>
    <row r="2" spans="1:3" x14ac:dyDescent="0.2">
      <c r="A2" s="3"/>
      <c r="B2" s="4" t="s">
        <v>1</v>
      </c>
      <c r="C2" s="5">
        <v>45317</v>
      </c>
    </row>
    <row r="3" spans="1:3" x14ac:dyDescent="0.2">
      <c r="A3" s="3"/>
      <c r="B3" s="6" t="s">
        <v>2</v>
      </c>
    </row>
    <row r="4" spans="1:3" ht="25.5" x14ac:dyDescent="0.2">
      <c r="A4" s="8"/>
      <c r="B4" s="9" t="str">
        <f>[13]И1!D13</f>
        <v>Субъект Российской Федерации</v>
      </c>
      <c r="C4" s="10" t="str">
        <f>[13]И1!E13</f>
        <v>Новосибирская область</v>
      </c>
    </row>
    <row r="5" spans="1:3" ht="46.9" customHeight="1" x14ac:dyDescent="0.2">
      <c r="A5" s="8"/>
      <c r="B5" s="9" t="str">
        <f>[13]И1!D14</f>
        <v>Тип муниципального образования (выберите из списка)</v>
      </c>
      <c r="C5" s="10" t="str">
        <f>[13]И1!E14</f>
        <v xml:space="preserve">село Каргаполово, Сузунский муниципальный район </v>
      </c>
    </row>
    <row r="6" spans="1:3" x14ac:dyDescent="0.2">
      <c r="A6" s="8"/>
      <c r="B6" s="9" t="str">
        <f>IF([13]И1!E15="","",[13]И1!D15)</f>
        <v/>
      </c>
      <c r="C6" s="10" t="str">
        <f>IF([13]И1!E15="","",[13]И1!E15)</f>
        <v/>
      </c>
    </row>
    <row r="7" spans="1:3" x14ac:dyDescent="0.2">
      <c r="A7" s="8"/>
      <c r="B7" s="9" t="str">
        <f>[13]И1!D16</f>
        <v>Код ОКТМО</v>
      </c>
      <c r="C7" s="11" t="str">
        <f>[13]И1!E16</f>
        <v>(50648419101)</v>
      </c>
    </row>
    <row r="8" spans="1:3" x14ac:dyDescent="0.2">
      <c r="A8" s="8"/>
      <c r="B8" s="12" t="str">
        <f>[13]И1!D17</f>
        <v>Система теплоснабжения</v>
      </c>
      <c r="C8" s="13">
        <f>[13]И1!E17</f>
        <v>0</v>
      </c>
    </row>
    <row r="9" spans="1:3" x14ac:dyDescent="0.2">
      <c r="A9" s="8"/>
      <c r="B9" s="9" t="str">
        <f>[13]И1!D8</f>
        <v>Период регулирования (i)-й</v>
      </c>
      <c r="C9" s="14">
        <f>[13]И1!E8</f>
        <v>2024</v>
      </c>
    </row>
    <row r="10" spans="1:3" x14ac:dyDescent="0.2">
      <c r="A10" s="8"/>
      <c r="B10" s="9" t="str">
        <f>[13]И1!D9</f>
        <v>Период регулирования (i-1)-й</v>
      </c>
      <c r="C10" s="14">
        <f>[13]И1!E9</f>
        <v>2023</v>
      </c>
    </row>
    <row r="11" spans="1:3" x14ac:dyDescent="0.2">
      <c r="A11" s="8"/>
      <c r="B11" s="9" t="str">
        <f>[13]И1!D10</f>
        <v>Период регулирования (i-2)-й</v>
      </c>
      <c r="C11" s="14">
        <f>[13]И1!E10</f>
        <v>2022</v>
      </c>
    </row>
    <row r="12" spans="1:3" x14ac:dyDescent="0.2">
      <c r="A12" s="8"/>
      <c r="B12" s="9" t="str">
        <f>[13]И1!D11</f>
        <v>Базовый год (б)</v>
      </c>
      <c r="C12" s="14">
        <f>[13]И1!E11</f>
        <v>2019</v>
      </c>
    </row>
    <row r="13" spans="1:3" ht="38.25" x14ac:dyDescent="0.2">
      <c r="A13" s="8"/>
      <c r="B13" s="9" t="str">
        <f>[13]И1!D18</f>
        <v>Вид топлива, использование которого преобладает в системе теплоснабжения</v>
      </c>
      <c r="C13" s="15" t="str">
        <f>[13]С1.1!E13</f>
        <v>уголь (вид угля не указан в топливном балансе)</v>
      </c>
    </row>
    <row r="14" spans="1:3" ht="31.7" customHeight="1" thickBot="1" x14ac:dyDescent="0.25">
      <c r="A14" s="119" t="s">
        <v>3</v>
      </c>
      <c r="B14" s="119"/>
      <c r="C14" s="119"/>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3430.0096612708608</v>
      </c>
    </row>
    <row r="18" spans="1:3" ht="42.75" x14ac:dyDescent="0.2">
      <c r="A18" s="22" t="s">
        <v>8</v>
      </c>
      <c r="B18" s="25" t="s">
        <v>9</v>
      </c>
      <c r="C18" s="26">
        <f>[13]С1!F12</f>
        <v>473.17593215690317</v>
      </c>
    </row>
    <row r="19" spans="1:3" ht="42.75" x14ac:dyDescent="0.2">
      <c r="A19" s="22" t="s">
        <v>10</v>
      </c>
      <c r="B19" s="25" t="s">
        <v>11</v>
      </c>
      <c r="C19" s="26">
        <f>[13]С2!F12</f>
        <v>1990.8616285605142</v>
      </c>
    </row>
    <row r="20" spans="1:3" ht="30" x14ac:dyDescent="0.2">
      <c r="A20" s="22" t="s">
        <v>12</v>
      </c>
      <c r="B20" s="25" t="s">
        <v>13</v>
      </c>
      <c r="C20" s="26">
        <f>[13]С3!F12</f>
        <v>473.18998182045129</v>
      </c>
    </row>
    <row r="21" spans="1:3" ht="42.75" x14ac:dyDescent="0.2">
      <c r="A21" s="22" t="s">
        <v>14</v>
      </c>
      <c r="B21" s="25" t="s">
        <v>15</v>
      </c>
      <c r="C21" s="26">
        <f>[13]С4!F12</f>
        <v>425.52702733552456</v>
      </c>
    </row>
    <row r="22" spans="1:3" ht="30" x14ac:dyDescent="0.2">
      <c r="A22" s="22" t="s">
        <v>16</v>
      </c>
      <c r="B22" s="25" t="s">
        <v>17</v>
      </c>
      <c r="C22" s="26">
        <f>[13]С5!F12</f>
        <v>67.255091397467865</v>
      </c>
    </row>
    <row r="23" spans="1:3" ht="43.5" thickBot="1" x14ac:dyDescent="0.25">
      <c r="A23" s="27" t="s">
        <v>18</v>
      </c>
      <c r="B23" s="105" t="s">
        <v>19</v>
      </c>
      <c r="C23" s="28" t="str">
        <f>[13]С6!F12</f>
        <v>-</v>
      </c>
    </row>
    <row r="24" spans="1:3" ht="13.5" thickBot="1" x14ac:dyDescent="0.25">
      <c r="A24" s="3"/>
    </row>
    <row r="25" spans="1:3" x14ac:dyDescent="0.2">
      <c r="A25" s="16" t="s">
        <v>4</v>
      </c>
      <c r="B25" s="29" t="s">
        <v>5</v>
      </c>
      <c r="C25" s="30" t="s">
        <v>6</v>
      </c>
    </row>
    <row r="26" spans="1:3" x14ac:dyDescent="0.2">
      <c r="A26" s="19">
        <v>1</v>
      </c>
      <c r="B26" s="31">
        <v>2</v>
      </c>
      <c r="C26" s="32">
        <v>3</v>
      </c>
    </row>
    <row r="27" spans="1:3" ht="30" customHeight="1" x14ac:dyDescent="0.2">
      <c r="A27" s="22">
        <v>1</v>
      </c>
      <c r="B27" s="121" t="s">
        <v>20</v>
      </c>
      <c r="C27" s="121"/>
    </row>
    <row r="28" spans="1:3" x14ac:dyDescent="0.2">
      <c r="A28" s="22" t="s">
        <v>8</v>
      </c>
      <c r="B28" s="33" t="s">
        <v>21</v>
      </c>
      <c r="C28" s="34">
        <f>[13]С1.1!E16</f>
        <v>5100</v>
      </c>
    </row>
    <row r="29" spans="1:3" ht="42.75" x14ac:dyDescent="0.2">
      <c r="A29" s="22" t="s">
        <v>10</v>
      </c>
      <c r="B29" s="33" t="s">
        <v>22</v>
      </c>
      <c r="C29" s="34">
        <f>[13]С1.1!E27</f>
        <v>2126</v>
      </c>
    </row>
    <row r="30" spans="1:3" ht="17.25" x14ac:dyDescent="0.2">
      <c r="A30" s="22" t="s">
        <v>12</v>
      </c>
      <c r="B30" s="33" t="s">
        <v>23</v>
      </c>
      <c r="C30" s="35">
        <f>[13]С1.1!E19</f>
        <v>-0.19900000000000001</v>
      </c>
    </row>
    <row r="31" spans="1:3" ht="17.25" x14ac:dyDescent="0.2">
      <c r="A31" s="22" t="s">
        <v>14</v>
      </c>
      <c r="B31" s="33" t="s">
        <v>24</v>
      </c>
      <c r="C31" s="35">
        <f>[13]С1.1!E20</f>
        <v>5.7000000000000002E-2</v>
      </c>
    </row>
    <row r="32" spans="1:3" ht="30" x14ac:dyDescent="0.2">
      <c r="A32" s="22" t="s">
        <v>16</v>
      </c>
      <c r="B32" s="36" t="s">
        <v>25</v>
      </c>
      <c r="C32" s="37">
        <f>[13]С1!F13</f>
        <v>176.4</v>
      </c>
    </row>
    <row r="33" spans="1:3" x14ac:dyDescent="0.2">
      <c r="A33" s="22" t="s">
        <v>18</v>
      </c>
      <c r="B33" s="36" t="s">
        <v>26</v>
      </c>
      <c r="C33" s="38">
        <f>[13]С1!F16</f>
        <v>7000</v>
      </c>
    </row>
    <row r="34" spans="1:3" ht="14.25" x14ac:dyDescent="0.2">
      <c r="A34" s="22" t="s">
        <v>27</v>
      </c>
      <c r="B34" s="39" t="s">
        <v>28</v>
      </c>
      <c r="C34" s="40">
        <f>[13]С1!F17</f>
        <v>0.72857142857142854</v>
      </c>
    </row>
    <row r="35" spans="1:3" ht="15.75" x14ac:dyDescent="0.2">
      <c r="A35" s="41" t="s">
        <v>29</v>
      </c>
      <c r="B35" s="42" t="s">
        <v>30</v>
      </c>
      <c r="C35" s="40">
        <f>[13]С1!F20</f>
        <v>21.588411179999994</v>
      </c>
    </row>
    <row r="36" spans="1:3" ht="15.75" x14ac:dyDescent="0.2">
      <c r="A36" s="41" t="s">
        <v>31</v>
      </c>
      <c r="B36" s="43" t="s">
        <v>32</v>
      </c>
      <c r="C36" s="40">
        <f>[13]С1!F21</f>
        <v>20.818139999999996</v>
      </c>
    </row>
    <row r="37" spans="1:3" ht="14.25" x14ac:dyDescent="0.2">
      <c r="A37" s="41" t="s">
        <v>33</v>
      </c>
      <c r="B37" s="44" t="s">
        <v>34</v>
      </c>
      <c r="C37" s="40">
        <f>[13]С1!F22</f>
        <v>1.0369999999999999</v>
      </c>
    </row>
    <row r="38" spans="1:3" ht="53.25" thickBot="1" x14ac:dyDescent="0.25">
      <c r="A38" s="27" t="s">
        <v>35</v>
      </c>
      <c r="B38" s="45" t="s">
        <v>36</v>
      </c>
      <c r="C38" s="46">
        <f>[13]С1!F23</f>
        <v>1.0469999999999999</v>
      </c>
    </row>
    <row r="39" spans="1:3" ht="13.5" thickBot="1" x14ac:dyDescent="0.25">
      <c r="A39" s="47"/>
      <c r="B39" s="48"/>
      <c r="C39" s="49"/>
    </row>
    <row r="40" spans="1:3" ht="30" customHeight="1" x14ac:dyDescent="0.2">
      <c r="A40" s="50" t="s">
        <v>37</v>
      </c>
      <c r="B40" s="122" t="s">
        <v>38</v>
      </c>
      <c r="C40" s="122"/>
    </row>
    <row r="41" spans="1:3" ht="25.5" x14ac:dyDescent="0.2">
      <c r="A41" s="22" t="s">
        <v>39</v>
      </c>
      <c r="B41" s="36" t="s">
        <v>40</v>
      </c>
      <c r="C41" s="51" t="str">
        <f>[13]С2.1!E12</f>
        <v>V</v>
      </c>
    </row>
    <row r="42" spans="1:3" ht="25.5" x14ac:dyDescent="0.2">
      <c r="A42" s="22" t="s">
        <v>41</v>
      </c>
      <c r="B42" s="33" t="s">
        <v>42</v>
      </c>
      <c r="C42" s="51" t="str">
        <f>[13]С2.1!E13</f>
        <v>6 и менее баллов</v>
      </c>
    </row>
    <row r="43" spans="1:3" ht="25.5" x14ac:dyDescent="0.2">
      <c r="A43" s="22" t="s">
        <v>43</v>
      </c>
      <c r="B43" s="33" t="s">
        <v>44</v>
      </c>
      <c r="C43" s="51" t="str">
        <f>[13]С2.1!E14</f>
        <v>от 200 до 500</v>
      </c>
    </row>
    <row r="44" spans="1:3" ht="25.5" x14ac:dyDescent="0.2">
      <c r="A44" s="22" t="s">
        <v>45</v>
      </c>
      <c r="B44" s="33" t="s">
        <v>46</v>
      </c>
      <c r="C44" s="52" t="str">
        <f>[13]С2.1!E15</f>
        <v>нет</v>
      </c>
    </row>
    <row r="45" spans="1:3" ht="30" x14ac:dyDescent="0.2">
      <c r="A45" s="22" t="s">
        <v>47</v>
      </c>
      <c r="B45" s="33" t="s">
        <v>48</v>
      </c>
      <c r="C45" s="34">
        <f>[13]С2!F18</f>
        <v>35106.652004551666</v>
      </c>
    </row>
    <row r="46" spans="1:3" ht="30" x14ac:dyDescent="0.2">
      <c r="A46" s="22" t="s">
        <v>49</v>
      </c>
      <c r="B46" s="53" t="s">
        <v>50</v>
      </c>
      <c r="C46" s="34">
        <f>IF([13]С2!F19&gt;0,[13]С2!F19,[13]С2!F20)</f>
        <v>23441.524932855718</v>
      </c>
    </row>
    <row r="47" spans="1:3" ht="25.5" x14ac:dyDescent="0.2">
      <c r="A47" s="22" t="s">
        <v>51</v>
      </c>
      <c r="B47" s="54" t="s">
        <v>52</v>
      </c>
      <c r="C47" s="34">
        <f>[13]С2.1!E19</f>
        <v>-38</v>
      </c>
    </row>
    <row r="48" spans="1:3" ht="25.5" x14ac:dyDescent="0.2">
      <c r="A48" s="22" t="s">
        <v>53</v>
      </c>
      <c r="B48" s="54" t="s">
        <v>54</v>
      </c>
      <c r="C48" s="34" t="str">
        <f>[13]С2.1!E22</f>
        <v>нет</v>
      </c>
    </row>
    <row r="49" spans="1:3" ht="38.25" x14ac:dyDescent="0.2">
      <c r="A49" s="22" t="s">
        <v>55</v>
      </c>
      <c r="B49" s="55" t="s">
        <v>56</v>
      </c>
      <c r="C49" s="34">
        <f>[13]С2.2!E10</f>
        <v>1287</v>
      </c>
    </row>
    <row r="50" spans="1:3" ht="25.5" x14ac:dyDescent="0.2">
      <c r="A50" s="22" t="s">
        <v>57</v>
      </c>
      <c r="B50" s="56" t="s">
        <v>58</v>
      </c>
      <c r="C50" s="34">
        <f>[13]С2.2!E12</f>
        <v>5.97</v>
      </c>
    </row>
    <row r="51" spans="1:3" ht="52.5" x14ac:dyDescent="0.2">
      <c r="A51" s="22" t="s">
        <v>59</v>
      </c>
      <c r="B51" s="57" t="s">
        <v>60</v>
      </c>
      <c r="C51" s="34">
        <f>[13]С2.2!E13</f>
        <v>1</v>
      </c>
    </row>
    <row r="52" spans="1:3" ht="27.75" x14ac:dyDescent="0.2">
      <c r="A52" s="22" t="s">
        <v>61</v>
      </c>
      <c r="B52" s="56" t="s">
        <v>62</v>
      </c>
      <c r="C52" s="34">
        <f>[13]С2.2!E14</f>
        <v>12104</v>
      </c>
    </row>
    <row r="53" spans="1:3" ht="25.5" x14ac:dyDescent="0.2">
      <c r="A53" s="22" t="s">
        <v>63</v>
      </c>
      <c r="B53" s="57" t="s">
        <v>64</v>
      </c>
      <c r="C53" s="35">
        <f>[13]С2.2!E15</f>
        <v>4.8000000000000001E-2</v>
      </c>
    </row>
    <row r="54" spans="1:3" x14ac:dyDescent="0.2">
      <c r="A54" s="22" t="s">
        <v>65</v>
      </c>
      <c r="B54" s="57" t="s">
        <v>66</v>
      </c>
      <c r="C54" s="34">
        <f>[13]С2.2!E16</f>
        <v>1</v>
      </c>
    </row>
    <row r="55" spans="1:3" ht="15.75" x14ac:dyDescent="0.2">
      <c r="A55" s="22" t="s">
        <v>67</v>
      </c>
      <c r="B55" s="58" t="s">
        <v>68</v>
      </c>
      <c r="C55" s="34">
        <f>[13]С2!F21</f>
        <v>1</v>
      </c>
    </row>
    <row r="56" spans="1:3" ht="30" x14ac:dyDescent="0.2">
      <c r="A56" s="59" t="s">
        <v>69</v>
      </c>
      <c r="B56" s="33" t="s">
        <v>70</v>
      </c>
      <c r="C56" s="34">
        <f>[13]С2!F13</f>
        <v>183796.83936385796</v>
      </c>
    </row>
    <row r="57" spans="1:3" ht="30" x14ac:dyDescent="0.2">
      <c r="A57" s="59" t="s">
        <v>71</v>
      </c>
      <c r="B57" s="58" t="s">
        <v>72</v>
      </c>
      <c r="C57" s="34">
        <f>[13]С2!F14</f>
        <v>113455</v>
      </c>
    </row>
    <row r="58" spans="1:3" ht="15.75" x14ac:dyDescent="0.2">
      <c r="A58" s="59" t="s">
        <v>73</v>
      </c>
      <c r="B58" s="60" t="s">
        <v>74</v>
      </c>
      <c r="C58" s="40">
        <f>[13]С2!F15</f>
        <v>1.071</v>
      </c>
    </row>
    <row r="59" spans="1:3" ht="15.75" x14ac:dyDescent="0.2">
      <c r="A59" s="59" t="s">
        <v>75</v>
      </c>
      <c r="B59" s="60" t="s">
        <v>76</v>
      </c>
      <c r="C59" s="40">
        <f>[13]С2!F16</f>
        <v>1</v>
      </c>
    </row>
    <row r="60" spans="1:3" ht="17.25" x14ac:dyDescent="0.2">
      <c r="A60" s="59" t="s">
        <v>77</v>
      </c>
      <c r="B60" s="58" t="s">
        <v>78</v>
      </c>
      <c r="C60" s="34">
        <f>[13]С2!F17</f>
        <v>1.01</v>
      </c>
    </row>
    <row r="61" spans="1:3" s="63" customFormat="1" ht="14.25" x14ac:dyDescent="0.2">
      <c r="A61" s="59" t="s">
        <v>79</v>
      </c>
      <c r="B61" s="61" t="s">
        <v>80</v>
      </c>
      <c r="C61" s="62">
        <f>[13]С2!F33</f>
        <v>10</v>
      </c>
    </row>
    <row r="62" spans="1:3" ht="30" x14ac:dyDescent="0.2">
      <c r="A62" s="59" t="s">
        <v>81</v>
      </c>
      <c r="B62" s="64" t="s">
        <v>82</v>
      </c>
      <c r="C62" s="34">
        <f>[13]С2!F26</f>
        <v>1543.3634896839897</v>
      </c>
    </row>
    <row r="63" spans="1:3" ht="17.25" x14ac:dyDescent="0.2">
      <c r="A63" s="59" t="s">
        <v>83</v>
      </c>
      <c r="B63" s="53" t="s">
        <v>84</v>
      </c>
      <c r="C63" s="34">
        <f>[13]С2!F27</f>
        <v>0.24536656199999998</v>
      </c>
    </row>
    <row r="64" spans="1:3" ht="17.25" x14ac:dyDescent="0.2">
      <c r="A64" s="59" t="s">
        <v>85</v>
      </c>
      <c r="B64" s="58" t="s">
        <v>86</v>
      </c>
      <c r="C64" s="62">
        <f>[13]С2!F28</f>
        <v>4200</v>
      </c>
    </row>
    <row r="65" spans="1:3" ht="42.75" x14ac:dyDescent="0.2">
      <c r="A65" s="59" t="s">
        <v>87</v>
      </c>
      <c r="B65" s="33" t="s">
        <v>88</v>
      </c>
      <c r="C65" s="34">
        <f>[13]С2!F22</f>
        <v>38698.422798410109</v>
      </c>
    </row>
    <row r="66" spans="1:3" ht="30" x14ac:dyDescent="0.2">
      <c r="A66" s="59" t="s">
        <v>89</v>
      </c>
      <c r="B66" s="60" t="s">
        <v>90</v>
      </c>
      <c r="C66" s="34">
        <f>[13]С2!F23</f>
        <v>1990</v>
      </c>
    </row>
    <row r="67" spans="1:3" ht="30" x14ac:dyDescent="0.2">
      <c r="A67" s="59" t="s">
        <v>91</v>
      </c>
      <c r="B67" s="53" t="s">
        <v>92</v>
      </c>
      <c r="C67" s="34">
        <f>[13]С2.1!E27</f>
        <v>14307.876789999998</v>
      </c>
    </row>
    <row r="68" spans="1:3" ht="38.25" x14ac:dyDescent="0.2">
      <c r="A68" s="59" t="s">
        <v>93</v>
      </c>
      <c r="B68" s="65" t="s">
        <v>94</v>
      </c>
      <c r="C68" s="52">
        <f>[13]С2.3!E21</f>
        <v>0</v>
      </c>
    </row>
    <row r="69" spans="1:3" ht="25.5" x14ac:dyDescent="0.2">
      <c r="A69" s="59" t="s">
        <v>95</v>
      </c>
      <c r="B69" s="66" t="s">
        <v>96</v>
      </c>
      <c r="C69" s="67">
        <f>[13]С2.3!E11</f>
        <v>9.89</v>
      </c>
    </row>
    <row r="70" spans="1:3" ht="25.5" x14ac:dyDescent="0.2">
      <c r="A70" s="59" t="s">
        <v>97</v>
      </c>
      <c r="B70" s="66" t="s">
        <v>98</v>
      </c>
      <c r="C70" s="62">
        <f>[13]С2.3!E13</f>
        <v>300</v>
      </c>
    </row>
    <row r="71" spans="1:3" ht="25.5" x14ac:dyDescent="0.2">
      <c r="A71" s="59" t="s">
        <v>99</v>
      </c>
      <c r="B71" s="65" t="s">
        <v>100</v>
      </c>
      <c r="C71" s="68">
        <f>IF([13]С2.3!E22&gt;0,[13]С2.3!E22,[13]С2.3!E14)</f>
        <v>61211</v>
      </c>
    </row>
    <row r="72" spans="1:3" ht="38.25" x14ac:dyDescent="0.2">
      <c r="A72" s="59" t="s">
        <v>101</v>
      </c>
      <c r="B72" s="65" t="s">
        <v>102</v>
      </c>
      <c r="C72" s="68">
        <f>IF([13]С2.3!E23&gt;0,[13]С2.3!E23,[13]С2.3!E15)</f>
        <v>45675</v>
      </c>
    </row>
    <row r="73" spans="1:3" ht="30" x14ac:dyDescent="0.2">
      <c r="A73" s="59" t="s">
        <v>103</v>
      </c>
      <c r="B73" s="53" t="s">
        <v>104</v>
      </c>
      <c r="C73" s="34">
        <f>[13]С2.1!E28</f>
        <v>9541.9567200000001</v>
      </c>
    </row>
    <row r="74" spans="1:3" ht="38.25" x14ac:dyDescent="0.2">
      <c r="A74" s="59" t="s">
        <v>105</v>
      </c>
      <c r="B74" s="65" t="s">
        <v>106</v>
      </c>
      <c r="C74" s="52">
        <f>[13]С2.3!E25</f>
        <v>0</v>
      </c>
    </row>
    <row r="75" spans="1:3" ht="25.5" x14ac:dyDescent="0.2">
      <c r="A75" s="59" t="s">
        <v>107</v>
      </c>
      <c r="B75" s="66" t="s">
        <v>108</v>
      </c>
      <c r="C75" s="67">
        <f>[13]С2.3!E12</f>
        <v>0.56000000000000005</v>
      </c>
    </row>
    <row r="76" spans="1:3" ht="25.5" x14ac:dyDescent="0.2">
      <c r="A76" s="59" t="s">
        <v>109</v>
      </c>
      <c r="B76" s="66" t="s">
        <v>98</v>
      </c>
      <c r="C76" s="62">
        <f>[13]С2.3!E13</f>
        <v>300</v>
      </c>
    </row>
    <row r="77" spans="1:3" ht="25.5" x14ac:dyDescent="0.2">
      <c r="A77" s="59" t="s">
        <v>110</v>
      </c>
      <c r="B77" s="69" t="s">
        <v>111</v>
      </c>
      <c r="C77" s="68">
        <f>IF([13]С2.3!E26&gt;0,[13]С2.3!E26,[13]С2.3!E16)</f>
        <v>65637</v>
      </c>
    </row>
    <row r="78" spans="1:3" ht="38.25" x14ac:dyDescent="0.2">
      <c r="A78" s="59" t="s">
        <v>112</v>
      </c>
      <c r="B78" s="69" t="s">
        <v>113</v>
      </c>
      <c r="C78" s="68">
        <f>IF([13]С2.3!E27&gt;0,[13]С2.3!E27,[13]С2.3!E17)</f>
        <v>31684</v>
      </c>
    </row>
    <row r="79" spans="1:3" ht="17.25" x14ac:dyDescent="0.2">
      <c r="A79" s="59" t="s">
        <v>114</v>
      </c>
      <c r="B79" s="33" t="s">
        <v>115</v>
      </c>
      <c r="C79" s="35">
        <f>[13]С2!F29</f>
        <v>9.5962865259740182E-2</v>
      </c>
    </row>
    <row r="80" spans="1:3" ht="30" x14ac:dyDescent="0.2">
      <c r="A80" s="59" t="s">
        <v>116</v>
      </c>
      <c r="B80" s="53" t="s">
        <v>117</v>
      </c>
      <c r="C80" s="70">
        <f>[13]С2!F30</f>
        <v>8.4029304029304031E-2</v>
      </c>
    </row>
    <row r="81" spans="1:3" ht="17.25" x14ac:dyDescent="0.2">
      <c r="A81" s="59" t="s">
        <v>118</v>
      </c>
      <c r="B81" s="71" t="s">
        <v>119</v>
      </c>
      <c r="C81" s="35">
        <f>[13]С2!F31</f>
        <v>0.13880000000000001</v>
      </c>
    </row>
    <row r="82" spans="1:3" s="63" customFormat="1" ht="18" thickBot="1" x14ac:dyDescent="0.25">
      <c r="A82" s="72" t="s">
        <v>120</v>
      </c>
      <c r="B82" s="73" t="s">
        <v>121</v>
      </c>
      <c r="C82" s="74">
        <f>[13]С2!F32</f>
        <v>0.12640000000000001</v>
      </c>
    </row>
    <row r="83" spans="1:3" ht="13.5" thickBot="1" x14ac:dyDescent="0.25">
      <c r="A83" s="47"/>
      <c r="B83" s="75"/>
      <c r="C83" s="15"/>
    </row>
    <row r="84" spans="1:3" s="63" customFormat="1" ht="30" customHeight="1" x14ac:dyDescent="0.2">
      <c r="A84" s="76" t="s">
        <v>122</v>
      </c>
      <c r="B84" s="122" t="s">
        <v>123</v>
      </c>
      <c r="C84" s="122"/>
    </row>
    <row r="85" spans="1:3" s="63" customFormat="1" ht="30" x14ac:dyDescent="0.2">
      <c r="A85" s="77" t="s">
        <v>124</v>
      </c>
      <c r="B85" s="33" t="s">
        <v>125</v>
      </c>
      <c r="C85" s="34">
        <f>[13]С3!F14</f>
        <v>6068.1437898865324</v>
      </c>
    </row>
    <row r="86" spans="1:3" s="63" customFormat="1" ht="42.75" x14ac:dyDescent="0.2">
      <c r="A86" s="77" t="s">
        <v>126</v>
      </c>
      <c r="B86" s="53" t="s">
        <v>127</v>
      </c>
      <c r="C86" s="78">
        <f>[13]С3!F15</f>
        <v>0.2</v>
      </c>
    </row>
    <row r="87" spans="1:3" s="63" customFormat="1" ht="14.25" x14ac:dyDescent="0.2">
      <c r="A87" s="77" t="s">
        <v>128</v>
      </c>
      <c r="B87" s="79" t="s">
        <v>129</v>
      </c>
      <c r="C87" s="62">
        <f>[13]С3!F18</f>
        <v>15</v>
      </c>
    </row>
    <row r="88" spans="1:3" s="63" customFormat="1" ht="17.25" x14ac:dyDescent="0.2">
      <c r="A88" s="77" t="s">
        <v>130</v>
      </c>
      <c r="B88" s="33" t="s">
        <v>131</v>
      </c>
      <c r="C88" s="34">
        <f>[13]С3!F19</f>
        <v>3778.1614077800232</v>
      </c>
    </row>
    <row r="89" spans="1:3" s="63" customFormat="1" ht="55.5" x14ac:dyDescent="0.2">
      <c r="A89" s="77" t="s">
        <v>132</v>
      </c>
      <c r="B89" s="53" t="s">
        <v>133</v>
      </c>
      <c r="C89" s="80">
        <f>[13]С3!F20</f>
        <v>2.1999999999999999E-2</v>
      </c>
    </row>
    <row r="90" spans="1:3" s="63" customFormat="1" ht="14.25" x14ac:dyDescent="0.2">
      <c r="A90" s="77" t="s">
        <v>134</v>
      </c>
      <c r="B90" s="58" t="s">
        <v>80</v>
      </c>
      <c r="C90" s="62">
        <f>[13]С3!F21</f>
        <v>10</v>
      </c>
    </row>
    <row r="91" spans="1:3" s="63" customFormat="1" ht="17.25" x14ac:dyDescent="0.2">
      <c r="A91" s="77" t="s">
        <v>135</v>
      </c>
      <c r="B91" s="33" t="s">
        <v>136</v>
      </c>
      <c r="C91" s="34">
        <f>[13]С3!F22</f>
        <v>4.6300904690519689</v>
      </c>
    </row>
    <row r="92" spans="1:3" s="63" customFormat="1" ht="55.5" x14ac:dyDescent="0.2">
      <c r="A92" s="77" t="s">
        <v>137</v>
      </c>
      <c r="B92" s="53" t="s">
        <v>138</v>
      </c>
      <c r="C92" s="80">
        <f>[13]С3!F23</f>
        <v>3.0000000000000001E-3</v>
      </c>
    </row>
    <row r="93" spans="1:3" s="63" customFormat="1" ht="27.75" thickBot="1" x14ac:dyDescent="0.25">
      <c r="A93" s="81" t="s">
        <v>139</v>
      </c>
      <c r="B93" s="82" t="s">
        <v>140</v>
      </c>
      <c r="C93" s="83">
        <f>[13]С3!F24</f>
        <v>1543.3634896839897</v>
      </c>
    </row>
    <row r="94" spans="1:3" ht="13.5" thickBot="1" x14ac:dyDescent="0.25">
      <c r="A94" s="47"/>
      <c r="B94" s="75"/>
      <c r="C94" s="15"/>
    </row>
    <row r="95" spans="1:3" ht="30" customHeight="1" x14ac:dyDescent="0.2">
      <c r="A95" s="84" t="s">
        <v>141</v>
      </c>
      <c r="B95" s="122" t="s">
        <v>142</v>
      </c>
      <c r="C95" s="122"/>
    </row>
    <row r="96" spans="1:3" ht="30" x14ac:dyDescent="0.2">
      <c r="A96" s="59" t="s">
        <v>143</v>
      </c>
      <c r="B96" s="33" t="s">
        <v>144</v>
      </c>
      <c r="C96" s="34">
        <f>[13]С4!F16</f>
        <v>1652.5</v>
      </c>
    </row>
    <row r="97" spans="1:3" ht="30" x14ac:dyDescent="0.2">
      <c r="A97" s="59" t="s">
        <v>145</v>
      </c>
      <c r="B97" s="58" t="s">
        <v>146</v>
      </c>
      <c r="C97" s="34">
        <f>[13]С4!F17</f>
        <v>73547</v>
      </c>
    </row>
    <row r="98" spans="1:3" ht="17.25" x14ac:dyDescent="0.2">
      <c r="A98" s="59" t="s">
        <v>147</v>
      </c>
      <c r="B98" s="58" t="s">
        <v>148</v>
      </c>
      <c r="C98" s="40">
        <f>[13]С4!F18</f>
        <v>0.02</v>
      </c>
    </row>
    <row r="99" spans="1:3" ht="30" x14ac:dyDescent="0.2">
      <c r="A99" s="59" t="s">
        <v>149</v>
      </c>
      <c r="B99" s="58" t="s">
        <v>150</v>
      </c>
      <c r="C99" s="34">
        <f>[13]С4!F19</f>
        <v>12104</v>
      </c>
    </row>
    <row r="100" spans="1:3" ht="31.5" x14ac:dyDescent="0.2">
      <c r="A100" s="59" t="s">
        <v>151</v>
      </c>
      <c r="B100" s="58" t="s">
        <v>152</v>
      </c>
      <c r="C100" s="40">
        <f>[13]С4!F20</f>
        <v>1.4999999999999999E-2</v>
      </c>
    </row>
    <row r="101" spans="1:3" ht="30" x14ac:dyDescent="0.2">
      <c r="A101" s="59" t="s">
        <v>153</v>
      </c>
      <c r="B101" s="33" t="s">
        <v>154</v>
      </c>
      <c r="C101" s="34">
        <f>[13]С4!F21</f>
        <v>1933.1949342509995</v>
      </c>
    </row>
    <row r="102" spans="1:3" ht="24" customHeight="1" x14ac:dyDescent="0.2">
      <c r="A102" s="59" t="s">
        <v>155</v>
      </c>
      <c r="B102" s="53" t="s">
        <v>156</v>
      </c>
      <c r="C102" s="85">
        <f>IF([13]С4.2!F8="да",[13]С4.2!D21,[13]С4.2!D15)</f>
        <v>0</v>
      </c>
    </row>
    <row r="103" spans="1:3" ht="68.25" x14ac:dyDescent="0.2">
      <c r="A103" s="59" t="s">
        <v>157</v>
      </c>
      <c r="B103" s="53" t="s">
        <v>158</v>
      </c>
      <c r="C103" s="34">
        <f>[13]С4!F22</f>
        <v>3.6112641666666665</v>
      </c>
    </row>
    <row r="104" spans="1:3" ht="30" x14ac:dyDescent="0.2">
      <c r="A104" s="59" t="s">
        <v>159</v>
      </c>
      <c r="B104" s="58" t="s">
        <v>160</v>
      </c>
      <c r="C104" s="34">
        <f>[13]С4!F23</f>
        <v>180</v>
      </c>
    </row>
    <row r="105" spans="1:3" ht="14.25" x14ac:dyDescent="0.2">
      <c r="A105" s="59" t="s">
        <v>161</v>
      </c>
      <c r="B105" s="53" t="s">
        <v>162</v>
      </c>
      <c r="C105" s="34">
        <f>[13]С4!F24</f>
        <v>8497.1999999999989</v>
      </c>
    </row>
    <row r="106" spans="1:3" ht="14.25" x14ac:dyDescent="0.2">
      <c r="A106" s="59" t="s">
        <v>163</v>
      </c>
      <c r="B106" s="58" t="s">
        <v>164</v>
      </c>
      <c r="C106" s="40">
        <f>[13]С4!F25</f>
        <v>0.35</v>
      </c>
    </row>
    <row r="107" spans="1:3" ht="17.25" x14ac:dyDescent="0.2">
      <c r="A107" s="59" t="s">
        <v>165</v>
      </c>
      <c r="B107" s="33" t="s">
        <v>166</v>
      </c>
      <c r="C107" s="34">
        <f>[13]С4!F26</f>
        <v>85.988129999999998</v>
      </c>
    </row>
    <row r="108" spans="1:3" ht="25.5" x14ac:dyDescent="0.2">
      <c r="A108" s="59" t="s">
        <v>167</v>
      </c>
      <c r="B108" s="53" t="s">
        <v>94</v>
      </c>
      <c r="C108" s="85">
        <f>[13]С4.3!E16</f>
        <v>0</v>
      </c>
    </row>
    <row r="109" spans="1:3" ht="25.5" x14ac:dyDescent="0.2">
      <c r="A109" s="59" t="s">
        <v>168</v>
      </c>
      <c r="B109" s="53" t="s">
        <v>169</v>
      </c>
      <c r="C109" s="34">
        <f>[13]С4.3!E17</f>
        <v>20.350000000000001</v>
      </c>
    </row>
    <row r="110" spans="1:3" ht="38.25" x14ac:dyDescent="0.2">
      <c r="A110" s="59" t="s">
        <v>170</v>
      </c>
      <c r="B110" s="53" t="s">
        <v>106</v>
      </c>
      <c r="C110" s="85">
        <f>[13]С4.3!E18</f>
        <v>0</v>
      </c>
    </row>
    <row r="111" spans="1:3" x14ac:dyDescent="0.2">
      <c r="A111" s="59" t="s">
        <v>171</v>
      </c>
      <c r="B111" s="53" t="s">
        <v>172</v>
      </c>
      <c r="C111" s="34">
        <f>[13]С4.3!E19</f>
        <v>71.67</v>
      </c>
    </row>
    <row r="112" spans="1:3" x14ac:dyDescent="0.2">
      <c r="A112" s="59" t="s">
        <v>173</v>
      </c>
      <c r="B112" s="58" t="s">
        <v>174</v>
      </c>
      <c r="C112" s="34">
        <f>[13]С4.3!E11</f>
        <v>1871</v>
      </c>
    </row>
    <row r="113" spans="1:3" x14ac:dyDescent="0.2">
      <c r="A113" s="59" t="s">
        <v>175</v>
      </c>
      <c r="B113" s="58" t="s">
        <v>176</v>
      </c>
      <c r="C113" s="52">
        <f>[13]С4.3!E12</f>
        <v>1636</v>
      </c>
    </row>
    <row r="114" spans="1:3" x14ac:dyDescent="0.2">
      <c r="A114" s="59" t="s">
        <v>177</v>
      </c>
      <c r="B114" s="58" t="s">
        <v>178</v>
      </c>
      <c r="C114" s="52">
        <f>[13]С4.3!E13</f>
        <v>204</v>
      </c>
    </row>
    <row r="115" spans="1:3" ht="30" x14ac:dyDescent="0.2">
      <c r="A115" s="59" t="s">
        <v>179</v>
      </c>
      <c r="B115" s="33" t="s">
        <v>180</v>
      </c>
      <c r="C115" s="34">
        <f>[13]С4!F27</f>
        <v>1291.2863994686898</v>
      </c>
    </row>
    <row r="116" spans="1:3" ht="25.5" x14ac:dyDescent="0.2">
      <c r="A116" s="59" t="s">
        <v>181</v>
      </c>
      <c r="B116" s="53" t="s">
        <v>182</v>
      </c>
      <c r="C116" s="34">
        <f>[13]С4!F28</f>
        <v>991.77142816335618</v>
      </c>
    </row>
    <row r="117" spans="1:3" ht="42.75" x14ac:dyDescent="0.2">
      <c r="A117" s="59" t="s">
        <v>183</v>
      </c>
      <c r="B117" s="53" t="s">
        <v>184</v>
      </c>
      <c r="C117" s="34">
        <f>[13]С4!F29</f>
        <v>299.51497130533357</v>
      </c>
    </row>
    <row r="118" spans="1:3" ht="30" x14ac:dyDescent="0.2">
      <c r="A118" s="59" t="s">
        <v>185</v>
      </c>
      <c r="B118" s="39" t="s">
        <v>186</v>
      </c>
      <c r="C118" s="34">
        <f>[13]С4!F30</f>
        <v>1426.0059924490722</v>
      </c>
    </row>
    <row r="119" spans="1:3" ht="42.75" x14ac:dyDescent="0.2">
      <c r="A119" s="59" t="s">
        <v>187</v>
      </c>
      <c r="B119" s="86" t="s">
        <v>188</v>
      </c>
      <c r="C119" s="34">
        <f>[13]С4!F33</f>
        <v>706.58567701910374</v>
      </c>
    </row>
    <row r="120" spans="1:3" ht="30" x14ac:dyDescent="0.2">
      <c r="A120" s="59" t="s">
        <v>189</v>
      </c>
      <c r="B120" s="87" t="s">
        <v>190</v>
      </c>
      <c r="C120" s="34">
        <f>[13]С4!F35</f>
        <v>17.040680999999999</v>
      </c>
    </row>
    <row r="121" spans="1:3" ht="14.25" x14ac:dyDescent="0.2">
      <c r="A121" s="59" t="s">
        <v>191</v>
      </c>
      <c r="B121" s="56" t="s">
        <v>192</v>
      </c>
      <c r="C121" s="34">
        <f>[13]С4!F36</f>
        <v>14319.9</v>
      </c>
    </row>
    <row r="122" spans="1:3" ht="28.5" thickBot="1" x14ac:dyDescent="0.25">
      <c r="A122" s="72" t="s">
        <v>193</v>
      </c>
      <c r="B122" s="88" t="s">
        <v>194</v>
      </c>
      <c r="C122" s="83">
        <f>[13]С4!F37</f>
        <v>1.19</v>
      </c>
    </row>
    <row r="123" spans="1:3" s="89" customFormat="1" ht="13.5" thickBot="1" x14ac:dyDescent="0.25">
      <c r="A123" s="47"/>
      <c r="B123" s="75"/>
      <c r="C123" s="15"/>
    </row>
    <row r="124" spans="1:3" s="63" customFormat="1" ht="30" customHeight="1" x14ac:dyDescent="0.2">
      <c r="A124" s="76" t="s">
        <v>195</v>
      </c>
      <c r="B124" s="122" t="s">
        <v>196</v>
      </c>
      <c r="C124" s="122"/>
    </row>
    <row r="125" spans="1:3" ht="16.5" thickBot="1" x14ac:dyDescent="0.25">
      <c r="A125" s="27" t="s">
        <v>197</v>
      </c>
      <c r="B125" s="90" t="s">
        <v>198</v>
      </c>
      <c r="C125" s="83">
        <f>[13]С5!F17</f>
        <v>0.02</v>
      </c>
    </row>
    <row r="126" spans="1:3" s="89" customFormat="1" ht="13.5" thickBot="1" x14ac:dyDescent="0.25">
      <c r="A126" s="47"/>
      <c r="B126" s="75"/>
      <c r="C126" s="15"/>
    </row>
    <row r="127" spans="1:3" ht="42.75" customHeight="1" x14ac:dyDescent="0.2">
      <c r="A127" s="84" t="s">
        <v>199</v>
      </c>
      <c r="B127" s="123" t="s">
        <v>200</v>
      </c>
      <c r="C127" s="123"/>
    </row>
    <row r="128" spans="1:3" ht="68.25" x14ac:dyDescent="0.2">
      <c r="A128" s="59" t="s">
        <v>201</v>
      </c>
      <c r="B128" s="91" t="s">
        <v>202</v>
      </c>
      <c r="C128" s="34" t="s">
        <v>203</v>
      </c>
    </row>
    <row r="129" spans="1:4" ht="42.75" hidden="1" x14ac:dyDescent="0.2">
      <c r="A129" s="59" t="s">
        <v>204</v>
      </c>
      <c r="B129" s="86" t="s">
        <v>205</v>
      </c>
      <c r="C129" s="92"/>
    </row>
    <row r="130" spans="1:4" ht="69" thickBot="1" x14ac:dyDescent="0.25">
      <c r="A130" s="72" t="s">
        <v>206</v>
      </c>
      <c r="B130" s="93" t="s">
        <v>207</v>
      </c>
      <c r="C130" s="94" t="s">
        <v>203</v>
      </c>
    </row>
    <row r="131" spans="1:4" ht="62.25" hidden="1" customHeight="1" x14ac:dyDescent="0.2">
      <c r="A131" s="95" t="s">
        <v>208</v>
      </c>
      <c r="B131" s="96" t="s">
        <v>209</v>
      </c>
      <c r="C131" s="97"/>
    </row>
    <row r="132" spans="1:4" ht="68.25" hidden="1" x14ac:dyDescent="0.2">
      <c r="A132" s="59" t="s">
        <v>210</v>
      </c>
      <c r="B132" s="86" t="s">
        <v>211</v>
      </c>
      <c r="C132" s="35"/>
    </row>
    <row r="133" spans="1:4" ht="69" hidden="1" thickBot="1" x14ac:dyDescent="0.25">
      <c r="A133" s="72" t="s">
        <v>212</v>
      </c>
      <c r="B133" s="98" t="s">
        <v>213</v>
      </c>
      <c r="C133" s="74"/>
    </row>
    <row r="134" spans="1:4" s="89" customFormat="1" ht="13.5" thickBot="1" x14ac:dyDescent="0.25">
      <c r="A134" s="47"/>
      <c r="B134" s="75"/>
      <c r="C134" s="15"/>
    </row>
    <row r="135" spans="1:4" ht="26.25" customHeight="1" x14ac:dyDescent="0.2">
      <c r="A135" s="84" t="s">
        <v>214</v>
      </c>
      <c r="B135" s="99" t="s">
        <v>215</v>
      </c>
      <c r="C135" s="100">
        <f>[13]С2!F37</f>
        <v>20.818139999999996</v>
      </c>
    </row>
    <row r="136" spans="1:4" ht="14.25" x14ac:dyDescent="0.2">
      <c r="A136" s="59" t="s">
        <v>216</v>
      </c>
      <c r="B136" s="101" t="s">
        <v>217</v>
      </c>
      <c r="C136" s="34">
        <f>[13]С2!F38</f>
        <v>7</v>
      </c>
    </row>
    <row r="137" spans="1:4" ht="17.25" x14ac:dyDescent="0.2">
      <c r="A137" s="59" t="s">
        <v>218</v>
      </c>
      <c r="B137" s="101" t="s">
        <v>219</v>
      </c>
      <c r="C137" s="34">
        <f>[13]С2!F40</f>
        <v>0.97</v>
      </c>
    </row>
    <row r="138" spans="1:4" ht="15" thickBot="1" x14ac:dyDescent="0.25">
      <c r="A138" s="72" t="s">
        <v>220</v>
      </c>
      <c r="B138" s="102" t="s">
        <v>221</v>
      </c>
      <c r="C138" s="46">
        <f>[13]С2!F42</f>
        <v>0.35</v>
      </c>
    </row>
    <row r="139" spans="1:4" s="89" customFormat="1" ht="13.5" thickBot="1" x14ac:dyDescent="0.25">
      <c r="A139" s="47"/>
      <c r="B139" s="75"/>
      <c r="C139" s="15"/>
    </row>
    <row r="140" spans="1:4" ht="30" x14ac:dyDescent="0.2">
      <c r="A140" s="84" t="s">
        <v>222</v>
      </c>
      <c r="B140" s="103" t="s">
        <v>223</v>
      </c>
      <c r="C140" s="104">
        <f>[13]С2!F35</f>
        <v>1.4976266307379205</v>
      </c>
      <c r="D140" s="89"/>
    </row>
    <row r="141" spans="1:4" ht="22.7" customHeight="1" thickBot="1" x14ac:dyDescent="0.25">
      <c r="A141" s="72" t="s">
        <v>224</v>
      </c>
      <c r="B141" s="118" t="s">
        <v>225</v>
      </c>
      <c r="C141" s="118"/>
      <c r="D141" s="89"/>
    </row>
    <row r="142" spans="1:4" ht="13.5" thickBot="1" x14ac:dyDescent="0.25">
      <c r="A142" s="106"/>
      <c r="B142" s="107" t="s">
        <v>226</v>
      </c>
      <c r="C142" s="108"/>
      <c r="D142" s="89"/>
    </row>
    <row r="143" spans="1:4" x14ac:dyDescent="0.2">
      <c r="A143" s="106"/>
      <c r="B143" s="109">
        <v>2020</v>
      </c>
      <c r="C143" s="110">
        <f>[13]С2.5!$E$11</f>
        <v>-2.9000000000000026E-2</v>
      </c>
      <c r="D143" s="89"/>
    </row>
    <row r="144" spans="1:4" x14ac:dyDescent="0.2">
      <c r="A144" s="106"/>
      <c r="B144" s="111">
        <f>B143+1</f>
        <v>2021</v>
      </c>
      <c r="C144" s="112">
        <f>[13]С2.5!$F$11</f>
        <v>0.245</v>
      </c>
      <c r="D144" s="89"/>
    </row>
    <row r="145" spans="1:4" x14ac:dyDescent="0.2">
      <c r="A145" s="106"/>
      <c r="B145" s="111">
        <f t="shared" ref="B145:B208" si="0">B144+1</f>
        <v>2022</v>
      </c>
      <c r="C145" s="112">
        <f>[13]С2.5!$G$11</f>
        <v>0.114</v>
      </c>
      <c r="D145" s="89"/>
    </row>
    <row r="146" spans="1:4" ht="13.5" thickBot="1" x14ac:dyDescent="0.25">
      <c r="A146" s="106"/>
      <c r="B146" s="113">
        <f t="shared" si="0"/>
        <v>2023</v>
      </c>
      <c r="C146" s="114">
        <f>[13]С2.5!$H$11</f>
        <v>2.4E-2</v>
      </c>
      <c r="D146" s="89"/>
    </row>
    <row r="147" spans="1:4" x14ac:dyDescent="0.2">
      <c r="A147" s="106"/>
      <c r="B147" s="115">
        <f t="shared" si="0"/>
        <v>2024</v>
      </c>
      <c r="C147" s="116">
        <f>[13]С2.5!$I$11</f>
        <v>8.5999999999999993E-2</v>
      </c>
      <c r="D147" s="89"/>
    </row>
    <row r="148" spans="1:4" hidden="1" x14ac:dyDescent="0.2">
      <c r="A148" s="106"/>
      <c r="B148" s="111">
        <f t="shared" si="0"/>
        <v>2025</v>
      </c>
      <c r="C148" s="112">
        <f>[13]С2.5!$J$11</f>
        <v>0.21215960863291</v>
      </c>
      <c r="D148" s="89"/>
    </row>
    <row r="149" spans="1:4" hidden="1" x14ac:dyDescent="0.2">
      <c r="A149" s="106"/>
      <c r="B149" s="111">
        <f t="shared" si="0"/>
        <v>2026</v>
      </c>
      <c r="C149" s="112">
        <f>[13]С2.5!$K$11</f>
        <v>3.5813361771260002E-2</v>
      </c>
      <c r="D149" s="89"/>
    </row>
    <row r="150" spans="1:4" hidden="1" x14ac:dyDescent="0.2">
      <c r="A150" s="106"/>
      <c r="B150" s="111">
        <f t="shared" si="0"/>
        <v>2027</v>
      </c>
      <c r="C150" s="112">
        <f>[13]С2.5!$L$11</f>
        <v>3.2682303599220003E-2</v>
      </c>
      <c r="D150" s="89"/>
    </row>
    <row r="151" spans="1:4" hidden="1" x14ac:dyDescent="0.2">
      <c r="A151" s="106"/>
      <c r="B151" s="111">
        <f t="shared" si="0"/>
        <v>2028</v>
      </c>
      <c r="C151" s="112">
        <f>[13]С2.5!$M$11</f>
        <v>0</v>
      </c>
      <c r="D151" s="89"/>
    </row>
    <row r="152" spans="1:4" hidden="1" x14ac:dyDescent="0.2">
      <c r="A152" s="106"/>
      <c r="B152" s="111">
        <f t="shared" si="0"/>
        <v>2029</v>
      </c>
      <c r="C152" s="112">
        <f>[13]С2.5!$N$11</f>
        <v>0</v>
      </c>
      <c r="D152" s="89"/>
    </row>
    <row r="153" spans="1:4" hidden="1" x14ac:dyDescent="0.2">
      <c r="A153" s="106"/>
      <c r="B153" s="111">
        <f t="shared" si="0"/>
        <v>2030</v>
      </c>
      <c r="C153" s="112">
        <f>[13]С2.5!$O$11</f>
        <v>0</v>
      </c>
      <c r="D153" s="89"/>
    </row>
    <row r="154" spans="1:4" hidden="1" x14ac:dyDescent="0.2">
      <c r="A154" s="106"/>
      <c r="B154" s="111">
        <f t="shared" si="0"/>
        <v>2031</v>
      </c>
      <c r="C154" s="112">
        <f>[13]С2.5!$P$11</f>
        <v>0</v>
      </c>
      <c r="D154" s="89"/>
    </row>
    <row r="155" spans="1:4" hidden="1" x14ac:dyDescent="0.2">
      <c r="A155" s="89"/>
      <c r="B155" s="111">
        <f t="shared" si="0"/>
        <v>2032</v>
      </c>
      <c r="C155" s="112">
        <f>[13]С2.5!$Q$11</f>
        <v>0</v>
      </c>
      <c r="D155" s="89"/>
    </row>
    <row r="156" spans="1:4" hidden="1" x14ac:dyDescent="0.2">
      <c r="A156" s="89"/>
      <c r="B156" s="111">
        <f t="shared" si="0"/>
        <v>2033</v>
      </c>
      <c r="C156" s="112">
        <f>[13]С2.5!$R$11</f>
        <v>0</v>
      </c>
      <c r="D156" s="89"/>
    </row>
    <row r="157" spans="1:4" hidden="1" x14ac:dyDescent="0.2">
      <c r="B157" s="111">
        <f t="shared" si="0"/>
        <v>2034</v>
      </c>
      <c r="C157" s="112">
        <f>[13]С2.5!$S$11</f>
        <v>0</v>
      </c>
    </row>
    <row r="158" spans="1:4" hidden="1" x14ac:dyDescent="0.2">
      <c r="B158" s="111">
        <f t="shared" si="0"/>
        <v>2035</v>
      </c>
      <c r="C158" s="112">
        <f>[13]С2.5!$T$11</f>
        <v>0</v>
      </c>
    </row>
    <row r="159" spans="1:4" hidden="1" x14ac:dyDescent="0.2">
      <c r="B159" s="111">
        <f t="shared" si="0"/>
        <v>2036</v>
      </c>
      <c r="C159" s="112">
        <f>[13]С2.5!$U$11</f>
        <v>0</v>
      </c>
    </row>
    <row r="160" spans="1:4" hidden="1" x14ac:dyDescent="0.2">
      <c r="B160" s="111">
        <f t="shared" si="0"/>
        <v>2037</v>
      </c>
      <c r="C160" s="112">
        <f>[13]С2.5!$V$11</f>
        <v>0</v>
      </c>
    </row>
    <row r="161" spans="2:3" hidden="1" x14ac:dyDescent="0.2">
      <c r="B161" s="111">
        <f t="shared" si="0"/>
        <v>2038</v>
      </c>
      <c r="C161" s="112">
        <f>[13]С2.5!$W$11</f>
        <v>0</v>
      </c>
    </row>
    <row r="162" spans="2:3" hidden="1" x14ac:dyDescent="0.2">
      <c r="B162" s="111">
        <f t="shared" si="0"/>
        <v>2039</v>
      </c>
      <c r="C162" s="112">
        <f>[13]С2.5!$X$11</f>
        <v>0</v>
      </c>
    </row>
    <row r="163" spans="2:3" hidden="1" x14ac:dyDescent="0.2">
      <c r="B163" s="111">
        <f t="shared" si="0"/>
        <v>2040</v>
      </c>
      <c r="C163" s="112">
        <f>[13]С2.5!$Y$11</f>
        <v>0</v>
      </c>
    </row>
    <row r="164" spans="2:3" hidden="1" x14ac:dyDescent="0.2">
      <c r="B164" s="111">
        <f t="shared" si="0"/>
        <v>2041</v>
      </c>
      <c r="C164" s="112">
        <f>[13]С2.5!$Z$11</f>
        <v>0</v>
      </c>
    </row>
    <row r="165" spans="2:3" hidden="1" x14ac:dyDescent="0.2">
      <c r="B165" s="111">
        <f t="shared" si="0"/>
        <v>2042</v>
      </c>
      <c r="C165" s="112">
        <f>[13]С2.5!$AA$11</f>
        <v>0</v>
      </c>
    </row>
    <row r="166" spans="2:3" hidden="1" x14ac:dyDescent="0.2">
      <c r="B166" s="111">
        <f t="shared" si="0"/>
        <v>2043</v>
      </c>
      <c r="C166" s="112">
        <f>[13]С2.5!$AB$11</f>
        <v>0</v>
      </c>
    </row>
    <row r="167" spans="2:3" hidden="1" x14ac:dyDescent="0.2">
      <c r="B167" s="111">
        <f t="shared" si="0"/>
        <v>2044</v>
      </c>
      <c r="C167" s="112">
        <f>[13]С2.5!$AC$11</f>
        <v>0</v>
      </c>
    </row>
    <row r="168" spans="2:3" hidden="1" x14ac:dyDescent="0.2">
      <c r="B168" s="111">
        <f t="shared" si="0"/>
        <v>2045</v>
      </c>
      <c r="C168" s="112">
        <f>[13]С2.5!$AD$11</f>
        <v>0</v>
      </c>
    </row>
    <row r="169" spans="2:3" hidden="1" x14ac:dyDescent="0.2">
      <c r="B169" s="111">
        <f t="shared" si="0"/>
        <v>2046</v>
      </c>
      <c r="C169" s="112">
        <f>[13]С2.5!$AE$11</f>
        <v>0</v>
      </c>
    </row>
    <row r="170" spans="2:3" hidden="1" x14ac:dyDescent="0.2">
      <c r="B170" s="111">
        <f t="shared" si="0"/>
        <v>2047</v>
      </c>
      <c r="C170" s="112">
        <f>[13]С2.5!$AF$11</f>
        <v>0</v>
      </c>
    </row>
    <row r="171" spans="2:3" hidden="1" x14ac:dyDescent="0.2">
      <c r="B171" s="111">
        <f t="shared" si="0"/>
        <v>2048</v>
      </c>
      <c r="C171" s="112">
        <f>[13]С2.5!$AG$11</f>
        <v>0</v>
      </c>
    </row>
    <row r="172" spans="2:3" hidden="1" x14ac:dyDescent="0.2">
      <c r="B172" s="111">
        <f t="shared" si="0"/>
        <v>2049</v>
      </c>
      <c r="C172" s="112">
        <f>[13]С2.5!$AH$11</f>
        <v>0</v>
      </c>
    </row>
    <row r="173" spans="2:3" hidden="1" x14ac:dyDescent="0.2">
      <c r="B173" s="111">
        <f t="shared" si="0"/>
        <v>2050</v>
      </c>
      <c r="C173" s="112">
        <f>[13]С2.5!$AI$11</f>
        <v>0</v>
      </c>
    </row>
    <row r="174" spans="2:3" hidden="1" x14ac:dyDescent="0.2">
      <c r="B174" s="111">
        <f t="shared" si="0"/>
        <v>2051</v>
      </c>
      <c r="C174" s="112">
        <f>[13]С2.5!$AJ$11</f>
        <v>0</v>
      </c>
    </row>
    <row r="175" spans="2:3" hidden="1" x14ac:dyDescent="0.2">
      <c r="B175" s="111">
        <f t="shared" si="0"/>
        <v>2052</v>
      </c>
      <c r="C175" s="112">
        <f>[13]С2.5!$AK$11</f>
        <v>0</v>
      </c>
    </row>
    <row r="176" spans="2:3" hidden="1" x14ac:dyDescent="0.2">
      <c r="B176" s="111">
        <f t="shared" si="0"/>
        <v>2053</v>
      </c>
      <c r="C176" s="112">
        <f>[13]С2.5!$AL$11</f>
        <v>0</v>
      </c>
    </row>
    <row r="177" spans="2:3" hidden="1" x14ac:dyDescent="0.2">
      <c r="B177" s="111">
        <f t="shared" si="0"/>
        <v>2054</v>
      </c>
      <c r="C177" s="112">
        <f>[13]С2.5!$AM$11</f>
        <v>0</v>
      </c>
    </row>
    <row r="178" spans="2:3" hidden="1" x14ac:dyDescent="0.2">
      <c r="B178" s="111">
        <f t="shared" si="0"/>
        <v>2055</v>
      </c>
      <c r="C178" s="112">
        <f>[13]С2.5!$AN$11</f>
        <v>0</v>
      </c>
    </row>
    <row r="179" spans="2:3" hidden="1" x14ac:dyDescent="0.2">
      <c r="B179" s="111">
        <f t="shared" si="0"/>
        <v>2056</v>
      </c>
      <c r="C179" s="112">
        <f>[13]С2.5!$AO$11</f>
        <v>0</v>
      </c>
    </row>
    <row r="180" spans="2:3" hidden="1" x14ac:dyDescent="0.2">
      <c r="B180" s="111">
        <f t="shared" si="0"/>
        <v>2057</v>
      </c>
      <c r="C180" s="112">
        <f>[13]С2.5!$AP$11</f>
        <v>0</v>
      </c>
    </row>
    <row r="181" spans="2:3" hidden="1" x14ac:dyDescent="0.2">
      <c r="B181" s="111">
        <f t="shared" si="0"/>
        <v>2058</v>
      </c>
      <c r="C181" s="112">
        <f>[13]С2.5!$AQ$11</f>
        <v>0</v>
      </c>
    </row>
    <row r="182" spans="2:3" hidden="1" x14ac:dyDescent="0.2">
      <c r="B182" s="111">
        <f t="shared" si="0"/>
        <v>2059</v>
      </c>
      <c r="C182" s="112">
        <f>[13]С2.5!$AR$11</f>
        <v>0</v>
      </c>
    </row>
    <row r="183" spans="2:3" hidden="1" x14ac:dyDescent="0.2">
      <c r="B183" s="111">
        <f t="shared" si="0"/>
        <v>2060</v>
      </c>
      <c r="C183" s="112">
        <f>[13]С2.5!$AS$11</f>
        <v>0</v>
      </c>
    </row>
    <row r="184" spans="2:3" hidden="1" x14ac:dyDescent="0.2">
      <c r="B184" s="111">
        <f t="shared" si="0"/>
        <v>2061</v>
      </c>
      <c r="C184" s="112">
        <f>[13]С2.5!$AT$11</f>
        <v>0</v>
      </c>
    </row>
    <row r="185" spans="2:3" hidden="1" x14ac:dyDescent="0.2">
      <c r="B185" s="111">
        <f t="shared" si="0"/>
        <v>2062</v>
      </c>
      <c r="C185" s="112">
        <f>[13]С2.5!$AU$11</f>
        <v>0</v>
      </c>
    </row>
    <row r="186" spans="2:3" hidden="1" x14ac:dyDescent="0.2">
      <c r="B186" s="111">
        <f t="shared" si="0"/>
        <v>2063</v>
      </c>
      <c r="C186" s="112">
        <f>[13]С2.5!$AV$11</f>
        <v>0</v>
      </c>
    </row>
    <row r="187" spans="2:3" hidden="1" x14ac:dyDescent="0.2">
      <c r="B187" s="111">
        <f t="shared" si="0"/>
        <v>2064</v>
      </c>
      <c r="C187" s="112">
        <f>[13]С2.5!$AW$11</f>
        <v>0</v>
      </c>
    </row>
    <row r="188" spans="2:3" hidden="1" x14ac:dyDescent="0.2">
      <c r="B188" s="111">
        <f t="shared" si="0"/>
        <v>2065</v>
      </c>
      <c r="C188" s="112">
        <f>[13]С2.5!$AX$11</f>
        <v>0</v>
      </c>
    </row>
    <row r="189" spans="2:3" hidden="1" x14ac:dyDescent="0.2">
      <c r="B189" s="111">
        <f t="shared" si="0"/>
        <v>2066</v>
      </c>
      <c r="C189" s="112">
        <f>[13]С2.5!$AY$11</f>
        <v>0</v>
      </c>
    </row>
    <row r="190" spans="2:3" hidden="1" x14ac:dyDescent="0.2">
      <c r="B190" s="111">
        <f t="shared" si="0"/>
        <v>2067</v>
      </c>
      <c r="C190" s="112">
        <f>[13]С2.5!$AZ$11</f>
        <v>0</v>
      </c>
    </row>
    <row r="191" spans="2:3" hidden="1" x14ac:dyDescent="0.2">
      <c r="B191" s="111">
        <f t="shared" si="0"/>
        <v>2068</v>
      </c>
      <c r="C191" s="112">
        <f>[13]С2.5!$BA$11</f>
        <v>0</v>
      </c>
    </row>
    <row r="192" spans="2:3" hidden="1" x14ac:dyDescent="0.2">
      <c r="B192" s="111">
        <f t="shared" si="0"/>
        <v>2069</v>
      </c>
      <c r="C192" s="112">
        <f>[13]С2.5!$BB$11</f>
        <v>0</v>
      </c>
    </row>
    <row r="193" spans="2:3" hidden="1" x14ac:dyDescent="0.2">
      <c r="B193" s="111">
        <f t="shared" si="0"/>
        <v>2070</v>
      </c>
      <c r="C193" s="112">
        <f>[13]С2.5!$BC$11</f>
        <v>0</v>
      </c>
    </row>
    <row r="194" spans="2:3" hidden="1" x14ac:dyDescent="0.2">
      <c r="B194" s="111">
        <f t="shared" si="0"/>
        <v>2071</v>
      </c>
      <c r="C194" s="112">
        <f>[13]С2.5!$BD$11</f>
        <v>0</v>
      </c>
    </row>
    <row r="195" spans="2:3" hidden="1" x14ac:dyDescent="0.2">
      <c r="B195" s="111">
        <f t="shared" si="0"/>
        <v>2072</v>
      </c>
      <c r="C195" s="112">
        <f>[13]С2.5!$BE$11</f>
        <v>0</v>
      </c>
    </row>
    <row r="196" spans="2:3" hidden="1" x14ac:dyDescent="0.2">
      <c r="B196" s="111">
        <f t="shared" si="0"/>
        <v>2073</v>
      </c>
      <c r="C196" s="112">
        <f>[13]С2.5!$BF$11</f>
        <v>0</v>
      </c>
    </row>
    <row r="197" spans="2:3" hidden="1" x14ac:dyDescent="0.2">
      <c r="B197" s="111">
        <f t="shared" si="0"/>
        <v>2074</v>
      </c>
      <c r="C197" s="112">
        <f>[13]С2.5!$BG$11</f>
        <v>0</v>
      </c>
    </row>
    <row r="198" spans="2:3" hidden="1" x14ac:dyDescent="0.2">
      <c r="B198" s="111">
        <f t="shared" si="0"/>
        <v>2075</v>
      </c>
      <c r="C198" s="112">
        <f>[13]С2.5!$BH$11</f>
        <v>0</v>
      </c>
    </row>
    <row r="199" spans="2:3" hidden="1" x14ac:dyDescent="0.2">
      <c r="B199" s="111">
        <f t="shared" si="0"/>
        <v>2076</v>
      </c>
      <c r="C199" s="112">
        <f>[13]С2.5!$BI$11</f>
        <v>0</v>
      </c>
    </row>
    <row r="200" spans="2:3" hidden="1" x14ac:dyDescent="0.2">
      <c r="B200" s="111">
        <f t="shared" si="0"/>
        <v>2077</v>
      </c>
      <c r="C200" s="112">
        <f>[13]С2.5!$BJ$11</f>
        <v>0</v>
      </c>
    </row>
    <row r="201" spans="2:3" hidden="1" x14ac:dyDescent="0.2">
      <c r="B201" s="111">
        <f t="shared" si="0"/>
        <v>2078</v>
      </c>
      <c r="C201" s="112">
        <f>[13]С2.5!$BK$11</f>
        <v>0</v>
      </c>
    </row>
    <row r="202" spans="2:3" hidden="1" x14ac:dyDescent="0.2">
      <c r="B202" s="111">
        <f t="shared" si="0"/>
        <v>2079</v>
      </c>
      <c r="C202" s="112">
        <f>[13]С2.5!$BL$11</f>
        <v>0</v>
      </c>
    </row>
    <row r="203" spans="2:3" hidden="1" x14ac:dyDescent="0.2">
      <c r="B203" s="111">
        <f t="shared" si="0"/>
        <v>2080</v>
      </c>
      <c r="C203" s="112">
        <f>[13]С2.5!$BM$11</f>
        <v>0</v>
      </c>
    </row>
    <row r="204" spans="2:3" hidden="1" x14ac:dyDescent="0.2">
      <c r="B204" s="111">
        <f t="shared" si="0"/>
        <v>2081</v>
      </c>
      <c r="C204" s="112">
        <f>[13]С2.5!$BN$11</f>
        <v>0</v>
      </c>
    </row>
    <row r="205" spans="2:3" hidden="1" x14ac:dyDescent="0.2">
      <c r="B205" s="111">
        <f t="shared" si="0"/>
        <v>2082</v>
      </c>
      <c r="C205" s="112">
        <f>[13]С2.5!$BO$11</f>
        <v>0</v>
      </c>
    </row>
    <row r="206" spans="2:3" hidden="1" x14ac:dyDescent="0.2">
      <c r="B206" s="111">
        <f t="shared" si="0"/>
        <v>2083</v>
      </c>
      <c r="C206" s="112">
        <f>[13]С2.5!$BP$11</f>
        <v>0</v>
      </c>
    </row>
    <row r="207" spans="2:3" hidden="1" x14ac:dyDescent="0.2">
      <c r="B207" s="111">
        <f t="shared" si="0"/>
        <v>2084</v>
      </c>
      <c r="C207" s="112">
        <f>[13]С2.5!$BQ$11</f>
        <v>0</v>
      </c>
    </row>
    <row r="208" spans="2:3" hidden="1" x14ac:dyDescent="0.2">
      <c r="B208" s="111">
        <f t="shared" si="0"/>
        <v>2085</v>
      </c>
      <c r="C208" s="112">
        <f>[13]С2.5!$BR$11</f>
        <v>0</v>
      </c>
    </row>
    <row r="209" spans="2:3" hidden="1" x14ac:dyDescent="0.2">
      <c r="B209" s="111">
        <f t="shared" ref="B209:B223" si="1">B208+1</f>
        <v>2086</v>
      </c>
      <c r="C209" s="112">
        <f>[13]С2.5!$BS$11</f>
        <v>0</v>
      </c>
    </row>
    <row r="210" spans="2:3" hidden="1" x14ac:dyDescent="0.2">
      <c r="B210" s="111">
        <f t="shared" si="1"/>
        <v>2087</v>
      </c>
      <c r="C210" s="112">
        <f>[13]С2.5!$BT$11</f>
        <v>0</v>
      </c>
    </row>
    <row r="211" spans="2:3" hidden="1" x14ac:dyDescent="0.2">
      <c r="B211" s="111">
        <f t="shared" si="1"/>
        <v>2088</v>
      </c>
      <c r="C211" s="112">
        <f>[13]С2.5!$BU$11</f>
        <v>0</v>
      </c>
    </row>
    <row r="212" spans="2:3" hidden="1" x14ac:dyDescent="0.2">
      <c r="B212" s="111">
        <f t="shared" si="1"/>
        <v>2089</v>
      </c>
      <c r="C212" s="112">
        <f>[13]С2.5!$BV$11</f>
        <v>0</v>
      </c>
    </row>
    <row r="213" spans="2:3" hidden="1" x14ac:dyDescent="0.2">
      <c r="B213" s="111">
        <f t="shared" si="1"/>
        <v>2090</v>
      </c>
      <c r="C213" s="112">
        <f>[13]С2.5!$BW$11</f>
        <v>0</v>
      </c>
    </row>
    <row r="214" spans="2:3" hidden="1" x14ac:dyDescent="0.2">
      <c r="B214" s="111">
        <f t="shared" si="1"/>
        <v>2091</v>
      </c>
      <c r="C214" s="112">
        <f>[13]С2.5!$BX$11</f>
        <v>0</v>
      </c>
    </row>
    <row r="215" spans="2:3" hidden="1" x14ac:dyDescent="0.2">
      <c r="B215" s="111">
        <f t="shared" si="1"/>
        <v>2092</v>
      </c>
      <c r="C215" s="112">
        <f>[13]С2.5!$BY$11</f>
        <v>0</v>
      </c>
    </row>
    <row r="216" spans="2:3" hidden="1" x14ac:dyDescent="0.2">
      <c r="B216" s="111">
        <f t="shared" si="1"/>
        <v>2093</v>
      </c>
      <c r="C216" s="112">
        <f>[13]С2.5!$BZ$11</f>
        <v>0</v>
      </c>
    </row>
    <row r="217" spans="2:3" hidden="1" x14ac:dyDescent="0.2">
      <c r="B217" s="111">
        <f t="shared" si="1"/>
        <v>2094</v>
      </c>
      <c r="C217" s="112">
        <f>[13]С2.5!$CA$11</f>
        <v>0</v>
      </c>
    </row>
    <row r="218" spans="2:3" hidden="1" x14ac:dyDescent="0.2">
      <c r="B218" s="111">
        <f t="shared" si="1"/>
        <v>2095</v>
      </c>
      <c r="C218" s="112">
        <f>[13]С2.5!$CB$11</f>
        <v>0</v>
      </c>
    </row>
    <row r="219" spans="2:3" hidden="1" x14ac:dyDescent="0.2">
      <c r="B219" s="111">
        <f t="shared" si="1"/>
        <v>2096</v>
      </c>
      <c r="C219" s="112">
        <f>[13]С2.5!$CC$11</f>
        <v>0</v>
      </c>
    </row>
    <row r="220" spans="2:3" hidden="1" x14ac:dyDescent="0.2">
      <c r="B220" s="111">
        <f t="shared" si="1"/>
        <v>2097</v>
      </c>
      <c r="C220" s="112">
        <f>[13]С2.5!$CD$11</f>
        <v>0</v>
      </c>
    </row>
    <row r="221" spans="2:3" hidden="1" x14ac:dyDescent="0.2">
      <c r="B221" s="111">
        <f t="shared" si="1"/>
        <v>2098</v>
      </c>
      <c r="C221" s="112">
        <f>[13]С2.5!$CE$11</f>
        <v>0</v>
      </c>
    </row>
    <row r="222" spans="2:3" hidden="1" x14ac:dyDescent="0.2">
      <c r="B222" s="111">
        <f t="shared" si="1"/>
        <v>2099</v>
      </c>
      <c r="C222" s="112">
        <f>[13]С2.5!$CF$11</f>
        <v>0</v>
      </c>
    </row>
    <row r="223" spans="2:3" ht="13.5" hidden="1" thickBot="1" x14ac:dyDescent="0.25">
      <c r="B223" s="113">
        <f t="shared" si="1"/>
        <v>2100</v>
      </c>
      <c r="C223" s="114">
        <f>[13]С2.5!$CG$11</f>
        <v>0</v>
      </c>
    </row>
    <row r="224" spans="2:3" hidden="1" x14ac:dyDescent="0.2">
      <c r="C224" s="117"/>
    </row>
    <row r="225" spans="3:3" hidden="1" x14ac:dyDescent="0.2">
      <c r="C225" s="117"/>
    </row>
    <row r="226" spans="3:3" x14ac:dyDescent="0.2">
      <c r="C226" s="117"/>
    </row>
  </sheetData>
  <mergeCells count="9">
    <mergeCell ref="B141:C141"/>
    <mergeCell ref="A14:C14"/>
    <mergeCell ref="B1:C1"/>
    <mergeCell ref="B27:C27"/>
    <mergeCell ref="B40:C40"/>
    <mergeCell ref="B84:C84"/>
    <mergeCell ref="B95:C95"/>
    <mergeCell ref="B124:C124"/>
    <mergeCell ref="B127:C127"/>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7169" r:id="rId3" name="Button 1">
              <controlPr defaultSize="0" print="0" autoFill="0" autoPict="0" macro="[14]!Лист29.PrintBlock">
                <anchor moveWithCells="1" sizeWithCells="1">
                  <from>
                    <xdr:col>3</xdr:col>
                    <xdr:colOff>0</xdr:colOff>
                    <xdr:row>0</xdr:row>
                    <xdr:rowOff>85725</xdr:rowOff>
                  </from>
                  <to>
                    <xdr:col>4</xdr:col>
                    <xdr:colOff>0</xdr:colOff>
                    <xdr:row>0</xdr:row>
                    <xdr:rowOff>238125</xdr:rowOff>
                  </to>
                </anchor>
              </controlPr>
            </control>
          </mc:Choice>
        </mc:AlternateContent>
        <mc:AlternateContent xmlns:mc="http://schemas.openxmlformats.org/markup-compatibility/2006">
          <mc:Choice Requires="x14">
            <control shapeId="7170" r:id="rId4" name="Button 2">
              <controlPr defaultSize="0" print="0" autoFill="0" autoPict="0" macro="[13]!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C2" sqref="C2"/>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20" t="s">
        <v>0</v>
      </c>
      <c r="C1" s="120"/>
    </row>
    <row r="2" spans="1:3" x14ac:dyDescent="0.2">
      <c r="A2" s="3"/>
      <c r="B2" s="4" t="s">
        <v>1</v>
      </c>
      <c r="C2" s="5">
        <v>45317</v>
      </c>
    </row>
    <row r="3" spans="1:3" x14ac:dyDescent="0.2">
      <c r="A3" s="3"/>
      <c r="B3" s="6" t="s">
        <v>2</v>
      </c>
    </row>
    <row r="4" spans="1:3" ht="25.5" x14ac:dyDescent="0.2">
      <c r="A4" s="8"/>
      <c r="B4" s="9" t="str">
        <f>[15]И1!D13</f>
        <v>Субъект Российской Федерации</v>
      </c>
      <c r="C4" s="10" t="str">
        <f>[15]И1!E13</f>
        <v>Новосибирская область</v>
      </c>
    </row>
    <row r="5" spans="1:3" ht="46.9" customHeight="1" x14ac:dyDescent="0.2">
      <c r="A5" s="8"/>
      <c r="B5" s="9" t="str">
        <f>[15]И1!D14</f>
        <v>Тип муниципального образования (выберите из списка)</v>
      </c>
      <c r="C5" s="10" t="str">
        <f>[15]И1!E14</f>
        <v xml:space="preserve">село Ключики, Сузунский муниципальный район </v>
      </c>
    </row>
    <row r="6" spans="1:3" x14ac:dyDescent="0.2">
      <c r="A6" s="8"/>
      <c r="B6" s="9" t="str">
        <f>IF([15]И1!E15="","",[15]И1!D15)</f>
        <v/>
      </c>
      <c r="C6" s="10" t="str">
        <f>IF([15]И1!E15="","",[15]И1!E15)</f>
        <v/>
      </c>
    </row>
    <row r="7" spans="1:3" x14ac:dyDescent="0.2">
      <c r="A7" s="8"/>
      <c r="B7" s="9" t="str">
        <f>[15]И1!D16</f>
        <v>Код ОКТМО</v>
      </c>
      <c r="C7" s="11" t="str">
        <f>[15]И1!E16</f>
        <v>(50648422101)</v>
      </c>
    </row>
    <row r="8" spans="1:3" x14ac:dyDescent="0.2">
      <c r="A8" s="8"/>
      <c r="B8" s="12" t="str">
        <f>[15]И1!D17</f>
        <v>Система теплоснабжения</v>
      </c>
      <c r="C8" s="13">
        <f>[15]И1!E17</f>
        <v>0</v>
      </c>
    </row>
    <row r="9" spans="1:3" x14ac:dyDescent="0.2">
      <c r="A9" s="8"/>
      <c r="B9" s="9" t="str">
        <f>[15]И1!D8</f>
        <v>Период регулирования (i)-й</v>
      </c>
      <c r="C9" s="14">
        <f>[15]И1!E8</f>
        <v>2024</v>
      </c>
    </row>
    <row r="10" spans="1:3" x14ac:dyDescent="0.2">
      <c r="A10" s="8"/>
      <c r="B10" s="9" t="str">
        <f>[15]И1!D9</f>
        <v>Период регулирования (i-1)-й</v>
      </c>
      <c r="C10" s="14">
        <f>[15]И1!E9</f>
        <v>2023</v>
      </c>
    </row>
    <row r="11" spans="1:3" x14ac:dyDescent="0.2">
      <c r="A11" s="8"/>
      <c r="B11" s="9" t="str">
        <f>[15]И1!D10</f>
        <v>Период регулирования (i-2)-й</v>
      </c>
      <c r="C11" s="14">
        <f>[15]И1!E10</f>
        <v>2022</v>
      </c>
    </row>
    <row r="12" spans="1:3" x14ac:dyDescent="0.2">
      <c r="A12" s="8"/>
      <c r="B12" s="9" t="str">
        <f>[15]И1!D11</f>
        <v>Базовый год (б)</v>
      </c>
      <c r="C12" s="14">
        <f>[15]И1!E11</f>
        <v>2019</v>
      </c>
    </row>
    <row r="13" spans="1:3" ht="38.25" x14ac:dyDescent="0.2">
      <c r="A13" s="8"/>
      <c r="B13" s="9" t="str">
        <f>[15]И1!D18</f>
        <v>Вид топлива, использование которого преобладает в системе теплоснабжения</v>
      </c>
      <c r="C13" s="15" t="str">
        <f>[15]С1.1!E13</f>
        <v>уголь (вид угля не указан в топливном балансе)</v>
      </c>
    </row>
    <row r="14" spans="1:3" ht="31.7" customHeight="1" thickBot="1" x14ac:dyDescent="0.25">
      <c r="A14" s="119" t="s">
        <v>3</v>
      </c>
      <c r="B14" s="119"/>
      <c r="C14" s="119"/>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3559.7472773665158</v>
      </c>
    </row>
    <row r="18" spans="1:3" ht="42.75" x14ac:dyDescent="0.2">
      <c r="A18" s="22" t="s">
        <v>8</v>
      </c>
      <c r="B18" s="25" t="s">
        <v>9</v>
      </c>
      <c r="C18" s="26">
        <f>[15]С1!F12</f>
        <v>592.04858754966051</v>
      </c>
    </row>
    <row r="19" spans="1:3" ht="42.75" x14ac:dyDescent="0.2">
      <c r="A19" s="22" t="s">
        <v>10</v>
      </c>
      <c r="B19" s="25" t="s">
        <v>11</v>
      </c>
      <c r="C19" s="26">
        <f>[15]С2!F12</f>
        <v>1990.8616285605142</v>
      </c>
    </row>
    <row r="20" spans="1:3" ht="30" x14ac:dyDescent="0.2">
      <c r="A20" s="22" t="s">
        <v>12</v>
      </c>
      <c r="B20" s="25" t="s">
        <v>13</v>
      </c>
      <c r="C20" s="26">
        <f>[15]С3!F12</f>
        <v>473.18998182045129</v>
      </c>
    </row>
    <row r="21" spans="1:3" ht="42.75" x14ac:dyDescent="0.2">
      <c r="A21" s="22" t="s">
        <v>14</v>
      </c>
      <c r="B21" s="25" t="s">
        <v>15</v>
      </c>
      <c r="C21" s="26">
        <f>[15]С4!F12</f>
        <v>433.84811321301754</v>
      </c>
    </row>
    <row r="22" spans="1:3" ht="30" x14ac:dyDescent="0.2">
      <c r="A22" s="22" t="s">
        <v>16</v>
      </c>
      <c r="B22" s="25" t="s">
        <v>17</v>
      </c>
      <c r="C22" s="26">
        <f>[15]С5!F12</f>
        <v>69.798966222872863</v>
      </c>
    </row>
    <row r="23" spans="1:3" ht="43.5" thickBot="1" x14ac:dyDescent="0.25">
      <c r="A23" s="27" t="s">
        <v>18</v>
      </c>
      <c r="B23" s="105" t="s">
        <v>19</v>
      </c>
      <c r="C23" s="28" t="str">
        <f>[15]С6!F12</f>
        <v>-</v>
      </c>
    </row>
    <row r="24" spans="1:3" ht="13.5" thickBot="1" x14ac:dyDescent="0.25">
      <c r="A24" s="3"/>
    </row>
    <row r="25" spans="1:3" x14ac:dyDescent="0.2">
      <c r="A25" s="16" t="s">
        <v>4</v>
      </c>
      <c r="B25" s="29" t="s">
        <v>5</v>
      </c>
      <c r="C25" s="30" t="s">
        <v>6</v>
      </c>
    </row>
    <row r="26" spans="1:3" x14ac:dyDescent="0.2">
      <c r="A26" s="19">
        <v>1</v>
      </c>
      <c r="B26" s="31">
        <v>2</v>
      </c>
      <c r="C26" s="32">
        <v>3</v>
      </c>
    </row>
    <row r="27" spans="1:3" ht="30" customHeight="1" x14ac:dyDescent="0.2">
      <c r="A27" s="22">
        <v>1</v>
      </c>
      <c r="B27" s="121" t="s">
        <v>20</v>
      </c>
      <c r="C27" s="121"/>
    </row>
    <row r="28" spans="1:3" x14ac:dyDescent="0.2">
      <c r="A28" s="22" t="s">
        <v>8</v>
      </c>
      <c r="B28" s="33" t="s">
        <v>21</v>
      </c>
      <c r="C28" s="34">
        <f>[15]С1.1!E16</f>
        <v>5100</v>
      </c>
    </row>
    <row r="29" spans="1:3" ht="42.75" x14ac:dyDescent="0.2">
      <c r="A29" s="22" t="s">
        <v>10</v>
      </c>
      <c r="B29" s="33" t="s">
        <v>22</v>
      </c>
      <c r="C29" s="34">
        <f>[15]С1.1!E27</f>
        <v>2660.1</v>
      </c>
    </row>
    <row r="30" spans="1:3" ht="17.25" x14ac:dyDescent="0.2">
      <c r="A30" s="22" t="s">
        <v>12</v>
      </c>
      <c r="B30" s="33" t="s">
        <v>23</v>
      </c>
      <c r="C30" s="35">
        <f>[15]С1.1!E19</f>
        <v>-0.19900000000000001</v>
      </c>
    </row>
    <row r="31" spans="1:3" ht="17.25" x14ac:dyDescent="0.2">
      <c r="A31" s="22" t="s">
        <v>14</v>
      </c>
      <c r="B31" s="33" t="s">
        <v>24</v>
      </c>
      <c r="C31" s="35">
        <f>[15]С1.1!E20</f>
        <v>5.7000000000000002E-2</v>
      </c>
    </row>
    <row r="32" spans="1:3" ht="30" x14ac:dyDescent="0.2">
      <c r="A32" s="22" t="s">
        <v>16</v>
      </c>
      <c r="B32" s="36" t="s">
        <v>25</v>
      </c>
      <c r="C32" s="37">
        <f>[15]С1!F13</f>
        <v>176.4</v>
      </c>
    </row>
    <row r="33" spans="1:3" x14ac:dyDescent="0.2">
      <c r="A33" s="22" t="s">
        <v>18</v>
      </c>
      <c r="B33" s="36" t="s">
        <v>26</v>
      </c>
      <c r="C33" s="38">
        <f>[15]С1!F16</f>
        <v>7000</v>
      </c>
    </row>
    <row r="34" spans="1:3" ht="14.25" x14ac:dyDescent="0.2">
      <c r="A34" s="22" t="s">
        <v>27</v>
      </c>
      <c r="B34" s="39" t="s">
        <v>28</v>
      </c>
      <c r="C34" s="40">
        <f>[15]С1!F17</f>
        <v>0.72857142857142854</v>
      </c>
    </row>
    <row r="35" spans="1:3" ht="15.75" x14ac:dyDescent="0.2">
      <c r="A35" s="41" t="s">
        <v>29</v>
      </c>
      <c r="B35" s="42" t="s">
        <v>30</v>
      </c>
      <c r="C35" s="40">
        <f>[15]С1!F20</f>
        <v>21.588411179999994</v>
      </c>
    </row>
    <row r="36" spans="1:3" ht="15.75" x14ac:dyDescent="0.2">
      <c r="A36" s="41" t="s">
        <v>31</v>
      </c>
      <c r="B36" s="43" t="s">
        <v>32</v>
      </c>
      <c r="C36" s="40">
        <f>[15]С1!F21</f>
        <v>20.818139999999996</v>
      </c>
    </row>
    <row r="37" spans="1:3" ht="14.25" x14ac:dyDescent="0.2">
      <c r="A37" s="41" t="s">
        <v>33</v>
      </c>
      <c r="B37" s="44" t="s">
        <v>34</v>
      </c>
      <c r="C37" s="40">
        <f>[15]С1!F22</f>
        <v>1.0369999999999999</v>
      </c>
    </row>
    <row r="38" spans="1:3" ht="53.25" thickBot="1" x14ac:dyDescent="0.25">
      <c r="A38" s="27" t="s">
        <v>35</v>
      </c>
      <c r="B38" s="45" t="s">
        <v>36</v>
      </c>
      <c r="C38" s="46">
        <f>[15]С1!F23</f>
        <v>1.0469999999999999</v>
      </c>
    </row>
    <row r="39" spans="1:3" ht="13.5" thickBot="1" x14ac:dyDescent="0.25">
      <c r="A39" s="47"/>
      <c r="B39" s="48"/>
      <c r="C39" s="49"/>
    </row>
    <row r="40" spans="1:3" ht="30" customHeight="1" x14ac:dyDescent="0.2">
      <c r="A40" s="50" t="s">
        <v>37</v>
      </c>
      <c r="B40" s="122" t="s">
        <v>38</v>
      </c>
      <c r="C40" s="122"/>
    </row>
    <row r="41" spans="1:3" ht="25.5" x14ac:dyDescent="0.2">
      <c r="A41" s="22" t="s">
        <v>39</v>
      </c>
      <c r="B41" s="36" t="s">
        <v>40</v>
      </c>
      <c r="C41" s="51" t="str">
        <f>[15]С2.1!E12</f>
        <v>V</v>
      </c>
    </row>
    <row r="42" spans="1:3" ht="25.5" x14ac:dyDescent="0.2">
      <c r="A42" s="22" t="s">
        <v>41</v>
      </c>
      <c r="B42" s="33" t="s">
        <v>42</v>
      </c>
      <c r="C42" s="51" t="str">
        <f>[15]С2.1!E13</f>
        <v>6 и менее баллов</v>
      </c>
    </row>
    <row r="43" spans="1:3" ht="25.5" x14ac:dyDescent="0.2">
      <c r="A43" s="22" t="s">
        <v>43</v>
      </c>
      <c r="B43" s="33" t="s">
        <v>44</v>
      </c>
      <c r="C43" s="51" t="str">
        <f>[15]С2.1!E14</f>
        <v>от 200 до 500</v>
      </c>
    </row>
    <row r="44" spans="1:3" ht="25.5" x14ac:dyDescent="0.2">
      <c r="A44" s="22" t="s">
        <v>45</v>
      </c>
      <c r="B44" s="33" t="s">
        <v>46</v>
      </c>
      <c r="C44" s="52" t="str">
        <f>[15]С2.1!E15</f>
        <v>нет</v>
      </c>
    </row>
    <row r="45" spans="1:3" ht="30" x14ac:dyDescent="0.2">
      <c r="A45" s="22" t="s">
        <v>47</v>
      </c>
      <c r="B45" s="33" t="s">
        <v>48</v>
      </c>
      <c r="C45" s="34">
        <f>[15]С2!F18</f>
        <v>35106.652004551666</v>
      </c>
    </row>
    <row r="46" spans="1:3" ht="30" x14ac:dyDescent="0.2">
      <c r="A46" s="22" t="s">
        <v>49</v>
      </c>
      <c r="B46" s="53" t="s">
        <v>50</v>
      </c>
      <c r="C46" s="34">
        <f>IF([15]С2!F19&gt;0,[15]С2!F19,[15]С2!F20)</f>
        <v>23441.524932855718</v>
      </c>
    </row>
    <row r="47" spans="1:3" ht="25.5" x14ac:dyDescent="0.2">
      <c r="A47" s="22" t="s">
        <v>51</v>
      </c>
      <c r="B47" s="54" t="s">
        <v>52</v>
      </c>
      <c r="C47" s="34">
        <f>[15]С2.1!E19</f>
        <v>-38</v>
      </c>
    </row>
    <row r="48" spans="1:3" ht="25.5" x14ac:dyDescent="0.2">
      <c r="A48" s="22" t="s">
        <v>53</v>
      </c>
      <c r="B48" s="54" t="s">
        <v>54</v>
      </c>
      <c r="C48" s="34" t="str">
        <f>[15]С2.1!E22</f>
        <v>нет</v>
      </c>
    </row>
    <row r="49" spans="1:3" ht="38.25" x14ac:dyDescent="0.2">
      <c r="A49" s="22" t="s">
        <v>55</v>
      </c>
      <c r="B49" s="55" t="s">
        <v>56</v>
      </c>
      <c r="C49" s="34">
        <f>[15]С2.2!E10</f>
        <v>1287</v>
      </c>
    </row>
    <row r="50" spans="1:3" ht="25.5" x14ac:dyDescent="0.2">
      <c r="A50" s="22" t="s">
        <v>57</v>
      </c>
      <c r="B50" s="56" t="s">
        <v>58</v>
      </c>
      <c r="C50" s="34">
        <f>[15]С2.2!E12</f>
        <v>5.97</v>
      </c>
    </row>
    <row r="51" spans="1:3" ht="52.5" x14ac:dyDescent="0.2">
      <c r="A51" s="22" t="s">
        <v>59</v>
      </c>
      <c r="B51" s="57" t="s">
        <v>60</v>
      </c>
      <c r="C51" s="34">
        <f>[15]С2.2!E13</f>
        <v>1</v>
      </c>
    </row>
    <row r="52" spans="1:3" ht="27.75" x14ac:dyDescent="0.2">
      <c r="A52" s="22" t="s">
        <v>61</v>
      </c>
      <c r="B52" s="56" t="s">
        <v>62</v>
      </c>
      <c r="C52" s="34">
        <f>[15]С2.2!E14</f>
        <v>12104</v>
      </c>
    </row>
    <row r="53" spans="1:3" ht="25.5" x14ac:dyDescent="0.2">
      <c r="A53" s="22" t="s">
        <v>63</v>
      </c>
      <c r="B53" s="57" t="s">
        <v>64</v>
      </c>
      <c r="C53" s="35">
        <f>[15]С2.2!E15</f>
        <v>4.8000000000000001E-2</v>
      </c>
    </row>
    <row r="54" spans="1:3" x14ac:dyDescent="0.2">
      <c r="A54" s="22" t="s">
        <v>65</v>
      </c>
      <c r="B54" s="57" t="s">
        <v>66</v>
      </c>
      <c r="C54" s="34">
        <f>[15]С2.2!E16</f>
        <v>1</v>
      </c>
    </row>
    <row r="55" spans="1:3" ht="15.75" x14ac:dyDescent="0.2">
      <c r="A55" s="22" t="s">
        <v>67</v>
      </c>
      <c r="B55" s="58" t="s">
        <v>68</v>
      </c>
      <c r="C55" s="34">
        <f>[15]С2!F21</f>
        <v>1</v>
      </c>
    </row>
    <row r="56" spans="1:3" ht="30" x14ac:dyDescent="0.2">
      <c r="A56" s="59" t="s">
        <v>69</v>
      </c>
      <c r="B56" s="33" t="s">
        <v>70</v>
      </c>
      <c r="C56" s="34">
        <f>[15]С2!F13</f>
        <v>183796.83936385796</v>
      </c>
    </row>
    <row r="57" spans="1:3" ht="30" x14ac:dyDescent="0.2">
      <c r="A57" s="59" t="s">
        <v>71</v>
      </c>
      <c r="B57" s="58" t="s">
        <v>72</v>
      </c>
      <c r="C57" s="34">
        <f>[15]С2!F14</f>
        <v>113455</v>
      </c>
    </row>
    <row r="58" spans="1:3" ht="15.75" x14ac:dyDescent="0.2">
      <c r="A58" s="59" t="s">
        <v>73</v>
      </c>
      <c r="B58" s="60" t="s">
        <v>74</v>
      </c>
      <c r="C58" s="40">
        <f>[15]С2!F15</f>
        <v>1.071</v>
      </c>
    </row>
    <row r="59" spans="1:3" ht="15.75" x14ac:dyDescent="0.2">
      <c r="A59" s="59" t="s">
        <v>75</v>
      </c>
      <c r="B59" s="60" t="s">
        <v>76</v>
      </c>
      <c r="C59" s="40">
        <f>[15]С2!F16</f>
        <v>1</v>
      </c>
    </row>
    <row r="60" spans="1:3" ht="17.25" x14ac:dyDescent="0.2">
      <c r="A60" s="59" t="s">
        <v>77</v>
      </c>
      <c r="B60" s="58" t="s">
        <v>78</v>
      </c>
      <c r="C60" s="34">
        <f>[15]С2!F17</f>
        <v>1.01</v>
      </c>
    </row>
    <row r="61" spans="1:3" s="63" customFormat="1" ht="14.25" x14ac:dyDescent="0.2">
      <c r="A61" s="59" t="s">
        <v>79</v>
      </c>
      <c r="B61" s="61" t="s">
        <v>80</v>
      </c>
      <c r="C61" s="62">
        <f>[15]С2!F33</f>
        <v>10</v>
      </c>
    </row>
    <row r="62" spans="1:3" ht="30" x14ac:dyDescent="0.2">
      <c r="A62" s="59" t="s">
        <v>81</v>
      </c>
      <c r="B62" s="64" t="s">
        <v>82</v>
      </c>
      <c r="C62" s="34">
        <f>[15]С2!F26</f>
        <v>1543.3634896839897</v>
      </c>
    </row>
    <row r="63" spans="1:3" ht="17.25" x14ac:dyDescent="0.2">
      <c r="A63" s="59" t="s">
        <v>83</v>
      </c>
      <c r="B63" s="53" t="s">
        <v>84</v>
      </c>
      <c r="C63" s="34">
        <f>[15]С2!F27</f>
        <v>0.24536656199999998</v>
      </c>
    </row>
    <row r="64" spans="1:3" ht="17.25" x14ac:dyDescent="0.2">
      <c r="A64" s="59" t="s">
        <v>85</v>
      </c>
      <c r="B64" s="58" t="s">
        <v>86</v>
      </c>
      <c r="C64" s="62">
        <f>[15]С2!F28</f>
        <v>4200</v>
      </c>
    </row>
    <row r="65" spans="1:3" ht="42.75" x14ac:dyDescent="0.2">
      <c r="A65" s="59" t="s">
        <v>87</v>
      </c>
      <c r="B65" s="33" t="s">
        <v>88</v>
      </c>
      <c r="C65" s="34">
        <f>[15]С2!F22</f>
        <v>38698.422798410109</v>
      </c>
    </row>
    <row r="66" spans="1:3" ht="30" x14ac:dyDescent="0.2">
      <c r="A66" s="59" t="s">
        <v>89</v>
      </c>
      <c r="B66" s="60" t="s">
        <v>90</v>
      </c>
      <c r="C66" s="34">
        <f>[15]С2!F23</f>
        <v>1990</v>
      </c>
    </row>
    <row r="67" spans="1:3" ht="30" x14ac:dyDescent="0.2">
      <c r="A67" s="59" t="s">
        <v>91</v>
      </c>
      <c r="B67" s="53" t="s">
        <v>92</v>
      </c>
      <c r="C67" s="34">
        <f>[15]С2.1!E27</f>
        <v>14307.876789999998</v>
      </c>
    </row>
    <row r="68" spans="1:3" ht="38.25" x14ac:dyDescent="0.2">
      <c r="A68" s="59" t="s">
        <v>93</v>
      </c>
      <c r="B68" s="65" t="s">
        <v>94</v>
      </c>
      <c r="C68" s="52">
        <f>[15]С2.3!E21</f>
        <v>0</v>
      </c>
    </row>
    <row r="69" spans="1:3" ht="25.5" x14ac:dyDescent="0.2">
      <c r="A69" s="59" t="s">
        <v>95</v>
      </c>
      <c r="B69" s="66" t="s">
        <v>96</v>
      </c>
      <c r="C69" s="67">
        <f>[15]С2.3!E11</f>
        <v>9.89</v>
      </c>
    </row>
    <row r="70" spans="1:3" ht="25.5" x14ac:dyDescent="0.2">
      <c r="A70" s="59" t="s">
        <v>97</v>
      </c>
      <c r="B70" s="66" t="s">
        <v>98</v>
      </c>
      <c r="C70" s="62">
        <f>[15]С2.3!E13</f>
        <v>300</v>
      </c>
    </row>
    <row r="71" spans="1:3" ht="25.5" x14ac:dyDescent="0.2">
      <c r="A71" s="59" t="s">
        <v>99</v>
      </c>
      <c r="B71" s="65" t="s">
        <v>100</v>
      </c>
      <c r="C71" s="68">
        <f>IF([15]С2.3!E22&gt;0,[15]С2.3!E22,[15]С2.3!E14)</f>
        <v>61211</v>
      </c>
    </row>
    <row r="72" spans="1:3" ht="38.25" x14ac:dyDescent="0.2">
      <c r="A72" s="59" t="s">
        <v>101</v>
      </c>
      <c r="B72" s="65" t="s">
        <v>102</v>
      </c>
      <c r="C72" s="68">
        <f>IF([15]С2.3!E23&gt;0,[15]С2.3!E23,[15]С2.3!E15)</f>
        <v>45675</v>
      </c>
    </row>
    <row r="73" spans="1:3" ht="30" x14ac:dyDescent="0.2">
      <c r="A73" s="59" t="s">
        <v>103</v>
      </c>
      <c r="B73" s="53" t="s">
        <v>104</v>
      </c>
      <c r="C73" s="34">
        <f>[15]С2.1!E28</f>
        <v>9541.9567200000001</v>
      </c>
    </row>
    <row r="74" spans="1:3" ht="38.25" x14ac:dyDescent="0.2">
      <c r="A74" s="59" t="s">
        <v>105</v>
      </c>
      <c r="B74" s="65" t="s">
        <v>106</v>
      </c>
      <c r="C74" s="52">
        <f>[15]С2.3!E25</f>
        <v>0</v>
      </c>
    </row>
    <row r="75" spans="1:3" ht="25.5" x14ac:dyDescent="0.2">
      <c r="A75" s="59" t="s">
        <v>107</v>
      </c>
      <c r="B75" s="66" t="s">
        <v>108</v>
      </c>
      <c r="C75" s="67">
        <f>[15]С2.3!E12</f>
        <v>0.56000000000000005</v>
      </c>
    </row>
    <row r="76" spans="1:3" ht="25.5" x14ac:dyDescent="0.2">
      <c r="A76" s="59" t="s">
        <v>109</v>
      </c>
      <c r="B76" s="66" t="s">
        <v>98</v>
      </c>
      <c r="C76" s="62">
        <f>[15]С2.3!E13</f>
        <v>300</v>
      </c>
    </row>
    <row r="77" spans="1:3" ht="25.5" x14ac:dyDescent="0.2">
      <c r="A77" s="59" t="s">
        <v>110</v>
      </c>
      <c r="B77" s="69" t="s">
        <v>111</v>
      </c>
      <c r="C77" s="68">
        <f>IF([15]С2.3!E26&gt;0,[15]С2.3!E26,[15]С2.3!E16)</f>
        <v>65637</v>
      </c>
    </row>
    <row r="78" spans="1:3" ht="38.25" x14ac:dyDescent="0.2">
      <c r="A78" s="59" t="s">
        <v>112</v>
      </c>
      <c r="B78" s="69" t="s">
        <v>113</v>
      </c>
      <c r="C78" s="68">
        <f>IF([15]С2.3!E27&gt;0,[15]С2.3!E27,[15]С2.3!E17)</f>
        <v>31684</v>
      </c>
    </row>
    <row r="79" spans="1:3" ht="17.25" x14ac:dyDescent="0.2">
      <c r="A79" s="59" t="s">
        <v>114</v>
      </c>
      <c r="B79" s="33" t="s">
        <v>115</v>
      </c>
      <c r="C79" s="35">
        <f>[15]С2!F29</f>
        <v>9.5962865259740182E-2</v>
      </c>
    </row>
    <row r="80" spans="1:3" ht="30" x14ac:dyDescent="0.2">
      <c r="A80" s="59" t="s">
        <v>116</v>
      </c>
      <c r="B80" s="53" t="s">
        <v>117</v>
      </c>
      <c r="C80" s="70">
        <f>[15]С2!F30</f>
        <v>8.4029304029304031E-2</v>
      </c>
    </row>
    <row r="81" spans="1:3" ht="17.25" x14ac:dyDescent="0.2">
      <c r="A81" s="59" t="s">
        <v>118</v>
      </c>
      <c r="B81" s="71" t="s">
        <v>119</v>
      </c>
      <c r="C81" s="35">
        <f>[15]С2!F31</f>
        <v>0.13880000000000001</v>
      </c>
    </row>
    <row r="82" spans="1:3" s="63" customFormat="1" ht="18" thickBot="1" x14ac:dyDescent="0.25">
      <c r="A82" s="72" t="s">
        <v>120</v>
      </c>
      <c r="B82" s="73" t="s">
        <v>121</v>
      </c>
      <c r="C82" s="74">
        <f>[15]С2!F32</f>
        <v>0.12640000000000001</v>
      </c>
    </row>
    <row r="83" spans="1:3" ht="13.5" thickBot="1" x14ac:dyDescent="0.25">
      <c r="A83" s="47"/>
      <c r="B83" s="75"/>
      <c r="C83" s="15"/>
    </row>
    <row r="84" spans="1:3" s="63" customFormat="1" ht="30" customHeight="1" x14ac:dyDescent="0.2">
      <c r="A84" s="76" t="s">
        <v>122</v>
      </c>
      <c r="B84" s="122" t="s">
        <v>123</v>
      </c>
      <c r="C84" s="122"/>
    </row>
    <row r="85" spans="1:3" s="63" customFormat="1" ht="30" x14ac:dyDescent="0.2">
      <c r="A85" s="77" t="s">
        <v>124</v>
      </c>
      <c r="B85" s="33" t="s">
        <v>125</v>
      </c>
      <c r="C85" s="34">
        <f>[15]С3!F14</f>
        <v>6068.1437898865324</v>
      </c>
    </row>
    <row r="86" spans="1:3" s="63" customFormat="1" ht="42.75" x14ac:dyDescent="0.2">
      <c r="A86" s="77" t="s">
        <v>126</v>
      </c>
      <c r="B86" s="53" t="s">
        <v>127</v>
      </c>
      <c r="C86" s="78">
        <f>[15]С3!F15</f>
        <v>0.2</v>
      </c>
    </row>
    <row r="87" spans="1:3" s="63" customFormat="1" ht="14.25" x14ac:dyDescent="0.2">
      <c r="A87" s="77" t="s">
        <v>128</v>
      </c>
      <c r="B87" s="79" t="s">
        <v>129</v>
      </c>
      <c r="C87" s="62">
        <f>[15]С3!F18</f>
        <v>15</v>
      </c>
    </row>
    <row r="88" spans="1:3" s="63" customFormat="1" ht="17.25" x14ac:dyDescent="0.2">
      <c r="A88" s="77" t="s">
        <v>130</v>
      </c>
      <c r="B88" s="33" t="s">
        <v>131</v>
      </c>
      <c r="C88" s="34">
        <f>[15]С3!F19</f>
        <v>3778.1614077800232</v>
      </c>
    </row>
    <row r="89" spans="1:3" s="63" customFormat="1" ht="55.5" x14ac:dyDescent="0.2">
      <c r="A89" s="77" t="s">
        <v>132</v>
      </c>
      <c r="B89" s="53" t="s">
        <v>133</v>
      </c>
      <c r="C89" s="80">
        <f>[15]С3!F20</f>
        <v>2.1999999999999999E-2</v>
      </c>
    </row>
    <row r="90" spans="1:3" s="63" customFormat="1" ht="14.25" x14ac:dyDescent="0.2">
      <c r="A90" s="77" t="s">
        <v>134</v>
      </c>
      <c r="B90" s="58" t="s">
        <v>80</v>
      </c>
      <c r="C90" s="62">
        <f>[15]С3!F21</f>
        <v>10</v>
      </c>
    </row>
    <row r="91" spans="1:3" s="63" customFormat="1" ht="17.25" x14ac:dyDescent="0.2">
      <c r="A91" s="77" t="s">
        <v>135</v>
      </c>
      <c r="B91" s="33" t="s">
        <v>136</v>
      </c>
      <c r="C91" s="34">
        <f>[15]С3!F22</f>
        <v>4.6300904690519689</v>
      </c>
    </row>
    <row r="92" spans="1:3" s="63" customFormat="1" ht="55.5" x14ac:dyDescent="0.2">
      <c r="A92" s="77" t="s">
        <v>137</v>
      </c>
      <c r="B92" s="53" t="s">
        <v>138</v>
      </c>
      <c r="C92" s="80">
        <f>[15]С3!F23</f>
        <v>3.0000000000000001E-3</v>
      </c>
    </row>
    <row r="93" spans="1:3" s="63" customFormat="1" ht="27.75" thickBot="1" x14ac:dyDescent="0.25">
      <c r="A93" s="81" t="s">
        <v>139</v>
      </c>
      <c r="B93" s="82" t="s">
        <v>140</v>
      </c>
      <c r="C93" s="83">
        <f>[15]С3!F24</f>
        <v>1543.3634896839897</v>
      </c>
    </row>
    <row r="94" spans="1:3" ht="13.5" thickBot="1" x14ac:dyDescent="0.25">
      <c r="A94" s="47"/>
      <c r="B94" s="75"/>
      <c r="C94" s="15"/>
    </row>
    <row r="95" spans="1:3" ht="30" customHeight="1" x14ac:dyDescent="0.2">
      <c r="A95" s="84" t="s">
        <v>141</v>
      </c>
      <c r="B95" s="122" t="s">
        <v>142</v>
      </c>
      <c r="C95" s="122"/>
    </row>
    <row r="96" spans="1:3" ht="30" x14ac:dyDescent="0.2">
      <c r="A96" s="59" t="s">
        <v>143</v>
      </c>
      <c r="B96" s="33" t="s">
        <v>144</v>
      </c>
      <c r="C96" s="34">
        <f>[15]С4!F16</f>
        <v>1652.5</v>
      </c>
    </row>
    <row r="97" spans="1:3" ht="30" x14ac:dyDescent="0.2">
      <c r="A97" s="59" t="s">
        <v>145</v>
      </c>
      <c r="B97" s="58" t="s">
        <v>146</v>
      </c>
      <c r="C97" s="34">
        <f>[15]С4!F17</f>
        <v>73547</v>
      </c>
    </row>
    <row r="98" spans="1:3" ht="17.25" x14ac:dyDescent="0.2">
      <c r="A98" s="59" t="s">
        <v>147</v>
      </c>
      <c r="B98" s="58" t="s">
        <v>148</v>
      </c>
      <c r="C98" s="40">
        <f>[15]С4!F18</f>
        <v>0.02</v>
      </c>
    </row>
    <row r="99" spans="1:3" ht="30" x14ac:dyDescent="0.2">
      <c r="A99" s="59" t="s">
        <v>149</v>
      </c>
      <c r="B99" s="58" t="s">
        <v>150</v>
      </c>
      <c r="C99" s="34">
        <f>[15]С4!F19</f>
        <v>12104</v>
      </c>
    </row>
    <row r="100" spans="1:3" ht="31.5" x14ac:dyDescent="0.2">
      <c r="A100" s="59" t="s">
        <v>151</v>
      </c>
      <c r="B100" s="58" t="s">
        <v>152</v>
      </c>
      <c r="C100" s="40">
        <f>[15]С4!F20</f>
        <v>1.4999999999999999E-2</v>
      </c>
    </row>
    <row r="101" spans="1:3" ht="30" x14ac:dyDescent="0.2">
      <c r="A101" s="59" t="s">
        <v>153</v>
      </c>
      <c r="B101" s="33" t="s">
        <v>154</v>
      </c>
      <c r="C101" s="34">
        <f>[15]С4!F21</f>
        <v>1933.1949342509995</v>
      </c>
    </row>
    <row r="102" spans="1:3" ht="24" customHeight="1" x14ac:dyDescent="0.2">
      <c r="A102" s="59" t="s">
        <v>155</v>
      </c>
      <c r="B102" s="53" t="s">
        <v>156</v>
      </c>
      <c r="C102" s="85">
        <f>IF([15]С4.2!F8="да",[15]С4.2!D21,[15]С4.2!D15)</f>
        <v>0</v>
      </c>
    </row>
    <row r="103" spans="1:3" ht="68.25" x14ac:dyDescent="0.2">
      <c r="A103" s="59" t="s">
        <v>157</v>
      </c>
      <c r="B103" s="53" t="s">
        <v>158</v>
      </c>
      <c r="C103" s="34">
        <f>[15]С4!F22</f>
        <v>3.6112641666666665</v>
      </c>
    </row>
    <row r="104" spans="1:3" ht="30" x14ac:dyDescent="0.2">
      <c r="A104" s="59" t="s">
        <v>159</v>
      </c>
      <c r="B104" s="58" t="s">
        <v>160</v>
      </c>
      <c r="C104" s="34">
        <f>[15]С4!F23</f>
        <v>180</v>
      </c>
    </row>
    <row r="105" spans="1:3" ht="14.25" x14ac:dyDescent="0.2">
      <c r="A105" s="59" t="s">
        <v>161</v>
      </c>
      <c r="B105" s="53" t="s">
        <v>162</v>
      </c>
      <c r="C105" s="34">
        <f>[15]С4!F24</f>
        <v>8497.1999999999989</v>
      </c>
    </row>
    <row r="106" spans="1:3" ht="14.25" x14ac:dyDescent="0.2">
      <c r="A106" s="59" t="s">
        <v>163</v>
      </c>
      <c r="B106" s="58" t="s">
        <v>164</v>
      </c>
      <c r="C106" s="40">
        <f>[15]С4!F25</f>
        <v>0.35</v>
      </c>
    </row>
    <row r="107" spans="1:3" ht="17.25" x14ac:dyDescent="0.2">
      <c r="A107" s="59" t="s">
        <v>165</v>
      </c>
      <c r="B107" s="33" t="s">
        <v>166</v>
      </c>
      <c r="C107" s="34">
        <f>[15]С4!F26</f>
        <v>85.988129999999998</v>
      </c>
    </row>
    <row r="108" spans="1:3" ht="25.5" x14ac:dyDescent="0.2">
      <c r="A108" s="59" t="s">
        <v>167</v>
      </c>
      <c r="B108" s="53" t="s">
        <v>94</v>
      </c>
      <c r="C108" s="85">
        <f>[15]С4.3!E16</f>
        <v>0</v>
      </c>
    </row>
    <row r="109" spans="1:3" ht="25.5" x14ac:dyDescent="0.2">
      <c r="A109" s="59" t="s">
        <v>168</v>
      </c>
      <c r="B109" s="53" t="s">
        <v>169</v>
      </c>
      <c r="C109" s="34">
        <f>[15]С4.3!E17</f>
        <v>20.350000000000001</v>
      </c>
    </row>
    <row r="110" spans="1:3" ht="38.25" x14ac:dyDescent="0.2">
      <c r="A110" s="59" t="s">
        <v>170</v>
      </c>
      <c r="B110" s="53" t="s">
        <v>106</v>
      </c>
      <c r="C110" s="85">
        <f>[15]С4.3!E18</f>
        <v>0</v>
      </c>
    </row>
    <row r="111" spans="1:3" x14ac:dyDescent="0.2">
      <c r="A111" s="59" t="s">
        <v>171</v>
      </c>
      <c r="B111" s="53" t="s">
        <v>172</v>
      </c>
      <c r="C111" s="34">
        <f>[15]С4.3!E19</f>
        <v>71.67</v>
      </c>
    </row>
    <row r="112" spans="1:3" x14ac:dyDescent="0.2">
      <c r="A112" s="59" t="s">
        <v>173</v>
      </c>
      <c r="B112" s="58" t="s">
        <v>174</v>
      </c>
      <c r="C112" s="34">
        <f>[15]С4.3!E11</f>
        <v>1871</v>
      </c>
    </row>
    <row r="113" spans="1:3" x14ac:dyDescent="0.2">
      <c r="A113" s="59" t="s">
        <v>175</v>
      </c>
      <c r="B113" s="58" t="s">
        <v>176</v>
      </c>
      <c r="C113" s="52">
        <f>[15]С4.3!E12</f>
        <v>1636</v>
      </c>
    </row>
    <row r="114" spans="1:3" x14ac:dyDescent="0.2">
      <c r="A114" s="59" t="s">
        <v>177</v>
      </c>
      <c r="B114" s="58" t="s">
        <v>178</v>
      </c>
      <c r="C114" s="52">
        <f>[15]С4.3!E13</f>
        <v>204</v>
      </c>
    </row>
    <row r="115" spans="1:3" ht="30" x14ac:dyDescent="0.2">
      <c r="A115" s="59" t="s">
        <v>179</v>
      </c>
      <c r="B115" s="33" t="s">
        <v>180</v>
      </c>
      <c r="C115" s="34">
        <f>[15]С4!F27</f>
        <v>1291.2863994686898</v>
      </c>
    </row>
    <row r="116" spans="1:3" ht="25.5" x14ac:dyDescent="0.2">
      <c r="A116" s="59" t="s">
        <v>181</v>
      </c>
      <c r="B116" s="53" t="s">
        <v>182</v>
      </c>
      <c r="C116" s="34">
        <f>[15]С4!F28</f>
        <v>991.77142816335618</v>
      </c>
    </row>
    <row r="117" spans="1:3" ht="42.75" x14ac:dyDescent="0.2">
      <c r="A117" s="59" t="s">
        <v>183</v>
      </c>
      <c r="B117" s="53" t="s">
        <v>184</v>
      </c>
      <c r="C117" s="34">
        <f>[15]С4!F29</f>
        <v>299.51497130533357</v>
      </c>
    </row>
    <row r="118" spans="1:3" ht="30" x14ac:dyDescent="0.2">
      <c r="A118" s="59" t="s">
        <v>185</v>
      </c>
      <c r="B118" s="39" t="s">
        <v>186</v>
      </c>
      <c r="C118" s="34">
        <f>[15]С4!F30</f>
        <v>1599.2355231987444</v>
      </c>
    </row>
    <row r="119" spans="1:3" ht="42.75" x14ac:dyDescent="0.2">
      <c r="A119" s="59" t="s">
        <v>187</v>
      </c>
      <c r="B119" s="86" t="s">
        <v>188</v>
      </c>
      <c r="C119" s="34">
        <f>[15]С4!F33</f>
        <v>879.81520776877608</v>
      </c>
    </row>
    <row r="120" spans="1:3" ht="30" x14ac:dyDescent="0.2">
      <c r="A120" s="59" t="s">
        <v>189</v>
      </c>
      <c r="B120" s="87" t="s">
        <v>190</v>
      </c>
      <c r="C120" s="34">
        <f>[15]С4!F35</f>
        <v>17.040680999999999</v>
      </c>
    </row>
    <row r="121" spans="1:3" ht="14.25" x14ac:dyDescent="0.2">
      <c r="A121" s="59" t="s">
        <v>191</v>
      </c>
      <c r="B121" s="56" t="s">
        <v>192</v>
      </c>
      <c r="C121" s="34">
        <f>[15]С4!F36</f>
        <v>14319.9</v>
      </c>
    </row>
    <row r="122" spans="1:3" ht="28.5" thickBot="1" x14ac:dyDescent="0.25">
      <c r="A122" s="72" t="s">
        <v>193</v>
      </c>
      <c r="B122" s="88" t="s">
        <v>194</v>
      </c>
      <c r="C122" s="83">
        <f>[15]С4!F37</f>
        <v>1.19</v>
      </c>
    </row>
    <row r="123" spans="1:3" s="89" customFormat="1" ht="13.5" thickBot="1" x14ac:dyDescent="0.25">
      <c r="A123" s="47"/>
      <c r="B123" s="75"/>
      <c r="C123" s="15"/>
    </row>
    <row r="124" spans="1:3" s="63" customFormat="1" ht="30" customHeight="1" x14ac:dyDescent="0.2">
      <c r="A124" s="76" t="s">
        <v>195</v>
      </c>
      <c r="B124" s="122" t="s">
        <v>196</v>
      </c>
      <c r="C124" s="122"/>
    </row>
    <row r="125" spans="1:3" ht="16.5" thickBot="1" x14ac:dyDescent="0.25">
      <c r="A125" s="27" t="s">
        <v>197</v>
      </c>
      <c r="B125" s="90" t="s">
        <v>198</v>
      </c>
      <c r="C125" s="83">
        <f>[15]С5!F17</f>
        <v>0.02</v>
      </c>
    </row>
    <row r="126" spans="1:3" s="89" customFormat="1" ht="13.5" thickBot="1" x14ac:dyDescent="0.25">
      <c r="A126" s="47"/>
      <c r="B126" s="75"/>
      <c r="C126" s="15"/>
    </row>
    <row r="127" spans="1:3" ht="42.75" customHeight="1" x14ac:dyDescent="0.2">
      <c r="A127" s="84" t="s">
        <v>199</v>
      </c>
      <c r="B127" s="123" t="s">
        <v>200</v>
      </c>
      <c r="C127" s="123"/>
    </row>
    <row r="128" spans="1:3" ht="68.25" x14ac:dyDescent="0.2">
      <c r="A128" s="59" t="s">
        <v>201</v>
      </c>
      <c r="B128" s="91" t="s">
        <v>202</v>
      </c>
      <c r="C128" s="34" t="s">
        <v>203</v>
      </c>
    </row>
    <row r="129" spans="1:4" ht="42.75" hidden="1" x14ac:dyDescent="0.2">
      <c r="A129" s="59" t="s">
        <v>204</v>
      </c>
      <c r="B129" s="86" t="s">
        <v>205</v>
      </c>
      <c r="C129" s="92"/>
    </row>
    <row r="130" spans="1:4" ht="69" thickBot="1" x14ac:dyDescent="0.25">
      <c r="A130" s="72" t="s">
        <v>206</v>
      </c>
      <c r="B130" s="93" t="s">
        <v>207</v>
      </c>
      <c r="C130" s="94" t="s">
        <v>203</v>
      </c>
    </row>
    <row r="131" spans="1:4" ht="62.25" hidden="1" customHeight="1" x14ac:dyDescent="0.2">
      <c r="A131" s="95" t="s">
        <v>208</v>
      </c>
      <c r="B131" s="96" t="s">
        <v>209</v>
      </c>
      <c r="C131" s="97"/>
    </row>
    <row r="132" spans="1:4" ht="68.25" hidden="1" x14ac:dyDescent="0.2">
      <c r="A132" s="59" t="s">
        <v>210</v>
      </c>
      <c r="B132" s="86" t="s">
        <v>211</v>
      </c>
      <c r="C132" s="35"/>
    </row>
    <row r="133" spans="1:4" ht="69" hidden="1" thickBot="1" x14ac:dyDescent="0.25">
      <c r="A133" s="72" t="s">
        <v>212</v>
      </c>
      <c r="B133" s="98" t="s">
        <v>213</v>
      </c>
      <c r="C133" s="74"/>
    </row>
    <row r="134" spans="1:4" s="89" customFormat="1" ht="13.5" thickBot="1" x14ac:dyDescent="0.25">
      <c r="A134" s="47"/>
      <c r="B134" s="75"/>
      <c r="C134" s="15"/>
    </row>
    <row r="135" spans="1:4" ht="26.25" customHeight="1" x14ac:dyDescent="0.2">
      <c r="A135" s="84" t="s">
        <v>214</v>
      </c>
      <c r="B135" s="99" t="s">
        <v>215</v>
      </c>
      <c r="C135" s="100">
        <f>[15]С2!F37</f>
        <v>20.818139999999996</v>
      </c>
    </row>
    <row r="136" spans="1:4" ht="14.25" x14ac:dyDescent="0.2">
      <c r="A136" s="59" t="s">
        <v>216</v>
      </c>
      <c r="B136" s="101" t="s">
        <v>217</v>
      </c>
      <c r="C136" s="34">
        <f>[15]С2!F38</f>
        <v>7</v>
      </c>
    </row>
    <row r="137" spans="1:4" ht="17.25" x14ac:dyDescent="0.2">
      <c r="A137" s="59" t="s">
        <v>218</v>
      </c>
      <c r="B137" s="101" t="s">
        <v>219</v>
      </c>
      <c r="C137" s="34">
        <f>[15]С2!F40</f>
        <v>0.97</v>
      </c>
    </row>
    <row r="138" spans="1:4" ht="15" thickBot="1" x14ac:dyDescent="0.25">
      <c r="A138" s="72" t="s">
        <v>220</v>
      </c>
      <c r="B138" s="102" t="s">
        <v>221</v>
      </c>
      <c r="C138" s="46">
        <f>[15]С2!F42</f>
        <v>0.35</v>
      </c>
    </row>
    <row r="139" spans="1:4" s="89" customFormat="1" ht="13.5" thickBot="1" x14ac:dyDescent="0.25">
      <c r="A139" s="47"/>
      <c r="B139" s="75"/>
      <c r="C139" s="15"/>
    </row>
    <row r="140" spans="1:4" ht="30" x14ac:dyDescent="0.2">
      <c r="A140" s="84" t="s">
        <v>222</v>
      </c>
      <c r="B140" s="103" t="s">
        <v>223</v>
      </c>
      <c r="C140" s="104">
        <f>[15]С2!F35</f>
        <v>1.4976266307379205</v>
      </c>
      <c r="D140" s="89"/>
    </row>
    <row r="141" spans="1:4" ht="22.7" customHeight="1" thickBot="1" x14ac:dyDescent="0.25">
      <c r="A141" s="72" t="s">
        <v>224</v>
      </c>
      <c r="B141" s="118" t="s">
        <v>225</v>
      </c>
      <c r="C141" s="118"/>
      <c r="D141" s="89"/>
    </row>
    <row r="142" spans="1:4" ht="13.5" thickBot="1" x14ac:dyDescent="0.25">
      <c r="A142" s="106"/>
      <c r="B142" s="107" t="s">
        <v>226</v>
      </c>
      <c r="C142" s="108"/>
      <c r="D142" s="89"/>
    </row>
    <row r="143" spans="1:4" x14ac:dyDescent="0.2">
      <c r="A143" s="106"/>
      <c r="B143" s="109">
        <v>2020</v>
      </c>
      <c r="C143" s="110">
        <f>[15]С2.5!$E$11</f>
        <v>-2.9000000000000026E-2</v>
      </c>
      <c r="D143" s="89"/>
    </row>
    <row r="144" spans="1:4" x14ac:dyDescent="0.2">
      <c r="A144" s="106"/>
      <c r="B144" s="111">
        <f>B143+1</f>
        <v>2021</v>
      </c>
      <c r="C144" s="112">
        <f>[15]С2.5!$F$11</f>
        <v>0.245</v>
      </c>
      <c r="D144" s="89"/>
    </row>
    <row r="145" spans="1:4" x14ac:dyDescent="0.2">
      <c r="A145" s="106"/>
      <c r="B145" s="111">
        <f t="shared" ref="B145:B208" si="0">B144+1</f>
        <v>2022</v>
      </c>
      <c r="C145" s="112">
        <f>[15]С2.5!$G$11</f>
        <v>0.114</v>
      </c>
      <c r="D145" s="89"/>
    </row>
    <row r="146" spans="1:4" ht="13.5" thickBot="1" x14ac:dyDescent="0.25">
      <c r="A146" s="106"/>
      <c r="B146" s="113">
        <f t="shared" si="0"/>
        <v>2023</v>
      </c>
      <c r="C146" s="114">
        <f>[15]С2.5!$H$11</f>
        <v>2.4E-2</v>
      </c>
      <c r="D146" s="89"/>
    </row>
    <row r="147" spans="1:4" x14ac:dyDescent="0.2">
      <c r="A147" s="106"/>
      <c r="B147" s="115">
        <f t="shared" si="0"/>
        <v>2024</v>
      </c>
      <c r="C147" s="116">
        <f>[15]С2.5!$I$11</f>
        <v>8.5999999999999993E-2</v>
      </c>
      <c r="D147" s="89"/>
    </row>
    <row r="148" spans="1:4" hidden="1" x14ac:dyDescent="0.2">
      <c r="A148" s="106"/>
      <c r="B148" s="111">
        <f t="shared" si="0"/>
        <v>2025</v>
      </c>
      <c r="C148" s="112">
        <f>[15]С2.5!$J$11</f>
        <v>0.21215960863291</v>
      </c>
      <c r="D148" s="89"/>
    </row>
    <row r="149" spans="1:4" hidden="1" x14ac:dyDescent="0.2">
      <c r="A149" s="106"/>
      <c r="B149" s="111">
        <f t="shared" si="0"/>
        <v>2026</v>
      </c>
      <c r="C149" s="112">
        <f>[15]С2.5!$K$11</f>
        <v>3.5813361771260002E-2</v>
      </c>
      <c r="D149" s="89"/>
    </row>
    <row r="150" spans="1:4" hidden="1" x14ac:dyDescent="0.2">
      <c r="A150" s="106"/>
      <c r="B150" s="111">
        <f t="shared" si="0"/>
        <v>2027</v>
      </c>
      <c r="C150" s="112">
        <f>[15]С2.5!$L$11</f>
        <v>3.2682303599220003E-2</v>
      </c>
      <c r="D150" s="89"/>
    </row>
    <row r="151" spans="1:4" hidden="1" x14ac:dyDescent="0.2">
      <c r="A151" s="106"/>
      <c r="B151" s="111">
        <f t="shared" si="0"/>
        <v>2028</v>
      </c>
      <c r="C151" s="112">
        <f>[15]С2.5!$M$11</f>
        <v>0</v>
      </c>
      <c r="D151" s="89"/>
    </row>
    <row r="152" spans="1:4" hidden="1" x14ac:dyDescent="0.2">
      <c r="A152" s="106"/>
      <c r="B152" s="111">
        <f t="shared" si="0"/>
        <v>2029</v>
      </c>
      <c r="C152" s="112">
        <f>[15]С2.5!$N$11</f>
        <v>0</v>
      </c>
      <c r="D152" s="89"/>
    </row>
    <row r="153" spans="1:4" hidden="1" x14ac:dyDescent="0.2">
      <c r="A153" s="106"/>
      <c r="B153" s="111">
        <f t="shared" si="0"/>
        <v>2030</v>
      </c>
      <c r="C153" s="112">
        <f>[15]С2.5!$O$11</f>
        <v>0</v>
      </c>
      <c r="D153" s="89"/>
    </row>
    <row r="154" spans="1:4" hidden="1" x14ac:dyDescent="0.2">
      <c r="A154" s="106"/>
      <c r="B154" s="111">
        <f t="shared" si="0"/>
        <v>2031</v>
      </c>
      <c r="C154" s="112">
        <f>[15]С2.5!$P$11</f>
        <v>0</v>
      </c>
      <c r="D154" s="89"/>
    </row>
    <row r="155" spans="1:4" hidden="1" x14ac:dyDescent="0.2">
      <c r="A155" s="89"/>
      <c r="B155" s="111">
        <f t="shared" si="0"/>
        <v>2032</v>
      </c>
      <c r="C155" s="112">
        <f>[15]С2.5!$Q$11</f>
        <v>0</v>
      </c>
      <c r="D155" s="89"/>
    </row>
    <row r="156" spans="1:4" hidden="1" x14ac:dyDescent="0.2">
      <c r="A156" s="89"/>
      <c r="B156" s="111">
        <f t="shared" si="0"/>
        <v>2033</v>
      </c>
      <c r="C156" s="112">
        <f>[15]С2.5!$R$11</f>
        <v>0</v>
      </c>
      <c r="D156" s="89"/>
    </row>
    <row r="157" spans="1:4" hidden="1" x14ac:dyDescent="0.2">
      <c r="B157" s="111">
        <f t="shared" si="0"/>
        <v>2034</v>
      </c>
      <c r="C157" s="112">
        <f>[15]С2.5!$S$11</f>
        <v>0</v>
      </c>
    </row>
    <row r="158" spans="1:4" hidden="1" x14ac:dyDescent="0.2">
      <c r="B158" s="111">
        <f t="shared" si="0"/>
        <v>2035</v>
      </c>
      <c r="C158" s="112">
        <f>[15]С2.5!$T$11</f>
        <v>0</v>
      </c>
    </row>
    <row r="159" spans="1:4" hidden="1" x14ac:dyDescent="0.2">
      <c r="B159" s="111">
        <f t="shared" si="0"/>
        <v>2036</v>
      </c>
      <c r="C159" s="112">
        <f>[15]С2.5!$U$11</f>
        <v>0</v>
      </c>
    </row>
    <row r="160" spans="1:4" hidden="1" x14ac:dyDescent="0.2">
      <c r="B160" s="111">
        <f t="shared" si="0"/>
        <v>2037</v>
      </c>
      <c r="C160" s="112">
        <f>[15]С2.5!$V$11</f>
        <v>0</v>
      </c>
    </row>
    <row r="161" spans="2:3" hidden="1" x14ac:dyDescent="0.2">
      <c r="B161" s="111">
        <f t="shared" si="0"/>
        <v>2038</v>
      </c>
      <c r="C161" s="112">
        <f>[15]С2.5!$W$11</f>
        <v>0</v>
      </c>
    </row>
    <row r="162" spans="2:3" hidden="1" x14ac:dyDescent="0.2">
      <c r="B162" s="111">
        <f t="shared" si="0"/>
        <v>2039</v>
      </c>
      <c r="C162" s="112">
        <f>[15]С2.5!$X$11</f>
        <v>0</v>
      </c>
    </row>
    <row r="163" spans="2:3" hidden="1" x14ac:dyDescent="0.2">
      <c r="B163" s="111">
        <f t="shared" si="0"/>
        <v>2040</v>
      </c>
      <c r="C163" s="112">
        <f>[15]С2.5!$Y$11</f>
        <v>0</v>
      </c>
    </row>
    <row r="164" spans="2:3" hidden="1" x14ac:dyDescent="0.2">
      <c r="B164" s="111">
        <f t="shared" si="0"/>
        <v>2041</v>
      </c>
      <c r="C164" s="112">
        <f>[15]С2.5!$Z$11</f>
        <v>0</v>
      </c>
    </row>
    <row r="165" spans="2:3" hidden="1" x14ac:dyDescent="0.2">
      <c r="B165" s="111">
        <f t="shared" si="0"/>
        <v>2042</v>
      </c>
      <c r="C165" s="112">
        <f>[15]С2.5!$AA$11</f>
        <v>0</v>
      </c>
    </row>
    <row r="166" spans="2:3" hidden="1" x14ac:dyDescent="0.2">
      <c r="B166" s="111">
        <f t="shared" si="0"/>
        <v>2043</v>
      </c>
      <c r="C166" s="112">
        <f>[15]С2.5!$AB$11</f>
        <v>0</v>
      </c>
    </row>
    <row r="167" spans="2:3" hidden="1" x14ac:dyDescent="0.2">
      <c r="B167" s="111">
        <f t="shared" si="0"/>
        <v>2044</v>
      </c>
      <c r="C167" s="112">
        <f>[15]С2.5!$AC$11</f>
        <v>0</v>
      </c>
    </row>
    <row r="168" spans="2:3" hidden="1" x14ac:dyDescent="0.2">
      <c r="B168" s="111">
        <f t="shared" si="0"/>
        <v>2045</v>
      </c>
      <c r="C168" s="112">
        <f>[15]С2.5!$AD$11</f>
        <v>0</v>
      </c>
    </row>
    <row r="169" spans="2:3" hidden="1" x14ac:dyDescent="0.2">
      <c r="B169" s="111">
        <f t="shared" si="0"/>
        <v>2046</v>
      </c>
      <c r="C169" s="112">
        <f>[15]С2.5!$AE$11</f>
        <v>0</v>
      </c>
    </row>
    <row r="170" spans="2:3" hidden="1" x14ac:dyDescent="0.2">
      <c r="B170" s="111">
        <f t="shared" si="0"/>
        <v>2047</v>
      </c>
      <c r="C170" s="112">
        <f>[15]С2.5!$AF$11</f>
        <v>0</v>
      </c>
    </row>
    <row r="171" spans="2:3" hidden="1" x14ac:dyDescent="0.2">
      <c r="B171" s="111">
        <f t="shared" si="0"/>
        <v>2048</v>
      </c>
      <c r="C171" s="112">
        <f>[15]С2.5!$AG$11</f>
        <v>0</v>
      </c>
    </row>
    <row r="172" spans="2:3" hidden="1" x14ac:dyDescent="0.2">
      <c r="B172" s="111">
        <f t="shared" si="0"/>
        <v>2049</v>
      </c>
      <c r="C172" s="112">
        <f>[15]С2.5!$AH$11</f>
        <v>0</v>
      </c>
    </row>
    <row r="173" spans="2:3" hidden="1" x14ac:dyDescent="0.2">
      <c r="B173" s="111">
        <f t="shared" si="0"/>
        <v>2050</v>
      </c>
      <c r="C173" s="112">
        <f>[15]С2.5!$AI$11</f>
        <v>0</v>
      </c>
    </row>
    <row r="174" spans="2:3" hidden="1" x14ac:dyDescent="0.2">
      <c r="B174" s="111">
        <f t="shared" si="0"/>
        <v>2051</v>
      </c>
      <c r="C174" s="112">
        <f>[15]С2.5!$AJ$11</f>
        <v>0</v>
      </c>
    </row>
    <row r="175" spans="2:3" hidden="1" x14ac:dyDescent="0.2">
      <c r="B175" s="111">
        <f t="shared" si="0"/>
        <v>2052</v>
      </c>
      <c r="C175" s="112">
        <f>[15]С2.5!$AK$11</f>
        <v>0</v>
      </c>
    </row>
    <row r="176" spans="2:3" hidden="1" x14ac:dyDescent="0.2">
      <c r="B176" s="111">
        <f t="shared" si="0"/>
        <v>2053</v>
      </c>
      <c r="C176" s="112">
        <f>[15]С2.5!$AL$11</f>
        <v>0</v>
      </c>
    </row>
    <row r="177" spans="2:3" hidden="1" x14ac:dyDescent="0.2">
      <c r="B177" s="111">
        <f t="shared" si="0"/>
        <v>2054</v>
      </c>
      <c r="C177" s="112">
        <f>[15]С2.5!$AM$11</f>
        <v>0</v>
      </c>
    </row>
    <row r="178" spans="2:3" hidden="1" x14ac:dyDescent="0.2">
      <c r="B178" s="111">
        <f t="shared" si="0"/>
        <v>2055</v>
      </c>
      <c r="C178" s="112">
        <f>[15]С2.5!$AN$11</f>
        <v>0</v>
      </c>
    </row>
    <row r="179" spans="2:3" hidden="1" x14ac:dyDescent="0.2">
      <c r="B179" s="111">
        <f t="shared" si="0"/>
        <v>2056</v>
      </c>
      <c r="C179" s="112">
        <f>[15]С2.5!$AO$11</f>
        <v>0</v>
      </c>
    </row>
    <row r="180" spans="2:3" hidden="1" x14ac:dyDescent="0.2">
      <c r="B180" s="111">
        <f t="shared" si="0"/>
        <v>2057</v>
      </c>
      <c r="C180" s="112">
        <f>[15]С2.5!$AP$11</f>
        <v>0</v>
      </c>
    </row>
    <row r="181" spans="2:3" hidden="1" x14ac:dyDescent="0.2">
      <c r="B181" s="111">
        <f t="shared" si="0"/>
        <v>2058</v>
      </c>
      <c r="C181" s="112">
        <f>[15]С2.5!$AQ$11</f>
        <v>0</v>
      </c>
    </row>
    <row r="182" spans="2:3" hidden="1" x14ac:dyDescent="0.2">
      <c r="B182" s="111">
        <f t="shared" si="0"/>
        <v>2059</v>
      </c>
      <c r="C182" s="112">
        <f>[15]С2.5!$AR$11</f>
        <v>0</v>
      </c>
    </row>
    <row r="183" spans="2:3" hidden="1" x14ac:dyDescent="0.2">
      <c r="B183" s="111">
        <f t="shared" si="0"/>
        <v>2060</v>
      </c>
      <c r="C183" s="112">
        <f>[15]С2.5!$AS$11</f>
        <v>0</v>
      </c>
    </row>
    <row r="184" spans="2:3" hidden="1" x14ac:dyDescent="0.2">
      <c r="B184" s="111">
        <f t="shared" si="0"/>
        <v>2061</v>
      </c>
      <c r="C184" s="112">
        <f>[15]С2.5!$AT$11</f>
        <v>0</v>
      </c>
    </row>
    <row r="185" spans="2:3" hidden="1" x14ac:dyDescent="0.2">
      <c r="B185" s="111">
        <f t="shared" si="0"/>
        <v>2062</v>
      </c>
      <c r="C185" s="112">
        <f>[15]С2.5!$AU$11</f>
        <v>0</v>
      </c>
    </row>
    <row r="186" spans="2:3" hidden="1" x14ac:dyDescent="0.2">
      <c r="B186" s="111">
        <f t="shared" si="0"/>
        <v>2063</v>
      </c>
      <c r="C186" s="112">
        <f>[15]С2.5!$AV$11</f>
        <v>0</v>
      </c>
    </row>
    <row r="187" spans="2:3" hidden="1" x14ac:dyDescent="0.2">
      <c r="B187" s="111">
        <f t="shared" si="0"/>
        <v>2064</v>
      </c>
      <c r="C187" s="112">
        <f>[15]С2.5!$AW$11</f>
        <v>0</v>
      </c>
    </row>
    <row r="188" spans="2:3" hidden="1" x14ac:dyDescent="0.2">
      <c r="B188" s="111">
        <f t="shared" si="0"/>
        <v>2065</v>
      </c>
      <c r="C188" s="112">
        <f>[15]С2.5!$AX$11</f>
        <v>0</v>
      </c>
    </row>
    <row r="189" spans="2:3" hidden="1" x14ac:dyDescent="0.2">
      <c r="B189" s="111">
        <f t="shared" si="0"/>
        <v>2066</v>
      </c>
      <c r="C189" s="112">
        <f>[15]С2.5!$AY$11</f>
        <v>0</v>
      </c>
    </row>
    <row r="190" spans="2:3" hidden="1" x14ac:dyDescent="0.2">
      <c r="B190" s="111">
        <f t="shared" si="0"/>
        <v>2067</v>
      </c>
      <c r="C190" s="112">
        <f>[15]С2.5!$AZ$11</f>
        <v>0</v>
      </c>
    </row>
    <row r="191" spans="2:3" hidden="1" x14ac:dyDescent="0.2">
      <c r="B191" s="111">
        <f t="shared" si="0"/>
        <v>2068</v>
      </c>
      <c r="C191" s="112">
        <f>[15]С2.5!$BA$11</f>
        <v>0</v>
      </c>
    </row>
    <row r="192" spans="2:3" hidden="1" x14ac:dyDescent="0.2">
      <c r="B192" s="111">
        <f t="shared" si="0"/>
        <v>2069</v>
      </c>
      <c r="C192" s="112">
        <f>[15]С2.5!$BB$11</f>
        <v>0</v>
      </c>
    </row>
    <row r="193" spans="2:3" hidden="1" x14ac:dyDescent="0.2">
      <c r="B193" s="111">
        <f t="shared" si="0"/>
        <v>2070</v>
      </c>
      <c r="C193" s="112">
        <f>[15]С2.5!$BC$11</f>
        <v>0</v>
      </c>
    </row>
    <row r="194" spans="2:3" hidden="1" x14ac:dyDescent="0.2">
      <c r="B194" s="111">
        <f t="shared" si="0"/>
        <v>2071</v>
      </c>
      <c r="C194" s="112">
        <f>[15]С2.5!$BD$11</f>
        <v>0</v>
      </c>
    </row>
    <row r="195" spans="2:3" hidden="1" x14ac:dyDescent="0.2">
      <c r="B195" s="111">
        <f t="shared" si="0"/>
        <v>2072</v>
      </c>
      <c r="C195" s="112">
        <f>[15]С2.5!$BE$11</f>
        <v>0</v>
      </c>
    </row>
    <row r="196" spans="2:3" hidden="1" x14ac:dyDescent="0.2">
      <c r="B196" s="111">
        <f t="shared" si="0"/>
        <v>2073</v>
      </c>
      <c r="C196" s="112">
        <f>[15]С2.5!$BF$11</f>
        <v>0</v>
      </c>
    </row>
    <row r="197" spans="2:3" hidden="1" x14ac:dyDescent="0.2">
      <c r="B197" s="111">
        <f t="shared" si="0"/>
        <v>2074</v>
      </c>
      <c r="C197" s="112">
        <f>[15]С2.5!$BG$11</f>
        <v>0</v>
      </c>
    </row>
    <row r="198" spans="2:3" hidden="1" x14ac:dyDescent="0.2">
      <c r="B198" s="111">
        <f t="shared" si="0"/>
        <v>2075</v>
      </c>
      <c r="C198" s="112">
        <f>[15]С2.5!$BH$11</f>
        <v>0</v>
      </c>
    </row>
    <row r="199" spans="2:3" hidden="1" x14ac:dyDescent="0.2">
      <c r="B199" s="111">
        <f t="shared" si="0"/>
        <v>2076</v>
      </c>
      <c r="C199" s="112">
        <f>[15]С2.5!$BI$11</f>
        <v>0</v>
      </c>
    </row>
    <row r="200" spans="2:3" hidden="1" x14ac:dyDescent="0.2">
      <c r="B200" s="111">
        <f t="shared" si="0"/>
        <v>2077</v>
      </c>
      <c r="C200" s="112">
        <f>[15]С2.5!$BJ$11</f>
        <v>0</v>
      </c>
    </row>
    <row r="201" spans="2:3" hidden="1" x14ac:dyDescent="0.2">
      <c r="B201" s="111">
        <f t="shared" si="0"/>
        <v>2078</v>
      </c>
      <c r="C201" s="112">
        <f>[15]С2.5!$BK$11</f>
        <v>0</v>
      </c>
    </row>
    <row r="202" spans="2:3" hidden="1" x14ac:dyDescent="0.2">
      <c r="B202" s="111">
        <f t="shared" si="0"/>
        <v>2079</v>
      </c>
      <c r="C202" s="112">
        <f>[15]С2.5!$BL$11</f>
        <v>0</v>
      </c>
    </row>
    <row r="203" spans="2:3" hidden="1" x14ac:dyDescent="0.2">
      <c r="B203" s="111">
        <f t="shared" si="0"/>
        <v>2080</v>
      </c>
      <c r="C203" s="112">
        <f>[15]С2.5!$BM$11</f>
        <v>0</v>
      </c>
    </row>
    <row r="204" spans="2:3" hidden="1" x14ac:dyDescent="0.2">
      <c r="B204" s="111">
        <f t="shared" si="0"/>
        <v>2081</v>
      </c>
      <c r="C204" s="112">
        <f>[15]С2.5!$BN$11</f>
        <v>0</v>
      </c>
    </row>
    <row r="205" spans="2:3" hidden="1" x14ac:dyDescent="0.2">
      <c r="B205" s="111">
        <f t="shared" si="0"/>
        <v>2082</v>
      </c>
      <c r="C205" s="112">
        <f>[15]С2.5!$BO$11</f>
        <v>0</v>
      </c>
    </row>
    <row r="206" spans="2:3" hidden="1" x14ac:dyDescent="0.2">
      <c r="B206" s="111">
        <f t="shared" si="0"/>
        <v>2083</v>
      </c>
      <c r="C206" s="112">
        <f>[15]С2.5!$BP$11</f>
        <v>0</v>
      </c>
    </row>
    <row r="207" spans="2:3" hidden="1" x14ac:dyDescent="0.2">
      <c r="B207" s="111">
        <f t="shared" si="0"/>
        <v>2084</v>
      </c>
      <c r="C207" s="112">
        <f>[15]С2.5!$BQ$11</f>
        <v>0</v>
      </c>
    </row>
    <row r="208" spans="2:3" hidden="1" x14ac:dyDescent="0.2">
      <c r="B208" s="111">
        <f t="shared" si="0"/>
        <v>2085</v>
      </c>
      <c r="C208" s="112">
        <f>[15]С2.5!$BR$11</f>
        <v>0</v>
      </c>
    </row>
    <row r="209" spans="2:3" hidden="1" x14ac:dyDescent="0.2">
      <c r="B209" s="111">
        <f t="shared" ref="B209:B223" si="1">B208+1</f>
        <v>2086</v>
      </c>
      <c r="C209" s="112">
        <f>[15]С2.5!$BS$11</f>
        <v>0</v>
      </c>
    </row>
    <row r="210" spans="2:3" hidden="1" x14ac:dyDescent="0.2">
      <c r="B210" s="111">
        <f t="shared" si="1"/>
        <v>2087</v>
      </c>
      <c r="C210" s="112">
        <f>[15]С2.5!$BT$11</f>
        <v>0</v>
      </c>
    </row>
    <row r="211" spans="2:3" hidden="1" x14ac:dyDescent="0.2">
      <c r="B211" s="111">
        <f t="shared" si="1"/>
        <v>2088</v>
      </c>
      <c r="C211" s="112">
        <f>[15]С2.5!$BU$11</f>
        <v>0</v>
      </c>
    </row>
    <row r="212" spans="2:3" hidden="1" x14ac:dyDescent="0.2">
      <c r="B212" s="111">
        <f t="shared" si="1"/>
        <v>2089</v>
      </c>
      <c r="C212" s="112">
        <f>[15]С2.5!$BV$11</f>
        <v>0</v>
      </c>
    </row>
    <row r="213" spans="2:3" hidden="1" x14ac:dyDescent="0.2">
      <c r="B213" s="111">
        <f t="shared" si="1"/>
        <v>2090</v>
      </c>
      <c r="C213" s="112">
        <f>[15]С2.5!$BW$11</f>
        <v>0</v>
      </c>
    </row>
    <row r="214" spans="2:3" hidden="1" x14ac:dyDescent="0.2">
      <c r="B214" s="111">
        <f t="shared" si="1"/>
        <v>2091</v>
      </c>
      <c r="C214" s="112">
        <f>[15]С2.5!$BX$11</f>
        <v>0</v>
      </c>
    </row>
    <row r="215" spans="2:3" hidden="1" x14ac:dyDescent="0.2">
      <c r="B215" s="111">
        <f t="shared" si="1"/>
        <v>2092</v>
      </c>
      <c r="C215" s="112">
        <f>[15]С2.5!$BY$11</f>
        <v>0</v>
      </c>
    </row>
    <row r="216" spans="2:3" hidden="1" x14ac:dyDescent="0.2">
      <c r="B216" s="111">
        <f t="shared" si="1"/>
        <v>2093</v>
      </c>
      <c r="C216" s="112">
        <f>[15]С2.5!$BZ$11</f>
        <v>0</v>
      </c>
    </row>
    <row r="217" spans="2:3" hidden="1" x14ac:dyDescent="0.2">
      <c r="B217" s="111">
        <f t="shared" si="1"/>
        <v>2094</v>
      </c>
      <c r="C217" s="112">
        <f>[15]С2.5!$CA$11</f>
        <v>0</v>
      </c>
    </row>
    <row r="218" spans="2:3" hidden="1" x14ac:dyDescent="0.2">
      <c r="B218" s="111">
        <f t="shared" si="1"/>
        <v>2095</v>
      </c>
      <c r="C218" s="112">
        <f>[15]С2.5!$CB$11</f>
        <v>0</v>
      </c>
    </row>
    <row r="219" spans="2:3" hidden="1" x14ac:dyDescent="0.2">
      <c r="B219" s="111">
        <f t="shared" si="1"/>
        <v>2096</v>
      </c>
      <c r="C219" s="112">
        <f>[15]С2.5!$CC$11</f>
        <v>0</v>
      </c>
    </row>
    <row r="220" spans="2:3" hidden="1" x14ac:dyDescent="0.2">
      <c r="B220" s="111">
        <f t="shared" si="1"/>
        <v>2097</v>
      </c>
      <c r="C220" s="112">
        <f>[15]С2.5!$CD$11</f>
        <v>0</v>
      </c>
    </row>
    <row r="221" spans="2:3" hidden="1" x14ac:dyDescent="0.2">
      <c r="B221" s="111">
        <f t="shared" si="1"/>
        <v>2098</v>
      </c>
      <c r="C221" s="112">
        <f>[15]С2.5!$CE$11</f>
        <v>0</v>
      </c>
    </row>
    <row r="222" spans="2:3" hidden="1" x14ac:dyDescent="0.2">
      <c r="B222" s="111">
        <f t="shared" si="1"/>
        <v>2099</v>
      </c>
      <c r="C222" s="112">
        <f>[15]С2.5!$CF$11</f>
        <v>0</v>
      </c>
    </row>
    <row r="223" spans="2:3" ht="13.5" hidden="1" thickBot="1" x14ac:dyDescent="0.25">
      <c r="B223" s="113">
        <f t="shared" si="1"/>
        <v>2100</v>
      </c>
      <c r="C223" s="114">
        <f>[15]С2.5!$CG$11</f>
        <v>0</v>
      </c>
    </row>
    <row r="224" spans="2:3" hidden="1" x14ac:dyDescent="0.2">
      <c r="C224" s="117"/>
    </row>
    <row r="225" spans="3:3" hidden="1" x14ac:dyDescent="0.2">
      <c r="C225" s="117"/>
    </row>
    <row r="226" spans="3:3" x14ac:dyDescent="0.2">
      <c r="C226" s="117"/>
    </row>
  </sheetData>
  <mergeCells count="9">
    <mergeCell ref="B141:C141"/>
    <mergeCell ref="A14:C14"/>
    <mergeCell ref="B1:C1"/>
    <mergeCell ref="B27:C27"/>
    <mergeCell ref="B40:C40"/>
    <mergeCell ref="B84:C84"/>
    <mergeCell ref="B95:C95"/>
    <mergeCell ref="B124:C124"/>
    <mergeCell ref="B127:C127"/>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8193" r:id="rId3" name="Button 1">
              <controlPr defaultSize="0" print="0" autoFill="0" autoPict="0" macro="[16]!Лист29.PrintBlock">
                <anchor moveWithCells="1" sizeWithCells="1">
                  <from>
                    <xdr:col>3</xdr:col>
                    <xdr:colOff>0</xdr:colOff>
                    <xdr:row>0</xdr:row>
                    <xdr:rowOff>85725</xdr:rowOff>
                  </from>
                  <to>
                    <xdr:col>4</xdr:col>
                    <xdr:colOff>0</xdr:colOff>
                    <xdr:row>0</xdr:row>
                    <xdr:rowOff>238125</xdr:rowOff>
                  </to>
                </anchor>
              </controlPr>
            </control>
          </mc:Choice>
        </mc:AlternateContent>
        <mc:AlternateContent xmlns:mc="http://schemas.openxmlformats.org/markup-compatibility/2006">
          <mc:Choice Requires="x14">
            <control shapeId="8194" r:id="rId4" name="Button 2">
              <controlPr defaultSize="0" print="0" autoFill="0" autoPict="0" macro="[15]!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C2" sqref="C2"/>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20" t="s">
        <v>0</v>
      </c>
      <c r="C1" s="120"/>
    </row>
    <row r="2" spans="1:3" x14ac:dyDescent="0.2">
      <c r="A2" s="3"/>
      <c r="B2" s="4" t="s">
        <v>1</v>
      </c>
      <c r="C2" s="5">
        <v>45317</v>
      </c>
    </row>
    <row r="3" spans="1:3" x14ac:dyDescent="0.2">
      <c r="A3" s="3"/>
      <c r="B3" s="6" t="s">
        <v>2</v>
      </c>
    </row>
    <row r="4" spans="1:3" ht="25.5" x14ac:dyDescent="0.2">
      <c r="A4" s="8"/>
      <c r="B4" s="9" t="str">
        <f>[17]И1!D13</f>
        <v>Субъект Российской Федерации</v>
      </c>
      <c r="C4" s="10" t="str">
        <f>[17]И1!E13</f>
        <v>Новосибирская область</v>
      </c>
    </row>
    <row r="5" spans="1:3" ht="46.9" customHeight="1" x14ac:dyDescent="0.2">
      <c r="A5" s="8"/>
      <c r="B5" s="9" t="str">
        <f>[17]И1!D14</f>
        <v>Тип муниципального образования (выберите из списка)</v>
      </c>
      <c r="C5" s="10" t="str">
        <f>[17]И1!E14</f>
        <v xml:space="preserve">село Маюрово, Сузунский муниципальный район </v>
      </c>
    </row>
    <row r="6" spans="1:3" x14ac:dyDescent="0.2">
      <c r="A6" s="8"/>
      <c r="B6" s="9" t="str">
        <f>IF([17]И1!E15="","",[17]И1!D15)</f>
        <v/>
      </c>
      <c r="C6" s="10" t="str">
        <f>IF([17]И1!E15="","",[17]И1!E15)</f>
        <v/>
      </c>
    </row>
    <row r="7" spans="1:3" x14ac:dyDescent="0.2">
      <c r="A7" s="8"/>
      <c r="B7" s="9" t="str">
        <f>[17]И1!D16</f>
        <v>Код ОКТМО</v>
      </c>
      <c r="C7" s="11" t="str">
        <f>[17]И1!E16</f>
        <v>(50648428101)</v>
      </c>
    </row>
    <row r="8" spans="1:3" x14ac:dyDescent="0.2">
      <c r="A8" s="8"/>
      <c r="B8" s="12" t="str">
        <f>[17]И1!D17</f>
        <v>Система теплоснабжения</v>
      </c>
      <c r="C8" s="13">
        <f>[17]И1!E17</f>
        <v>0</v>
      </c>
    </row>
    <row r="9" spans="1:3" x14ac:dyDescent="0.2">
      <c r="A9" s="8"/>
      <c r="B9" s="9" t="str">
        <f>[17]И1!D8</f>
        <v>Период регулирования (i)-й</v>
      </c>
      <c r="C9" s="14">
        <f>[17]И1!E8</f>
        <v>2024</v>
      </c>
    </row>
    <row r="10" spans="1:3" x14ac:dyDescent="0.2">
      <c r="A10" s="8"/>
      <c r="B10" s="9" t="str">
        <f>[17]И1!D9</f>
        <v>Период регулирования (i-1)-й</v>
      </c>
      <c r="C10" s="14">
        <f>[17]И1!E9</f>
        <v>2023</v>
      </c>
    </row>
    <row r="11" spans="1:3" x14ac:dyDescent="0.2">
      <c r="A11" s="8"/>
      <c r="B11" s="9" t="str">
        <f>[17]И1!D10</f>
        <v>Период регулирования (i-2)-й</v>
      </c>
      <c r="C11" s="14">
        <f>[17]И1!E10</f>
        <v>2022</v>
      </c>
    </row>
    <row r="12" spans="1:3" x14ac:dyDescent="0.2">
      <c r="A12" s="8"/>
      <c r="B12" s="9" t="str">
        <f>[17]И1!D11</f>
        <v>Базовый год (б)</v>
      </c>
      <c r="C12" s="14">
        <f>[17]И1!E11</f>
        <v>2019</v>
      </c>
    </row>
    <row r="13" spans="1:3" ht="38.25" x14ac:dyDescent="0.2">
      <c r="A13" s="8"/>
      <c r="B13" s="9" t="str">
        <f>[17]И1!D18</f>
        <v>Вид топлива, использование которого преобладает в системе теплоснабжения</v>
      </c>
      <c r="C13" s="15" t="str">
        <f>[17]С1.1!E13</f>
        <v>уголь (вид угля не указан в топливном балансе)</v>
      </c>
    </row>
    <row r="14" spans="1:3" ht="31.7" customHeight="1" thickBot="1" x14ac:dyDescent="0.25">
      <c r="A14" s="119" t="s">
        <v>3</v>
      </c>
      <c r="B14" s="119"/>
      <c r="C14" s="119"/>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3449.8796050952842</v>
      </c>
    </row>
    <row r="18" spans="1:3" ht="42.75" x14ac:dyDescent="0.2">
      <c r="A18" s="22" t="s">
        <v>8</v>
      </c>
      <c r="B18" s="25" t="s">
        <v>9</v>
      </c>
      <c r="C18" s="26">
        <f>[17]С1!F12</f>
        <v>491.38185466416314</v>
      </c>
    </row>
    <row r="19" spans="1:3" ht="42.75" x14ac:dyDescent="0.2">
      <c r="A19" s="22" t="s">
        <v>10</v>
      </c>
      <c r="B19" s="25" t="s">
        <v>11</v>
      </c>
      <c r="C19" s="26">
        <f>[17]С2!F12</f>
        <v>1990.8616285605142</v>
      </c>
    </row>
    <row r="20" spans="1:3" ht="30" x14ac:dyDescent="0.2">
      <c r="A20" s="22" t="s">
        <v>12</v>
      </c>
      <c r="B20" s="25" t="s">
        <v>13</v>
      </c>
      <c r="C20" s="26">
        <f>[17]С3!F12</f>
        <v>473.18998182045129</v>
      </c>
    </row>
    <row r="21" spans="1:3" ht="42.75" x14ac:dyDescent="0.2">
      <c r="A21" s="22" t="s">
        <v>14</v>
      </c>
      <c r="B21" s="25" t="s">
        <v>15</v>
      </c>
      <c r="C21" s="26">
        <f>[17]С4!F12</f>
        <v>426.80144191103278</v>
      </c>
    </row>
    <row r="22" spans="1:3" ht="30" x14ac:dyDescent="0.2">
      <c r="A22" s="22" t="s">
        <v>16</v>
      </c>
      <c r="B22" s="25" t="s">
        <v>17</v>
      </c>
      <c r="C22" s="26">
        <f>[17]С5!F12</f>
        <v>67.644698139123221</v>
      </c>
    </row>
    <row r="23" spans="1:3" ht="43.5" thickBot="1" x14ac:dyDescent="0.25">
      <c r="A23" s="27" t="s">
        <v>18</v>
      </c>
      <c r="B23" s="105" t="s">
        <v>19</v>
      </c>
      <c r="C23" s="28" t="str">
        <f>[17]С6!F12</f>
        <v>-</v>
      </c>
    </row>
    <row r="24" spans="1:3" ht="13.5" thickBot="1" x14ac:dyDescent="0.25">
      <c r="A24" s="3"/>
    </row>
    <row r="25" spans="1:3" x14ac:dyDescent="0.2">
      <c r="A25" s="16" t="s">
        <v>4</v>
      </c>
      <c r="B25" s="29" t="s">
        <v>5</v>
      </c>
      <c r="C25" s="30" t="s">
        <v>6</v>
      </c>
    </row>
    <row r="26" spans="1:3" x14ac:dyDescent="0.2">
      <c r="A26" s="19">
        <v>1</v>
      </c>
      <c r="B26" s="31">
        <v>2</v>
      </c>
      <c r="C26" s="32">
        <v>3</v>
      </c>
    </row>
    <row r="27" spans="1:3" ht="30" customHeight="1" x14ac:dyDescent="0.2">
      <c r="A27" s="22">
        <v>1</v>
      </c>
      <c r="B27" s="121" t="s">
        <v>20</v>
      </c>
      <c r="C27" s="121"/>
    </row>
    <row r="28" spans="1:3" x14ac:dyDescent="0.2">
      <c r="A28" s="22" t="s">
        <v>8</v>
      </c>
      <c r="B28" s="33" t="s">
        <v>21</v>
      </c>
      <c r="C28" s="34">
        <f>[17]С1.1!E16</f>
        <v>5100</v>
      </c>
    </row>
    <row r="29" spans="1:3" ht="42.75" x14ac:dyDescent="0.2">
      <c r="A29" s="22" t="s">
        <v>10</v>
      </c>
      <c r="B29" s="33" t="s">
        <v>22</v>
      </c>
      <c r="C29" s="34">
        <f>[17]С1.1!E27</f>
        <v>2207.8000000000002</v>
      </c>
    </row>
    <row r="30" spans="1:3" ht="17.25" x14ac:dyDescent="0.2">
      <c r="A30" s="22" t="s">
        <v>12</v>
      </c>
      <c r="B30" s="33" t="s">
        <v>23</v>
      </c>
      <c r="C30" s="35">
        <f>[17]С1.1!E19</f>
        <v>-0.19900000000000001</v>
      </c>
    </row>
    <row r="31" spans="1:3" ht="17.25" x14ac:dyDescent="0.2">
      <c r="A31" s="22" t="s">
        <v>14</v>
      </c>
      <c r="B31" s="33" t="s">
        <v>24</v>
      </c>
      <c r="C31" s="35">
        <f>[17]С1.1!E20</f>
        <v>5.7000000000000002E-2</v>
      </c>
    </row>
    <row r="32" spans="1:3" ht="30" x14ac:dyDescent="0.2">
      <c r="A32" s="22" t="s">
        <v>16</v>
      </c>
      <c r="B32" s="36" t="s">
        <v>25</v>
      </c>
      <c r="C32" s="37">
        <f>[17]С1!F13</f>
        <v>176.4</v>
      </c>
    </row>
    <row r="33" spans="1:3" x14ac:dyDescent="0.2">
      <c r="A33" s="22" t="s">
        <v>18</v>
      </c>
      <c r="B33" s="36" t="s">
        <v>26</v>
      </c>
      <c r="C33" s="38">
        <f>[17]С1!F16</f>
        <v>7000</v>
      </c>
    </row>
    <row r="34" spans="1:3" ht="14.25" x14ac:dyDescent="0.2">
      <c r="A34" s="22" t="s">
        <v>27</v>
      </c>
      <c r="B34" s="39" t="s">
        <v>28</v>
      </c>
      <c r="C34" s="40">
        <f>[17]С1!F17</f>
        <v>0.72857142857142854</v>
      </c>
    </row>
    <row r="35" spans="1:3" ht="15.75" x14ac:dyDescent="0.2">
      <c r="A35" s="41" t="s">
        <v>29</v>
      </c>
      <c r="B35" s="42" t="s">
        <v>30</v>
      </c>
      <c r="C35" s="40">
        <f>[17]С1!F20</f>
        <v>21.588411179999994</v>
      </c>
    </row>
    <row r="36" spans="1:3" ht="15.75" x14ac:dyDescent="0.2">
      <c r="A36" s="41" t="s">
        <v>31</v>
      </c>
      <c r="B36" s="43" t="s">
        <v>32</v>
      </c>
      <c r="C36" s="40">
        <f>[17]С1!F21</f>
        <v>20.818139999999996</v>
      </c>
    </row>
    <row r="37" spans="1:3" ht="14.25" x14ac:dyDescent="0.2">
      <c r="A37" s="41" t="s">
        <v>33</v>
      </c>
      <c r="B37" s="44" t="s">
        <v>34</v>
      </c>
      <c r="C37" s="40">
        <f>[17]С1!F22</f>
        <v>1.0369999999999999</v>
      </c>
    </row>
    <row r="38" spans="1:3" ht="53.25" thickBot="1" x14ac:dyDescent="0.25">
      <c r="A38" s="27" t="s">
        <v>35</v>
      </c>
      <c r="B38" s="45" t="s">
        <v>36</v>
      </c>
      <c r="C38" s="46">
        <f>[17]С1!F23</f>
        <v>1.0469999999999999</v>
      </c>
    </row>
    <row r="39" spans="1:3" ht="13.5" thickBot="1" x14ac:dyDescent="0.25">
      <c r="A39" s="47"/>
      <c r="B39" s="48"/>
      <c r="C39" s="49"/>
    </row>
    <row r="40" spans="1:3" ht="30" customHeight="1" x14ac:dyDescent="0.2">
      <c r="A40" s="50" t="s">
        <v>37</v>
      </c>
      <c r="B40" s="122" t="s">
        <v>38</v>
      </c>
      <c r="C40" s="122"/>
    </row>
    <row r="41" spans="1:3" ht="25.5" x14ac:dyDescent="0.2">
      <c r="A41" s="22" t="s">
        <v>39</v>
      </c>
      <c r="B41" s="36" t="s">
        <v>40</v>
      </c>
      <c r="C41" s="51" t="str">
        <f>[17]С2.1!E12</f>
        <v>V</v>
      </c>
    </row>
    <row r="42" spans="1:3" ht="25.5" x14ac:dyDescent="0.2">
      <c r="A42" s="22" t="s">
        <v>41</v>
      </c>
      <c r="B42" s="33" t="s">
        <v>42</v>
      </c>
      <c r="C42" s="51" t="str">
        <f>[17]С2.1!E13</f>
        <v>6 и менее баллов</v>
      </c>
    </row>
    <row r="43" spans="1:3" ht="25.5" x14ac:dyDescent="0.2">
      <c r="A43" s="22" t="s">
        <v>43</v>
      </c>
      <c r="B43" s="33" t="s">
        <v>44</v>
      </c>
      <c r="C43" s="51" t="str">
        <f>[17]С2.1!E14</f>
        <v>от 200 до 500</v>
      </c>
    </row>
    <row r="44" spans="1:3" ht="25.5" x14ac:dyDescent="0.2">
      <c r="A44" s="22" t="s">
        <v>45</v>
      </c>
      <c r="B44" s="33" t="s">
        <v>46</v>
      </c>
      <c r="C44" s="52" t="str">
        <f>[17]С2.1!E15</f>
        <v>нет</v>
      </c>
    </row>
    <row r="45" spans="1:3" ht="30" x14ac:dyDescent="0.2">
      <c r="A45" s="22" t="s">
        <v>47</v>
      </c>
      <c r="B45" s="33" t="s">
        <v>48</v>
      </c>
      <c r="C45" s="34">
        <f>[17]С2!F18</f>
        <v>35106.652004551666</v>
      </c>
    </row>
    <row r="46" spans="1:3" ht="30" x14ac:dyDescent="0.2">
      <c r="A46" s="22" t="s">
        <v>49</v>
      </c>
      <c r="B46" s="53" t="s">
        <v>50</v>
      </c>
      <c r="C46" s="34">
        <f>IF([17]С2!F19&gt;0,[17]С2!F19,[17]С2!F20)</f>
        <v>23441.524932855718</v>
      </c>
    </row>
    <row r="47" spans="1:3" ht="25.5" x14ac:dyDescent="0.2">
      <c r="A47" s="22" t="s">
        <v>51</v>
      </c>
      <c r="B47" s="54" t="s">
        <v>52</v>
      </c>
      <c r="C47" s="34">
        <f>[17]С2.1!E19</f>
        <v>-38</v>
      </c>
    </row>
    <row r="48" spans="1:3" ht="25.5" x14ac:dyDescent="0.2">
      <c r="A48" s="22" t="s">
        <v>53</v>
      </c>
      <c r="B48" s="54" t="s">
        <v>54</v>
      </c>
      <c r="C48" s="34" t="str">
        <f>[17]С2.1!E22</f>
        <v>нет</v>
      </c>
    </row>
    <row r="49" spans="1:3" ht="38.25" x14ac:dyDescent="0.2">
      <c r="A49" s="22" t="s">
        <v>55</v>
      </c>
      <c r="B49" s="55" t="s">
        <v>56</v>
      </c>
      <c r="C49" s="34">
        <f>[17]С2.2!E10</f>
        <v>1287</v>
      </c>
    </row>
    <row r="50" spans="1:3" ht="25.5" x14ac:dyDescent="0.2">
      <c r="A50" s="22" t="s">
        <v>57</v>
      </c>
      <c r="B50" s="56" t="s">
        <v>58</v>
      </c>
      <c r="C50" s="34">
        <f>[17]С2.2!E12</f>
        <v>5.97</v>
      </c>
    </row>
    <row r="51" spans="1:3" ht="52.5" x14ac:dyDescent="0.2">
      <c r="A51" s="22" t="s">
        <v>59</v>
      </c>
      <c r="B51" s="57" t="s">
        <v>60</v>
      </c>
      <c r="C51" s="34">
        <f>[17]С2.2!E13</f>
        <v>1</v>
      </c>
    </row>
    <row r="52" spans="1:3" ht="27.75" x14ac:dyDescent="0.2">
      <c r="A52" s="22" t="s">
        <v>61</v>
      </c>
      <c r="B52" s="56" t="s">
        <v>62</v>
      </c>
      <c r="C52" s="34">
        <f>[17]С2.2!E14</f>
        <v>12104</v>
      </c>
    </row>
    <row r="53" spans="1:3" ht="25.5" x14ac:dyDescent="0.2">
      <c r="A53" s="22" t="s">
        <v>63</v>
      </c>
      <c r="B53" s="57" t="s">
        <v>64</v>
      </c>
      <c r="C53" s="35">
        <f>[17]С2.2!E15</f>
        <v>4.8000000000000001E-2</v>
      </c>
    </row>
    <row r="54" spans="1:3" x14ac:dyDescent="0.2">
      <c r="A54" s="22" t="s">
        <v>65</v>
      </c>
      <c r="B54" s="57" t="s">
        <v>66</v>
      </c>
      <c r="C54" s="34">
        <f>[17]С2.2!E16</f>
        <v>1</v>
      </c>
    </row>
    <row r="55" spans="1:3" ht="15.75" x14ac:dyDescent="0.2">
      <c r="A55" s="22" t="s">
        <v>67</v>
      </c>
      <c r="B55" s="58" t="s">
        <v>68</v>
      </c>
      <c r="C55" s="34">
        <f>[17]С2!F21</f>
        <v>1</v>
      </c>
    </row>
    <row r="56" spans="1:3" ht="30" x14ac:dyDescent="0.2">
      <c r="A56" s="59" t="s">
        <v>69</v>
      </c>
      <c r="B56" s="33" t="s">
        <v>70</v>
      </c>
      <c r="C56" s="34">
        <f>[17]С2!F13</f>
        <v>183796.83936385796</v>
      </c>
    </row>
    <row r="57" spans="1:3" ht="30" x14ac:dyDescent="0.2">
      <c r="A57" s="59" t="s">
        <v>71</v>
      </c>
      <c r="B57" s="58" t="s">
        <v>72</v>
      </c>
      <c r="C57" s="34">
        <f>[17]С2!F14</f>
        <v>113455</v>
      </c>
    </row>
    <row r="58" spans="1:3" ht="15.75" x14ac:dyDescent="0.2">
      <c r="A58" s="59" t="s">
        <v>73</v>
      </c>
      <c r="B58" s="60" t="s">
        <v>74</v>
      </c>
      <c r="C58" s="40">
        <f>[17]С2!F15</f>
        <v>1.071</v>
      </c>
    </row>
    <row r="59" spans="1:3" ht="15.75" x14ac:dyDescent="0.2">
      <c r="A59" s="59" t="s">
        <v>75</v>
      </c>
      <c r="B59" s="60" t="s">
        <v>76</v>
      </c>
      <c r="C59" s="40">
        <f>[17]С2!F16</f>
        <v>1</v>
      </c>
    </row>
    <row r="60" spans="1:3" ht="17.25" x14ac:dyDescent="0.2">
      <c r="A60" s="59" t="s">
        <v>77</v>
      </c>
      <c r="B60" s="58" t="s">
        <v>78</v>
      </c>
      <c r="C60" s="34">
        <f>[17]С2!F17</f>
        <v>1.01</v>
      </c>
    </row>
    <row r="61" spans="1:3" s="63" customFormat="1" ht="14.25" x14ac:dyDescent="0.2">
      <c r="A61" s="59" t="s">
        <v>79</v>
      </c>
      <c r="B61" s="61" t="s">
        <v>80</v>
      </c>
      <c r="C61" s="62">
        <f>[17]С2!F33</f>
        <v>10</v>
      </c>
    </row>
    <row r="62" spans="1:3" ht="30" x14ac:dyDescent="0.2">
      <c r="A62" s="59" t="s">
        <v>81</v>
      </c>
      <c r="B62" s="64" t="s">
        <v>82</v>
      </c>
      <c r="C62" s="34">
        <f>[17]С2!F26</f>
        <v>1543.3634896839897</v>
      </c>
    </row>
    <row r="63" spans="1:3" ht="17.25" x14ac:dyDescent="0.2">
      <c r="A63" s="59" t="s">
        <v>83</v>
      </c>
      <c r="B63" s="53" t="s">
        <v>84</v>
      </c>
      <c r="C63" s="34">
        <f>[17]С2!F27</f>
        <v>0.24536656199999998</v>
      </c>
    </row>
    <row r="64" spans="1:3" ht="17.25" x14ac:dyDescent="0.2">
      <c r="A64" s="59" t="s">
        <v>85</v>
      </c>
      <c r="B64" s="58" t="s">
        <v>86</v>
      </c>
      <c r="C64" s="62">
        <f>[17]С2!F28</f>
        <v>4200</v>
      </c>
    </row>
    <row r="65" spans="1:3" ht="42.75" x14ac:dyDescent="0.2">
      <c r="A65" s="59" t="s">
        <v>87</v>
      </c>
      <c r="B65" s="33" t="s">
        <v>88</v>
      </c>
      <c r="C65" s="34">
        <f>[17]С2!F22</f>
        <v>38698.422798410109</v>
      </c>
    </row>
    <row r="66" spans="1:3" ht="30" x14ac:dyDescent="0.2">
      <c r="A66" s="59" t="s">
        <v>89</v>
      </c>
      <c r="B66" s="60" t="s">
        <v>90</v>
      </c>
      <c r="C66" s="34">
        <f>[17]С2!F23</f>
        <v>1990</v>
      </c>
    </row>
    <row r="67" spans="1:3" ht="30" x14ac:dyDescent="0.2">
      <c r="A67" s="59" t="s">
        <v>91</v>
      </c>
      <c r="B67" s="53" t="s">
        <v>92</v>
      </c>
      <c r="C67" s="34">
        <f>[17]С2.1!E27</f>
        <v>14307.876789999998</v>
      </c>
    </row>
    <row r="68" spans="1:3" ht="38.25" x14ac:dyDescent="0.2">
      <c r="A68" s="59" t="s">
        <v>93</v>
      </c>
      <c r="B68" s="65" t="s">
        <v>94</v>
      </c>
      <c r="C68" s="52">
        <f>[17]С2.3!E21</f>
        <v>0</v>
      </c>
    </row>
    <row r="69" spans="1:3" ht="25.5" x14ac:dyDescent="0.2">
      <c r="A69" s="59" t="s">
        <v>95</v>
      </c>
      <c r="B69" s="66" t="s">
        <v>96</v>
      </c>
      <c r="C69" s="67">
        <f>[17]С2.3!E11</f>
        <v>9.89</v>
      </c>
    </row>
    <row r="70" spans="1:3" ht="25.5" x14ac:dyDescent="0.2">
      <c r="A70" s="59" t="s">
        <v>97</v>
      </c>
      <c r="B70" s="66" t="s">
        <v>98</v>
      </c>
      <c r="C70" s="62">
        <f>[17]С2.3!E13</f>
        <v>300</v>
      </c>
    </row>
    <row r="71" spans="1:3" ht="25.5" x14ac:dyDescent="0.2">
      <c r="A71" s="59" t="s">
        <v>99</v>
      </c>
      <c r="B71" s="65" t="s">
        <v>100</v>
      </c>
      <c r="C71" s="68">
        <f>IF([17]С2.3!E22&gt;0,[17]С2.3!E22,[17]С2.3!E14)</f>
        <v>61211</v>
      </c>
    </row>
    <row r="72" spans="1:3" ht="38.25" x14ac:dyDescent="0.2">
      <c r="A72" s="59" t="s">
        <v>101</v>
      </c>
      <c r="B72" s="65" t="s">
        <v>102</v>
      </c>
      <c r="C72" s="68">
        <f>IF([17]С2.3!E23&gt;0,[17]С2.3!E23,[17]С2.3!E15)</f>
        <v>45675</v>
      </c>
    </row>
    <row r="73" spans="1:3" ht="30" x14ac:dyDescent="0.2">
      <c r="A73" s="59" t="s">
        <v>103</v>
      </c>
      <c r="B73" s="53" t="s">
        <v>104</v>
      </c>
      <c r="C73" s="34">
        <f>[17]С2.1!E28</f>
        <v>9541.9567200000001</v>
      </c>
    </row>
    <row r="74" spans="1:3" ht="38.25" x14ac:dyDescent="0.2">
      <c r="A74" s="59" t="s">
        <v>105</v>
      </c>
      <c r="B74" s="65" t="s">
        <v>106</v>
      </c>
      <c r="C74" s="52">
        <f>[17]С2.3!E25</f>
        <v>0</v>
      </c>
    </row>
    <row r="75" spans="1:3" ht="25.5" x14ac:dyDescent="0.2">
      <c r="A75" s="59" t="s">
        <v>107</v>
      </c>
      <c r="B75" s="66" t="s">
        <v>108</v>
      </c>
      <c r="C75" s="67">
        <f>[17]С2.3!E12</f>
        <v>0.56000000000000005</v>
      </c>
    </row>
    <row r="76" spans="1:3" ht="25.5" x14ac:dyDescent="0.2">
      <c r="A76" s="59" t="s">
        <v>109</v>
      </c>
      <c r="B76" s="66" t="s">
        <v>98</v>
      </c>
      <c r="C76" s="62">
        <f>[17]С2.3!E13</f>
        <v>300</v>
      </c>
    </row>
    <row r="77" spans="1:3" ht="25.5" x14ac:dyDescent="0.2">
      <c r="A77" s="59" t="s">
        <v>110</v>
      </c>
      <c r="B77" s="69" t="s">
        <v>111</v>
      </c>
      <c r="C77" s="68">
        <f>IF([17]С2.3!E26&gt;0,[17]С2.3!E26,[17]С2.3!E16)</f>
        <v>65637</v>
      </c>
    </row>
    <row r="78" spans="1:3" ht="38.25" x14ac:dyDescent="0.2">
      <c r="A78" s="59" t="s">
        <v>112</v>
      </c>
      <c r="B78" s="69" t="s">
        <v>113</v>
      </c>
      <c r="C78" s="68">
        <f>IF([17]С2.3!E27&gt;0,[17]С2.3!E27,[17]С2.3!E17)</f>
        <v>31684</v>
      </c>
    </row>
    <row r="79" spans="1:3" ht="17.25" x14ac:dyDescent="0.2">
      <c r="A79" s="59" t="s">
        <v>114</v>
      </c>
      <c r="B79" s="33" t="s">
        <v>115</v>
      </c>
      <c r="C79" s="35">
        <f>[17]С2!F29</f>
        <v>9.5962865259740182E-2</v>
      </c>
    </row>
    <row r="80" spans="1:3" ht="30" x14ac:dyDescent="0.2">
      <c r="A80" s="59" t="s">
        <v>116</v>
      </c>
      <c r="B80" s="53" t="s">
        <v>117</v>
      </c>
      <c r="C80" s="70">
        <f>[17]С2!F30</f>
        <v>8.4029304029304031E-2</v>
      </c>
    </row>
    <row r="81" spans="1:3" ht="17.25" x14ac:dyDescent="0.2">
      <c r="A81" s="59" t="s">
        <v>118</v>
      </c>
      <c r="B81" s="71" t="s">
        <v>119</v>
      </c>
      <c r="C81" s="35">
        <f>[17]С2!F31</f>
        <v>0.13880000000000001</v>
      </c>
    </row>
    <row r="82" spans="1:3" s="63" customFormat="1" ht="18" thickBot="1" x14ac:dyDescent="0.25">
      <c r="A82" s="72" t="s">
        <v>120</v>
      </c>
      <c r="B82" s="73" t="s">
        <v>121</v>
      </c>
      <c r="C82" s="74">
        <f>[17]С2!F32</f>
        <v>0.12640000000000001</v>
      </c>
    </row>
    <row r="83" spans="1:3" ht="13.5" thickBot="1" x14ac:dyDescent="0.25">
      <c r="A83" s="47"/>
      <c r="B83" s="75"/>
      <c r="C83" s="15"/>
    </row>
    <row r="84" spans="1:3" s="63" customFormat="1" ht="30" customHeight="1" x14ac:dyDescent="0.2">
      <c r="A84" s="76" t="s">
        <v>122</v>
      </c>
      <c r="B84" s="122" t="s">
        <v>123</v>
      </c>
      <c r="C84" s="122"/>
    </row>
    <row r="85" spans="1:3" s="63" customFormat="1" ht="30" x14ac:dyDescent="0.2">
      <c r="A85" s="77" t="s">
        <v>124</v>
      </c>
      <c r="B85" s="33" t="s">
        <v>125</v>
      </c>
      <c r="C85" s="34">
        <f>[17]С3!F14</f>
        <v>6068.1437898865324</v>
      </c>
    </row>
    <row r="86" spans="1:3" s="63" customFormat="1" ht="42.75" x14ac:dyDescent="0.2">
      <c r="A86" s="77" t="s">
        <v>126</v>
      </c>
      <c r="B86" s="53" t="s">
        <v>127</v>
      </c>
      <c r="C86" s="78">
        <f>[17]С3!F15</f>
        <v>0.2</v>
      </c>
    </row>
    <row r="87" spans="1:3" s="63" customFormat="1" ht="14.25" x14ac:dyDescent="0.2">
      <c r="A87" s="77" t="s">
        <v>128</v>
      </c>
      <c r="B87" s="79" t="s">
        <v>129</v>
      </c>
      <c r="C87" s="62">
        <f>[17]С3!F18</f>
        <v>15</v>
      </c>
    </row>
    <row r="88" spans="1:3" s="63" customFormat="1" ht="17.25" x14ac:dyDescent="0.2">
      <c r="A88" s="77" t="s">
        <v>130</v>
      </c>
      <c r="B88" s="33" t="s">
        <v>131</v>
      </c>
      <c r="C88" s="34">
        <f>[17]С3!F19</f>
        <v>3778.1614077800232</v>
      </c>
    </row>
    <row r="89" spans="1:3" s="63" customFormat="1" ht="55.5" x14ac:dyDescent="0.2">
      <c r="A89" s="77" t="s">
        <v>132</v>
      </c>
      <c r="B89" s="53" t="s">
        <v>133</v>
      </c>
      <c r="C89" s="80">
        <f>[17]С3!F20</f>
        <v>2.1999999999999999E-2</v>
      </c>
    </row>
    <row r="90" spans="1:3" s="63" customFormat="1" ht="14.25" x14ac:dyDescent="0.2">
      <c r="A90" s="77" t="s">
        <v>134</v>
      </c>
      <c r="B90" s="58" t="s">
        <v>80</v>
      </c>
      <c r="C90" s="62">
        <f>[17]С3!F21</f>
        <v>10</v>
      </c>
    </row>
    <row r="91" spans="1:3" s="63" customFormat="1" ht="17.25" x14ac:dyDescent="0.2">
      <c r="A91" s="77" t="s">
        <v>135</v>
      </c>
      <c r="B91" s="33" t="s">
        <v>136</v>
      </c>
      <c r="C91" s="34">
        <f>[17]С3!F22</f>
        <v>4.6300904690519689</v>
      </c>
    </row>
    <row r="92" spans="1:3" s="63" customFormat="1" ht="55.5" x14ac:dyDescent="0.2">
      <c r="A92" s="77" t="s">
        <v>137</v>
      </c>
      <c r="B92" s="53" t="s">
        <v>138</v>
      </c>
      <c r="C92" s="80">
        <f>[17]С3!F23</f>
        <v>3.0000000000000001E-3</v>
      </c>
    </row>
    <row r="93" spans="1:3" s="63" customFormat="1" ht="27.75" thickBot="1" x14ac:dyDescent="0.25">
      <c r="A93" s="81" t="s">
        <v>139</v>
      </c>
      <c r="B93" s="82" t="s">
        <v>140</v>
      </c>
      <c r="C93" s="83">
        <f>[17]С3!F24</f>
        <v>1543.3634896839897</v>
      </c>
    </row>
    <row r="94" spans="1:3" ht="13.5" thickBot="1" x14ac:dyDescent="0.25">
      <c r="A94" s="47"/>
      <c r="B94" s="75"/>
      <c r="C94" s="15"/>
    </row>
    <row r="95" spans="1:3" ht="30" customHeight="1" x14ac:dyDescent="0.2">
      <c r="A95" s="84" t="s">
        <v>141</v>
      </c>
      <c r="B95" s="122" t="s">
        <v>142</v>
      </c>
      <c r="C95" s="122"/>
    </row>
    <row r="96" spans="1:3" ht="30" x14ac:dyDescent="0.2">
      <c r="A96" s="59" t="s">
        <v>143</v>
      </c>
      <c r="B96" s="33" t="s">
        <v>144</v>
      </c>
      <c r="C96" s="34">
        <f>[17]С4!F16</f>
        <v>1652.5</v>
      </c>
    </row>
    <row r="97" spans="1:3" ht="30" x14ac:dyDescent="0.2">
      <c r="A97" s="59" t="s">
        <v>145</v>
      </c>
      <c r="B97" s="58" t="s">
        <v>146</v>
      </c>
      <c r="C97" s="34">
        <f>[17]С4!F17</f>
        <v>73547</v>
      </c>
    </row>
    <row r="98" spans="1:3" ht="17.25" x14ac:dyDescent="0.2">
      <c r="A98" s="59" t="s">
        <v>147</v>
      </c>
      <c r="B98" s="58" t="s">
        <v>148</v>
      </c>
      <c r="C98" s="40">
        <f>[17]С4!F18</f>
        <v>0.02</v>
      </c>
    </row>
    <row r="99" spans="1:3" ht="30" x14ac:dyDescent="0.2">
      <c r="A99" s="59" t="s">
        <v>149</v>
      </c>
      <c r="B99" s="58" t="s">
        <v>150</v>
      </c>
      <c r="C99" s="34">
        <f>[17]С4!F19</f>
        <v>12104</v>
      </c>
    </row>
    <row r="100" spans="1:3" ht="31.5" x14ac:dyDescent="0.2">
      <c r="A100" s="59" t="s">
        <v>151</v>
      </c>
      <c r="B100" s="58" t="s">
        <v>152</v>
      </c>
      <c r="C100" s="40">
        <f>[17]С4!F20</f>
        <v>1.4999999999999999E-2</v>
      </c>
    </row>
    <row r="101" spans="1:3" ht="30" x14ac:dyDescent="0.2">
      <c r="A101" s="59" t="s">
        <v>153</v>
      </c>
      <c r="B101" s="33" t="s">
        <v>154</v>
      </c>
      <c r="C101" s="34">
        <f>[17]С4!F21</f>
        <v>1933.1949342509995</v>
      </c>
    </row>
    <row r="102" spans="1:3" ht="24" customHeight="1" x14ac:dyDescent="0.2">
      <c r="A102" s="59" t="s">
        <v>155</v>
      </c>
      <c r="B102" s="53" t="s">
        <v>156</v>
      </c>
      <c r="C102" s="85">
        <f>IF([17]С4.2!F8="да",[17]С4.2!D21,[17]С4.2!D15)</f>
        <v>0</v>
      </c>
    </row>
    <row r="103" spans="1:3" ht="68.25" x14ac:dyDescent="0.2">
      <c r="A103" s="59" t="s">
        <v>157</v>
      </c>
      <c r="B103" s="53" t="s">
        <v>158</v>
      </c>
      <c r="C103" s="34">
        <f>[17]С4!F22</f>
        <v>3.6112641666666665</v>
      </c>
    </row>
    <row r="104" spans="1:3" ht="30" x14ac:dyDescent="0.2">
      <c r="A104" s="59" t="s">
        <v>159</v>
      </c>
      <c r="B104" s="58" t="s">
        <v>160</v>
      </c>
      <c r="C104" s="34">
        <f>[17]С4!F23</f>
        <v>180</v>
      </c>
    </row>
    <row r="105" spans="1:3" ht="14.25" x14ac:dyDescent="0.2">
      <c r="A105" s="59" t="s">
        <v>161</v>
      </c>
      <c r="B105" s="53" t="s">
        <v>162</v>
      </c>
      <c r="C105" s="34">
        <f>[17]С4!F24</f>
        <v>8497.1999999999989</v>
      </c>
    </row>
    <row r="106" spans="1:3" ht="14.25" x14ac:dyDescent="0.2">
      <c r="A106" s="59" t="s">
        <v>163</v>
      </c>
      <c r="B106" s="58" t="s">
        <v>164</v>
      </c>
      <c r="C106" s="40">
        <f>[17]С4!F25</f>
        <v>0.35</v>
      </c>
    </row>
    <row r="107" spans="1:3" ht="17.25" x14ac:dyDescent="0.2">
      <c r="A107" s="59" t="s">
        <v>165</v>
      </c>
      <c r="B107" s="33" t="s">
        <v>166</v>
      </c>
      <c r="C107" s="34">
        <f>[17]С4!F26</f>
        <v>85.988129999999998</v>
      </c>
    </row>
    <row r="108" spans="1:3" ht="25.5" x14ac:dyDescent="0.2">
      <c r="A108" s="59" t="s">
        <v>167</v>
      </c>
      <c r="B108" s="53" t="s">
        <v>94</v>
      </c>
      <c r="C108" s="85">
        <f>[17]С4.3!E16</f>
        <v>0</v>
      </c>
    </row>
    <row r="109" spans="1:3" ht="25.5" x14ac:dyDescent="0.2">
      <c r="A109" s="59" t="s">
        <v>168</v>
      </c>
      <c r="B109" s="53" t="s">
        <v>169</v>
      </c>
      <c r="C109" s="34">
        <f>[17]С4.3!E17</f>
        <v>20.350000000000001</v>
      </c>
    </row>
    <row r="110" spans="1:3" ht="38.25" x14ac:dyDescent="0.2">
      <c r="A110" s="59" t="s">
        <v>170</v>
      </c>
      <c r="B110" s="53" t="s">
        <v>106</v>
      </c>
      <c r="C110" s="85">
        <f>[17]С4.3!E18</f>
        <v>0</v>
      </c>
    </row>
    <row r="111" spans="1:3" x14ac:dyDescent="0.2">
      <c r="A111" s="59" t="s">
        <v>171</v>
      </c>
      <c r="B111" s="53" t="s">
        <v>172</v>
      </c>
      <c r="C111" s="34">
        <f>[17]С4.3!E19</f>
        <v>71.67</v>
      </c>
    </row>
    <row r="112" spans="1:3" x14ac:dyDescent="0.2">
      <c r="A112" s="59" t="s">
        <v>173</v>
      </c>
      <c r="B112" s="58" t="s">
        <v>174</v>
      </c>
      <c r="C112" s="34">
        <f>[17]С4.3!E11</f>
        <v>1871</v>
      </c>
    </row>
    <row r="113" spans="1:3" x14ac:dyDescent="0.2">
      <c r="A113" s="59" t="s">
        <v>175</v>
      </c>
      <c r="B113" s="58" t="s">
        <v>176</v>
      </c>
      <c r="C113" s="52">
        <f>[17]С4.3!E12</f>
        <v>1636</v>
      </c>
    </row>
    <row r="114" spans="1:3" x14ac:dyDescent="0.2">
      <c r="A114" s="59" t="s">
        <v>177</v>
      </c>
      <c r="B114" s="58" t="s">
        <v>178</v>
      </c>
      <c r="C114" s="52">
        <f>[17]С4.3!E13</f>
        <v>204</v>
      </c>
    </row>
    <row r="115" spans="1:3" ht="30" x14ac:dyDescent="0.2">
      <c r="A115" s="59" t="s">
        <v>179</v>
      </c>
      <c r="B115" s="33" t="s">
        <v>180</v>
      </c>
      <c r="C115" s="34">
        <f>[17]С4!F27</f>
        <v>1291.2863994686898</v>
      </c>
    </row>
    <row r="116" spans="1:3" ht="25.5" x14ac:dyDescent="0.2">
      <c r="A116" s="59" t="s">
        <v>181</v>
      </c>
      <c r="B116" s="53" t="s">
        <v>182</v>
      </c>
      <c r="C116" s="34">
        <f>[17]С4!F28</f>
        <v>991.77142816335618</v>
      </c>
    </row>
    <row r="117" spans="1:3" ht="42.75" x14ac:dyDescent="0.2">
      <c r="A117" s="59" t="s">
        <v>183</v>
      </c>
      <c r="B117" s="53" t="s">
        <v>184</v>
      </c>
      <c r="C117" s="34">
        <f>[17]С4!F29</f>
        <v>299.51497130533357</v>
      </c>
    </row>
    <row r="118" spans="1:3" ht="30" x14ac:dyDescent="0.2">
      <c r="A118" s="59" t="s">
        <v>185</v>
      </c>
      <c r="B118" s="39" t="s">
        <v>186</v>
      </c>
      <c r="C118" s="34">
        <f>[17]С4!F30</f>
        <v>1452.5369335000423</v>
      </c>
    </row>
    <row r="119" spans="1:3" ht="42.75" x14ac:dyDescent="0.2">
      <c r="A119" s="59" t="s">
        <v>187</v>
      </c>
      <c r="B119" s="86" t="s">
        <v>188</v>
      </c>
      <c r="C119" s="34">
        <f>[17]С4!F33</f>
        <v>733.11661807007397</v>
      </c>
    </row>
    <row r="120" spans="1:3" ht="30" x14ac:dyDescent="0.2">
      <c r="A120" s="59" t="s">
        <v>189</v>
      </c>
      <c r="B120" s="87" t="s">
        <v>190</v>
      </c>
      <c r="C120" s="34">
        <f>[17]С4!F35</f>
        <v>17.040680999999999</v>
      </c>
    </row>
    <row r="121" spans="1:3" ht="14.25" x14ac:dyDescent="0.2">
      <c r="A121" s="59" t="s">
        <v>191</v>
      </c>
      <c r="B121" s="56" t="s">
        <v>192</v>
      </c>
      <c r="C121" s="34">
        <f>[17]С4!F36</f>
        <v>14319.9</v>
      </c>
    </row>
    <row r="122" spans="1:3" ht="28.5" thickBot="1" x14ac:dyDescent="0.25">
      <c r="A122" s="72" t="s">
        <v>193</v>
      </c>
      <c r="B122" s="88" t="s">
        <v>194</v>
      </c>
      <c r="C122" s="83">
        <f>[17]С4!F37</f>
        <v>1.19</v>
      </c>
    </row>
    <row r="123" spans="1:3" s="89" customFormat="1" ht="13.5" thickBot="1" x14ac:dyDescent="0.25">
      <c r="A123" s="47"/>
      <c r="B123" s="75"/>
      <c r="C123" s="15"/>
    </row>
    <row r="124" spans="1:3" s="63" customFormat="1" ht="30" customHeight="1" x14ac:dyDescent="0.2">
      <c r="A124" s="76" t="s">
        <v>195</v>
      </c>
      <c r="B124" s="122" t="s">
        <v>196</v>
      </c>
      <c r="C124" s="122"/>
    </row>
    <row r="125" spans="1:3" ht="16.5" thickBot="1" x14ac:dyDescent="0.25">
      <c r="A125" s="27" t="s">
        <v>197</v>
      </c>
      <c r="B125" s="90" t="s">
        <v>198</v>
      </c>
      <c r="C125" s="83">
        <f>[17]С5!F17</f>
        <v>0.02</v>
      </c>
    </row>
    <row r="126" spans="1:3" s="89" customFormat="1" ht="13.5" thickBot="1" x14ac:dyDescent="0.25">
      <c r="A126" s="47"/>
      <c r="B126" s="75"/>
      <c r="C126" s="15"/>
    </row>
    <row r="127" spans="1:3" ht="42.75" customHeight="1" x14ac:dyDescent="0.2">
      <c r="A127" s="84" t="s">
        <v>199</v>
      </c>
      <c r="B127" s="123" t="s">
        <v>200</v>
      </c>
      <c r="C127" s="123"/>
    </row>
    <row r="128" spans="1:3" ht="68.25" x14ac:dyDescent="0.2">
      <c r="A128" s="59" t="s">
        <v>201</v>
      </c>
      <c r="B128" s="91" t="s">
        <v>202</v>
      </c>
      <c r="C128" s="34" t="s">
        <v>203</v>
      </c>
    </row>
    <row r="129" spans="1:4" ht="42.75" hidden="1" x14ac:dyDescent="0.2">
      <c r="A129" s="59" t="s">
        <v>204</v>
      </c>
      <c r="B129" s="86" t="s">
        <v>205</v>
      </c>
      <c r="C129" s="92"/>
    </row>
    <row r="130" spans="1:4" ht="69" thickBot="1" x14ac:dyDescent="0.25">
      <c r="A130" s="72" t="s">
        <v>206</v>
      </c>
      <c r="B130" s="93" t="s">
        <v>207</v>
      </c>
      <c r="C130" s="94" t="s">
        <v>203</v>
      </c>
    </row>
    <row r="131" spans="1:4" ht="62.25" hidden="1" customHeight="1" x14ac:dyDescent="0.2">
      <c r="A131" s="95" t="s">
        <v>208</v>
      </c>
      <c r="B131" s="96" t="s">
        <v>209</v>
      </c>
      <c r="C131" s="97"/>
    </row>
    <row r="132" spans="1:4" ht="68.25" hidden="1" x14ac:dyDescent="0.2">
      <c r="A132" s="59" t="s">
        <v>210</v>
      </c>
      <c r="B132" s="86" t="s">
        <v>211</v>
      </c>
      <c r="C132" s="35"/>
    </row>
    <row r="133" spans="1:4" ht="69" hidden="1" thickBot="1" x14ac:dyDescent="0.25">
      <c r="A133" s="72" t="s">
        <v>212</v>
      </c>
      <c r="B133" s="98" t="s">
        <v>213</v>
      </c>
      <c r="C133" s="74"/>
    </row>
    <row r="134" spans="1:4" s="89" customFormat="1" ht="13.5" thickBot="1" x14ac:dyDescent="0.25">
      <c r="A134" s="47"/>
      <c r="B134" s="75"/>
      <c r="C134" s="15"/>
    </row>
    <row r="135" spans="1:4" ht="26.25" customHeight="1" x14ac:dyDescent="0.2">
      <c r="A135" s="84" t="s">
        <v>214</v>
      </c>
      <c r="B135" s="99" t="s">
        <v>215</v>
      </c>
      <c r="C135" s="100">
        <f>[17]С2!F37</f>
        <v>20.818139999999996</v>
      </c>
    </row>
    <row r="136" spans="1:4" ht="14.25" x14ac:dyDescent="0.2">
      <c r="A136" s="59" t="s">
        <v>216</v>
      </c>
      <c r="B136" s="101" t="s">
        <v>217</v>
      </c>
      <c r="C136" s="34">
        <f>[17]С2!F38</f>
        <v>7</v>
      </c>
    </row>
    <row r="137" spans="1:4" ht="17.25" x14ac:dyDescent="0.2">
      <c r="A137" s="59" t="s">
        <v>218</v>
      </c>
      <c r="B137" s="101" t="s">
        <v>219</v>
      </c>
      <c r="C137" s="34">
        <f>[17]С2!F40</f>
        <v>0.97</v>
      </c>
    </row>
    <row r="138" spans="1:4" ht="15" thickBot="1" x14ac:dyDescent="0.25">
      <c r="A138" s="72" t="s">
        <v>220</v>
      </c>
      <c r="B138" s="102" t="s">
        <v>221</v>
      </c>
      <c r="C138" s="46">
        <f>[17]С2!F42</f>
        <v>0.35</v>
      </c>
    </row>
    <row r="139" spans="1:4" s="89" customFormat="1" ht="13.5" thickBot="1" x14ac:dyDescent="0.25">
      <c r="A139" s="47"/>
      <c r="B139" s="75"/>
      <c r="C139" s="15"/>
    </row>
    <row r="140" spans="1:4" ht="30" x14ac:dyDescent="0.2">
      <c r="A140" s="84" t="s">
        <v>222</v>
      </c>
      <c r="B140" s="103" t="s">
        <v>223</v>
      </c>
      <c r="C140" s="104">
        <f>[17]С2!F35</f>
        <v>1.4976266307379205</v>
      </c>
      <c r="D140" s="89"/>
    </row>
    <row r="141" spans="1:4" ht="22.7" customHeight="1" thickBot="1" x14ac:dyDescent="0.25">
      <c r="A141" s="72" t="s">
        <v>224</v>
      </c>
      <c r="B141" s="118" t="s">
        <v>225</v>
      </c>
      <c r="C141" s="118"/>
      <c r="D141" s="89"/>
    </row>
    <row r="142" spans="1:4" ht="13.5" thickBot="1" x14ac:dyDescent="0.25">
      <c r="A142" s="106"/>
      <c r="B142" s="107" t="s">
        <v>226</v>
      </c>
      <c r="C142" s="108"/>
      <c r="D142" s="89"/>
    </row>
    <row r="143" spans="1:4" x14ac:dyDescent="0.2">
      <c r="A143" s="106"/>
      <c r="B143" s="109">
        <v>2020</v>
      </c>
      <c r="C143" s="110">
        <f>[17]С2.5!$E$11</f>
        <v>-2.9000000000000026E-2</v>
      </c>
      <c r="D143" s="89"/>
    </row>
    <row r="144" spans="1:4" x14ac:dyDescent="0.2">
      <c r="A144" s="106"/>
      <c r="B144" s="111">
        <f>B143+1</f>
        <v>2021</v>
      </c>
      <c r="C144" s="112">
        <f>[17]С2.5!$F$11</f>
        <v>0.245</v>
      </c>
      <c r="D144" s="89"/>
    </row>
    <row r="145" spans="1:4" x14ac:dyDescent="0.2">
      <c r="A145" s="106"/>
      <c r="B145" s="111">
        <f t="shared" ref="B145:B208" si="0">B144+1</f>
        <v>2022</v>
      </c>
      <c r="C145" s="112">
        <f>[17]С2.5!$G$11</f>
        <v>0.114</v>
      </c>
      <c r="D145" s="89"/>
    </row>
    <row r="146" spans="1:4" ht="13.5" thickBot="1" x14ac:dyDescent="0.25">
      <c r="A146" s="106"/>
      <c r="B146" s="113">
        <f t="shared" si="0"/>
        <v>2023</v>
      </c>
      <c r="C146" s="114">
        <f>[17]С2.5!$H$11</f>
        <v>2.4E-2</v>
      </c>
      <c r="D146" s="89"/>
    </row>
    <row r="147" spans="1:4" x14ac:dyDescent="0.2">
      <c r="A147" s="106"/>
      <c r="B147" s="115">
        <f t="shared" si="0"/>
        <v>2024</v>
      </c>
      <c r="C147" s="116">
        <f>[17]С2.5!$I$11</f>
        <v>8.5999999999999993E-2</v>
      </c>
      <c r="D147" s="89"/>
    </row>
    <row r="148" spans="1:4" hidden="1" x14ac:dyDescent="0.2">
      <c r="A148" s="106"/>
      <c r="B148" s="111">
        <f t="shared" si="0"/>
        <v>2025</v>
      </c>
      <c r="C148" s="112">
        <f>[17]С2.5!$J$11</f>
        <v>0.21215960863291</v>
      </c>
      <c r="D148" s="89"/>
    </row>
    <row r="149" spans="1:4" hidden="1" x14ac:dyDescent="0.2">
      <c r="A149" s="106"/>
      <c r="B149" s="111">
        <f t="shared" si="0"/>
        <v>2026</v>
      </c>
      <c r="C149" s="112">
        <f>[17]С2.5!$K$11</f>
        <v>3.5813361771260002E-2</v>
      </c>
      <c r="D149" s="89"/>
    </row>
    <row r="150" spans="1:4" hidden="1" x14ac:dyDescent="0.2">
      <c r="A150" s="106"/>
      <c r="B150" s="111">
        <f t="shared" si="0"/>
        <v>2027</v>
      </c>
      <c r="C150" s="112">
        <f>[17]С2.5!$L$11</f>
        <v>3.2682303599220003E-2</v>
      </c>
      <c r="D150" s="89"/>
    </row>
    <row r="151" spans="1:4" hidden="1" x14ac:dyDescent="0.2">
      <c r="A151" s="106"/>
      <c r="B151" s="111">
        <f t="shared" si="0"/>
        <v>2028</v>
      </c>
      <c r="C151" s="112">
        <f>[17]С2.5!$M$11</f>
        <v>0</v>
      </c>
      <c r="D151" s="89"/>
    </row>
    <row r="152" spans="1:4" hidden="1" x14ac:dyDescent="0.2">
      <c r="A152" s="106"/>
      <c r="B152" s="111">
        <f t="shared" si="0"/>
        <v>2029</v>
      </c>
      <c r="C152" s="112">
        <f>[17]С2.5!$N$11</f>
        <v>0</v>
      </c>
      <c r="D152" s="89"/>
    </row>
    <row r="153" spans="1:4" hidden="1" x14ac:dyDescent="0.2">
      <c r="A153" s="106"/>
      <c r="B153" s="111">
        <f t="shared" si="0"/>
        <v>2030</v>
      </c>
      <c r="C153" s="112">
        <f>[17]С2.5!$O$11</f>
        <v>0</v>
      </c>
      <c r="D153" s="89"/>
    </row>
    <row r="154" spans="1:4" hidden="1" x14ac:dyDescent="0.2">
      <c r="A154" s="106"/>
      <c r="B154" s="111">
        <f t="shared" si="0"/>
        <v>2031</v>
      </c>
      <c r="C154" s="112">
        <f>[17]С2.5!$P$11</f>
        <v>0</v>
      </c>
      <c r="D154" s="89"/>
    </row>
    <row r="155" spans="1:4" hidden="1" x14ac:dyDescent="0.2">
      <c r="A155" s="89"/>
      <c r="B155" s="111">
        <f t="shared" si="0"/>
        <v>2032</v>
      </c>
      <c r="C155" s="112">
        <f>[17]С2.5!$Q$11</f>
        <v>0</v>
      </c>
      <c r="D155" s="89"/>
    </row>
    <row r="156" spans="1:4" hidden="1" x14ac:dyDescent="0.2">
      <c r="A156" s="89"/>
      <c r="B156" s="111">
        <f t="shared" si="0"/>
        <v>2033</v>
      </c>
      <c r="C156" s="112">
        <f>[17]С2.5!$R$11</f>
        <v>0</v>
      </c>
      <c r="D156" s="89"/>
    </row>
    <row r="157" spans="1:4" hidden="1" x14ac:dyDescent="0.2">
      <c r="B157" s="111">
        <f t="shared" si="0"/>
        <v>2034</v>
      </c>
      <c r="C157" s="112">
        <f>[17]С2.5!$S$11</f>
        <v>0</v>
      </c>
    </row>
    <row r="158" spans="1:4" hidden="1" x14ac:dyDescent="0.2">
      <c r="B158" s="111">
        <f t="shared" si="0"/>
        <v>2035</v>
      </c>
      <c r="C158" s="112">
        <f>[17]С2.5!$T$11</f>
        <v>0</v>
      </c>
    </row>
    <row r="159" spans="1:4" hidden="1" x14ac:dyDescent="0.2">
      <c r="B159" s="111">
        <f t="shared" si="0"/>
        <v>2036</v>
      </c>
      <c r="C159" s="112">
        <f>[17]С2.5!$U$11</f>
        <v>0</v>
      </c>
    </row>
    <row r="160" spans="1:4" hidden="1" x14ac:dyDescent="0.2">
      <c r="B160" s="111">
        <f t="shared" si="0"/>
        <v>2037</v>
      </c>
      <c r="C160" s="112">
        <f>[17]С2.5!$V$11</f>
        <v>0</v>
      </c>
    </row>
    <row r="161" spans="2:3" hidden="1" x14ac:dyDescent="0.2">
      <c r="B161" s="111">
        <f t="shared" si="0"/>
        <v>2038</v>
      </c>
      <c r="C161" s="112">
        <f>[17]С2.5!$W$11</f>
        <v>0</v>
      </c>
    </row>
    <row r="162" spans="2:3" hidden="1" x14ac:dyDescent="0.2">
      <c r="B162" s="111">
        <f t="shared" si="0"/>
        <v>2039</v>
      </c>
      <c r="C162" s="112">
        <f>[17]С2.5!$X$11</f>
        <v>0</v>
      </c>
    </row>
    <row r="163" spans="2:3" hidden="1" x14ac:dyDescent="0.2">
      <c r="B163" s="111">
        <f t="shared" si="0"/>
        <v>2040</v>
      </c>
      <c r="C163" s="112">
        <f>[17]С2.5!$Y$11</f>
        <v>0</v>
      </c>
    </row>
    <row r="164" spans="2:3" hidden="1" x14ac:dyDescent="0.2">
      <c r="B164" s="111">
        <f t="shared" si="0"/>
        <v>2041</v>
      </c>
      <c r="C164" s="112">
        <f>[17]С2.5!$Z$11</f>
        <v>0</v>
      </c>
    </row>
    <row r="165" spans="2:3" hidden="1" x14ac:dyDescent="0.2">
      <c r="B165" s="111">
        <f t="shared" si="0"/>
        <v>2042</v>
      </c>
      <c r="C165" s="112">
        <f>[17]С2.5!$AA$11</f>
        <v>0</v>
      </c>
    </row>
    <row r="166" spans="2:3" hidden="1" x14ac:dyDescent="0.2">
      <c r="B166" s="111">
        <f t="shared" si="0"/>
        <v>2043</v>
      </c>
      <c r="C166" s="112">
        <f>[17]С2.5!$AB$11</f>
        <v>0</v>
      </c>
    </row>
    <row r="167" spans="2:3" hidden="1" x14ac:dyDescent="0.2">
      <c r="B167" s="111">
        <f t="shared" si="0"/>
        <v>2044</v>
      </c>
      <c r="C167" s="112">
        <f>[17]С2.5!$AC$11</f>
        <v>0</v>
      </c>
    </row>
    <row r="168" spans="2:3" hidden="1" x14ac:dyDescent="0.2">
      <c r="B168" s="111">
        <f t="shared" si="0"/>
        <v>2045</v>
      </c>
      <c r="C168" s="112">
        <f>[17]С2.5!$AD$11</f>
        <v>0</v>
      </c>
    </row>
    <row r="169" spans="2:3" hidden="1" x14ac:dyDescent="0.2">
      <c r="B169" s="111">
        <f t="shared" si="0"/>
        <v>2046</v>
      </c>
      <c r="C169" s="112">
        <f>[17]С2.5!$AE$11</f>
        <v>0</v>
      </c>
    </row>
    <row r="170" spans="2:3" hidden="1" x14ac:dyDescent="0.2">
      <c r="B170" s="111">
        <f t="shared" si="0"/>
        <v>2047</v>
      </c>
      <c r="C170" s="112">
        <f>[17]С2.5!$AF$11</f>
        <v>0</v>
      </c>
    </row>
    <row r="171" spans="2:3" hidden="1" x14ac:dyDescent="0.2">
      <c r="B171" s="111">
        <f t="shared" si="0"/>
        <v>2048</v>
      </c>
      <c r="C171" s="112">
        <f>[17]С2.5!$AG$11</f>
        <v>0</v>
      </c>
    </row>
    <row r="172" spans="2:3" hidden="1" x14ac:dyDescent="0.2">
      <c r="B172" s="111">
        <f t="shared" si="0"/>
        <v>2049</v>
      </c>
      <c r="C172" s="112">
        <f>[17]С2.5!$AH$11</f>
        <v>0</v>
      </c>
    </row>
    <row r="173" spans="2:3" hidden="1" x14ac:dyDescent="0.2">
      <c r="B173" s="111">
        <f t="shared" si="0"/>
        <v>2050</v>
      </c>
      <c r="C173" s="112">
        <f>[17]С2.5!$AI$11</f>
        <v>0</v>
      </c>
    </row>
    <row r="174" spans="2:3" hidden="1" x14ac:dyDescent="0.2">
      <c r="B174" s="111">
        <f t="shared" si="0"/>
        <v>2051</v>
      </c>
      <c r="C174" s="112">
        <f>[17]С2.5!$AJ$11</f>
        <v>0</v>
      </c>
    </row>
    <row r="175" spans="2:3" hidden="1" x14ac:dyDescent="0.2">
      <c r="B175" s="111">
        <f t="shared" si="0"/>
        <v>2052</v>
      </c>
      <c r="C175" s="112">
        <f>[17]С2.5!$AK$11</f>
        <v>0</v>
      </c>
    </row>
    <row r="176" spans="2:3" hidden="1" x14ac:dyDescent="0.2">
      <c r="B176" s="111">
        <f t="shared" si="0"/>
        <v>2053</v>
      </c>
      <c r="C176" s="112">
        <f>[17]С2.5!$AL$11</f>
        <v>0</v>
      </c>
    </row>
    <row r="177" spans="2:3" hidden="1" x14ac:dyDescent="0.2">
      <c r="B177" s="111">
        <f t="shared" si="0"/>
        <v>2054</v>
      </c>
      <c r="C177" s="112">
        <f>[17]С2.5!$AM$11</f>
        <v>0</v>
      </c>
    </row>
    <row r="178" spans="2:3" hidden="1" x14ac:dyDescent="0.2">
      <c r="B178" s="111">
        <f t="shared" si="0"/>
        <v>2055</v>
      </c>
      <c r="C178" s="112">
        <f>[17]С2.5!$AN$11</f>
        <v>0</v>
      </c>
    </row>
    <row r="179" spans="2:3" hidden="1" x14ac:dyDescent="0.2">
      <c r="B179" s="111">
        <f t="shared" si="0"/>
        <v>2056</v>
      </c>
      <c r="C179" s="112">
        <f>[17]С2.5!$AO$11</f>
        <v>0</v>
      </c>
    </row>
    <row r="180" spans="2:3" hidden="1" x14ac:dyDescent="0.2">
      <c r="B180" s="111">
        <f t="shared" si="0"/>
        <v>2057</v>
      </c>
      <c r="C180" s="112">
        <f>[17]С2.5!$AP$11</f>
        <v>0</v>
      </c>
    </row>
    <row r="181" spans="2:3" hidden="1" x14ac:dyDescent="0.2">
      <c r="B181" s="111">
        <f t="shared" si="0"/>
        <v>2058</v>
      </c>
      <c r="C181" s="112">
        <f>[17]С2.5!$AQ$11</f>
        <v>0</v>
      </c>
    </row>
    <row r="182" spans="2:3" hidden="1" x14ac:dyDescent="0.2">
      <c r="B182" s="111">
        <f t="shared" si="0"/>
        <v>2059</v>
      </c>
      <c r="C182" s="112">
        <f>[17]С2.5!$AR$11</f>
        <v>0</v>
      </c>
    </row>
    <row r="183" spans="2:3" hidden="1" x14ac:dyDescent="0.2">
      <c r="B183" s="111">
        <f t="shared" si="0"/>
        <v>2060</v>
      </c>
      <c r="C183" s="112">
        <f>[17]С2.5!$AS$11</f>
        <v>0</v>
      </c>
    </row>
    <row r="184" spans="2:3" hidden="1" x14ac:dyDescent="0.2">
      <c r="B184" s="111">
        <f t="shared" si="0"/>
        <v>2061</v>
      </c>
      <c r="C184" s="112">
        <f>[17]С2.5!$AT$11</f>
        <v>0</v>
      </c>
    </row>
    <row r="185" spans="2:3" hidden="1" x14ac:dyDescent="0.2">
      <c r="B185" s="111">
        <f t="shared" si="0"/>
        <v>2062</v>
      </c>
      <c r="C185" s="112">
        <f>[17]С2.5!$AU$11</f>
        <v>0</v>
      </c>
    </row>
    <row r="186" spans="2:3" hidden="1" x14ac:dyDescent="0.2">
      <c r="B186" s="111">
        <f t="shared" si="0"/>
        <v>2063</v>
      </c>
      <c r="C186" s="112">
        <f>[17]С2.5!$AV$11</f>
        <v>0</v>
      </c>
    </row>
    <row r="187" spans="2:3" hidden="1" x14ac:dyDescent="0.2">
      <c r="B187" s="111">
        <f t="shared" si="0"/>
        <v>2064</v>
      </c>
      <c r="C187" s="112">
        <f>[17]С2.5!$AW$11</f>
        <v>0</v>
      </c>
    </row>
    <row r="188" spans="2:3" hidden="1" x14ac:dyDescent="0.2">
      <c r="B188" s="111">
        <f t="shared" si="0"/>
        <v>2065</v>
      </c>
      <c r="C188" s="112">
        <f>[17]С2.5!$AX$11</f>
        <v>0</v>
      </c>
    </row>
    <row r="189" spans="2:3" hidden="1" x14ac:dyDescent="0.2">
      <c r="B189" s="111">
        <f t="shared" si="0"/>
        <v>2066</v>
      </c>
      <c r="C189" s="112">
        <f>[17]С2.5!$AY$11</f>
        <v>0</v>
      </c>
    </row>
    <row r="190" spans="2:3" hidden="1" x14ac:dyDescent="0.2">
      <c r="B190" s="111">
        <f t="shared" si="0"/>
        <v>2067</v>
      </c>
      <c r="C190" s="112">
        <f>[17]С2.5!$AZ$11</f>
        <v>0</v>
      </c>
    </row>
    <row r="191" spans="2:3" hidden="1" x14ac:dyDescent="0.2">
      <c r="B191" s="111">
        <f t="shared" si="0"/>
        <v>2068</v>
      </c>
      <c r="C191" s="112">
        <f>[17]С2.5!$BA$11</f>
        <v>0</v>
      </c>
    </row>
    <row r="192" spans="2:3" hidden="1" x14ac:dyDescent="0.2">
      <c r="B192" s="111">
        <f t="shared" si="0"/>
        <v>2069</v>
      </c>
      <c r="C192" s="112">
        <f>[17]С2.5!$BB$11</f>
        <v>0</v>
      </c>
    </row>
    <row r="193" spans="2:3" hidden="1" x14ac:dyDescent="0.2">
      <c r="B193" s="111">
        <f t="shared" si="0"/>
        <v>2070</v>
      </c>
      <c r="C193" s="112">
        <f>[17]С2.5!$BC$11</f>
        <v>0</v>
      </c>
    </row>
    <row r="194" spans="2:3" hidden="1" x14ac:dyDescent="0.2">
      <c r="B194" s="111">
        <f t="shared" si="0"/>
        <v>2071</v>
      </c>
      <c r="C194" s="112">
        <f>[17]С2.5!$BD$11</f>
        <v>0</v>
      </c>
    </row>
    <row r="195" spans="2:3" hidden="1" x14ac:dyDescent="0.2">
      <c r="B195" s="111">
        <f t="shared" si="0"/>
        <v>2072</v>
      </c>
      <c r="C195" s="112">
        <f>[17]С2.5!$BE$11</f>
        <v>0</v>
      </c>
    </row>
    <row r="196" spans="2:3" hidden="1" x14ac:dyDescent="0.2">
      <c r="B196" s="111">
        <f t="shared" si="0"/>
        <v>2073</v>
      </c>
      <c r="C196" s="112">
        <f>[17]С2.5!$BF$11</f>
        <v>0</v>
      </c>
    </row>
    <row r="197" spans="2:3" hidden="1" x14ac:dyDescent="0.2">
      <c r="B197" s="111">
        <f t="shared" si="0"/>
        <v>2074</v>
      </c>
      <c r="C197" s="112">
        <f>[17]С2.5!$BG$11</f>
        <v>0</v>
      </c>
    </row>
    <row r="198" spans="2:3" hidden="1" x14ac:dyDescent="0.2">
      <c r="B198" s="111">
        <f t="shared" si="0"/>
        <v>2075</v>
      </c>
      <c r="C198" s="112">
        <f>[17]С2.5!$BH$11</f>
        <v>0</v>
      </c>
    </row>
    <row r="199" spans="2:3" hidden="1" x14ac:dyDescent="0.2">
      <c r="B199" s="111">
        <f t="shared" si="0"/>
        <v>2076</v>
      </c>
      <c r="C199" s="112">
        <f>[17]С2.5!$BI$11</f>
        <v>0</v>
      </c>
    </row>
    <row r="200" spans="2:3" hidden="1" x14ac:dyDescent="0.2">
      <c r="B200" s="111">
        <f t="shared" si="0"/>
        <v>2077</v>
      </c>
      <c r="C200" s="112">
        <f>[17]С2.5!$BJ$11</f>
        <v>0</v>
      </c>
    </row>
    <row r="201" spans="2:3" hidden="1" x14ac:dyDescent="0.2">
      <c r="B201" s="111">
        <f t="shared" si="0"/>
        <v>2078</v>
      </c>
      <c r="C201" s="112">
        <f>[17]С2.5!$BK$11</f>
        <v>0</v>
      </c>
    </row>
    <row r="202" spans="2:3" hidden="1" x14ac:dyDescent="0.2">
      <c r="B202" s="111">
        <f t="shared" si="0"/>
        <v>2079</v>
      </c>
      <c r="C202" s="112">
        <f>[17]С2.5!$BL$11</f>
        <v>0</v>
      </c>
    </row>
    <row r="203" spans="2:3" hidden="1" x14ac:dyDescent="0.2">
      <c r="B203" s="111">
        <f t="shared" si="0"/>
        <v>2080</v>
      </c>
      <c r="C203" s="112">
        <f>[17]С2.5!$BM$11</f>
        <v>0</v>
      </c>
    </row>
    <row r="204" spans="2:3" hidden="1" x14ac:dyDescent="0.2">
      <c r="B204" s="111">
        <f t="shared" si="0"/>
        <v>2081</v>
      </c>
      <c r="C204" s="112">
        <f>[17]С2.5!$BN$11</f>
        <v>0</v>
      </c>
    </row>
    <row r="205" spans="2:3" hidden="1" x14ac:dyDescent="0.2">
      <c r="B205" s="111">
        <f t="shared" si="0"/>
        <v>2082</v>
      </c>
      <c r="C205" s="112">
        <f>[17]С2.5!$BO$11</f>
        <v>0</v>
      </c>
    </row>
    <row r="206" spans="2:3" hidden="1" x14ac:dyDescent="0.2">
      <c r="B206" s="111">
        <f t="shared" si="0"/>
        <v>2083</v>
      </c>
      <c r="C206" s="112">
        <f>[17]С2.5!$BP$11</f>
        <v>0</v>
      </c>
    </row>
    <row r="207" spans="2:3" hidden="1" x14ac:dyDescent="0.2">
      <c r="B207" s="111">
        <f t="shared" si="0"/>
        <v>2084</v>
      </c>
      <c r="C207" s="112">
        <f>[17]С2.5!$BQ$11</f>
        <v>0</v>
      </c>
    </row>
    <row r="208" spans="2:3" hidden="1" x14ac:dyDescent="0.2">
      <c r="B208" s="111">
        <f t="shared" si="0"/>
        <v>2085</v>
      </c>
      <c r="C208" s="112">
        <f>[17]С2.5!$BR$11</f>
        <v>0</v>
      </c>
    </row>
    <row r="209" spans="2:3" hidden="1" x14ac:dyDescent="0.2">
      <c r="B209" s="111">
        <f t="shared" ref="B209:B223" si="1">B208+1</f>
        <v>2086</v>
      </c>
      <c r="C209" s="112">
        <f>[17]С2.5!$BS$11</f>
        <v>0</v>
      </c>
    </row>
    <row r="210" spans="2:3" hidden="1" x14ac:dyDescent="0.2">
      <c r="B210" s="111">
        <f t="shared" si="1"/>
        <v>2087</v>
      </c>
      <c r="C210" s="112">
        <f>[17]С2.5!$BT$11</f>
        <v>0</v>
      </c>
    </row>
    <row r="211" spans="2:3" hidden="1" x14ac:dyDescent="0.2">
      <c r="B211" s="111">
        <f t="shared" si="1"/>
        <v>2088</v>
      </c>
      <c r="C211" s="112">
        <f>[17]С2.5!$BU$11</f>
        <v>0</v>
      </c>
    </row>
    <row r="212" spans="2:3" hidden="1" x14ac:dyDescent="0.2">
      <c r="B212" s="111">
        <f t="shared" si="1"/>
        <v>2089</v>
      </c>
      <c r="C212" s="112">
        <f>[17]С2.5!$BV$11</f>
        <v>0</v>
      </c>
    </row>
    <row r="213" spans="2:3" hidden="1" x14ac:dyDescent="0.2">
      <c r="B213" s="111">
        <f t="shared" si="1"/>
        <v>2090</v>
      </c>
      <c r="C213" s="112">
        <f>[17]С2.5!$BW$11</f>
        <v>0</v>
      </c>
    </row>
    <row r="214" spans="2:3" hidden="1" x14ac:dyDescent="0.2">
      <c r="B214" s="111">
        <f t="shared" si="1"/>
        <v>2091</v>
      </c>
      <c r="C214" s="112">
        <f>[17]С2.5!$BX$11</f>
        <v>0</v>
      </c>
    </row>
    <row r="215" spans="2:3" hidden="1" x14ac:dyDescent="0.2">
      <c r="B215" s="111">
        <f t="shared" si="1"/>
        <v>2092</v>
      </c>
      <c r="C215" s="112">
        <f>[17]С2.5!$BY$11</f>
        <v>0</v>
      </c>
    </row>
    <row r="216" spans="2:3" hidden="1" x14ac:dyDescent="0.2">
      <c r="B216" s="111">
        <f t="shared" si="1"/>
        <v>2093</v>
      </c>
      <c r="C216" s="112">
        <f>[17]С2.5!$BZ$11</f>
        <v>0</v>
      </c>
    </row>
    <row r="217" spans="2:3" hidden="1" x14ac:dyDescent="0.2">
      <c r="B217" s="111">
        <f t="shared" si="1"/>
        <v>2094</v>
      </c>
      <c r="C217" s="112">
        <f>[17]С2.5!$CA$11</f>
        <v>0</v>
      </c>
    </row>
    <row r="218" spans="2:3" hidden="1" x14ac:dyDescent="0.2">
      <c r="B218" s="111">
        <f t="shared" si="1"/>
        <v>2095</v>
      </c>
      <c r="C218" s="112">
        <f>[17]С2.5!$CB$11</f>
        <v>0</v>
      </c>
    </row>
    <row r="219" spans="2:3" hidden="1" x14ac:dyDescent="0.2">
      <c r="B219" s="111">
        <f t="shared" si="1"/>
        <v>2096</v>
      </c>
      <c r="C219" s="112">
        <f>[17]С2.5!$CC$11</f>
        <v>0</v>
      </c>
    </row>
    <row r="220" spans="2:3" hidden="1" x14ac:dyDescent="0.2">
      <c r="B220" s="111">
        <f t="shared" si="1"/>
        <v>2097</v>
      </c>
      <c r="C220" s="112">
        <f>[17]С2.5!$CD$11</f>
        <v>0</v>
      </c>
    </row>
    <row r="221" spans="2:3" hidden="1" x14ac:dyDescent="0.2">
      <c r="B221" s="111">
        <f t="shared" si="1"/>
        <v>2098</v>
      </c>
      <c r="C221" s="112">
        <f>[17]С2.5!$CE$11</f>
        <v>0</v>
      </c>
    </row>
    <row r="222" spans="2:3" hidden="1" x14ac:dyDescent="0.2">
      <c r="B222" s="111">
        <f t="shared" si="1"/>
        <v>2099</v>
      </c>
      <c r="C222" s="112">
        <f>[17]С2.5!$CF$11</f>
        <v>0</v>
      </c>
    </row>
    <row r="223" spans="2:3" ht="13.5" hidden="1" thickBot="1" x14ac:dyDescent="0.25">
      <c r="B223" s="113">
        <f t="shared" si="1"/>
        <v>2100</v>
      </c>
      <c r="C223" s="114">
        <f>[17]С2.5!$CG$11</f>
        <v>0</v>
      </c>
    </row>
    <row r="224" spans="2:3" hidden="1" x14ac:dyDescent="0.2">
      <c r="C224" s="117"/>
    </row>
    <row r="225" spans="3:3" hidden="1" x14ac:dyDescent="0.2">
      <c r="C225" s="117"/>
    </row>
    <row r="226" spans="3:3" x14ac:dyDescent="0.2">
      <c r="C226" s="117"/>
    </row>
  </sheetData>
  <mergeCells count="9">
    <mergeCell ref="B141:C141"/>
    <mergeCell ref="A14:C14"/>
    <mergeCell ref="B1:C1"/>
    <mergeCell ref="B27:C27"/>
    <mergeCell ref="B40:C40"/>
    <mergeCell ref="B84:C84"/>
    <mergeCell ref="B95:C95"/>
    <mergeCell ref="B124:C124"/>
    <mergeCell ref="B127:C127"/>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9217" r:id="rId3" name="Button 1">
              <controlPr defaultSize="0" print="0" autoFill="0" autoPict="0" macro="[18]!Лист29.PrintBlock">
                <anchor moveWithCells="1" sizeWithCells="1">
                  <from>
                    <xdr:col>3</xdr:col>
                    <xdr:colOff>0</xdr:colOff>
                    <xdr:row>0</xdr:row>
                    <xdr:rowOff>85725</xdr:rowOff>
                  </from>
                  <to>
                    <xdr:col>4</xdr:col>
                    <xdr:colOff>0</xdr:colOff>
                    <xdr:row>0</xdr:row>
                    <xdr:rowOff>238125</xdr:rowOff>
                  </to>
                </anchor>
              </controlPr>
            </control>
          </mc:Choice>
        </mc:AlternateContent>
        <mc:AlternateContent xmlns:mc="http://schemas.openxmlformats.org/markup-compatibility/2006">
          <mc:Choice Requires="x14">
            <control shapeId="9218" r:id="rId4" name="Button 2">
              <controlPr defaultSize="0" print="0" autoFill="0" autoPict="0" macro="[17]!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15</vt:i4>
      </vt:variant>
    </vt:vector>
  </HeadingPairs>
  <TitlesOfParts>
    <vt:vector size="15" baseType="lpstr">
      <vt:lpstr>р.п. Сузун</vt:lpstr>
      <vt:lpstr>Битковский</vt:lpstr>
      <vt:lpstr>Бобровский</vt:lpstr>
      <vt:lpstr>Болтовский</vt:lpstr>
      <vt:lpstr>Верх-Сузунский</vt:lpstr>
      <vt:lpstr>Заковряженский</vt:lpstr>
      <vt:lpstr>Каргаполовский</vt:lpstr>
      <vt:lpstr>Ключиковский</vt:lpstr>
      <vt:lpstr>Маюровский</vt:lpstr>
      <vt:lpstr>Малышевский</vt:lpstr>
      <vt:lpstr>Меретский</vt:lpstr>
      <vt:lpstr>Мышланский</vt:lpstr>
      <vt:lpstr>Шайдуровский</vt:lpstr>
      <vt:lpstr>Шарчинский</vt:lpstr>
      <vt:lpstr>Шипуновский</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Ерыгина</dc:creator>
  <cp:lastModifiedBy>Ерыгина</cp:lastModifiedBy>
  <dcterms:created xsi:type="dcterms:W3CDTF">2023-01-18T08:05:00Z</dcterms:created>
  <dcterms:modified xsi:type="dcterms:W3CDTF">2024-01-26T02:44:23Z</dcterms:modified>
</cp:coreProperties>
</file>