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8.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14.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15.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1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17.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8.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9.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20.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21.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22.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23.xml" ContentType="application/vnd.openxmlformats-officedocument.drawing+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9030"/>
  </bookViews>
  <sheets>
    <sheet name="г. Тогучин" sheetId="2" r:id="rId1"/>
    <sheet name="р.п. Горный газ " sheetId="3" r:id="rId2"/>
    <sheet name="р.п. Горный уголь" sheetId="24" r:id="rId3"/>
    <sheet name="Борцовский" sheetId="4" r:id="rId4"/>
    <sheet name="Буготакский" sheetId="5" r:id="rId5"/>
    <sheet name="Вассинский" sheetId="6" r:id="rId6"/>
    <sheet name="Гутовский" sheetId="7" r:id="rId7"/>
    <sheet name="Завьяловский" sheetId="8" r:id="rId8"/>
    <sheet name="Заречный " sheetId="9" r:id="rId9"/>
    <sheet name="Киикский" sheetId="10" r:id="rId10"/>
    <sheet name="Кировский" sheetId="11" r:id="rId11"/>
    <sheet name="Коуракский" sheetId="12" r:id="rId12"/>
    <sheet name="Кудельно-Ключевской" sheetId="13" r:id="rId13"/>
    <sheet name="Кудринский" sheetId="14" r:id="rId14"/>
    <sheet name="Лебедевский" sheetId="15" r:id="rId15"/>
    <sheet name="Мирновский" sheetId="16" r:id="rId16"/>
    <sheet name="Нечаевский" sheetId="17" r:id="rId17"/>
    <sheet name="Репьевский" sheetId="18" r:id="rId18"/>
    <sheet name="Степногутовский" sheetId="19" r:id="rId19"/>
    <sheet name="Сурковский" sheetId="20" r:id="rId20"/>
    <sheet name="Усть-Каменский" sheetId="21" r:id="rId21"/>
    <sheet name="Чемской" sheetId="22" r:id="rId22"/>
    <sheet name="Шахтинский" sheetId="2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17" i="23" l="1"/>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17" i="22" l="1"/>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17" i="21" l="1"/>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17" i="20" l="1"/>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17" i="19" l="1"/>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17" i="18" l="1"/>
  <c r="B225" i="18"/>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17" i="17" l="1"/>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17" i="16" l="1"/>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7" i="15" s="1"/>
  <c r="C18" i="15"/>
  <c r="C13" i="15"/>
  <c r="B13" i="15"/>
  <c r="C12" i="15"/>
  <c r="B12" i="15"/>
  <c r="C11" i="15"/>
  <c r="B11" i="15"/>
  <c r="C10" i="15"/>
  <c r="B10" i="15"/>
  <c r="C9" i="15"/>
  <c r="B9" i="15"/>
  <c r="C8" i="15"/>
  <c r="B8" i="15"/>
  <c r="C7" i="15"/>
  <c r="B7" i="15"/>
  <c r="C6" i="15"/>
  <c r="B6" i="15"/>
  <c r="C5" i="15"/>
  <c r="B5" i="15"/>
  <c r="C4" i="15"/>
  <c r="B4" i="15"/>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3" i="14"/>
  <c r="B13" i="14"/>
  <c r="C12" i="14"/>
  <c r="B12" i="14"/>
  <c r="C11" i="14"/>
  <c r="B11" i="14"/>
  <c r="C10" i="14"/>
  <c r="B10" i="14"/>
  <c r="C9" i="14"/>
  <c r="B9" i="14"/>
  <c r="C8" i="14"/>
  <c r="B8" i="14"/>
  <c r="C7" i="14"/>
  <c r="B7" i="14"/>
  <c r="C6" i="14"/>
  <c r="B6" i="14"/>
  <c r="C5" i="14"/>
  <c r="B5" i="14"/>
  <c r="C4" i="14"/>
  <c r="B4" i="14"/>
  <c r="C17" i="14" l="1"/>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3" i="13"/>
  <c r="B13" i="13"/>
  <c r="C12" i="13"/>
  <c r="B12" i="13"/>
  <c r="C11" i="13"/>
  <c r="B11" i="13"/>
  <c r="C10" i="13"/>
  <c r="B10" i="13"/>
  <c r="C9" i="13"/>
  <c r="B9" i="13"/>
  <c r="C8" i="13"/>
  <c r="B8" i="13"/>
  <c r="C7" i="13"/>
  <c r="B7" i="13"/>
  <c r="C6" i="13"/>
  <c r="B6" i="13"/>
  <c r="C5" i="13"/>
  <c r="B5" i="13"/>
  <c r="C4" i="13"/>
  <c r="B4" i="13"/>
  <c r="C17" i="13" l="1"/>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3" i="12"/>
  <c r="B13" i="12"/>
  <c r="C12" i="12"/>
  <c r="B12" i="12"/>
  <c r="C11" i="12"/>
  <c r="B11" i="12"/>
  <c r="C10" i="12"/>
  <c r="B10" i="12"/>
  <c r="C9" i="12"/>
  <c r="B9" i="12"/>
  <c r="C8" i="12"/>
  <c r="B8" i="12"/>
  <c r="C7" i="12"/>
  <c r="B7" i="12"/>
  <c r="C6" i="12"/>
  <c r="B6" i="12"/>
  <c r="C5" i="12"/>
  <c r="B5" i="12"/>
  <c r="C4" i="12"/>
  <c r="B4" i="12"/>
  <c r="C17" i="12" l="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17" i="11" l="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3" i="10"/>
  <c r="B13" i="10"/>
  <c r="C12" i="10"/>
  <c r="B12" i="10"/>
  <c r="C11" i="10"/>
  <c r="B11" i="10"/>
  <c r="C10" i="10"/>
  <c r="B10" i="10"/>
  <c r="C9" i="10"/>
  <c r="B9" i="10"/>
  <c r="C8" i="10"/>
  <c r="B8" i="10"/>
  <c r="C7" i="10"/>
  <c r="B7" i="10"/>
  <c r="C6" i="10"/>
  <c r="B6" i="10"/>
  <c r="C5" i="10"/>
  <c r="B5" i="10"/>
  <c r="C4" i="10"/>
  <c r="B4" i="10"/>
  <c r="C17" i="10" l="1"/>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3" i="8"/>
  <c r="B13" i="8"/>
  <c r="C12" i="8"/>
  <c r="B12" i="8"/>
  <c r="C11" i="8"/>
  <c r="B11" i="8"/>
  <c r="C10" i="8"/>
  <c r="B10" i="8"/>
  <c r="C9" i="8"/>
  <c r="B9" i="8"/>
  <c r="C8" i="8"/>
  <c r="B8" i="8"/>
  <c r="C7" i="8"/>
  <c r="B7" i="8"/>
  <c r="C6" i="8"/>
  <c r="B6" i="8"/>
  <c r="C5" i="8"/>
  <c r="B5" i="8"/>
  <c r="C4" i="8"/>
  <c r="B4" i="8"/>
  <c r="C17" i="8" l="1"/>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3" i="7"/>
  <c r="B13" i="7"/>
  <c r="C12" i="7"/>
  <c r="B12" i="7"/>
  <c r="C11" i="7"/>
  <c r="B11" i="7"/>
  <c r="C10" i="7"/>
  <c r="B10" i="7"/>
  <c r="C9" i="7"/>
  <c r="B9" i="7"/>
  <c r="C8" i="7"/>
  <c r="B8" i="7"/>
  <c r="C7" i="7"/>
  <c r="B7" i="7"/>
  <c r="C6" i="7"/>
  <c r="B6" i="7"/>
  <c r="C5" i="7"/>
  <c r="B5" i="7"/>
  <c r="C4" i="7"/>
  <c r="B4" i="7"/>
  <c r="C17" i="7" l="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3" i="6"/>
  <c r="B13" i="6"/>
  <c r="C12" i="6"/>
  <c r="B12" i="6"/>
  <c r="C11" i="6"/>
  <c r="B11" i="6"/>
  <c r="C10" i="6"/>
  <c r="B10" i="6"/>
  <c r="C9" i="6"/>
  <c r="B9" i="6"/>
  <c r="C8" i="6"/>
  <c r="B8" i="6"/>
  <c r="C7" i="6"/>
  <c r="B7" i="6"/>
  <c r="C6" i="6"/>
  <c r="B6" i="6"/>
  <c r="C5" i="6"/>
  <c r="B5" i="6"/>
  <c r="C4" i="6"/>
  <c r="B4" i="6"/>
  <c r="C17" i="6" l="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17" i="5" l="1"/>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17" i="4" l="1"/>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17" i="24" l="1"/>
  <c r="C225" i="3" l="1"/>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B146" i="3"/>
  <c r="B147" i="3" s="1"/>
  <c r="B148" i="3" s="1"/>
  <c r="B149" i="3" s="1"/>
  <c r="B150" i="3" s="1"/>
  <c r="B151" i="3" s="1"/>
  <c r="B152" i="3" s="1"/>
  <c r="B153" i="3" s="1"/>
  <c r="B154" i="3" s="1"/>
  <c r="B155" i="3" s="1"/>
  <c r="B156" i="3" s="1"/>
  <c r="B157" i="3" s="1"/>
  <c r="B158" i="3" s="1"/>
  <c r="B159" i="3" s="1"/>
  <c r="B160" i="3" s="1"/>
  <c r="B161" i="3" s="1"/>
  <c r="B162" i="3" s="1"/>
  <c r="C145" i="3"/>
  <c r="C142" i="3"/>
  <c r="C140" i="3"/>
  <c r="C139" i="3"/>
  <c r="C138" i="3"/>
  <c r="C137" i="3"/>
  <c r="C135" i="3"/>
  <c r="C134" i="3"/>
  <c r="C133" i="3"/>
  <c r="C132" i="3"/>
  <c r="C131" i="3"/>
  <c r="C130" i="3"/>
  <c r="C127" i="3"/>
  <c r="C124" i="3"/>
  <c r="C123" i="3"/>
  <c r="C122" i="3"/>
  <c r="C121" i="3"/>
  <c r="C120" i="3"/>
  <c r="C119" i="3"/>
  <c r="C118" i="3"/>
  <c r="C117" i="3"/>
  <c r="C116" i="3"/>
  <c r="C115" i="3"/>
  <c r="C114" i="3"/>
  <c r="C113" i="3"/>
  <c r="C112" i="3"/>
  <c r="C111" i="3"/>
  <c r="C110" i="3"/>
  <c r="C109" i="3"/>
  <c r="C108" i="3"/>
  <c r="C107" i="3"/>
  <c r="C106" i="3"/>
  <c r="C105" i="3"/>
  <c r="C104" i="3"/>
  <c r="C103" i="3"/>
  <c r="C102" i="3"/>
  <c r="C99" i="3"/>
  <c r="C98" i="3"/>
  <c r="C97" i="3"/>
  <c r="C96" i="3"/>
  <c r="C95" i="3"/>
  <c r="C94" i="3"/>
  <c r="C93" i="3"/>
  <c r="C92" i="3"/>
  <c r="C91"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3" i="3"/>
  <c r="C42" i="3"/>
  <c r="C41" i="3"/>
  <c r="C40" i="3"/>
  <c r="C39" i="3"/>
  <c r="C38" i="3"/>
  <c r="C37" i="3"/>
  <c r="C36" i="3"/>
  <c r="C35" i="3"/>
  <c r="C34" i="3"/>
  <c r="B34" i="3"/>
  <c r="C33" i="3"/>
  <c r="B33" i="3"/>
  <c r="C32" i="3"/>
  <c r="B32" i="3"/>
  <c r="C31" i="3"/>
  <c r="B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17" i="3" l="1"/>
  <c r="B225" i="3"/>
  <c r="B163" i="3"/>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17" i="2" l="1"/>
</calcChain>
</file>

<file path=xl/sharedStrings.xml><?xml version="1.0" encoding="utf-8"?>
<sst xmlns="http://schemas.openxmlformats.org/spreadsheetml/2006/main" count="5539" uniqueCount="259">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</sst>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family val="2"/>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amily val="2"/>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family val="2"/>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75" fillId="0" borderId="0">
      <alignment horizontal="center" vertical="top" wrapText="1"/>
    </xf>
    <xf numFmtId="0" fontId="225" fillId="0" borderId="0">
      <alignment horizontal="centerContinuous" vertical="center"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49">
    <xf numFmtId="0" fontId="0" fillId="0" borderId="0" xfId="0"/>
    <xf numFmtId="10" fontId="7" fillId="6" borderId="0" xfId="2" applyNumberFormat="1" applyFont="1" applyFill="1" applyAlignment="1">
      <alignment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44" xfId="2" applyFont="1" applyFill="1" applyBorder="1"/>
    <xf numFmtId="0" fontId="7" fillId="6" borderId="44" xfId="2" applyFont="1" applyFill="1" applyBorder="1" applyAlignment="1">
      <alignment vertical="center"/>
    </xf>
    <xf numFmtId="0" fontId="7" fillId="6" borderId="0" xfId="2" applyFont="1" applyFill="1" applyAlignment="1">
      <alignment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left"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7" xfId="2" applyFont="1" applyFill="1" applyBorder="1" applyAlignment="1">
      <alignment horizont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Мой заголовок" xfId="40231"/>
    <cellStyle name="Мой заголовок листа" xfId="4023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externalLink" Target="externalLinks/externalLink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4578" name="Button 2" hidden="1">
              <a:extLst>
                <a:ext uri="{63B3BB69-23CF-44E3-9099-C40C66FF867C}">
                  <a14:compatExt spid="_x0000_s2457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71" name="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72" name="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73" name="Button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74" name="Button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5" name="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9" name="Button 3" hidden="1">
              <a:extLst>
                <a:ext uri="{63B3BB69-23CF-44E3-9099-C40C66FF867C}">
                  <a14:compatExt spid="_x0000_s92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3" name="Button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7" name="Button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91" name="Button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3" name="Button 3" hidden="1">
              <a:extLst>
                <a:ext uri="{63B3BB69-23CF-44E3-9099-C40C66FF867C}">
                  <a14:compatExt spid="_x0000_s1536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7" name="Button 3" hidden="1">
              <a:extLst>
                <a:ext uri="{63B3BB69-23CF-44E3-9099-C40C66FF867C}">
                  <a14:compatExt spid="_x0000_s1638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18434" name="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8435" name="Button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9459" name="Button 3" hidden="1">
              <a:extLst>
                <a:ext uri="{63B3BB69-23CF-44E3-9099-C40C66FF867C}">
                  <a14:compatExt spid="_x0000_s1945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60" name="Button 4" hidden="1">
              <a:extLst>
                <a:ext uri="{63B3BB69-23CF-44E3-9099-C40C66FF867C}">
                  <a14:compatExt spid="_x0000_s1946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3</xdr:col>
          <xdr:colOff>1000125</xdr:colOff>
          <xdr:row>0</xdr:row>
          <xdr:rowOff>238125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75;.%20&#1058;&#1086;&#1075;&#1091;&#1095;&#1080;&#108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75;.%20&#1058;&#1086;&#1075;&#1091;&#1095;&#1080;&#108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75;&#1072;&#1079;_&#1062;&#1055;%20(&#1073;&#1077;&#1079;%20&#1053;&#1044;&#1057;)_2&#1087;&#1075;2025&#1075;_&#1084;&#1077;&#1085;&#1077;&#1077;%2050%20&#1090;&#1099;&#1089;%20&#1088;.&#1087;.%20&#1043;&#1086;&#1088;&#1085;&#1099;&#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75;&#1072;&#1079;_&#1062;&#1055;%20(&#1073;&#1077;&#1079;%20&#1053;&#1044;&#1057;)_2&#1087;&#1075;2024&#1075;_&#1084;&#1077;&#1085;&#1077;&#1077;%2050%20&#1090;&#1099;&#1089;%20&#1088;.&#1087;.%20&#1043;&#1086;&#1088;&#1085;&#1099;&#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20&#1088;.&#1087;.%20&#1043;&#1086;&#1088;&#1085;&#1099;&#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20&#1088;.&#1087;.%20&#1043;&#1086;&#1088;&#1085;&#1099;&#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41;&#1086;&#1088;&#1094;&#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1;&#1086;&#1088;&#1094;&#1086;&#1074;&#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20&#1041;&#1091;&#1075;&#1086;&#1090;&#1072;&#1082;&#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20&#1041;&#1091;&#1075;&#1086;&#1090;&#1072;&#1082;&#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42;&#1072;&#1089;&#1089;&#1080;&#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2;&#1072;&#1089;&#1089;&#1080;&#1085;&#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43;&#1091;&#1090;&#1086;&#1074;&#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3;&#1091;&#1090;&#1086;&#1074;&#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47;&#1072;&#1074;&#1100;&#1103;&#1083;&#1086;&#1074;&#1089;&#1082;&#1080;&#1081;%20&#1089;&#108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7;&#1072;&#1074;&#1100;&#1103;&#1083;&#1086;&#1074;&#1089;&#1082;&#1080;&#1081;%20&#1089;&#108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47;&#1072;&#1088;&#1077;&#1095;&#1085;&#1099;&#1081;%20&#1089;&#1089;.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7;&#1072;&#1088;&#1077;&#1095;&#1085;&#1099;&#1081;%20&#1089;&#1089;.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0;&#1080;&#1080;&#1082;&#1089;&#1082;&#1080;&#1081;%20&#1089;&#1089;.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0;&#1080;&#1082;&#1089;&#1082;&#1080;&#1081;%20&#1089;&#108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0;&#1080;&#1088;&#1086;&#1074;&#1089;&#1082;&#1080;&#1081;%20&#1089;&#1089;.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0;&#1088;&#1086;&#1074;&#1089;&#1082;&#1080;&#1081;%20&#1089;&#1089;.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0;&#1086;&#1091;&#1088;&#1072;&#1082;&#1089;&#1082;&#1080;&#1081;%20&#1089;&#1089;.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6;&#1091;&#1088;&#1072;&#1082;&#1089;&#1082;&#1080;&#1081;%20&#1089;&#1089;.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0;&#1091;&#1076;&#1077;&#1083;&#1100;&#1085;&#1086;-&#1050;&#1083;&#1102;&#1095;&#1077;&#1074;&#1089;&#1082;&#1086;&#1081;%20&#1089;&#1089;.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91;&#1076;&#1077;&#1083;&#1100;&#1085;&#1086;-&#1050;&#1083;&#1102;&#1095;&#1077;&#1074;&#1089;&#1082;&#1086;&#1081;%20&#1089;&#1089;.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0;&#1091;&#1076;&#1088;&#1080;&#1085;&#1089;&#1082;&#1080;&#1081;%20&#1089;&#108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91;&#1076;&#1088;&#1080;&#1085;&#1089;&#1082;&#1080;&#1081;%20&#1089;&#108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1;&#1077;&#1073;&#1077;&#1076;&#1077;&#1074;&#1089;&#1082;&#1080;&#1081;%20&#1089;&#1089;.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1;&#1077;&#1073;&#1077;&#1076;&#1077;&#1074;&#1089;&#1082;&#1080;&#1081;%20&#1089;&#10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2;&#1080;&#1088;&#1085;&#1086;&#1074;&#1089;&#1082;&#1080;&#1081;%20&#1089;&#1089;.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2;&#1080;&#1088;&#1085;&#1086;&#1074;&#1089;&#1082;&#1080;&#1081;%20&#1089;&#1089;.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3;&#1077;&#1095;&#1072;&#1077;&#1074;&#1089;&#1082;&#1080;&#1081;%20&#1089;&#1089;.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3;&#1077;&#1095;&#1072;&#1077;&#1074;&#1089;&#1082;&#1080;&#1081;%20&#1089;&#10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75;&#1072;&#1079;_&#1062;&#1055;%20(&#1073;&#1077;&#1079;%20&#1053;&#1044;&#1057;)_2&#1087;&#1075;2025&#1075;_&#1084;&#1077;&#1085;&#1077;&#1077;%2050%20&#1090;&#1099;&#1089;%20&#1056;&#1077;&#1087;&#1100;&#1077;&#1074;&#1089;&#1082;&#1080;&#1081;%20&#1089;&#10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75;&#1072;&#1079;_&#1062;&#1055;%20(&#1073;&#1077;&#1079;%20&#1053;&#1044;&#1057;)_2&#1087;&#1075;2024&#1075;_&#1084;&#1077;&#1085;&#1077;&#1077;%2050%20&#1090;&#1099;&#1089;%20&#1056;&#1077;&#1087;&#1100;&#1077;&#1074;&#1089;&#1082;&#1080;&#1081;%20&#1089;&#10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7;&#1090;&#1077;&#1087;&#1085;&#1086;&#1075;&#1091;&#1090;&#1086;&#1074;&#1089;&#1082;&#1080;&#1081;%20&#1089;&#10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7;&#1091;&#1088;&#1082;&#1086;&#1074;&#1089;&#1082;&#1080;&#1081;%20&#1089;&#10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7;&#1091;&#1088;&#1082;&#1086;&#1074;&#1089;&#1082;&#1080;&#1081;%20&#1089;&#10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59;&#1089;&#1090;&#1100;-&#1050;&#1072;&#1084;&#1077;&#1085;&#1089;&#1082;&#1080;&#1081;%20&#1089;&#10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9;&#1089;&#1090;&#1100;-&#1050;&#1072;&#1084;&#1077;&#1085;&#1089;&#1082;&#1080;&#1081;%20&#1089;&#10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3;&#1077;&#1084;&#1089;&#1082;&#1086;&#1081;%20&#1089;&#1089;.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63;&#1077;&#1084;&#1089;&#1082;&#1086;&#1081;%20&#1089;&#10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4;&#1072;&#1093;&#1090;&#1080;&#1085;&#1089;&#1082;&#1080;&#1081;%20&#1089;&#1089;.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64;&#1072;&#1093;&#1090;&#1080;&#1085;&#1089;&#1082;&#1080;&#1081;%20&#1089;&#1089;.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63;&#1077;&#1084;&#1089;&#1082;&#1086;&#1081;%20&#1089;&#1089;.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PREDEL.PRICE.NCZ.WARM/2025/&#1088;&#1072;&#1089;&#1095;&#1077;&#1090;&#1099;/&#1058;&#1086;&#1075;&#1091;&#1095;&#1080;&#1085;&#1089;&#1082;&#1080;&#1081;/&#1064;&#1072;&#1073;&#1083;&#1086;&#1085;%20&#1062;&#1040;&#1050;_&#1091;&#1075;&#1086;&#1083;&#1100;_&#1062;&#1055;%20(&#1073;&#1077;&#1079;%20&#1053;&#1044;&#1057;)_2&#1087;&#1075;2025&#1075;_&#1084;&#1077;&#1085;&#1077;&#1077;%2050%20&#1090;&#1099;&#1089;%20&#1064;&#1072;&#1093;&#1090;&#1080;&#1085;&#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Тогучин</v>
          </cell>
        </row>
        <row r="15">
          <cell r="D15" t="str">
            <v/>
          </cell>
          <cell r="E15"/>
        </row>
        <row r="16">
          <cell r="D16" t="str">
            <v>Код ОКТМО</v>
          </cell>
          <cell r="E16" t="str">
            <v>50652101001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511.51986894136371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103.13630999999999</v>
          </cell>
        </row>
        <row r="27">
          <cell r="F27">
            <v>1291.2863994686898</v>
          </cell>
        </row>
        <row r="28">
          <cell r="F28">
            <v>991.77142816335618</v>
          </cell>
        </row>
        <row r="29">
          <cell r="F29">
            <v>299.51497130533357</v>
          </cell>
        </row>
        <row r="30">
          <cell r="F30">
            <v>2382.5140537862999</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28.09</v>
          </cell>
        </row>
        <row r="18">
          <cell r="E18"/>
        </row>
        <row r="19">
          <cell r="E19">
            <v>22.67</v>
          </cell>
        </row>
      </sheetData>
      <sheetData sheetId="29"/>
      <sheetData sheetId="30">
        <row r="12">
          <cell r="F12">
            <v>105.57862079360046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Горный, Тогучинский муниципальный район</v>
          </cell>
        </row>
        <row r="15">
          <cell r="D15" t="str">
            <v/>
          </cell>
          <cell r="E15"/>
        </row>
        <row r="16">
          <cell r="D16" t="str">
            <v>Код ОКТМО</v>
          </cell>
          <cell r="E16" t="str">
            <v>50652153051</v>
          </cell>
        </row>
        <row r="17">
          <cell r="D17" t="str">
            <v>Система теплоснабжения</v>
          </cell>
          <cell r="E17"/>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sheetData sheetId="12"/>
      <sheetData sheetId="13">
        <row r="12">
          <cell r="F12">
            <v>2048.9815163049602</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287.67851105278851</v>
          </cell>
        </row>
        <row r="29">
          <cell r="F29">
            <v>0.34662649000000001</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row r="11">
          <cell r="E11">
            <v>-2.9000000000000026E-2</v>
          </cell>
          <cell r="F11">
            <v>0.245</v>
          </cell>
          <cell r="G11">
            <v>0.114</v>
          </cell>
          <cell r="H11">
            <v>0.04</v>
          </cell>
          <cell r="I11">
            <v>0.11700000000000001</v>
          </cell>
          <cell r="J11">
            <v>6.0999999999999999E-2</v>
          </cell>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row>
      </sheetData>
      <sheetData sheetId="20"/>
      <sheetData sheetId="21"/>
      <sheetData sheetId="22">
        <row r="12">
          <cell r="F12">
            <v>613.07519970048588</v>
          </cell>
        </row>
        <row r="14">
          <cell r="F14">
            <v>10275.733269206823</v>
          </cell>
        </row>
        <row r="15">
          <cell r="F15">
            <v>0.25</v>
          </cell>
        </row>
        <row r="18">
          <cell r="F18">
            <v>15</v>
          </cell>
        </row>
        <row r="19">
          <cell r="F19">
            <v>2924.0805304518653</v>
          </cell>
        </row>
        <row r="20">
          <cell r="F20">
            <v>2.1999999999999999E-2</v>
          </cell>
        </row>
        <row r="21">
          <cell r="F21">
            <v>10</v>
          </cell>
        </row>
        <row r="22">
          <cell r="F22">
            <v>0.86303553315836556</v>
          </cell>
        </row>
        <row r="23">
          <cell r="F23">
            <v>3.0000000000000001E-3</v>
          </cell>
        </row>
        <row r="24">
          <cell r="F24">
            <v>287.67851105278851</v>
          </cell>
        </row>
      </sheetData>
      <sheetData sheetId="23"/>
      <sheetData sheetId="24">
        <row r="12">
          <cell r="F12">
            <v>269.45127486552815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49.496079999999999</v>
          </cell>
        </row>
        <row r="27">
          <cell r="F27">
            <v>904.62444244124072</v>
          </cell>
        </row>
        <row r="28">
          <cell r="F28">
            <v>694.79603874135228</v>
          </cell>
        </row>
        <row r="29">
          <cell r="F29">
            <v>209.82840369988838</v>
          </cell>
        </row>
        <row r="30">
          <cell r="F30">
            <v>808.29858192931442</v>
          </cell>
        </row>
      </sheetData>
      <sheetData sheetId="25"/>
      <sheetData sheetId="26">
        <row r="8">
          <cell r="F8" t="str">
            <v>нет</v>
          </cell>
        </row>
        <row r="15">
          <cell r="D15" t="str">
            <v>АО "Новосибирскэнергосбыт"</v>
          </cell>
        </row>
        <row r="21">
          <cell r="D21"/>
        </row>
      </sheetData>
      <sheetData sheetId="27">
        <row r="11">
          <cell r="E11">
            <v>1871</v>
          </cell>
        </row>
        <row r="12">
          <cell r="E12">
            <v>61</v>
          </cell>
        </row>
        <row r="13">
          <cell r="E13">
            <v>73</v>
          </cell>
        </row>
        <row r="16">
          <cell r="E16"/>
        </row>
        <row r="17">
          <cell r="E17">
            <v>25.01</v>
          </cell>
        </row>
        <row r="18">
          <cell r="E18"/>
        </row>
        <row r="19">
          <cell r="E19">
            <v>16.12</v>
          </cell>
        </row>
      </sheetData>
      <sheetData sheetId="28"/>
      <sheetData sheetId="29">
        <row r="12">
          <cell r="F12">
            <v>82.651445401241958</v>
          </cell>
        </row>
        <row r="17">
          <cell r="F17">
            <v>0.02</v>
          </cell>
        </row>
      </sheetData>
      <sheetData sheetId="30">
        <row r="12">
          <cell r="F12">
            <v>0</v>
          </cell>
        </row>
        <row r="13">
          <cell r="F13">
            <v>0</v>
          </cell>
        </row>
        <row r="19">
          <cell r="F19">
            <v>0</v>
          </cell>
        </row>
      </sheetData>
      <sheetData sheetId="31">
        <row r="11">
          <cell r="E11" t="str">
            <v>да</v>
          </cell>
        </row>
        <row r="12">
          <cell r="E12"/>
        </row>
        <row r="17">
          <cell r="E17"/>
        </row>
        <row r="18">
          <cell r="E18" t="str">
            <v>да</v>
          </cell>
        </row>
        <row r="19">
          <cell r="E19"/>
        </row>
        <row r="22">
          <cell r="E22"/>
        </row>
        <row r="23">
          <cell r="E23"/>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Горный, Тогучинский муниципальный район</v>
          </cell>
        </row>
        <row r="15">
          <cell r="D15" t="str">
            <v/>
          </cell>
          <cell r="E15"/>
        </row>
        <row r="16">
          <cell r="D16" t="str">
            <v>Код ОКТМО</v>
          </cell>
          <cell r="E16" t="str">
            <v>50652153051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808.55576015759993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2916.666666666667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511.39629100168725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90.998550000000009</v>
          </cell>
        </row>
        <row r="27">
          <cell r="F27">
            <v>1291.2863994686898</v>
          </cell>
        </row>
        <row r="28">
          <cell r="F28">
            <v>991.77142816335618</v>
          </cell>
        </row>
        <row r="29">
          <cell r="F29">
            <v>299.51497130533357</v>
          </cell>
        </row>
        <row r="30">
          <cell r="F30">
            <v>2400.0885685191374</v>
          </cell>
        </row>
        <row r="33">
          <cell r="F33">
            <v>1195.3245718937135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25.01</v>
          </cell>
        </row>
        <row r="18">
          <cell r="E18"/>
        </row>
        <row r="19">
          <cell r="E19">
            <v>16.12</v>
          </cell>
        </row>
      </sheetData>
      <sheetData sheetId="29"/>
      <sheetData sheetId="30">
        <row r="12">
          <cell r="F12">
            <v>105.83117234187927</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Борцово, Тогучинский муниципальный район</v>
          </cell>
        </row>
        <row r="15">
          <cell r="D15" t="str">
            <v/>
          </cell>
          <cell r="E15"/>
        </row>
        <row r="16">
          <cell r="D16" t="str">
            <v>Код ОКТМО</v>
          </cell>
          <cell r="E16" t="str">
            <v>50652402101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509.42887112470947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78.159870000000012</v>
          </cell>
        </row>
        <row r="27">
          <cell r="F27">
            <v>1291.2863994686898</v>
          </cell>
        </row>
        <row r="28">
          <cell r="F28">
            <v>991.77142816335618</v>
          </cell>
        </row>
        <row r="29">
          <cell r="F29">
            <v>299.51497130533357</v>
          </cell>
        </row>
        <row r="30">
          <cell r="F30">
            <v>2380.4411640107382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21.01</v>
          </cell>
        </row>
        <row r="18">
          <cell r="E18"/>
        </row>
        <row r="19">
          <cell r="E19">
            <v>21.95</v>
          </cell>
        </row>
      </sheetData>
      <sheetData sheetId="29"/>
      <sheetData sheetId="30">
        <row r="12">
          <cell r="F12">
            <v>105.53680083726736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Буготак, Тогучинский муниципальный район</v>
          </cell>
        </row>
        <row r="15">
          <cell r="D15" t="str">
            <v/>
          </cell>
          <cell r="E15"/>
        </row>
        <row r="16">
          <cell r="D16" t="str">
            <v>Код ОКТМО</v>
          </cell>
          <cell r="E16" t="str">
            <v>50652404101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509.02370055222809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73.320210000000003</v>
          </cell>
        </row>
        <row r="27">
          <cell r="F27">
            <v>1291.2863994686898</v>
          </cell>
        </row>
        <row r="28">
          <cell r="F28">
            <v>991.77142816335618</v>
          </cell>
        </row>
        <row r="29">
          <cell r="F29">
            <v>299.51497130533357</v>
          </cell>
        </row>
        <row r="30">
          <cell r="F30">
            <v>2380.0395022154144</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19.63</v>
          </cell>
        </row>
        <row r="18">
          <cell r="E18"/>
        </row>
        <row r="19">
          <cell r="E19">
            <v>21.95</v>
          </cell>
        </row>
      </sheetData>
      <sheetData sheetId="29"/>
      <sheetData sheetId="30">
        <row r="12">
          <cell r="F12">
            <v>105.52869742581774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Пойменное, Тогучинский муниципальный район</v>
          </cell>
        </row>
        <row r="15">
          <cell r="D15" t="str">
            <v/>
          </cell>
          <cell r="E15"/>
        </row>
        <row r="16">
          <cell r="D16" t="str">
            <v>Код ОКТМО</v>
          </cell>
          <cell r="E16" t="str">
            <v>50652407101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508.50989729002333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67.182959999999994</v>
          </cell>
        </row>
        <row r="27">
          <cell r="F27">
            <v>1291.2863994686898</v>
          </cell>
        </row>
        <row r="28">
          <cell r="F28">
            <v>991.77142816335618</v>
          </cell>
        </row>
        <row r="29">
          <cell r="F29">
            <v>299.51497130533357</v>
          </cell>
        </row>
        <row r="30">
          <cell r="F30">
            <v>2379.5301484894599</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17.88</v>
          </cell>
        </row>
        <row r="18">
          <cell r="E18"/>
        </row>
        <row r="19">
          <cell r="E19">
            <v>21.95</v>
          </cell>
        </row>
      </sheetData>
      <sheetData sheetId="29"/>
      <sheetData sheetId="30">
        <row r="12">
          <cell r="F12">
            <v>105.51842136057365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Янченково, Тогучинский муниципальный район </v>
          </cell>
        </row>
        <row r="15">
          <cell r="D15" t="str">
            <v/>
          </cell>
          <cell r="E15"/>
        </row>
        <row r="16">
          <cell r="D16" t="str">
            <v>Код ОКТМО</v>
          </cell>
          <cell r="E16" t="str">
            <v>50652410101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509.61971233638559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80.439419999999998</v>
          </cell>
        </row>
        <row r="27">
          <cell r="F27">
            <v>1291.2863994686898</v>
          </cell>
        </row>
        <row r="28">
          <cell r="F28">
            <v>991.77142816335618</v>
          </cell>
        </row>
        <row r="29">
          <cell r="F29">
            <v>299.51497130533357</v>
          </cell>
        </row>
        <row r="30">
          <cell r="F30">
            <v>2380.6303525375206</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21.66</v>
          </cell>
        </row>
        <row r="18">
          <cell r="E18"/>
        </row>
        <row r="19">
          <cell r="E19">
            <v>21.95</v>
          </cell>
        </row>
      </sheetData>
      <sheetData sheetId="29"/>
      <sheetData sheetId="30">
        <row r="12">
          <cell r="F12">
            <v>105.54061766150089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Лист1"/>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Завьялово, Тогучинский муниципальный район</v>
          </cell>
        </row>
        <row r="15">
          <cell r="D15" t="str">
            <v/>
          </cell>
          <cell r="E15"/>
        </row>
        <row r="16">
          <cell r="D16" t="str">
            <v>Код ОКТМО</v>
          </cell>
          <cell r="E16" t="str">
            <v>50652413101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511.09065767561174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98.00949</v>
          </cell>
        </row>
        <row r="27">
          <cell r="F27">
            <v>1291.2863994686898</v>
          </cell>
        </row>
        <row r="28">
          <cell r="F28">
            <v>991.77142816335618</v>
          </cell>
        </row>
        <row r="29">
          <cell r="F29">
            <v>299.51497130533357</v>
          </cell>
        </row>
        <row r="30">
          <cell r="F30">
            <v>2382.0885594901092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26.67</v>
          </cell>
        </row>
        <row r="18">
          <cell r="E18"/>
        </row>
        <row r="19">
          <cell r="E19">
            <v>21.95</v>
          </cell>
        </row>
      </sheetData>
      <sheetData sheetId="29"/>
      <sheetData sheetId="30">
        <row r="12">
          <cell r="F12">
            <v>105.57003656828542</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Заречное, Тогучинский муниципальный район</v>
          </cell>
        </row>
        <row r="15">
          <cell r="D15" t="str">
            <v/>
          </cell>
          <cell r="E15"/>
        </row>
        <row r="16">
          <cell r="D16" t="str">
            <v>Код ОКТМО</v>
          </cell>
          <cell r="E16" t="str">
            <v>50652416101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510.37133310852505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89.417339999999996</v>
          </cell>
        </row>
        <row r="27">
          <cell r="F27">
            <v>1291.2863994686898</v>
          </cell>
        </row>
        <row r="28">
          <cell r="F28">
            <v>991.77142816335618</v>
          </cell>
        </row>
        <row r="29">
          <cell r="F29">
            <v>299.51497130533357</v>
          </cell>
        </row>
        <row r="30">
          <cell r="F30">
            <v>2381.3754642737736</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24.22</v>
          </cell>
        </row>
        <row r="18">
          <cell r="E18"/>
        </row>
        <row r="19">
          <cell r="E19">
            <v>21.95</v>
          </cell>
        </row>
      </sheetData>
      <sheetData sheetId="29"/>
      <sheetData sheetId="30">
        <row r="12">
          <cell r="F12">
            <v>105.55565007694368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Киик, Тогучинский муниципальный район</v>
          </cell>
        </row>
        <row r="15">
          <cell r="D15" t="str">
            <v/>
          </cell>
          <cell r="E15"/>
        </row>
        <row r="16">
          <cell r="D16" t="str">
            <v>Код ОКТМО</v>
          </cell>
          <cell r="E16" t="str">
            <v>50652422101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509.97203457332591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84.64782000000001</v>
          </cell>
        </row>
        <row r="27">
          <cell r="F27">
            <v>1291.2863994686898</v>
          </cell>
        </row>
        <row r="28">
          <cell r="F28">
            <v>991.77142816335618</v>
          </cell>
        </row>
        <row r="29">
          <cell r="F29">
            <v>299.51497130533357</v>
          </cell>
        </row>
        <row r="30">
          <cell r="F30">
            <v>2380.9796236638895</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22.86</v>
          </cell>
        </row>
        <row r="18">
          <cell r="E18"/>
        </row>
        <row r="19">
          <cell r="E19">
            <v>21.95</v>
          </cell>
        </row>
      </sheetData>
      <sheetData sheetId="29"/>
      <sheetData sheetId="30">
        <row r="12">
          <cell r="F12">
            <v>105.54766410623971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Березиково, Тогучинский муниципальный район</v>
          </cell>
        </row>
        <row r="15">
          <cell r="D15" t="str">
            <v/>
          </cell>
          <cell r="E15"/>
        </row>
        <row r="16">
          <cell r="D16" t="str">
            <v>Код ОКТМО</v>
          </cell>
          <cell r="E16" t="str">
            <v xml:space="preserve">50652425101
</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510.52694209650707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91.276049999999998</v>
          </cell>
        </row>
        <row r="27">
          <cell r="F27">
            <v>1291.2863994686898</v>
          </cell>
        </row>
        <row r="28">
          <cell r="F28">
            <v>991.77142816335618</v>
          </cell>
        </row>
        <row r="29">
          <cell r="F29">
            <v>299.51497130533357</v>
          </cell>
        </row>
        <row r="30">
          <cell r="F30">
            <v>2381.5297256879194</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24.75</v>
          </cell>
        </row>
        <row r="18">
          <cell r="E18"/>
        </row>
        <row r="19">
          <cell r="E19">
            <v>21.95</v>
          </cell>
        </row>
      </sheetData>
      <sheetData sheetId="29"/>
      <sheetData sheetId="30">
        <row r="12">
          <cell r="F12">
            <v>105.55876225670332</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Коурак, Тогучинский муниципальный район</v>
          </cell>
        </row>
        <row r="15">
          <cell r="D15" t="str">
            <v/>
          </cell>
          <cell r="E15"/>
        </row>
        <row r="16">
          <cell r="D16" t="str">
            <v>Код ОКТМО</v>
          </cell>
          <cell r="E16" t="str">
            <v>50652428101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511.06423350784121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97.693860000000001</v>
          </cell>
        </row>
        <row r="27">
          <cell r="F27">
            <v>1291.2863994686898</v>
          </cell>
        </row>
        <row r="28">
          <cell r="F28">
            <v>991.77142816335618</v>
          </cell>
        </row>
        <row r="29">
          <cell r="F29">
            <v>299.51497130533357</v>
          </cell>
        </row>
        <row r="30">
          <cell r="F30">
            <v>2382.0623641556317</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26.58</v>
          </cell>
        </row>
        <row r="18">
          <cell r="E18"/>
        </row>
        <row r="19">
          <cell r="E19">
            <v>21.95</v>
          </cell>
        </row>
      </sheetData>
      <sheetData sheetId="29"/>
      <sheetData sheetId="30">
        <row r="12">
          <cell r="F12">
            <v>105.56950808493001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Кудельный Ключ, Тогучинский муниципальный район </v>
          </cell>
        </row>
        <row r="15">
          <cell r="D15" t="str">
            <v/>
          </cell>
          <cell r="E15"/>
        </row>
        <row r="16">
          <cell r="D16" t="str">
            <v>Код ОКТМО</v>
          </cell>
          <cell r="E16" t="str">
            <v>50652431101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510.62676673030683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92.468430000000012</v>
          </cell>
        </row>
        <row r="27">
          <cell r="F27">
            <v>1291.2863994686898</v>
          </cell>
        </row>
        <row r="28">
          <cell r="F28">
            <v>991.77142816335618</v>
          </cell>
        </row>
        <row r="29">
          <cell r="F29">
            <v>299.51497130533357</v>
          </cell>
        </row>
        <row r="30">
          <cell r="F30">
            <v>2381.628685840391</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25.09</v>
          </cell>
        </row>
        <row r="18">
          <cell r="E18"/>
        </row>
        <row r="19">
          <cell r="E19">
            <v>21.95</v>
          </cell>
        </row>
      </sheetData>
      <sheetData sheetId="29"/>
      <sheetData sheetId="30">
        <row r="12">
          <cell r="F12">
            <v>105.56075874937932</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Кудрино, Тогучинский муниципальный район</v>
          </cell>
        </row>
        <row r="15">
          <cell r="D15" t="str">
            <v/>
          </cell>
          <cell r="E15"/>
        </row>
        <row r="16">
          <cell r="D16" t="str">
            <v>Код ОКТМО</v>
          </cell>
          <cell r="E16" t="str">
            <v xml:space="preserve">50652433101
</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510.79411979285351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94.467420000000004</v>
          </cell>
        </row>
        <row r="27">
          <cell r="F27">
            <v>1291.2863994686898</v>
          </cell>
        </row>
        <row r="28">
          <cell r="F28">
            <v>991.77142816335618</v>
          </cell>
        </row>
        <row r="29">
          <cell r="F29">
            <v>299.51497130533357</v>
          </cell>
        </row>
        <row r="30">
          <cell r="F30">
            <v>2381.7945896254159</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25.66</v>
          </cell>
        </row>
        <row r="18">
          <cell r="E18"/>
        </row>
        <row r="19">
          <cell r="E19">
            <v>21.95</v>
          </cell>
        </row>
      </sheetData>
      <sheetData sheetId="29"/>
      <sheetData sheetId="30">
        <row r="12">
          <cell r="F12">
            <v>105.56410581063025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Лебедево, Тогучинский муниципальный район</v>
          </cell>
        </row>
        <row r="15">
          <cell r="D15" t="str">
            <v/>
          </cell>
          <cell r="E15"/>
        </row>
        <row r="16">
          <cell r="D16" t="str">
            <v>Код ОКТМО</v>
          </cell>
          <cell r="E16" t="str">
            <v>50652435101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508.66550627800541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69.041669999999996</v>
          </cell>
        </row>
        <row r="27">
          <cell r="F27">
            <v>1291.2863994686898</v>
          </cell>
        </row>
        <row r="28">
          <cell r="F28">
            <v>991.77142816335618</v>
          </cell>
        </row>
        <row r="29">
          <cell r="F29">
            <v>299.51497130533357</v>
          </cell>
        </row>
        <row r="30">
          <cell r="F30">
            <v>2379.6844099036061</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18.41</v>
          </cell>
        </row>
        <row r="18">
          <cell r="E18"/>
        </row>
        <row r="19">
          <cell r="E19">
            <v>21.95</v>
          </cell>
        </row>
      </sheetData>
      <sheetData sheetId="29"/>
      <sheetData sheetId="30">
        <row r="12">
          <cell r="F12">
            <v>105.52153354033329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Лекарственное, Тогучинский муниципальный район</v>
          </cell>
        </row>
        <row r="15">
          <cell r="D15" t="str">
            <v/>
          </cell>
          <cell r="E15"/>
        </row>
        <row r="16">
          <cell r="D16" t="str">
            <v>Код ОКТМО</v>
          </cell>
          <cell r="E16" t="str">
            <v>50652437101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508.13995894123588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62.764140000000005</v>
          </cell>
        </row>
        <row r="27">
          <cell r="F27">
            <v>1291.2863994686898</v>
          </cell>
        </row>
        <row r="28">
          <cell r="F28">
            <v>991.77142816335618</v>
          </cell>
        </row>
        <row r="29">
          <cell r="F29">
            <v>299.51497130533357</v>
          </cell>
        </row>
        <row r="30">
          <cell r="F30">
            <v>2379.163413806773</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16.62</v>
          </cell>
        </row>
        <row r="18">
          <cell r="E18"/>
        </row>
        <row r="19">
          <cell r="E19">
            <v>21.95</v>
          </cell>
        </row>
      </sheetData>
      <sheetData sheetId="29"/>
      <sheetData sheetId="30">
        <row r="12">
          <cell r="F12">
            <v>105.5110225935979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Нечаевский, Тогучинский муниципальный район </v>
          </cell>
        </row>
        <row r="15">
          <cell r="D15" t="str">
            <v/>
          </cell>
          <cell r="E15"/>
        </row>
        <row r="16">
          <cell r="D16" t="str">
            <v>Код ОКТМО</v>
          </cell>
          <cell r="E16" t="str">
            <v>50652439101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507.92856559907165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60.239100000000008</v>
          </cell>
        </row>
        <row r="27">
          <cell r="F27">
            <v>1291.2863994686898</v>
          </cell>
        </row>
        <row r="28">
          <cell r="F28">
            <v>991.77142816335618</v>
          </cell>
        </row>
        <row r="29">
          <cell r="F29">
            <v>299.51497130533357</v>
          </cell>
        </row>
        <row r="30">
          <cell r="F30">
            <v>2378.953851130952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15.9</v>
          </cell>
        </row>
        <row r="18">
          <cell r="E18"/>
        </row>
        <row r="19">
          <cell r="E19">
            <v>21.95</v>
          </cell>
        </row>
      </sheetData>
      <sheetData sheetId="29"/>
      <sheetData sheetId="30">
        <row r="12">
          <cell r="F12">
            <v>105.50679472675462</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Репьево, Тогучинский муниципальный район</v>
          </cell>
        </row>
        <row r="15">
          <cell r="D15" t="str">
            <v/>
          </cell>
          <cell r="E15"/>
        </row>
        <row r="16">
          <cell r="D16" t="str">
            <v>Код ОКТМО</v>
          </cell>
          <cell r="E16" t="str">
            <v>50652438131</v>
          </cell>
        </row>
        <row r="17">
          <cell r="D17" t="str">
            <v>Система теплоснабжения</v>
          </cell>
          <cell r="E17"/>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sheetData sheetId="12"/>
      <sheetData sheetId="13">
        <row r="12">
          <cell r="F12">
            <v>2048.9815163049602</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287.67851105278851</v>
          </cell>
        </row>
        <row r="29">
          <cell r="F29">
            <v>0.34662649000000001</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row r="11">
          <cell r="E11">
            <v>-2.9000000000000026E-2</v>
          </cell>
          <cell r="F11">
            <v>0.245</v>
          </cell>
          <cell r="G11">
            <v>0.114</v>
          </cell>
          <cell r="H11">
            <v>0.04</v>
          </cell>
          <cell r="I11">
            <v>0.11700000000000001</v>
          </cell>
          <cell r="J11">
            <v>6.0999999999999999E-2</v>
          </cell>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row>
      </sheetData>
      <sheetData sheetId="20"/>
      <sheetData sheetId="21"/>
      <sheetData sheetId="22">
        <row r="12">
          <cell r="F12">
            <v>613.07519970048588</v>
          </cell>
        </row>
        <row r="14">
          <cell r="F14">
            <v>10275.733269206823</v>
          </cell>
        </row>
        <row r="15">
          <cell r="F15">
            <v>0.25</v>
          </cell>
        </row>
        <row r="18">
          <cell r="F18">
            <v>15</v>
          </cell>
        </row>
        <row r="19">
          <cell r="F19">
            <v>2924.0805304518653</v>
          </cell>
        </row>
        <row r="20">
          <cell r="F20">
            <v>2.1999999999999999E-2</v>
          </cell>
        </row>
        <row r="21">
          <cell r="F21">
            <v>10</v>
          </cell>
        </row>
        <row r="22">
          <cell r="F22">
            <v>0.86303553315836556</v>
          </cell>
        </row>
        <row r="23">
          <cell r="F23">
            <v>3.0000000000000001E-3</v>
          </cell>
        </row>
        <row r="24">
          <cell r="F24">
            <v>287.67851105278851</v>
          </cell>
        </row>
      </sheetData>
      <sheetData sheetId="23"/>
      <sheetData sheetId="24">
        <row r="12">
          <cell r="F12">
            <v>269.71091522334075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52.703749999999999</v>
          </cell>
        </row>
        <row r="27">
          <cell r="F27">
            <v>904.62444244124072</v>
          </cell>
        </row>
        <row r="28">
          <cell r="F28">
            <v>694.79603874135228</v>
          </cell>
        </row>
        <row r="29">
          <cell r="F29">
            <v>209.82840369988838</v>
          </cell>
        </row>
        <row r="30">
          <cell r="F30">
            <v>808.56479866582197</v>
          </cell>
        </row>
      </sheetData>
      <sheetData sheetId="25"/>
      <sheetData sheetId="26">
        <row r="8">
          <cell r="F8" t="str">
            <v>нет</v>
          </cell>
        </row>
        <row r="15">
          <cell r="D15" t="str">
            <v>АО "Новосибирскэнергосбыт"</v>
          </cell>
        </row>
        <row r="21">
          <cell r="D21"/>
        </row>
      </sheetData>
      <sheetData sheetId="27">
        <row r="11">
          <cell r="E11">
            <v>1871</v>
          </cell>
        </row>
        <row r="12">
          <cell r="E12">
            <v>61</v>
          </cell>
        </row>
        <row r="13">
          <cell r="E13">
            <v>73</v>
          </cell>
        </row>
        <row r="16">
          <cell r="E16"/>
        </row>
        <row r="17">
          <cell r="E17">
            <v>26.45</v>
          </cell>
        </row>
        <row r="18">
          <cell r="E18"/>
        </row>
        <row r="19">
          <cell r="E19">
            <v>21.95</v>
          </cell>
        </row>
      </sheetData>
      <sheetData sheetId="28"/>
      <sheetData sheetId="29">
        <row r="12">
          <cell r="F12">
            <v>82.656638208398221</v>
          </cell>
        </row>
        <row r="17">
          <cell r="F17">
            <v>0.02</v>
          </cell>
        </row>
      </sheetData>
      <sheetData sheetId="30">
        <row r="12">
          <cell r="F12">
            <v>0</v>
          </cell>
        </row>
        <row r="13">
          <cell r="F13">
            <v>0</v>
          </cell>
        </row>
        <row r="19">
          <cell r="F19">
            <v>0</v>
          </cell>
        </row>
      </sheetData>
      <sheetData sheetId="31">
        <row r="11">
          <cell r="E11" t="str">
            <v>да</v>
          </cell>
        </row>
        <row r="12">
          <cell r="E12"/>
        </row>
        <row r="17">
          <cell r="E17"/>
        </row>
        <row r="18">
          <cell r="E18" t="str">
            <v>да</v>
          </cell>
        </row>
        <row r="19">
          <cell r="E19"/>
        </row>
        <row r="22">
          <cell r="E22"/>
        </row>
        <row r="23">
          <cell r="E23"/>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Лист1"/>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Степногутово, Тогучинский муниципальный район </v>
          </cell>
        </row>
        <row r="15">
          <cell r="D15" t="str">
            <v/>
          </cell>
          <cell r="E15"/>
        </row>
        <row r="16">
          <cell r="D16" t="str">
            <v>Код ОКТМО</v>
          </cell>
          <cell r="E16" t="str">
            <v xml:space="preserve">50652441101
</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510.45354163047779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90.399299999999997</v>
          </cell>
        </row>
        <row r="27">
          <cell r="F27">
            <v>1291.2863994686898</v>
          </cell>
        </row>
        <row r="28">
          <cell r="F28">
            <v>991.77142816335618</v>
          </cell>
        </row>
        <row r="29">
          <cell r="F29">
            <v>299.51497130533357</v>
          </cell>
        </row>
        <row r="30">
          <cell r="F30">
            <v>2381.4569608699262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24.5</v>
          </cell>
        </row>
        <row r="18">
          <cell r="E18"/>
        </row>
        <row r="19">
          <cell r="E19">
            <v>21.95</v>
          </cell>
        </row>
      </sheetData>
      <sheetData sheetId="29"/>
      <sheetData sheetId="30">
        <row r="12">
          <cell r="F12">
            <v>105.55729424738274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Сурково, Тогучинский муниципальный район
</v>
          </cell>
        </row>
        <row r="15">
          <cell r="D15" t="str">
            <v/>
          </cell>
          <cell r="E15"/>
        </row>
        <row r="16">
          <cell r="D16" t="str">
            <v>Код ОКТМО</v>
          </cell>
          <cell r="E16" t="str">
            <v xml:space="preserve">50652443101
</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511.06455247650462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97.697670000000016</v>
          </cell>
        </row>
        <row r="27">
          <cell r="F27">
            <v>1291.2863994686898</v>
          </cell>
        </row>
        <row r="28">
          <cell r="F28">
            <v>991.77142816335618</v>
          </cell>
        </row>
        <row r="29">
          <cell r="F29">
            <v>299.51497130533357</v>
          </cell>
        </row>
        <row r="30">
          <cell r="F30">
            <v>2382.0626803620262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26.05</v>
          </cell>
        </row>
        <row r="18">
          <cell r="E18"/>
        </row>
        <row r="19">
          <cell r="E19">
            <v>31.08</v>
          </cell>
        </row>
      </sheetData>
      <sheetData sheetId="29"/>
      <sheetData sheetId="30">
        <row r="12">
          <cell r="F12">
            <v>105.56951446430328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Усть-Каменка, Тогучинский муниципальный район</v>
          </cell>
        </row>
        <row r="15">
          <cell r="D15" t="str">
            <v/>
          </cell>
          <cell r="E15"/>
        </row>
        <row r="16">
          <cell r="D16" t="str">
            <v>Код ОКТМО</v>
          </cell>
          <cell r="E16" t="str">
            <v>50652446101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509.71985593884864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81.635609999999986</v>
          </cell>
        </row>
        <row r="27">
          <cell r="F27">
            <v>1291.2863994686898</v>
          </cell>
        </row>
        <row r="28">
          <cell r="F28">
            <v>991.77142816335618</v>
          </cell>
        </row>
        <row r="29">
          <cell r="F29">
            <v>299.51497130533357</v>
          </cell>
        </row>
        <row r="30">
          <cell r="F30">
            <v>2380.7296288963862</v>
          </cell>
        </row>
        <row r="33">
          <cell r="F33">
            <v>1176.7426982817792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21.47</v>
          </cell>
        </row>
        <row r="18">
          <cell r="E18"/>
        </row>
        <row r="19">
          <cell r="E19">
            <v>31.08</v>
          </cell>
        </row>
      </sheetData>
      <sheetData sheetId="29"/>
      <sheetData sheetId="30">
        <row r="12">
          <cell r="F12">
            <v>105.54262053355016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615.31344182452472</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1995.7547752524574</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474.50505308689605</v>
          </cell>
        </row>
      </sheetData>
      <sheetData sheetId="24"/>
      <sheetData sheetId="25">
        <row r="12">
          <cell r="F12">
            <v>435.54240657558029</v>
          </cell>
        </row>
      </sheetData>
      <sheetData sheetId="26"/>
      <sheetData sheetId="27">
        <row r="8">
          <cell r="F8" t="str">
            <v>нет</v>
          </cell>
        </row>
      </sheetData>
      <sheetData sheetId="28">
        <row r="11">
          <cell r="E11">
            <v>1871</v>
          </cell>
        </row>
      </sheetData>
      <sheetData sheetId="29"/>
      <sheetData sheetId="30">
        <row r="12">
          <cell r="F12">
            <v>70.422313534789168</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615.31344182452472</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1995.7547752524574</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474.50505308689605</v>
          </cell>
        </row>
      </sheetData>
      <sheetData sheetId="24"/>
      <sheetData sheetId="25">
        <row r="12">
          <cell r="F12">
            <v>435.54240657558029</v>
          </cell>
        </row>
      </sheetData>
      <sheetData sheetId="26"/>
      <sheetData sheetId="27">
        <row r="8">
          <cell r="F8" t="str">
            <v>нет</v>
          </cell>
        </row>
      </sheetData>
      <sheetData sheetId="28">
        <row r="11">
          <cell r="E11">
            <v>1871</v>
          </cell>
        </row>
      </sheetData>
      <sheetData sheetId="29"/>
      <sheetData sheetId="30">
        <row r="12">
          <cell r="F12">
            <v>70.422313534789168</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Чемское, Тогучинский муниципальный район</v>
          </cell>
        </row>
        <row r="15">
          <cell r="D15" t="str">
            <v/>
          </cell>
        </row>
        <row r="16">
          <cell r="D16" t="str">
            <v>Код ОКТМО</v>
          </cell>
          <cell r="E16" t="str">
            <v>50652449101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refreshError="1"/>
      <sheetData sheetId="10" refreshError="1"/>
      <sheetData sheetId="11"/>
      <sheetData sheetId="12" refreshError="1"/>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507.03307991351483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49.542749999999998</v>
          </cell>
        </row>
        <row r="27">
          <cell r="F27">
            <v>1291.2863994686898</v>
          </cell>
        </row>
        <row r="28">
          <cell r="F28">
            <v>991.77142816335618</v>
          </cell>
        </row>
        <row r="29">
          <cell r="F29">
            <v>299.51497130533357</v>
          </cell>
        </row>
        <row r="30">
          <cell r="F30">
            <v>2378.0661203514319</v>
          </cell>
        </row>
        <row r="33">
          <cell r="F33">
            <v>1176.7426982817792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12.85</v>
          </cell>
        </row>
        <row r="19">
          <cell r="E19">
            <v>21.95</v>
          </cell>
        </row>
      </sheetData>
      <sheetData sheetId="29" refreshError="1"/>
      <sheetData sheetId="30">
        <row r="12">
          <cell r="F12">
            <v>105.48888501304347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Шахта, Тогучинский муниципальный район</v>
          </cell>
        </row>
        <row r="15">
          <cell r="D15" t="str">
            <v/>
          </cell>
        </row>
        <row r="16">
          <cell r="D16" t="str">
            <v>Код ОКТМО</v>
          </cell>
          <cell r="E16" t="str">
            <v>50652452101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795.80460480398301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2870.67</v>
          </cell>
        </row>
      </sheetData>
      <sheetData sheetId="9"/>
      <sheetData sheetId="10"/>
      <sheetData sheetId="11"/>
      <sheetData sheetId="12"/>
      <sheetData sheetId="13">
        <row r="12">
          <cell r="F12">
            <v>3056.1591261705735</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2416.4994928434235</v>
          </cell>
        </row>
        <row r="27">
          <cell r="F27">
            <v>0.34662649000000001</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sheetData sheetId="23">
        <row r="12">
          <cell r="F12">
            <v>915.44743976410246</v>
          </cell>
        </row>
        <row r="14">
          <cell r="F14">
            <v>14863.184658749575</v>
          </cell>
        </row>
        <row r="15">
          <cell r="F15">
            <v>0.25</v>
          </cell>
        </row>
        <row r="18">
          <cell r="F18">
            <v>15</v>
          </cell>
        </row>
        <row r="19">
          <cell r="F19">
            <v>4187.478806422544</v>
          </cell>
        </row>
        <row r="20">
          <cell r="F20">
            <v>2.1999999999999999E-2</v>
          </cell>
        </row>
        <row r="21">
          <cell r="F21">
            <v>10</v>
          </cell>
        </row>
        <row r="22">
          <cell r="F22">
            <v>7.2494984785302705</v>
          </cell>
        </row>
        <row r="23">
          <cell r="F23">
            <v>3.0000000000000001E-3</v>
          </cell>
        </row>
        <row r="24">
          <cell r="F24">
            <v>2416.4994928434235</v>
          </cell>
        </row>
      </sheetData>
      <sheetData sheetId="24"/>
      <sheetData sheetId="25">
        <row r="12">
          <cell r="F12">
            <v>509.39102185103758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77.707770000000025</v>
          </cell>
        </row>
        <row r="27">
          <cell r="F27">
            <v>1291.2863994686898</v>
          </cell>
        </row>
        <row r="28">
          <cell r="F28">
            <v>991.77142816335618</v>
          </cell>
        </row>
        <row r="29">
          <cell r="F29">
            <v>299.51497130533357</v>
          </cell>
        </row>
        <row r="30">
          <cell r="F30">
            <v>2380.4036425117756</v>
          </cell>
        </row>
        <row r="33">
          <cell r="F33">
            <v>1176.7426982817792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31.08</v>
          </cell>
        </row>
      </sheetData>
      <sheetData sheetId="29"/>
      <sheetData sheetId="30">
        <row r="12">
          <cell r="F12">
            <v>105.53604385179393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13.vml"/><Relationship Id="rId1" Type="http://schemas.openxmlformats.org/officeDocument/2006/relationships/drawing" Target="../drawings/drawing13.xml"/><Relationship Id="rId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ctrlProp" Target="../ctrlProps/ctrlProp31.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32.xml"/><Relationship Id="rId2" Type="http://schemas.openxmlformats.org/officeDocument/2006/relationships/vmlDrawing" Target="../drawings/vmlDrawing15.vml"/><Relationship Id="rId1" Type="http://schemas.openxmlformats.org/officeDocument/2006/relationships/drawing" Target="../drawings/drawing15.xml"/><Relationship Id="rId4" Type="http://schemas.openxmlformats.org/officeDocument/2006/relationships/ctrlProp" Target="../ctrlProps/ctrlProp3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16.vml"/><Relationship Id="rId1" Type="http://schemas.openxmlformats.org/officeDocument/2006/relationships/drawing" Target="../drawings/drawing16.xml"/><Relationship Id="rId4"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36.xml"/><Relationship Id="rId2" Type="http://schemas.openxmlformats.org/officeDocument/2006/relationships/vmlDrawing" Target="../drawings/vmlDrawing17.vml"/><Relationship Id="rId1" Type="http://schemas.openxmlformats.org/officeDocument/2006/relationships/drawing" Target="../drawings/drawing17.xml"/><Relationship Id="rId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38.xml"/><Relationship Id="rId2" Type="http://schemas.openxmlformats.org/officeDocument/2006/relationships/vmlDrawing" Target="../drawings/vmlDrawing18.vml"/><Relationship Id="rId1" Type="http://schemas.openxmlformats.org/officeDocument/2006/relationships/drawing" Target="../drawings/drawing18.xml"/><Relationship Id="rId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40.xml"/><Relationship Id="rId2" Type="http://schemas.openxmlformats.org/officeDocument/2006/relationships/vmlDrawing" Target="../drawings/vmlDrawing19.vml"/><Relationship Id="rId1" Type="http://schemas.openxmlformats.org/officeDocument/2006/relationships/drawing" Target="../drawings/drawing19.xml"/><Relationship Id="rId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20.vml"/><Relationship Id="rId1" Type="http://schemas.openxmlformats.org/officeDocument/2006/relationships/drawing" Target="../drawings/drawing20.xml"/><Relationship Id="rId4" Type="http://schemas.openxmlformats.org/officeDocument/2006/relationships/ctrlProp" Target="../ctrlProps/ctrlProp43.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44.xml"/><Relationship Id="rId2" Type="http://schemas.openxmlformats.org/officeDocument/2006/relationships/vmlDrawing" Target="../drawings/vmlDrawing21.vml"/><Relationship Id="rId1" Type="http://schemas.openxmlformats.org/officeDocument/2006/relationships/drawing" Target="../drawings/drawing21.xml"/><Relationship Id="rId4" Type="http://schemas.openxmlformats.org/officeDocument/2006/relationships/ctrlProp" Target="../ctrlProps/ctrlProp45.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46.xml"/><Relationship Id="rId2" Type="http://schemas.openxmlformats.org/officeDocument/2006/relationships/vmlDrawing" Target="../drawings/vmlDrawing22.vml"/><Relationship Id="rId1" Type="http://schemas.openxmlformats.org/officeDocument/2006/relationships/drawing" Target="../drawings/drawing22.xml"/><Relationship Id="rId4" Type="http://schemas.openxmlformats.org/officeDocument/2006/relationships/ctrlProp" Target="../ctrlProps/ctrlProp47.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48.xml"/><Relationship Id="rId2" Type="http://schemas.openxmlformats.org/officeDocument/2006/relationships/vmlDrawing" Target="../drawings/vmlDrawing23.vml"/><Relationship Id="rId1" Type="http://schemas.openxmlformats.org/officeDocument/2006/relationships/drawing" Target="../drawings/drawing23.xml"/><Relationship Id="rId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[5]И1!D13</f>
        <v>Субъект Российской Федерации</v>
      </c>
      <c r="C4" s="10" t="str">
        <f>[5]И1!E13</f>
        <v>Новосибирская область</v>
      </c>
    </row>
    <row r="5" spans="1:3" ht="46.9" customHeight="1">
      <c r="A5" s="8"/>
      <c r="B5" s="9" t="str">
        <f>[5]И1!D14</f>
        <v>Тип муниципального образования (выберите из списка)</v>
      </c>
      <c r="C5" s="10" t="str">
        <f>[5]И1!E14</f>
        <v>город Тогучин</v>
      </c>
    </row>
    <row r="6" spans="1:3">
      <c r="A6" s="8"/>
      <c r="B6" s="9" t="str">
        <f>IF([5]И1!E15="","",[5]И1!D15)</f>
        <v/>
      </c>
      <c r="C6" s="10" t="str">
        <f>IF([5]И1!E15="","",[5]И1!E15)</f>
        <v/>
      </c>
    </row>
    <row r="7" spans="1:3">
      <c r="A7" s="8"/>
      <c r="B7" s="9" t="str">
        <f>[5]И1!D16</f>
        <v>Код ОКТМО</v>
      </c>
      <c r="C7" s="11" t="str">
        <f>[5]И1!E16</f>
        <v>50652101001</v>
      </c>
    </row>
    <row r="8" spans="1:3">
      <c r="A8" s="8"/>
      <c r="B8" s="12" t="str">
        <f>[5]И1!D17</f>
        <v>Система теплоснабжения</v>
      </c>
      <c r="C8" s="13">
        <f>[5]И1!E17</f>
        <v>0</v>
      </c>
    </row>
    <row r="9" spans="1:3">
      <c r="A9" s="8"/>
      <c r="B9" s="9" t="str">
        <f>[5]И1!D8</f>
        <v>Период регулирования (i)-й</v>
      </c>
      <c r="C9" s="14">
        <f>[5]И1!E8</f>
        <v>2025</v>
      </c>
    </row>
    <row r="10" spans="1:3">
      <c r="A10" s="8"/>
      <c r="B10" s="9" t="str">
        <f>[5]И1!D9</f>
        <v>Период регулирования (i-1)-й</v>
      </c>
      <c r="C10" s="14">
        <f>[5]И1!E9</f>
        <v>2024</v>
      </c>
    </row>
    <row r="11" spans="1:3">
      <c r="A11" s="8"/>
      <c r="B11" s="9" t="str">
        <f>[5]И1!D10</f>
        <v>Период регулирования (i-2)-й</v>
      </c>
      <c r="C11" s="14">
        <f>[5]И1!E10</f>
        <v>2023</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5384.5096604736236</v>
      </c>
    </row>
    <row r="18" spans="1:3" ht="42.75">
      <c r="A18" s="22" t="s">
        <v>8</v>
      </c>
      <c r="B18" s="25" t="s">
        <v>9</v>
      </c>
      <c r="C18" s="26">
        <f>[5]С1!F12</f>
        <v>795.80460480398301</v>
      </c>
    </row>
    <row r="19" spans="1:3" ht="42.75">
      <c r="A19" s="22" t="s">
        <v>10</v>
      </c>
      <c r="B19" s="25" t="s">
        <v>11</v>
      </c>
      <c r="C19" s="26">
        <f>[5]С2!F12</f>
        <v>3056.1591261705735</v>
      </c>
    </row>
    <row r="20" spans="1:3" ht="30">
      <c r="A20" s="22" t="s">
        <v>12</v>
      </c>
      <c r="B20" s="25" t="s">
        <v>13</v>
      </c>
      <c r="C20" s="26">
        <f>[5]С3!F12</f>
        <v>915.44743976410246</v>
      </c>
    </row>
    <row r="21" spans="1:3" ht="42.75">
      <c r="A21" s="22" t="s">
        <v>14</v>
      </c>
      <c r="B21" s="25" t="s">
        <v>15</v>
      </c>
      <c r="C21" s="26">
        <f>[5]С4!F12</f>
        <v>511.51986894136371</v>
      </c>
    </row>
    <row r="22" spans="1:3" ht="30">
      <c r="A22" s="22" t="s">
        <v>16</v>
      </c>
      <c r="B22" s="25" t="s">
        <v>17</v>
      </c>
      <c r="C22" s="26">
        <f>[5]С5!F12</f>
        <v>105.57862079360046</v>
      </c>
    </row>
    <row r="23" spans="1:3" ht="43.5" thickBot="1">
      <c r="A23" s="27" t="s">
        <v>18</v>
      </c>
      <c r="B23" s="140" t="s">
        <v>19</v>
      </c>
      <c r="C23" s="28" t="str">
        <f>[5]С6!F12</f>
        <v>-</v>
      </c>
    </row>
    <row r="24" spans="1:3" ht="13.5" thickBot="1">
      <c r="A24" s="3"/>
    </row>
    <row r="25" spans="1:3">
      <c r="A25" s="16" t="s">
        <v>4</v>
      </c>
      <c r="B25" s="29" t="s">
        <v>5</v>
      </c>
      <c r="C25" s="30" t="s">
        <v>6</v>
      </c>
    </row>
    <row r="26" spans="1:3">
      <c r="A26" s="19">
        <v>1</v>
      </c>
      <c r="B26" s="31">
        <v>2</v>
      </c>
      <c r="C26" s="32">
        <v>3</v>
      </c>
    </row>
    <row r="27" spans="1:3" ht="30" customHeight="1">
      <c r="A27" s="22">
        <v>1</v>
      </c>
      <c r="B27" s="145" t="s">
        <v>20</v>
      </c>
      <c r="C27" s="145"/>
    </row>
    <row r="28" spans="1:3">
      <c r="A28" s="22" t="s">
        <v>8</v>
      </c>
      <c r="B28" s="33" t="s">
        <v>21</v>
      </c>
      <c r="C28" s="34">
        <f>[5]С1.1!E16</f>
        <v>5100</v>
      </c>
    </row>
    <row r="29" spans="1:3" ht="42.75">
      <c r="A29" s="22" t="s">
        <v>10</v>
      </c>
      <c r="B29" s="33" t="s">
        <v>22</v>
      </c>
      <c r="C29" s="34">
        <f>[5]С1.1!E27</f>
        <v>2870.67</v>
      </c>
    </row>
    <row r="30" spans="1:3" ht="17.25">
      <c r="A30" s="22" t="s">
        <v>12</v>
      </c>
      <c r="B30" s="33" t="s">
        <v>23</v>
      </c>
      <c r="C30" s="35">
        <f>[5]С1.1!E19</f>
        <v>1.4E-2</v>
      </c>
    </row>
    <row r="31" spans="1:3" ht="17.25">
      <c r="A31" s="22" t="s">
        <v>14</v>
      </c>
      <c r="B31" s="33" t="s">
        <v>24</v>
      </c>
      <c r="C31" s="35">
        <f>[5]С1.1!E20</f>
        <v>0.04</v>
      </c>
    </row>
    <row r="32" spans="1:3" ht="30">
      <c r="A32" s="22" t="s">
        <v>16</v>
      </c>
      <c r="B32" s="36" t="s">
        <v>25</v>
      </c>
      <c r="C32" s="37">
        <f>[5]С1!F13</f>
        <v>176.4</v>
      </c>
    </row>
    <row r="33" spans="1:3">
      <c r="A33" s="22" t="s">
        <v>18</v>
      </c>
      <c r="B33" s="36" t="s">
        <v>26</v>
      </c>
      <c r="C33" s="38">
        <f>[5]С1!F16</f>
        <v>7000</v>
      </c>
    </row>
    <row r="34" spans="1:3" ht="14.25">
      <c r="A34" s="22" t="s">
        <v>27</v>
      </c>
      <c r="B34" s="39" t="s">
        <v>28</v>
      </c>
      <c r="C34" s="40">
        <f>[5]С1!F17</f>
        <v>0.72857142857142854</v>
      </c>
    </row>
    <row r="35" spans="1:3" ht="15.75">
      <c r="A35" s="41" t="s">
        <v>29</v>
      </c>
      <c r="B35" s="42" t="s">
        <v>30</v>
      </c>
      <c r="C35" s="40">
        <f>[5]С1!F20</f>
        <v>21.588411179999994</v>
      </c>
    </row>
    <row r="36" spans="1:3" ht="15.75">
      <c r="A36" s="41" t="s">
        <v>31</v>
      </c>
      <c r="B36" s="43" t="s">
        <v>32</v>
      </c>
      <c r="C36" s="40">
        <f>[5]С1!F21</f>
        <v>20.818139999999996</v>
      </c>
    </row>
    <row r="37" spans="1:3" ht="14.25">
      <c r="A37" s="41" t="s">
        <v>33</v>
      </c>
      <c r="B37" s="44" t="s">
        <v>34</v>
      </c>
      <c r="C37" s="40">
        <f>[5]С1!F22</f>
        <v>1.0369999999999999</v>
      </c>
    </row>
    <row r="38" spans="1:3" ht="53.25" thickBot="1">
      <c r="A38" s="27" t="s">
        <v>35</v>
      </c>
      <c r="B38" s="45" t="s">
        <v>36</v>
      </c>
      <c r="C38" s="46">
        <f>[5]С1!F23</f>
        <v>1.0469999999999999</v>
      </c>
    </row>
    <row r="39" spans="1:3" ht="13.5" thickBot="1">
      <c r="A39" s="47"/>
      <c r="B39" s="48"/>
      <c r="C39" s="49"/>
    </row>
    <row r="40" spans="1:3" ht="38.25" customHeight="1">
      <c r="A40" s="50" t="s">
        <v>37</v>
      </c>
      <c r="B40" s="146" t="s">
        <v>38</v>
      </c>
      <c r="C40" s="146"/>
    </row>
    <row r="41" spans="1:3" ht="25.5">
      <c r="A41" s="22" t="s">
        <v>39</v>
      </c>
      <c r="B41" s="36" t="s">
        <v>40</v>
      </c>
      <c r="C41" s="51" t="str">
        <f>[5]С2.1!E12</f>
        <v>V</v>
      </c>
    </row>
    <row r="42" spans="1:3" ht="25.5">
      <c r="A42" s="22" t="s">
        <v>41</v>
      </c>
      <c r="B42" s="33" t="s">
        <v>42</v>
      </c>
      <c r="C42" s="51" t="str">
        <f>[5]С2.1!E13</f>
        <v>6 и менее баллов</v>
      </c>
    </row>
    <row r="43" spans="1:3" ht="25.5">
      <c r="A43" s="22" t="s">
        <v>43</v>
      </c>
      <c r="B43" s="33" t="s">
        <v>44</v>
      </c>
      <c r="C43" s="51" t="str">
        <f>[5]С2.1!E14</f>
        <v>от 200 до 500</v>
      </c>
    </row>
    <row r="44" spans="1:3" ht="25.5">
      <c r="A44" s="22" t="s">
        <v>45</v>
      </c>
      <c r="B44" s="33" t="s">
        <v>46</v>
      </c>
      <c r="C44" s="52" t="str">
        <f>[5]С2.1!E15</f>
        <v>нет</v>
      </c>
    </row>
    <row r="45" spans="1:3" ht="30">
      <c r="A45" s="22" t="s">
        <v>47</v>
      </c>
      <c r="B45" s="33" t="s">
        <v>48</v>
      </c>
      <c r="C45" s="34">
        <f>[5]С2!F18</f>
        <v>38910.02669467502</v>
      </c>
    </row>
    <row r="46" spans="1:3" ht="30">
      <c r="A46" s="22" t="s">
        <v>49</v>
      </c>
      <c r="B46" s="53" t="s">
        <v>50</v>
      </c>
      <c r="C46" s="34">
        <f>IF([5]С2!F19&gt;0,[5]С2!F19,[5]С2!F20)</f>
        <v>23441.524932855718</v>
      </c>
    </row>
    <row r="47" spans="1:3" ht="25.5">
      <c r="A47" s="22" t="s">
        <v>51</v>
      </c>
      <c r="B47" s="54" t="s">
        <v>52</v>
      </c>
      <c r="C47" s="34">
        <f>[5]С2.1!E19</f>
        <v>-38</v>
      </c>
    </row>
    <row r="48" spans="1:3" ht="25.5">
      <c r="A48" s="22" t="s">
        <v>53</v>
      </c>
      <c r="B48" s="54" t="s">
        <v>54</v>
      </c>
      <c r="C48" s="34" t="str">
        <f>[5]С2.1!E22</f>
        <v>нет</v>
      </c>
    </row>
    <row r="49" spans="1:3" ht="38.25">
      <c r="A49" s="22" t="s">
        <v>55</v>
      </c>
      <c r="B49" s="55" t="s">
        <v>56</v>
      </c>
      <c r="C49" s="34">
        <f>[5]С2.2!E10</f>
        <v>1287</v>
      </c>
    </row>
    <row r="50" spans="1:3" ht="25.5">
      <c r="A50" s="22" t="s">
        <v>57</v>
      </c>
      <c r="B50" s="56" t="s">
        <v>58</v>
      </c>
      <c r="C50" s="34">
        <f>[5]С2.2!E12</f>
        <v>5.97</v>
      </c>
    </row>
    <row r="51" spans="1:3" ht="52.5">
      <c r="A51" s="22" t="s">
        <v>59</v>
      </c>
      <c r="B51" s="57" t="s">
        <v>60</v>
      </c>
      <c r="C51" s="34">
        <f>[5]С2.2!E13</f>
        <v>1</v>
      </c>
    </row>
    <row r="52" spans="1:3" ht="27.75">
      <c r="A52" s="22" t="s">
        <v>61</v>
      </c>
      <c r="B52" s="56" t="s">
        <v>62</v>
      </c>
      <c r="C52" s="34">
        <f>[5]С2.2!E14</f>
        <v>12104</v>
      </c>
    </row>
    <row r="53" spans="1:3" ht="25.5">
      <c r="A53" s="22" t="s">
        <v>63</v>
      </c>
      <c r="B53" s="57" t="s">
        <v>64</v>
      </c>
      <c r="C53" s="35">
        <f>[5]С2.2!E15</f>
        <v>4.8000000000000001E-2</v>
      </c>
    </row>
    <row r="54" spans="1:3">
      <c r="A54" s="22" t="s">
        <v>65</v>
      </c>
      <c r="B54" s="57" t="s">
        <v>66</v>
      </c>
      <c r="C54" s="34">
        <f>[5]С2.2!E16</f>
        <v>1</v>
      </c>
    </row>
    <row r="55" spans="1:3" ht="15.75">
      <c r="A55" s="22" t="s">
        <v>67</v>
      </c>
      <c r="B55" s="58" t="s">
        <v>68</v>
      </c>
      <c r="C55" s="34">
        <f>[5]С2!F21</f>
        <v>1</v>
      </c>
    </row>
    <row r="56" spans="1:3" ht="30">
      <c r="A56" s="59" t="s">
        <v>69</v>
      </c>
      <c r="B56" s="33" t="s">
        <v>70</v>
      </c>
      <c r="C56" s="34">
        <f>[5]С2!F13</f>
        <v>203708.97017230222</v>
      </c>
    </row>
    <row r="57" spans="1:3" ht="30">
      <c r="A57" s="59" t="s">
        <v>71</v>
      </c>
      <c r="B57" s="58" t="s">
        <v>72</v>
      </c>
      <c r="C57" s="34">
        <f>[5]С2!F14</f>
        <v>113455</v>
      </c>
    </row>
    <row r="58" spans="1:3" ht="15.75">
      <c r="A58" s="59" t="s">
        <v>73</v>
      </c>
      <c r="B58" s="60" t="s">
        <v>74</v>
      </c>
      <c r="C58" s="40">
        <f>[5]С2!F15</f>
        <v>1.071</v>
      </c>
    </row>
    <row r="59" spans="1:3" ht="15.75">
      <c r="A59" s="59" t="s">
        <v>75</v>
      </c>
      <c r="B59" s="60" t="s">
        <v>76</v>
      </c>
      <c r="C59" s="40">
        <f>[5]С2!F16</f>
        <v>1</v>
      </c>
    </row>
    <row r="60" spans="1:3" ht="17.25">
      <c r="A60" s="59" t="s">
        <v>77</v>
      </c>
      <c r="B60" s="58" t="s">
        <v>78</v>
      </c>
      <c r="C60" s="34">
        <f>[5]С2!F17</f>
        <v>1.01</v>
      </c>
    </row>
    <row r="61" spans="1:3" s="63" customFormat="1" ht="14.25">
      <c r="A61" s="59" t="s">
        <v>79</v>
      </c>
      <c r="B61" s="61" t="s">
        <v>80</v>
      </c>
      <c r="C61" s="62">
        <f>[5]С2!F33</f>
        <v>10</v>
      </c>
    </row>
    <row r="62" spans="1:3" ht="30">
      <c r="A62" s="59" t="s">
        <v>81</v>
      </c>
      <c r="B62" s="64" t="s">
        <v>82</v>
      </c>
      <c r="C62" s="34">
        <f>[5]С2!F26</f>
        <v>2416.4994928434235</v>
      </c>
    </row>
    <row r="63" spans="1:3" ht="17.25">
      <c r="A63" s="59" t="s">
        <v>83</v>
      </c>
      <c r="B63" s="53" t="s">
        <v>84</v>
      </c>
      <c r="C63" s="34">
        <f>[5]С2!F27</f>
        <v>0.34662649000000001</v>
      </c>
    </row>
    <row r="64" spans="1:3" ht="17.25">
      <c r="A64" s="59" t="s">
        <v>85</v>
      </c>
      <c r="B64" s="58" t="s">
        <v>86</v>
      </c>
      <c r="C64" s="62">
        <f>[5]С2!F28</f>
        <v>4200</v>
      </c>
    </row>
    <row r="65" spans="1:3" ht="42.75">
      <c r="A65" s="59" t="s">
        <v>87</v>
      </c>
      <c r="B65" s="33" t="s">
        <v>88</v>
      </c>
      <c r="C65" s="34">
        <f>[5]С2!F22</f>
        <v>42890.921752741691</v>
      </c>
    </row>
    <row r="66" spans="1:3" ht="30">
      <c r="A66" s="59" t="s">
        <v>89</v>
      </c>
      <c r="B66" s="60" t="s">
        <v>90</v>
      </c>
      <c r="C66" s="34">
        <f>[5]С2!F23</f>
        <v>1990</v>
      </c>
    </row>
    <row r="67" spans="1:3" ht="30">
      <c r="A67" s="59" t="s">
        <v>91</v>
      </c>
      <c r="B67" s="53" t="s">
        <v>92</v>
      </c>
      <c r="C67" s="34">
        <f>[5]С2.1!E27</f>
        <v>14307.876789999998</v>
      </c>
    </row>
    <row r="68" spans="1:3" ht="38.25">
      <c r="A68" s="59" t="s">
        <v>93</v>
      </c>
      <c r="B68" s="65" t="s">
        <v>94</v>
      </c>
      <c r="C68" s="52">
        <f>[5]С2.3!E21</f>
        <v>0</v>
      </c>
    </row>
    <row r="69" spans="1:3" ht="25.5">
      <c r="A69" s="59" t="s">
        <v>95</v>
      </c>
      <c r="B69" s="66" t="s">
        <v>96</v>
      </c>
      <c r="C69" s="67">
        <f>[5]С2.3!E11</f>
        <v>9.89</v>
      </c>
    </row>
    <row r="70" spans="1:3" ht="25.5">
      <c r="A70" s="59" t="s">
        <v>97</v>
      </c>
      <c r="B70" s="66" t="s">
        <v>98</v>
      </c>
      <c r="C70" s="62">
        <f>[5]С2.3!E13</f>
        <v>300</v>
      </c>
    </row>
    <row r="71" spans="1:3" ht="25.5">
      <c r="A71" s="59" t="s">
        <v>99</v>
      </c>
      <c r="B71" s="65" t="s">
        <v>100</v>
      </c>
      <c r="C71" s="68">
        <f>IF([5]С2.3!E22&gt;0,[5]С2.3!E22,[5]С2.3!E14)</f>
        <v>61211</v>
      </c>
    </row>
    <row r="72" spans="1:3" ht="38.25">
      <c r="A72" s="59" t="s">
        <v>101</v>
      </c>
      <c r="B72" s="65" t="s">
        <v>102</v>
      </c>
      <c r="C72" s="68">
        <f>IF([5]С2.3!E23&gt;0,[5]С2.3!E23,[5]С2.3!E15)</f>
        <v>45675</v>
      </c>
    </row>
    <row r="73" spans="1:3" ht="30">
      <c r="A73" s="59" t="s">
        <v>103</v>
      </c>
      <c r="B73" s="53" t="s">
        <v>104</v>
      </c>
      <c r="C73" s="34">
        <f>[5]С2.1!E28</f>
        <v>9541.9567200000001</v>
      </c>
    </row>
    <row r="74" spans="1:3" ht="38.25">
      <c r="A74" s="59" t="s">
        <v>105</v>
      </c>
      <c r="B74" s="65" t="s">
        <v>106</v>
      </c>
      <c r="C74" s="52">
        <f>[5]С2.3!E25</f>
        <v>0</v>
      </c>
    </row>
    <row r="75" spans="1:3" ht="25.5">
      <c r="A75" s="59" t="s">
        <v>107</v>
      </c>
      <c r="B75" s="66" t="s">
        <v>108</v>
      </c>
      <c r="C75" s="67">
        <f>[5]С2.3!E12</f>
        <v>0.56000000000000005</v>
      </c>
    </row>
    <row r="76" spans="1:3" ht="25.5">
      <c r="A76" s="59" t="s">
        <v>109</v>
      </c>
      <c r="B76" s="66" t="s">
        <v>98</v>
      </c>
      <c r="C76" s="62">
        <f>[5]С2.3!E13</f>
        <v>300</v>
      </c>
    </row>
    <row r="77" spans="1:3" ht="25.5">
      <c r="A77" s="59" t="s">
        <v>110</v>
      </c>
      <c r="B77" s="69" t="s">
        <v>111</v>
      </c>
      <c r="C77" s="68">
        <f>IF([5]С2.3!E26&gt;0,[5]С2.3!E26,[5]С2.3!E16)</f>
        <v>65637</v>
      </c>
    </row>
    <row r="78" spans="1:3" ht="38.25">
      <c r="A78" s="59" t="s">
        <v>112</v>
      </c>
      <c r="B78" s="69" t="s">
        <v>113</v>
      </c>
      <c r="C78" s="68">
        <f>IF([5]С2.3!E27&gt;0,[5]С2.3!E27,[5]С2.3!E17)</f>
        <v>31684</v>
      </c>
    </row>
    <row r="79" spans="1:3" ht="17.25">
      <c r="A79" s="59" t="s">
        <v>114</v>
      </c>
      <c r="B79" s="33" t="s">
        <v>115</v>
      </c>
      <c r="C79" s="35">
        <f>[5]С2!F29</f>
        <v>0.17804631770487722</v>
      </c>
    </row>
    <row r="80" spans="1:3" ht="30">
      <c r="A80" s="59" t="s">
        <v>116</v>
      </c>
      <c r="B80" s="53" t="s">
        <v>117</v>
      </c>
      <c r="C80" s="70">
        <f>[5]С2!F30</f>
        <v>0.1652189781021898</v>
      </c>
    </row>
    <row r="81" spans="1:3" ht="17.25">
      <c r="A81" s="59" t="s">
        <v>118</v>
      </c>
      <c r="B81" s="71" t="s">
        <v>119</v>
      </c>
      <c r="C81" s="35">
        <f>[5]С2!F31</f>
        <v>0.13880000000000001</v>
      </c>
    </row>
    <row r="82" spans="1:3" s="63" customFormat="1" ht="18" thickBot="1">
      <c r="A82" s="72" t="s">
        <v>120</v>
      </c>
      <c r="B82" s="73" t="s">
        <v>121</v>
      </c>
      <c r="C82" s="74">
        <f>[5]С2!F32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[5]С3!F14</f>
        <v>14863.184658749575</v>
      </c>
    </row>
    <row r="86" spans="1:3" s="63" customFormat="1" ht="42.75">
      <c r="A86" s="77" t="s">
        <v>126</v>
      </c>
      <c r="B86" s="53" t="s">
        <v>127</v>
      </c>
      <c r="C86" s="78">
        <f>[5]С3!F15</f>
        <v>0.25</v>
      </c>
    </row>
    <row r="87" spans="1:3" s="63" customFormat="1" ht="14.25">
      <c r="A87" s="77" t="s">
        <v>128</v>
      </c>
      <c r="B87" s="79" t="s">
        <v>129</v>
      </c>
      <c r="C87" s="62">
        <f>[5]С3!F18</f>
        <v>15</v>
      </c>
    </row>
    <row r="88" spans="1:3" s="63" customFormat="1" ht="17.25">
      <c r="A88" s="77" t="s">
        <v>130</v>
      </c>
      <c r="B88" s="33" t="s">
        <v>131</v>
      </c>
      <c r="C88" s="34">
        <f>[5]С3!F19</f>
        <v>4187.478806422544</v>
      </c>
    </row>
    <row r="89" spans="1:3" s="63" customFormat="1" ht="55.5">
      <c r="A89" s="77" t="s">
        <v>132</v>
      </c>
      <c r="B89" s="53" t="s">
        <v>133</v>
      </c>
      <c r="C89" s="80">
        <f>[5]С3!F20</f>
        <v>2.1999999999999999E-2</v>
      </c>
    </row>
    <row r="90" spans="1:3" s="63" customFormat="1" ht="14.25">
      <c r="A90" s="77" t="s">
        <v>134</v>
      </c>
      <c r="B90" s="58" t="s">
        <v>80</v>
      </c>
      <c r="C90" s="62">
        <f>[5]С3!F21</f>
        <v>10</v>
      </c>
    </row>
    <row r="91" spans="1:3" s="63" customFormat="1" ht="17.25">
      <c r="A91" s="77" t="s">
        <v>135</v>
      </c>
      <c r="B91" s="33" t="s">
        <v>136</v>
      </c>
      <c r="C91" s="34">
        <f>[5]С3!F22</f>
        <v>7.2494984785302705</v>
      </c>
    </row>
    <row r="92" spans="1:3" s="63" customFormat="1" ht="55.5">
      <c r="A92" s="77" t="s">
        <v>137</v>
      </c>
      <c r="B92" s="53" t="s">
        <v>138</v>
      </c>
      <c r="C92" s="80">
        <f>[5]С3!F23</f>
        <v>3.0000000000000001E-3</v>
      </c>
    </row>
    <row r="93" spans="1:3" s="63" customFormat="1" ht="27.75" thickBot="1">
      <c r="A93" s="81" t="s">
        <v>139</v>
      </c>
      <c r="B93" s="82" t="s">
        <v>140</v>
      </c>
      <c r="C93" s="83">
        <f>[5]С3!F24</f>
        <v>2416.4994928434235</v>
      </c>
    </row>
    <row r="94" spans="1:3" ht="13.5" thickBot="1">
      <c r="A94" s="47"/>
      <c r="B94" s="75"/>
      <c r="C94" s="15"/>
    </row>
    <row r="95" spans="1:3" ht="42" customHeight="1">
      <c r="A95" s="84" t="s">
        <v>141</v>
      </c>
      <c r="B95" s="146" t="s">
        <v>142</v>
      </c>
      <c r="C95" s="146"/>
    </row>
    <row r="96" spans="1:3" ht="30">
      <c r="A96" s="59" t="s">
        <v>143</v>
      </c>
      <c r="B96" s="33" t="s">
        <v>144</v>
      </c>
      <c r="C96" s="34">
        <f>[5]С4!F16</f>
        <v>1652.5</v>
      </c>
    </row>
    <row r="97" spans="1:3" ht="30">
      <c r="A97" s="59" t="s">
        <v>145</v>
      </c>
      <c r="B97" s="58" t="s">
        <v>146</v>
      </c>
      <c r="C97" s="34">
        <f>[5]С4!F17</f>
        <v>73547</v>
      </c>
    </row>
    <row r="98" spans="1:3" ht="17.25">
      <c r="A98" s="59" t="s">
        <v>147</v>
      </c>
      <c r="B98" s="58" t="s">
        <v>148</v>
      </c>
      <c r="C98" s="40">
        <f>[5]С4!F18</f>
        <v>0.02</v>
      </c>
    </row>
    <row r="99" spans="1:3" ht="30">
      <c r="A99" s="59" t="s">
        <v>149</v>
      </c>
      <c r="B99" s="58" t="s">
        <v>150</v>
      </c>
      <c r="C99" s="34">
        <f>[5]С4!F19</f>
        <v>12104</v>
      </c>
    </row>
    <row r="100" spans="1:3" ht="31.5">
      <c r="A100" s="59" t="s">
        <v>151</v>
      </c>
      <c r="B100" s="58" t="s">
        <v>152</v>
      </c>
      <c r="C100" s="40">
        <f>[5]С4!F20</f>
        <v>1.4999999999999999E-2</v>
      </c>
    </row>
    <row r="101" spans="1:3" ht="30">
      <c r="A101" s="59" t="s">
        <v>153</v>
      </c>
      <c r="B101" s="33" t="s">
        <v>154</v>
      </c>
      <c r="C101" s="34">
        <f>[5]С4!F21</f>
        <v>1933.1949342509995</v>
      </c>
    </row>
    <row r="102" spans="1:3" ht="24" customHeight="1">
      <c r="A102" s="59" t="s">
        <v>155</v>
      </c>
      <c r="B102" s="53" t="s">
        <v>156</v>
      </c>
      <c r="C102" s="85">
        <f>IF([5]С4.2!F8="да",[5]С4.2!D21,[5]С4.2!D15)</f>
        <v>0</v>
      </c>
    </row>
    <row r="103" spans="1:3" ht="68.25">
      <c r="A103" s="59" t="s">
        <v>157</v>
      </c>
      <c r="B103" s="53" t="s">
        <v>158</v>
      </c>
      <c r="C103" s="34">
        <f>[5]С4!F22</f>
        <v>3.6112641666666665</v>
      </c>
    </row>
    <row r="104" spans="1:3" ht="30">
      <c r="A104" s="59" t="s">
        <v>159</v>
      </c>
      <c r="B104" s="58" t="s">
        <v>160</v>
      </c>
      <c r="C104" s="34">
        <f>[5]С4!F23</f>
        <v>180</v>
      </c>
    </row>
    <row r="105" spans="1:3" ht="14.25">
      <c r="A105" s="59" t="s">
        <v>161</v>
      </c>
      <c r="B105" s="53" t="s">
        <v>162</v>
      </c>
      <c r="C105" s="34">
        <f>[5]С4!F24</f>
        <v>8497.1999999999989</v>
      </c>
    </row>
    <row r="106" spans="1:3" ht="14.25">
      <c r="A106" s="59" t="s">
        <v>163</v>
      </c>
      <c r="B106" s="58" t="s">
        <v>164</v>
      </c>
      <c r="C106" s="40">
        <f>[5]С4!F25</f>
        <v>0.35</v>
      </c>
    </row>
    <row r="107" spans="1:3" ht="17.25">
      <c r="A107" s="59" t="s">
        <v>165</v>
      </c>
      <c r="B107" s="33" t="s">
        <v>166</v>
      </c>
      <c r="C107" s="34">
        <f>[5]С4!F26</f>
        <v>103.13630999999999</v>
      </c>
    </row>
    <row r="108" spans="1:3" ht="25.5">
      <c r="A108" s="59" t="s">
        <v>167</v>
      </c>
      <c r="B108" s="53" t="s">
        <v>94</v>
      </c>
      <c r="C108" s="85">
        <f>[5]С4.3!E16</f>
        <v>0</v>
      </c>
    </row>
    <row r="109" spans="1:3" ht="25.5">
      <c r="A109" s="59" t="s">
        <v>168</v>
      </c>
      <c r="B109" s="53" t="s">
        <v>169</v>
      </c>
      <c r="C109" s="34">
        <f>[5]С4.3!E17</f>
        <v>28.09</v>
      </c>
    </row>
    <row r="110" spans="1:3" ht="38.25">
      <c r="A110" s="59" t="s">
        <v>170</v>
      </c>
      <c r="B110" s="53" t="s">
        <v>106</v>
      </c>
      <c r="C110" s="85">
        <f>[5]С4.3!E18</f>
        <v>0</v>
      </c>
    </row>
    <row r="111" spans="1:3">
      <c r="A111" s="59" t="s">
        <v>171</v>
      </c>
      <c r="B111" s="53" t="s">
        <v>172</v>
      </c>
      <c r="C111" s="34">
        <f>[5]С4.3!E19</f>
        <v>22.67</v>
      </c>
    </row>
    <row r="112" spans="1:3">
      <c r="A112" s="59" t="s">
        <v>173</v>
      </c>
      <c r="B112" s="58" t="s">
        <v>174</v>
      </c>
      <c r="C112" s="34">
        <f>[5]С4.3!E11</f>
        <v>1871</v>
      </c>
    </row>
    <row r="113" spans="1:3">
      <c r="A113" s="59" t="s">
        <v>175</v>
      </c>
      <c r="B113" s="58" t="s">
        <v>176</v>
      </c>
      <c r="C113" s="52">
        <f>[5]С4.3!E12</f>
        <v>1636</v>
      </c>
    </row>
    <row r="114" spans="1:3">
      <c r="A114" s="59" t="s">
        <v>177</v>
      </c>
      <c r="B114" s="58" t="s">
        <v>178</v>
      </c>
      <c r="C114" s="52">
        <f>[5]С4.3!E13</f>
        <v>204</v>
      </c>
    </row>
    <row r="115" spans="1:3" ht="30">
      <c r="A115" s="59" t="s">
        <v>179</v>
      </c>
      <c r="B115" s="33" t="s">
        <v>180</v>
      </c>
      <c r="C115" s="34">
        <f>[5]С4!F27</f>
        <v>1291.2863994686898</v>
      </c>
    </row>
    <row r="116" spans="1:3" ht="25.5">
      <c r="A116" s="59" t="s">
        <v>181</v>
      </c>
      <c r="B116" s="53" t="s">
        <v>182</v>
      </c>
      <c r="C116" s="34">
        <f>[5]С4!F28</f>
        <v>991.77142816335618</v>
      </c>
    </row>
    <row r="117" spans="1:3" ht="42.75">
      <c r="A117" s="59" t="s">
        <v>183</v>
      </c>
      <c r="B117" s="53" t="s">
        <v>184</v>
      </c>
      <c r="C117" s="34">
        <f>[5]С4!F29</f>
        <v>299.51497130533357</v>
      </c>
    </row>
    <row r="118" spans="1:3" ht="30">
      <c r="A118" s="59" t="s">
        <v>185</v>
      </c>
      <c r="B118" s="39" t="s">
        <v>186</v>
      </c>
      <c r="C118" s="34">
        <f>[5]С4!F30</f>
        <v>2382.5140537862999</v>
      </c>
    </row>
    <row r="119" spans="1:3" ht="42.75">
      <c r="A119" s="59" t="s">
        <v>187</v>
      </c>
      <c r="B119" s="86" t="s">
        <v>188</v>
      </c>
      <c r="C119" s="34">
        <f>[5]С4!F33</f>
        <v>1176.7426982817792</v>
      </c>
    </row>
    <row r="120" spans="1:3" ht="30">
      <c r="A120" s="59" t="s">
        <v>189</v>
      </c>
      <c r="B120" s="87" t="s">
        <v>190</v>
      </c>
      <c r="C120" s="34">
        <f>[5]С4!F35</f>
        <v>17.040680999999999</v>
      </c>
    </row>
    <row r="121" spans="1:3" ht="14.25">
      <c r="A121" s="59" t="s">
        <v>191</v>
      </c>
      <c r="B121" s="56" t="s">
        <v>192</v>
      </c>
      <c r="C121" s="34">
        <f>[5]С4!F36</f>
        <v>14319.9</v>
      </c>
    </row>
    <row r="122" spans="1:3" ht="28.5" thickBot="1">
      <c r="A122" s="72" t="s">
        <v>193</v>
      </c>
      <c r="B122" s="88" t="s">
        <v>194</v>
      </c>
      <c r="C122" s="83">
        <f>[5]С4!F37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[5]С5!F17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[5]С2!F37</f>
        <v>20.818139999999996</v>
      </c>
    </row>
    <row r="136" spans="1:4" ht="14.25">
      <c r="A136" s="59" t="s">
        <v>216</v>
      </c>
      <c r="B136" s="101" t="s">
        <v>217</v>
      </c>
      <c r="C136" s="34">
        <f>[5]С2!F38</f>
        <v>7</v>
      </c>
    </row>
    <row r="137" spans="1:4" ht="17.25">
      <c r="A137" s="59" t="s">
        <v>218</v>
      </c>
      <c r="B137" s="101" t="s">
        <v>219</v>
      </c>
      <c r="C137" s="34">
        <f>[5]С2!F40</f>
        <v>0.97</v>
      </c>
    </row>
    <row r="138" spans="1:4" ht="15" thickBot="1">
      <c r="A138" s="72" t="s">
        <v>220</v>
      </c>
      <c r="B138" s="102" t="s">
        <v>221</v>
      </c>
      <c r="C138" s="46">
        <f>[5]С2!F42</f>
        <v>0.35</v>
      </c>
    </row>
    <row r="139" spans="1:4" s="89" customFormat="1" ht="13.5" thickBot="1">
      <c r="A139" s="47"/>
      <c r="B139" s="75"/>
      <c r="C139" s="15"/>
    </row>
    <row r="140" spans="1:4" ht="30">
      <c r="A140" s="84" t="s">
        <v>222</v>
      </c>
      <c r="B140" s="103" t="s">
        <v>223</v>
      </c>
      <c r="C140" s="104">
        <f>[5]С2!F35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[5]С2.5!$E$11</f>
        <v>-2.9000000000000026E-2</v>
      </c>
      <c r="D143" s="89"/>
    </row>
    <row r="144" spans="1:4">
      <c r="A144" s="105"/>
      <c r="B144" s="110">
        <f>B143+1</f>
        <v>2021</v>
      </c>
      <c r="C144" s="111">
        <f>[5]С2.5!$F$11</f>
        <v>0.245</v>
      </c>
      <c r="D144" s="89"/>
    </row>
    <row r="145" spans="1:4">
      <c r="A145" s="105"/>
      <c r="B145" s="110">
        <f t="shared" ref="B145:B208" si="0">B144+1</f>
        <v>2022</v>
      </c>
      <c r="C145" s="111">
        <f>[5]С2.5!$G$11</f>
        <v>0.114</v>
      </c>
      <c r="D145" s="89"/>
    </row>
    <row r="146" spans="1:4" ht="13.5" thickBot="1">
      <c r="A146" s="105"/>
      <c r="B146" s="112">
        <f t="shared" si="0"/>
        <v>2023</v>
      </c>
      <c r="C146" s="113">
        <f>[5]С2.5!$H$11</f>
        <v>0.04</v>
      </c>
      <c r="D146" s="89"/>
    </row>
    <row r="147" spans="1:4">
      <c r="A147" s="105"/>
      <c r="B147" s="114">
        <f t="shared" si="0"/>
        <v>2024</v>
      </c>
      <c r="C147" s="115">
        <f>[5]С2.5!$I$11</f>
        <v>0.11700000000000001</v>
      </c>
      <c r="D147" s="89"/>
    </row>
    <row r="148" spans="1:4">
      <c r="A148" s="105"/>
      <c r="B148" s="110">
        <f t="shared" si="0"/>
        <v>2025</v>
      </c>
      <c r="C148" s="111">
        <f>[5]С2.5!$J$11</f>
        <v>6.0999999999999999E-2</v>
      </c>
      <c r="D148" s="89"/>
    </row>
    <row r="149" spans="1:4" hidden="1">
      <c r="A149" s="105"/>
      <c r="B149" s="110">
        <f t="shared" si="0"/>
        <v>2026</v>
      </c>
      <c r="C149" s="111">
        <f>[5]С2.5!$K$11</f>
        <v>3.5813361771260002E-2</v>
      </c>
      <c r="D149" s="89"/>
    </row>
    <row r="150" spans="1:4" hidden="1">
      <c r="A150" s="105"/>
      <c r="B150" s="110">
        <f t="shared" si="0"/>
        <v>2027</v>
      </c>
      <c r="C150" s="111">
        <f>[5]С2.5!$L$11</f>
        <v>3.2682303599220003E-2</v>
      </c>
      <c r="D150" s="89"/>
    </row>
    <row r="151" spans="1:4" hidden="1">
      <c r="A151" s="105"/>
      <c r="B151" s="110">
        <f t="shared" si="0"/>
        <v>2028</v>
      </c>
      <c r="C151" s="111">
        <f>[5]С2.5!$M$11</f>
        <v>0</v>
      </c>
      <c r="D151" s="89"/>
    </row>
    <row r="152" spans="1:4" hidden="1">
      <c r="A152" s="105"/>
      <c r="B152" s="110">
        <f t="shared" si="0"/>
        <v>2029</v>
      </c>
      <c r="C152" s="111">
        <f>[5]С2.5!$N$11</f>
        <v>0</v>
      </c>
      <c r="D152" s="89"/>
    </row>
    <row r="153" spans="1:4" hidden="1">
      <c r="A153" s="105"/>
      <c r="B153" s="110">
        <f t="shared" si="0"/>
        <v>2030</v>
      </c>
      <c r="C153" s="111">
        <f>[5]С2.5!$O$11</f>
        <v>0</v>
      </c>
      <c r="D153" s="89"/>
    </row>
    <row r="154" spans="1:4" hidden="1">
      <c r="A154" s="105"/>
      <c r="B154" s="110">
        <f t="shared" si="0"/>
        <v>2031</v>
      </c>
      <c r="C154" s="111">
        <f>[5]С2.5!$P$11</f>
        <v>0</v>
      </c>
      <c r="D154" s="89"/>
    </row>
    <row r="155" spans="1:4" hidden="1">
      <c r="A155" s="89"/>
      <c r="B155" s="110">
        <f t="shared" si="0"/>
        <v>2032</v>
      </c>
      <c r="C155" s="111">
        <f>[5]С2.5!$Q$11</f>
        <v>0</v>
      </c>
      <c r="D155" s="89"/>
    </row>
    <row r="156" spans="1:4" hidden="1">
      <c r="A156" s="89"/>
      <c r="B156" s="110">
        <f t="shared" si="0"/>
        <v>2033</v>
      </c>
      <c r="C156" s="111">
        <f>[5]С2.5!$R$11</f>
        <v>0</v>
      </c>
      <c r="D156" s="89"/>
    </row>
    <row r="157" spans="1:4" hidden="1">
      <c r="B157" s="110">
        <f t="shared" si="0"/>
        <v>2034</v>
      </c>
      <c r="C157" s="111">
        <f>[5]С2.5!$S$11</f>
        <v>0</v>
      </c>
    </row>
    <row r="158" spans="1:4" hidden="1">
      <c r="B158" s="110">
        <f t="shared" si="0"/>
        <v>2035</v>
      </c>
      <c r="C158" s="111">
        <f>[5]С2.5!$T$11</f>
        <v>0</v>
      </c>
    </row>
    <row r="159" spans="1:4" hidden="1">
      <c r="B159" s="110">
        <f t="shared" si="0"/>
        <v>2036</v>
      </c>
      <c r="C159" s="111">
        <f>[5]С2.5!$U$11</f>
        <v>0</v>
      </c>
    </row>
    <row r="160" spans="1:4" hidden="1">
      <c r="B160" s="110">
        <f t="shared" si="0"/>
        <v>2037</v>
      </c>
      <c r="C160" s="111">
        <f>[5]С2.5!$V$11</f>
        <v>0</v>
      </c>
    </row>
    <row r="161" spans="2:3" hidden="1">
      <c r="B161" s="110">
        <f t="shared" si="0"/>
        <v>2038</v>
      </c>
      <c r="C161" s="111">
        <f>[5]С2.5!$W$11</f>
        <v>0</v>
      </c>
    </row>
    <row r="162" spans="2:3" hidden="1">
      <c r="B162" s="110">
        <f t="shared" si="0"/>
        <v>2039</v>
      </c>
      <c r="C162" s="111">
        <f>[5]С2.5!$X$11</f>
        <v>0</v>
      </c>
    </row>
    <row r="163" spans="2:3" hidden="1">
      <c r="B163" s="110">
        <f t="shared" si="0"/>
        <v>2040</v>
      </c>
      <c r="C163" s="111">
        <f>[5]С2.5!$Y$11</f>
        <v>0</v>
      </c>
    </row>
    <row r="164" spans="2:3" hidden="1">
      <c r="B164" s="110">
        <f t="shared" si="0"/>
        <v>2041</v>
      </c>
      <c r="C164" s="111">
        <f>[5]С2.5!$Z$11</f>
        <v>0</v>
      </c>
    </row>
    <row r="165" spans="2:3" hidden="1">
      <c r="B165" s="110">
        <f t="shared" si="0"/>
        <v>2042</v>
      </c>
      <c r="C165" s="111">
        <f>[5]С2.5!$AA$11</f>
        <v>0</v>
      </c>
    </row>
    <row r="166" spans="2:3" hidden="1">
      <c r="B166" s="110">
        <f t="shared" si="0"/>
        <v>2043</v>
      </c>
      <c r="C166" s="111">
        <f>[5]С2.5!$AB$11</f>
        <v>0</v>
      </c>
    </row>
    <row r="167" spans="2:3" hidden="1">
      <c r="B167" s="110">
        <f t="shared" si="0"/>
        <v>2044</v>
      </c>
      <c r="C167" s="111">
        <f>[5]С2.5!$AC$11</f>
        <v>0</v>
      </c>
    </row>
    <row r="168" spans="2:3" hidden="1">
      <c r="B168" s="110">
        <f t="shared" si="0"/>
        <v>2045</v>
      </c>
      <c r="C168" s="111">
        <f>[5]С2.5!$AD$11</f>
        <v>0</v>
      </c>
    </row>
    <row r="169" spans="2:3" hidden="1">
      <c r="B169" s="110">
        <f t="shared" si="0"/>
        <v>2046</v>
      </c>
      <c r="C169" s="111">
        <f>[5]С2.5!$AE$11</f>
        <v>0</v>
      </c>
    </row>
    <row r="170" spans="2:3" hidden="1">
      <c r="B170" s="110">
        <f t="shared" si="0"/>
        <v>2047</v>
      </c>
      <c r="C170" s="111">
        <f>[5]С2.5!$AF$11</f>
        <v>0</v>
      </c>
    </row>
    <row r="171" spans="2:3" hidden="1">
      <c r="B171" s="110">
        <f t="shared" si="0"/>
        <v>2048</v>
      </c>
      <c r="C171" s="111">
        <f>[5]С2.5!$AG$11</f>
        <v>0</v>
      </c>
    </row>
    <row r="172" spans="2:3" hidden="1">
      <c r="B172" s="110">
        <f t="shared" si="0"/>
        <v>2049</v>
      </c>
      <c r="C172" s="111">
        <f>[5]С2.5!$AH$11</f>
        <v>0</v>
      </c>
    </row>
    <row r="173" spans="2:3" hidden="1">
      <c r="B173" s="110">
        <f t="shared" si="0"/>
        <v>2050</v>
      </c>
      <c r="C173" s="111">
        <f>[5]С2.5!$AI$11</f>
        <v>0</v>
      </c>
    </row>
    <row r="174" spans="2:3" hidden="1">
      <c r="B174" s="110">
        <f t="shared" si="0"/>
        <v>2051</v>
      </c>
      <c r="C174" s="111">
        <f>[5]С2.5!$AJ$11</f>
        <v>0</v>
      </c>
    </row>
    <row r="175" spans="2:3" hidden="1">
      <c r="B175" s="110">
        <f t="shared" si="0"/>
        <v>2052</v>
      </c>
      <c r="C175" s="111">
        <f>[5]С2.5!$AK$11</f>
        <v>0</v>
      </c>
    </row>
    <row r="176" spans="2:3" hidden="1">
      <c r="B176" s="110">
        <f t="shared" si="0"/>
        <v>2053</v>
      </c>
      <c r="C176" s="111">
        <f>[5]С2.5!$AL$11</f>
        <v>0</v>
      </c>
    </row>
    <row r="177" spans="2:3" hidden="1">
      <c r="B177" s="110">
        <f t="shared" si="0"/>
        <v>2054</v>
      </c>
      <c r="C177" s="111">
        <f>[5]С2.5!$AM$11</f>
        <v>0</v>
      </c>
    </row>
    <row r="178" spans="2:3" hidden="1">
      <c r="B178" s="110">
        <f t="shared" si="0"/>
        <v>2055</v>
      </c>
      <c r="C178" s="111">
        <f>[5]С2.5!$AN$11</f>
        <v>0</v>
      </c>
    </row>
    <row r="179" spans="2:3" hidden="1">
      <c r="B179" s="110">
        <f t="shared" si="0"/>
        <v>2056</v>
      </c>
      <c r="C179" s="111">
        <f>[5]С2.5!$AO$11</f>
        <v>0</v>
      </c>
    </row>
    <row r="180" spans="2:3" hidden="1">
      <c r="B180" s="110">
        <f t="shared" si="0"/>
        <v>2057</v>
      </c>
      <c r="C180" s="111">
        <f>[5]С2.5!$AP$11</f>
        <v>0</v>
      </c>
    </row>
    <row r="181" spans="2:3" hidden="1">
      <c r="B181" s="110">
        <f t="shared" si="0"/>
        <v>2058</v>
      </c>
      <c r="C181" s="111">
        <f>[5]С2.5!$AQ$11</f>
        <v>0</v>
      </c>
    </row>
    <row r="182" spans="2:3" hidden="1">
      <c r="B182" s="110">
        <f t="shared" si="0"/>
        <v>2059</v>
      </c>
      <c r="C182" s="111">
        <f>[5]С2.5!$AR$11</f>
        <v>0</v>
      </c>
    </row>
    <row r="183" spans="2:3" hidden="1">
      <c r="B183" s="110">
        <f t="shared" si="0"/>
        <v>2060</v>
      </c>
      <c r="C183" s="111">
        <f>[5]С2.5!$AS$11</f>
        <v>0</v>
      </c>
    </row>
    <row r="184" spans="2:3" hidden="1">
      <c r="B184" s="110">
        <f t="shared" si="0"/>
        <v>2061</v>
      </c>
      <c r="C184" s="111">
        <f>[5]С2.5!$AT$11</f>
        <v>0</v>
      </c>
    </row>
    <row r="185" spans="2:3" hidden="1">
      <c r="B185" s="110">
        <f t="shared" si="0"/>
        <v>2062</v>
      </c>
      <c r="C185" s="111">
        <f>[5]С2.5!$AU$11</f>
        <v>0</v>
      </c>
    </row>
    <row r="186" spans="2:3" hidden="1">
      <c r="B186" s="110">
        <f t="shared" si="0"/>
        <v>2063</v>
      </c>
      <c r="C186" s="111">
        <f>[5]С2.5!$AV$11</f>
        <v>0</v>
      </c>
    </row>
    <row r="187" spans="2:3" hidden="1">
      <c r="B187" s="110">
        <f t="shared" si="0"/>
        <v>2064</v>
      </c>
      <c r="C187" s="111">
        <f>[5]С2.5!$AW$11</f>
        <v>0</v>
      </c>
    </row>
    <row r="188" spans="2:3" hidden="1">
      <c r="B188" s="110">
        <f t="shared" si="0"/>
        <v>2065</v>
      </c>
      <c r="C188" s="111">
        <f>[5]С2.5!$AX$11</f>
        <v>0</v>
      </c>
    </row>
    <row r="189" spans="2:3" hidden="1">
      <c r="B189" s="110">
        <f t="shared" si="0"/>
        <v>2066</v>
      </c>
      <c r="C189" s="111">
        <f>[5]С2.5!$AY$11</f>
        <v>0</v>
      </c>
    </row>
    <row r="190" spans="2:3" hidden="1">
      <c r="B190" s="110">
        <f t="shared" si="0"/>
        <v>2067</v>
      </c>
      <c r="C190" s="111">
        <f>[5]С2.5!$AZ$11</f>
        <v>0</v>
      </c>
    </row>
    <row r="191" spans="2:3" hidden="1">
      <c r="B191" s="110">
        <f t="shared" si="0"/>
        <v>2068</v>
      </c>
      <c r="C191" s="111">
        <f>[5]С2.5!$BA$11</f>
        <v>0</v>
      </c>
    </row>
    <row r="192" spans="2:3" hidden="1">
      <c r="B192" s="110">
        <f t="shared" si="0"/>
        <v>2069</v>
      </c>
      <c r="C192" s="111">
        <f>[5]С2.5!$BB$11</f>
        <v>0</v>
      </c>
    </row>
    <row r="193" spans="2:3" hidden="1">
      <c r="B193" s="110">
        <f t="shared" si="0"/>
        <v>2070</v>
      </c>
      <c r="C193" s="111">
        <f>[5]С2.5!$BC$11</f>
        <v>0</v>
      </c>
    </row>
    <row r="194" spans="2:3" hidden="1">
      <c r="B194" s="110">
        <f t="shared" si="0"/>
        <v>2071</v>
      </c>
      <c r="C194" s="111">
        <f>[5]С2.5!$BD$11</f>
        <v>0</v>
      </c>
    </row>
    <row r="195" spans="2:3" hidden="1">
      <c r="B195" s="110">
        <f t="shared" si="0"/>
        <v>2072</v>
      </c>
      <c r="C195" s="111">
        <f>[5]С2.5!$BE$11</f>
        <v>0</v>
      </c>
    </row>
    <row r="196" spans="2:3" hidden="1">
      <c r="B196" s="110">
        <f t="shared" si="0"/>
        <v>2073</v>
      </c>
      <c r="C196" s="111">
        <f>[5]С2.5!$BF$11</f>
        <v>0</v>
      </c>
    </row>
    <row r="197" spans="2:3" hidden="1">
      <c r="B197" s="110">
        <f t="shared" si="0"/>
        <v>2074</v>
      </c>
      <c r="C197" s="111">
        <f>[5]С2.5!$BG$11</f>
        <v>0</v>
      </c>
    </row>
    <row r="198" spans="2:3" hidden="1">
      <c r="B198" s="110">
        <f t="shared" si="0"/>
        <v>2075</v>
      </c>
      <c r="C198" s="111">
        <f>[5]С2.5!$BH$11</f>
        <v>0</v>
      </c>
    </row>
    <row r="199" spans="2:3" hidden="1">
      <c r="B199" s="110">
        <f t="shared" si="0"/>
        <v>2076</v>
      </c>
      <c r="C199" s="111">
        <f>[5]С2.5!$BI$11</f>
        <v>0</v>
      </c>
    </row>
    <row r="200" spans="2:3" hidden="1">
      <c r="B200" s="110">
        <f t="shared" si="0"/>
        <v>2077</v>
      </c>
      <c r="C200" s="111">
        <f>[5]С2.5!$BJ$11</f>
        <v>0</v>
      </c>
    </row>
    <row r="201" spans="2:3" hidden="1">
      <c r="B201" s="110">
        <f t="shared" si="0"/>
        <v>2078</v>
      </c>
      <c r="C201" s="111">
        <f>[5]С2.5!$BK$11</f>
        <v>0</v>
      </c>
    </row>
    <row r="202" spans="2:3" hidden="1">
      <c r="B202" s="110">
        <f t="shared" si="0"/>
        <v>2079</v>
      </c>
      <c r="C202" s="111">
        <f>[5]С2.5!$BL$11</f>
        <v>0</v>
      </c>
    </row>
    <row r="203" spans="2:3" hidden="1">
      <c r="B203" s="110">
        <f t="shared" si="0"/>
        <v>2080</v>
      </c>
      <c r="C203" s="111">
        <f>[5]С2.5!$BM$11</f>
        <v>0</v>
      </c>
    </row>
    <row r="204" spans="2:3" hidden="1">
      <c r="B204" s="110">
        <f t="shared" si="0"/>
        <v>2081</v>
      </c>
      <c r="C204" s="111">
        <f>[5]С2.5!$BN$11</f>
        <v>0</v>
      </c>
    </row>
    <row r="205" spans="2:3" hidden="1">
      <c r="B205" s="110">
        <f t="shared" si="0"/>
        <v>2082</v>
      </c>
      <c r="C205" s="111">
        <f>[5]С2.5!$BO$11</f>
        <v>0</v>
      </c>
    </row>
    <row r="206" spans="2:3" hidden="1">
      <c r="B206" s="110">
        <f t="shared" si="0"/>
        <v>2083</v>
      </c>
      <c r="C206" s="111">
        <f>[5]С2.5!$BP$11</f>
        <v>0</v>
      </c>
    </row>
    <row r="207" spans="2:3" hidden="1">
      <c r="B207" s="110">
        <f t="shared" si="0"/>
        <v>2084</v>
      </c>
      <c r="C207" s="111">
        <f>[5]С2.5!$BQ$11</f>
        <v>0</v>
      </c>
    </row>
    <row r="208" spans="2:3" hidden="1">
      <c r="B208" s="110">
        <f t="shared" si="0"/>
        <v>2085</v>
      </c>
      <c r="C208" s="111">
        <f>[5]С2.5!$BR$11</f>
        <v>0</v>
      </c>
    </row>
    <row r="209" spans="2:3" hidden="1">
      <c r="B209" s="110">
        <f t="shared" ref="B209:B223" si="1">B208+1</f>
        <v>2086</v>
      </c>
      <c r="C209" s="111">
        <f>[5]С2.5!$BS$11</f>
        <v>0</v>
      </c>
    </row>
    <row r="210" spans="2:3" hidden="1">
      <c r="B210" s="110">
        <f t="shared" si="1"/>
        <v>2087</v>
      </c>
      <c r="C210" s="111">
        <f>[5]С2.5!$BT$11</f>
        <v>0</v>
      </c>
    </row>
    <row r="211" spans="2:3" hidden="1">
      <c r="B211" s="110">
        <f t="shared" si="1"/>
        <v>2088</v>
      </c>
      <c r="C211" s="111">
        <f>[5]С2.5!$BU$11</f>
        <v>0</v>
      </c>
    </row>
    <row r="212" spans="2:3" hidden="1">
      <c r="B212" s="110">
        <f t="shared" si="1"/>
        <v>2089</v>
      </c>
      <c r="C212" s="111">
        <f>[5]С2.5!$BV$11</f>
        <v>0</v>
      </c>
    </row>
    <row r="213" spans="2:3" hidden="1">
      <c r="B213" s="110">
        <f t="shared" si="1"/>
        <v>2090</v>
      </c>
      <c r="C213" s="111">
        <f>[5]С2.5!$BW$11</f>
        <v>0</v>
      </c>
    </row>
    <row r="214" spans="2:3" hidden="1">
      <c r="B214" s="110">
        <f t="shared" si="1"/>
        <v>2091</v>
      </c>
      <c r="C214" s="111">
        <f>[5]С2.5!$BX$11</f>
        <v>0</v>
      </c>
    </row>
    <row r="215" spans="2:3" hidden="1">
      <c r="B215" s="110">
        <f t="shared" si="1"/>
        <v>2092</v>
      </c>
      <c r="C215" s="111">
        <f>[5]С2.5!$BY$11</f>
        <v>0</v>
      </c>
    </row>
    <row r="216" spans="2:3" hidden="1">
      <c r="B216" s="110">
        <f t="shared" si="1"/>
        <v>2093</v>
      </c>
      <c r="C216" s="111">
        <f>[5]С2.5!$BZ$11</f>
        <v>0</v>
      </c>
    </row>
    <row r="217" spans="2:3" hidden="1">
      <c r="B217" s="110">
        <f t="shared" si="1"/>
        <v>2094</v>
      </c>
      <c r="C217" s="111">
        <f>[5]С2.5!$CA$11</f>
        <v>0</v>
      </c>
    </row>
    <row r="218" spans="2:3" hidden="1">
      <c r="B218" s="110">
        <f t="shared" si="1"/>
        <v>2095</v>
      </c>
      <c r="C218" s="111">
        <f>[5]С2.5!$CB$11</f>
        <v>0</v>
      </c>
    </row>
    <row r="219" spans="2:3" hidden="1">
      <c r="B219" s="110">
        <f t="shared" si="1"/>
        <v>2096</v>
      </c>
      <c r="C219" s="111">
        <f>[5]С2.5!$CC$11</f>
        <v>0</v>
      </c>
    </row>
    <row r="220" spans="2:3" hidden="1">
      <c r="B220" s="110">
        <f t="shared" si="1"/>
        <v>2097</v>
      </c>
      <c r="C220" s="111">
        <f>[5]С2.5!$CD$11</f>
        <v>0</v>
      </c>
    </row>
    <row r="221" spans="2:3" hidden="1">
      <c r="B221" s="110">
        <f t="shared" si="1"/>
        <v>2098</v>
      </c>
      <c r="C221" s="111">
        <f>[5]С2.5!$CE$11</f>
        <v>0</v>
      </c>
    </row>
    <row r="222" spans="2:3" hidden="1">
      <c r="B222" s="110">
        <f t="shared" si="1"/>
        <v>2099</v>
      </c>
      <c r="C222" s="111">
        <f>[5]С2.5!$CF$11</f>
        <v>0</v>
      </c>
    </row>
    <row r="223" spans="2:3" ht="13.5" hidden="1" thickBot="1">
      <c r="B223" s="112">
        <f t="shared" si="1"/>
        <v>2100</v>
      </c>
      <c r="C223" s="113">
        <f>[5]С2.5!$CG$11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51" r:id="rId5" name="Button 3">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3"/>
      <c r="B1" s="144" t="s">
        <v>227</v>
      </c>
      <c r="C1" s="144"/>
    </row>
    <row r="2" spans="1:3">
      <c r="A2" s="3"/>
      <c r="B2" s="4" t="s">
        <v>1</v>
      </c>
      <c r="C2" s="5">
        <v>45687</v>
      </c>
    </row>
    <row r="3" spans="1:3">
      <c r="A3" s="3"/>
      <c r="B3" s="117" t="s">
        <v>2</v>
      </c>
      <c r="C3" s="7"/>
    </row>
    <row r="4" spans="1:3" ht="25.5">
      <c r="A4" s="8"/>
      <c r="B4" s="9" t="str">
        <f>[7]И1!D13</f>
        <v>Субъект Российской Федерации</v>
      </c>
      <c r="C4" s="10" t="str">
        <f>[7]И1!E13</f>
        <v>Новосибирская область</v>
      </c>
    </row>
    <row r="5" spans="1:3" ht="48.6" customHeight="1">
      <c r="A5" s="8"/>
      <c r="B5" s="9" t="str">
        <f>[7]И1!D14</f>
        <v>Тип муниципального образования (выберите из списка)</v>
      </c>
      <c r="C5" s="10" t="str">
        <f>[7]И1!E14</f>
        <v>рабочий поселок Горный, Тогучинский муниципальный район</v>
      </c>
    </row>
    <row r="6" spans="1:3">
      <c r="A6" s="8"/>
      <c r="B6" s="9" t="str">
        <f>IF([7]И1!E15="","",[7]И1!D15)</f>
        <v/>
      </c>
      <c r="C6" s="7" t="str">
        <f>IF([7]И1!E15="","",[7]И1!E15)</f>
        <v/>
      </c>
    </row>
    <row r="7" spans="1:3">
      <c r="A7" s="8"/>
      <c r="B7" s="9" t="str">
        <f>[7]И1!D16</f>
        <v>Код ОКТМО</v>
      </c>
      <c r="C7" s="11" t="str">
        <f>[7]И1!E16</f>
        <v>50652153051</v>
      </c>
    </row>
    <row r="8" spans="1:3">
      <c r="A8" s="8"/>
      <c r="B8" s="12" t="str">
        <f>[7]И1!D17</f>
        <v>Система теплоснабжения</v>
      </c>
      <c r="C8" s="13">
        <f>[7]И1!E17</f>
        <v>0</v>
      </c>
    </row>
    <row r="9" spans="1:3">
      <c r="A9" s="8"/>
      <c r="B9" s="9" t="str">
        <f>[7]И1!D8</f>
        <v>Период регулирования (i)-й</v>
      </c>
      <c r="C9" s="14">
        <f>[7]И1!E8</f>
        <v>2025</v>
      </c>
    </row>
    <row r="10" spans="1:3">
      <c r="A10" s="8"/>
      <c r="B10" s="9" t="str">
        <f>[7]И1!D9</f>
        <v>Период регулирования (i-1)-й</v>
      </c>
      <c r="C10" s="14">
        <f>[7]И1!E9</f>
        <v>2024</v>
      </c>
    </row>
    <row r="11" spans="1:3">
      <c r="A11" s="8"/>
      <c r="B11" s="9" t="str">
        <f>[7]И1!D10</f>
        <v>Период регулирования (i-2)-й</v>
      </c>
      <c r="C11" s="14">
        <f>[7]И1!E10</f>
        <v>2023</v>
      </c>
    </row>
    <row r="12" spans="1:3">
      <c r="A12" s="8"/>
      <c r="B12" s="9" t="str">
        <f>[7]И1!D11</f>
        <v>Базовый год (б)</v>
      </c>
      <c r="C12" s="14">
        <f>[7]И1!E11</f>
        <v>2019</v>
      </c>
    </row>
    <row r="13" spans="1:3">
      <c r="A13" s="8"/>
      <c r="B13" s="9" t="str">
        <f>[7]И1!D18</f>
        <v>Вид топлива, использование которого преобладает в системе теплоснабжения</v>
      </c>
      <c r="C13" s="15" t="str">
        <f>[7]И1!E18</f>
        <v>Газ</v>
      </c>
    </row>
    <row r="14" spans="1:3" ht="26.25" customHeight="1" thickBot="1">
      <c r="A14" s="148" t="s">
        <v>3</v>
      </c>
      <c r="B14" s="148"/>
      <c r="C14" s="148"/>
    </row>
    <row r="15" spans="1:3">
      <c r="A15" s="16" t="s">
        <v>4</v>
      </c>
      <c r="B15" s="30" t="s">
        <v>5</v>
      </c>
      <c r="C15" s="118" t="s">
        <v>6</v>
      </c>
    </row>
    <row r="16" spans="1:3">
      <c r="A16" s="19">
        <v>1</v>
      </c>
      <c r="B16" s="119">
        <v>2</v>
      </c>
      <c r="C16" s="120">
        <v>3</v>
      </c>
    </row>
    <row r="17" spans="1:3">
      <c r="A17" s="22">
        <v>1</v>
      </c>
      <c r="B17" s="23" t="s">
        <v>7</v>
      </c>
      <c r="C17" s="24">
        <f>SUM(C18:C23)</f>
        <v>4215.2237154633403</v>
      </c>
    </row>
    <row r="18" spans="1:3" ht="42.75">
      <c r="A18" s="22" t="s">
        <v>8</v>
      </c>
      <c r="B18" s="25" t="s">
        <v>9</v>
      </c>
      <c r="C18" s="26">
        <f>[7]С1!F12</f>
        <v>1201.0642791911237</v>
      </c>
    </row>
    <row r="19" spans="1:3" ht="42.75">
      <c r="A19" s="22" t="s">
        <v>10</v>
      </c>
      <c r="B19" s="25" t="s">
        <v>11</v>
      </c>
      <c r="C19" s="26">
        <f>[7]С2!F12</f>
        <v>2048.9815163049602</v>
      </c>
    </row>
    <row r="20" spans="1:3" ht="30">
      <c r="A20" s="22" t="s">
        <v>12</v>
      </c>
      <c r="B20" s="25" t="s">
        <v>13</v>
      </c>
      <c r="C20" s="26">
        <f>[7]С3!F12</f>
        <v>613.07519970048588</v>
      </c>
    </row>
    <row r="21" spans="1:3" ht="42.75">
      <c r="A21" s="22" t="s">
        <v>14</v>
      </c>
      <c r="B21" s="25" t="s">
        <v>228</v>
      </c>
      <c r="C21" s="26">
        <f>[7]С4!F12</f>
        <v>269.45127486552815</v>
      </c>
    </row>
    <row r="22" spans="1:3" ht="33" customHeight="1">
      <c r="A22" s="22" t="s">
        <v>16</v>
      </c>
      <c r="B22" s="25" t="s">
        <v>229</v>
      </c>
      <c r="C22" s="26">
        <f>[7]С5!F12</f>
        <v>82.651445401241958</v>
      </c>
    </row>
    <row r="23" spans="1:3" ht="45.75" customHeight="1" thickBot="1">
      <c r="A23" s="27" t="s">
        <v>18</v>
      </c>
      <c r="B23" s="140" t="s">
        <v>230</v>
      </c>
      <c r="C23" s="28">
        <f>[7]С6!F12</f>
        <v>0</v>
      </c>
    </row>
    <row r="24" spans="1:3" ht="13.5" thickBot="1">
      <c r="A24" s="3"/>
      <c r="C24" s="7"/>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231</v>
      </c>
      <c r="C28" s="34">
        <f>[7]С1.1!E16</f>
        <v>7900</v>
      </c>
    </row>
    <row r="29" spans="1:3" ht="42.75">
      <c r="A29" s="22" t="s">
        <v>10</v>
      </c>
      <c r="B29" s="33" t="s">
        <v>232</v>
      </c>
      <c r="C29" s="34">
        <f>[7]С1.1!E32</f>
        <v>6213.94</v>
      </c>
    </row>
    <row r="30" spans="1:3" ht="38.25">
      <c r="A30" s="22" t="s">
        <v>233</v>
      </c>
      <c r="B30" s="33" t="s">
        <v>234</v>
      </c>
      <c r="C30" s="85" t="str">
        <f>[7]С1.1!E25</f>
        <v>ООО "Газпром газораспределение Томск"</v>
      </c>
    </row>
    <row r="31" spans="1:3" ht="38.25">
      <c r="A31" s="22" t="s">
        <v>235</v>
      </c>
      <c r="B31" s="33" t="str">
        <f>[7]С1.1!D26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[7]С1.1!E26</f>
        <v>5099</v>
      </c>
    </row>
    <row r="32" spans="1:3" ht="25.5">
      <c r="A32" s="22" t="s">
        <v>236</v>
      </c>
      <c r="B32" s="33" t="str">
        <f>[7]С1.1!D27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[7]С1.1!E27</f>
        <v>740.38</v>
      </c>
    </row>
    <row r="33" spans="1:3" ht="25.5">
      <c r="A33" s="22" t="s">
        <v>237</v>
      </c>
      <c r="B33" s="33" t="str">
        <f>[7]С1.1!D28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[7]С1.1!E28</f>
        <v>144.72999999999999</v>
      </c>
    </row>
    <row r="34" spans="1:3" ht="38.25">
      <c r="A34" s="22" t="s">
        <v>238</v>
      </c>
      <c r="B34" s="33" t="str">
        <f>[7]С1.1!D29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[7]С1.1!E29</f>
        <v>229.83</v>
      </c>
    </row>
    <row r="35" spans="1:3" ht="17.25">
      <c r="A35" s="22" t="s">
        <v>12</v>
      </c>
      <c r="B35" s="33" t="s">
        <v>23</v>
      </c>
      <c r="C35" s="35">
        <f>[7]С1.1!E20</f>
        <v>0.112</v>
      </c>
    </row>
    <row r="36" spans="1:3" ht="17.25">
      <c r="A36" s="22" t="s">
        <v>14</v>
      </c>
      <c r="B36" s="33" t="s">
        <v>24</v>
      </c>
      <c r="C36" s="35">
        <f>[7]С1.1!E21</f>
        <v>0.21299999999999999</v>
      </c>
    </row>
    <row r="37" spans="1:3" ht="30">
      <c r="A37" s="22" t="s">
        <v>16</v>
      </c>
      <c r="B37" s="36" t="s">
        <v>239</v>
      </c>
      <c r="C37" s="121">
        <f>[7]С1!F13</f>
        <v>156.1</v>
      </c>
    </row>
    <row r="38" spans="1:3">
      <c r="A38" s="22" t="s">
        <v>18</v>
      </c>
      <c r="B38" s="36" t="s">
        <v>26</v>
      </c>
      <c r="C38" s="38">
        <f>[7]С1!F16</f>
        <v>7000</v>
      </c>
    </row>
    <row r="39" spans="1:3" ht="14.25">
      <c r="A39" s="122" t="s">
        <v>27</v>
      </c>
      <c r="B39" s="39" t="s">
        <v>240</v>
      </c>
      <c r="C39" s="40">
        <f>[7]С1!F17</f>
        <v>1.1285714285714286</v>
      </c>
    </row>
    <row r="40" spans="1:3" ht="15.75">
      <c r="A40" s="123" t="s">
        <v>29</v>
      </c>
      <c r="B40" s="42" t="s">
        <v>30</v>
      </c>
      <c r="C40" s="40">
        <f>[7]С1!F20</f>
        <v>22.307053372799995</v>
      </c>
    </row>
    <row r="41" spans="1:3" ht="15.75">
      <c r="A41" s="123" t="s">
        <v>31</v>
      </c>
      <c r="B41" s="43" t="s">
        <v>32</v>
      </c>
      <c r="C41" s="40">
        <f>[7]С1!F21</f>
        <v>21.531904799999996</v>
      </c>
    </row>
    <row r="42" spans="1:3" ht="14.25">
      <c r="A42" s="123" t="s">
        <v>33</v>
      </c>
      <c r="B42" s="44" t="s">
        <v>34</v>
      </c>
      <c r="C42" s="40">
        <f>[7]С1!F22</f>
        <v>1.036</v>
      </c>
    </row>
    <row r="43" spans="1:3" ht="53.25" thickBot="1">
      <c r="A43" s="27" t="s">
        <v>35</v>
      </c>
      <c r="B43" s="45" t="s">
        <v>36</v>
      </c>
      <c r="C43" s="46" t="str">
        <f>[7]С1!F23</f>
        <v>-</v>
      </c>
    </row>
    <row r="44" spans="1:3" ht="13.5" thickBot="1">
      <c r="A44" s="47"/>
      <c r="B44" s="75"/>
      <c r="C44" s="15"/>
    </row>
    <row r="45" spans="1:3" ht="36.75" customHeight="1">
      <c r="A45" s="50" t="s">
        <v>37</v>
      </c>
      <c r="B45" s="146" t="s">
        <v>38</v>
      </c>
      <c r="C45" s="146"/>
    </row>
    <row r="46" spans="1:3" ht="25.5">
      <c r="A46" s="22" t="s">
        <v>39</v>
      </c>
      <c r="B46" s="36" t="s">
        <v>40</v>
      </c>
      <c r="C46" s="51" t="str">
        <f>[7]С2.1!E12</f>
        <v>V</v>
      </c>
    </row>
    <row r="47" spans="1:3" ht="25.5">
      <c r="A47" s="22" t="s">
        <v>41</v>
      </c>
      <c r="B47" s="33" t="s">
        <v>42</v>
      </c>
      <c r="C47" s="51" t="str">
        <f>[7]С2.1!E13</f>
        <v>6 и менее баллов</v>
      </c>
    </row>
    <row r="48" spans="1:3" ht="25.5">
      <c r="A48" s="22" t="s">
        <v>43</v>
      </c>
      <c r="B48" s="33" t="s">
        <v>241</v>
      </c>
      <c r="C48" s="51" t="str">
        <f>[7]С2.1!E14</f>
        <v>от 200 до 500</v>
      </c>
    </row>
    <row r="49" spans="1:3" ht="25.5">
      <c r="A49" s="22" t="s">
        <v>45</v>
      </c>
      <c r="B49" s="33" t="s">
        <v>242</v>
      </c>
      <c r="C49" s="52" t="str">
        <f>[7]С2.1!E15</f>
        <v>нет</v>
      </c>
    </row>
    <row r="50" spans="1:3" ht="30">
      <c r="A50" s="22" t="s">
        <v>47</v>
      </c>
      <c r="B50" s="33" t="s">
        <v>48</v>
      </c>
      <c r="C50" s="34">
        <f>[7]С2!F18</f>
        <v>38910.02669467502</v>
      </c>
    </row>
    <row r="51" spans="1:3" ht="30">
      <c r="A51" s="22" t="s">
        <v>49</v>
      </c>
      <c r="B51" s="53" t="s">
        <v>50</v>
      </c>
      <c r="C51" s="34">
        <f>IF([7]С2!F19&gt;0,[7]С2!F19,[7]С2!F20)</f>
        <v>23441.524932855718</v>
      </c>
    </row>
    <row r="52" spans="1:3" ht="25.5">
      <c r="A52" s="22" t="s">
        <v>51</v>
      </c>
      <c r="B52" s="54" t="s">
        <v>52</v>
      </c>
      <c r="C52" s="34">
        <f>[7]С2.1!E20</f>
        <v>-38</v>
      </c>
    </row>
    <row r="53" spans="1:3" ht="25.5">
      <c r="A53" s="22" t="s">
        <v>53</v>
      </c>
      <c r="B53" s="54" t="s">
        <v>54</v>
      </c>
      <c r="C53" s="34" t="str">
        <f>[7]С2.1!E23</f>
        <v>нет</v>
      </c>
    </row>
    <row r="54" spans="1:3" ht="38.25">
      <c r="A54" s="22" t="s">
        <v>55</v>
      </c>
      <c r="B54" s="55" t="s">
        <v>56</v>
      </c>
      <c r="C54" s="34">
        <f>[7]С2.2!E10</f>
        <v>1287</v>
      </c>
    </row>
    <row r="55" spans="1:3" ht="25.5">
      <c r="A55" s="22" t="s">
        <v>57</v>
      </c>
      <c r="B55" s="56" t="s">
        <v>58</v>
      </c>
      <c r="C55" s="34">
        <f>[7]С2.2!E12</f>
        <v>5.97</v>
      </c>
    </row>
    <row r="56" spans="1:3" ht="52.5">
      <c r="A56" s="22" t="s">
        <v>59</v>
      </c>
      <c r="B56" s="57" t="s">
        <v>60</v>
      </c>
      <c r="C56" s="34">
        <f>[7]С2.2!E13</f>
        <v>1</v>
      </c>
    </row>
    <row r="57" spans="1:3" ht="27.75">
      <c r="A57" s="22" t="s">
        <v>61</v>
      </c>
      <c r="B57" s="56" t="s">
        <v>62</v>
      </c>
      <c r="C57" s="34">
        <f>[7]С2.2!E14</f>
        <v>12104</v>
      </c>
    </row>
    <row r="58" spans="1:3" ht="25.5">
      <c r="A58" s="22" t="s">
        <v>63</v>
      </c>
      <c r="B58" s="57" t="s">
        <v>64</v>
      </c>
      <c r="C58" s="35">
        <f>[7]С2.2!E15</f>
        <v>4.8000000000000001E-2</v>
      </c>
    </row>
    <row r="59" spans="1:3">
      <c r="A59" s="22" t="s">
        <v>65</v>
      </c>
      <c r="B59" s="57" t="s">
        <v>66</v>
      </c>
      <c r="C59" s="124">
        <f>[7]С2.2!E16</f>
        <v>1</v>
      </c>
    </row>
    <row r="60" spans="1:3" ht="15.75">
      <c r="A60" s="22" t="s">
        <v>67</v>
      </c>
      <c r="B60" s="58" t="s">
        <v>68</v>
      </c>
      <c r="C60" s="34">
        <f>[7]С2!F21</f>
        <v>1</v>
      </c>
    </row>
    <row r="61" spans="1:3" ht="30">
      <c r="A61" s="59" t="s">
        <v>69</v>
      </c>
      <c r="B61" s="33" t="s">
        <v>243</v>
      </c>
      <c r="C61" s="34">
        <f>[7]С2!F13</f>
        <v>116526.45062105893</v>
      </c>
    </row>
    <row r="62" spans="1:3" ht="30">
      <c r="A62" s="59" t="s">
        <v>71</v>
      </c>
      <c r="B62" s="60" t="s">
        <v>244</v>
      </c>
      <c r="C62" s="34">
        <f>[7]С2!F14</f>
        <v>64899</v>
      </c>
    </row>
    <row r="63" spans="1:3" ht="15.75">
      <c r="A63" s="59" t="s">
        <v>73</v>
      </c>
      <c r="B63" s="60" t="s">
        <v>74</v>
      </c>
      <c r="C63" s="40">
        <f>[7]С2!F15</f>
        <v>1.071</v>
      </c>
    </row>
    <row r="64" spans="1:3" ht="15.75">
      <c r="A64" s="59" t="s">
        <v>75</v>
      </c>
      <c r="B64" s="60" t="s">
        <v>76</v>
      </c>
      <c r="C64" s="125">
        <f>[7]С2!F16</f>
        <v>1</v>
      </c>
    </row>
    <row r="65" spans="1:3" ht="17.25">
      <c r="A65" s="59" t="s">
        <v>77</v>
      </c>
      <c r="B65" s="60" t="s">
        <v>78</v>
      </c>
      <c r="C65" s="126">
        <f>[7]С2!F17</f>
        <v>1.01</v>
      </c>
    </row>
    <row r="66" spans="1:3" s="63" customFormat="1" ht="14.25">
      <c r="A66" s="59" t="s">
        <v>79</v>
      </c>
      <c r="B66" s="61" t="s">
        <v>80</v>
      </c>
      <c r="C66" s="62">
        <f>[7]С2!F35</f>
        <v>10</v>
      </c>
    </row>
    <row r="67" spans="1:3" ht="30">
      <c r="A67" s="59" t="s">
        <v>81</v>
      </c>
      <c r="B67" s="64" t="s">
        <v>82</v>
      </c>
      <c r="C67" s="34">
        <f>[7]С2!F28</f>
        <v>287.67851105278851</v>
      </c>
    </row>
    <row r="68" spans="1:3" ht="17.25">
      <c r="A68" s="59" t="s">
        <v>83</v>
      </c>
      <c r="B68" s="53" t="s">
        <v>245</v>
      </c>
      <c r="C68" s="40">
        <f>[7]С2!F29</f>
        <v>0.34662649000000001</v>
      </c>
    </row>
    <row r="69" spans="1:3" ht="17.25">
      <c r="A69" s="59" t="s">
        <v>85</v>
      </c>
      <c r="B69" s="58" t="s">
        <v>246</v>
      </c>
      <c r="C69" s="62">
        <f>[7]С2!F30</f>
        <v>500</v>
      </c>
    </row>
    <row r="70" spans="1:3" ht="42.75">
      <c r="A70" s="59" t="s">
        <v>87</v>
      </c>
      <c r="B70" s="33" t="s">
        <v>247</v>
      </c>
      <c r="C70" s="34">
        <f>[7]С2!F22</f>
        <v>43932.649760529566</v>
      </c>
    </row>
    <row r="71" spans="1:3" ht="30">
      <c r="A71" s="59" t="s">
        <v>89</v>
      </c>
      <c r="B71" s="60" t="s">
        <v>248</v>
      </c>
      <c r="C71" s="34">
        <f>[7]С2!F23</f>
        <v>21</v>
      </c>
    </row>
    <row r="72" spans="1:3" ht="30">
      <c r="A72" s="59" t="s">
        <v>91</v>
      </c>
      <c r="B72" s="53" t="s">
        <v>92</v>
      </c>
      <c r="C72" s="34">
        <f>[7]С2.1!E28</f>
        <v>14036.09995</v>
      </c>
    </row>
    <row r="73" spans="1:3" ht="38.25">
      <c r="A73" s="59" t="s">
        <v>93</v>
      </c>
      <c r="B73" s="65" t="s">
        <v>94</v>
      </c>
      <c r="C73" s="52">
        <f>[7]С2.3!E21</f>
        <v>0</v>
      </c>
    </row>
    <row r="74" spans="1:3" ht="25.5">
      <c r="A74" s="59" t="s">
        <v>95</v>
      </c>
      <c r="B74" s="66" t="s">
        <v>96</v>
      </c>
      <c r="C74" s="67">
        <f>[7]С2.3!E11</f>
        <v>5.45</v>
      </c>
    </row>
    <row r="75" spans="1:3" ht="25.5">
      <c r="A75" s="59" t="s">
        <v>97</v>
      </c>
      <c r="B75" s="66" t="s">
        <v>98</v>
      </c>
      <c r="C75" s="62">
        <f>[7]С2.3!E13</f>
        <v>300</v>
      </c>
    </row>
    <row r="76" spans="1:3" ht="25.5">
      <c r="A76" s="59" t="s">
        <v>99</v>
      </c>
      <c r="B76" s="65" t="s">
        <v>100</v>
      </c>
      <c r="C76" s="68">
        <f>IF([7]С2.3!E22&gt;0,[7]С2.3!E22,[7]С2.3!E14)</f>
        <v>61211</v>
      </c>
    </row>
    <row r="77" spans="1:3" ht="38.25">
      <c r="A77" s="59" t="s">
        <v>101</v>
      </c>
      <c r="B77" s="65" t="s">
        <v>102</v>
      </c>
      <c r="C77" s="68">
        <f>IF([7]С2.3!E23&gt;0,[7]С2.3!E23,[7]С2.3!E15)</f>
        <v>45675</v>
      </c>
    </row>
    <row r="78" spans="1:3" ht="30">
      <c r="A78" s="59" t="s">
        <v>103</v>
      </c>
      <c r="B78" s="53" t="s">
        <v>104</v>
      </c>
      <c r="C78" s="34">
        <f>[7]С2.1!E29</f>
        <v>9518.3274000000001</v>
      </c>
    </row>
    <row r="79" spans="1:3" ht="38.25">
      <c r="A79" s="59" t="s">
        <v>105</v>
      </c>
      <c r="B79" s="65" t="s">
        <v>106</v>
      </c>
      <c r="C79" s="52">
        <f>[7]С2.3!E25</f>
        <v>0</v>
      </c>
    </row>
    <row r="80" spans="1:3" ht="25.5">
      <c r="A80" s="59" t="s">
        <v>107</v>
      </c>
      <c r="B80" s="66" t="s">
        <v>108</v>
      </c>
      <c r="C80" s="67">
        <f>[7]С2.3!E12</f>
        <v>0.2</v>
      </c>
    </row>
    <row r="81" spans="1:3" ht="25.5">
      <c r="A81" s="59" t="s">
        <v>109</v>
      </c>
      <c r="B81" s="66" t="s">
        <v>98</v>
      </c>
      <c r="C81" s="62">
        <f>[7]С2.3!E13</f>
        <v>300</v>
      </c>
    </row>
    <row r="82" spans="1:3" ht="25.5">
      <c r="A82" s="59" t="s">
        <v>110</v>
      </c>
      <c r="B82" s="69" t="s">
        <v>111</v>
      </c>
      <c r="C82" s="68">
        <f>IF([7]С2.3!E26&gt;0,[7]С2.3!E26,[7]С2.3!E16)</f>
        <v>65637</v>
      </c>
    </row>
    <row r="83" spans="1:3" ht="38.25">
      <c r="A83" s="59" t="s">
        <v>112</v>
      </c>
      <c r="B83" s="69" t="s">
        <v>113</v>
      </c>
      <c r="C83" s="68">
        <f>IF([7]С2.3!E27&gt;0,[7]С2.3!E27,[7]С2.3!E17)</f>
        <v>31684</v>
      </c>
    </row>
    <row r="84" spans="1:3" ht="30">
      <c r="A84" s="59" t="s">
        <v>249</v>
      </c>
      <c r="B84" s="60" t="s">
        <v>250</v>
      </c>
      <c r="C84" s="68">
        <f>IF([7]С2.1!E19&gt;0,[7]С2.1!E19,[7]С2!F26)</f>
        <v>2892</v>
      </c>
    </row>
    <row r="85" spans="1:3" ht="17.25">
      <c r="A85" s="59" t="s">
        <v>114</v>
      </c>
      <c r="B85" s="33" t="s">
        <v>115</v>
      </c>
      <c r="C85" s="35">
        <f>[7]С2!F31</f>
        <v>0.17804631770487722</v>
      </c>
    </row>
    <row r="86" spans="1:3" ht="30">
      <c r="A86" s="59" t="s">
        <v>116</v>
      </c>
      <c r="B86" s="53" t="s">
        <v>117</v>
      </c>
      <c r="C86" s="70">
        <f>[7]С2!F32</f>
        <v>0.1652189781021898</v>
      </c>
    </row>
    <row r="87" spans="1:3" ht="17.25">
      <c r="A87" s="59" t="s">
        <v>118</v>
      </c>
      <c r="B87" s="71" t="s">
        <v>119</v>
      </c>
      <c r="C87" s="35">
        <f>[7]С2!F33</f>
        <v>0.13880000000000001</v>
      </c>
    </row>
    <row r="88" spans="1:3" s="63" customFormat="1" ht="18" thickBot="1">
      <c r="A88" s="72" t="s">
        <v>120</v>
      </c>
      <c r="B88" s="73" t="s">
        <v>121</v>
      </c>
      <c r="C88" s="74">
        <f>[7]С2!F34</f>
        <v>0.12640000000000001</v>
      </c>
    </row>
    <row r="89" spans="1:3" ht="13.5" thickBot="1">
      <c r="A89" s="47"/>
      <c r="B89" s="75"/>
      <c r="C89" s="15"/>
    </row>
    <row r="90" spans="1:3" s="63" customFormat="1" ht="30" customHeight="1">
      <c r="A90" s="76" t="s">
        <v>122</v>
      </c>
      <c r="B90" s="146" t="s">
        <v>123</v>
      </c>
      <c r="C90" s="146"/>
    </row>
    <row r="91" spans="1:3" s="63" customFormat="1" ht="30">
      <c r="A91" s="77" t="s">
        <v>124</v>
      </c>
      <c r="B91" s="33" t="s">
        <v>125</v>
      </c>
      <c r="C91" s="34">
        <f>[7]С3!F14</f>
        <v>10275.733269206823</v>
      </c>
    </row>
    <row r="92" spans="1:3" s="63" customFormat="1" ht="42.75">
      <c r="A92" s="77" t="s">
        <v>126</v>
      </c>
      <c r="B92" s="53" t="s">
        <v>127</v>
      </c>
      <c r="C92" s="78">
        <f>[7]С3!F15</f>
        <v>0.25</v>
      </c>
    </row>
    <row r="93" spans="1:3" s="63" customFormat="1" ht="14.25">
      <c r="A93" s="77" t="s">
        <v>128</v>
      </c>
      <c r="B93" s="79" t="s">
        <v>129</v>
      </c>
      <c r="C93" s="62">
        <f>[7]С3!F18</f>
        <v>15</v>
      </c>
    </row>
    <row r="94" spans="1:3" s="63" customFormat="1" ht="17.25">
      <c r="A94" s="77" t="s">
        <v>130</v>
      </c>
      <c r="B94" s="33" t="s">
        <v>131</v>
      </c>
      <c r="C94" s="34">
        <f>[7]С3!F19</f>
        <v>2924.0805304518653</v>
      </c>
    </row>
    <row r="95" spans="1:3" s="63" customFormat="1" ht="55.5">
      <c r="A95" s="77" t="s">
        <v>132</v>
      </c>
      <c r="B95" s="53" t="s">
        <v>133</v>
      </c>
      <c r="C95" s="80">
        <f>[7]С3!F20</f>
        <v>2.1999999999999999E-2</v>
      </c>
    </row>
    <row r="96" spans="1:3" s="63" customFormat="1" ht="14.25">
      <c r="A96" s="77" t="s">
        <v>134</v>
      </c>
      <c r="B96" s="58" t="s">
        <v>80</v>
      </c>
      <c r="C96" s="62">
        <f>[7]С3!F21</f>
        <v>10</v>
      </c>
    </row>
    <row r="97" spans="1:3" s="63" customFormat="1" ht="17.25">
      <c r="A97" s="77" t="s">
        <v>135</v>
      </c>
      <c r="B97" s="33" t="s">
        <v>136</v>
      </c>
      <c r="C97" s="34">
        <f>[7]С3!F22</f>
        <v>0.86303553315836556</v>
      </c>
    </row>
    <row r="98" spans="1:3" s="63" customFormat="1" ht="55.5">
      <c r="A98" s="77" t="s">
        <v>137</v>
      </c>
      <c r="B98" s="53" t="s">
        <v>138</v>
      </c>
      <c r="C98" s="80">
        <f>[7]С3!F23</f>
        <v>3.0000000000000001E-3</v>
      </c>
    </row>
    <row r="99" spans="1:3" s="63" customFormat="1" ht="30.75" thickBot="1">
      <c r="A99" s="81" t="s">
        <v>139</v>
      </c>
      <c r="B99" s="82" t="s">
        <v>82</v>
      </c>
      <c r="C99" s="83">
        <f>[7]С3!F24</f>
        <v>287.67851105278851</v>
      </c>
    </row>
    <row r="100" spans="1:3" ht="13.5" thickBot="1">
      <c r="A100" s="47"/>
      <c r="B100" s="75"/>
      <c r="C100" s="15"/>
    </row>
    <row r="101" spans="1:3" ht="44.25" customHeight="1">
      <c r="A101" s="84" t="s">
        <v>141</v>
      </c>
      <c r="B101" s="146" t="s">
        <v>142</v>
      </c>
      <c r="C101" s="146"/>
    </row>
    <row r="102" spans="1:3" ht="30">
      <c r="A102" s="59" t="s">
        <v>143</v>
      </c>
      <c r="B102" s="33" t="s">
        <v>251</v>
      </c>
      <c r="C102" s="34">
        <f>[7]С4!F16</f>
        <v>832.33500000000004</v>
      </c>
    </row>
    <row r="103" spans="1:3" ht="30">
      <c r="A103" s="59" t="s">
        <v>145</v>
      </c>
      <c r="B103" s="58" t="s">
        <v>252</v>
      </c>
      <c r="C103" s="34">
        <f>[7]С4!F17</f>
        <v>43385</v>
      </c>
    </row>
    <row r="104" spans="1:3" ht="17.25">
      <c r="A104" s="59" t="s">
        <v>147</v>
      </c>
      <c r="B104" s="58" t="s">
        <v>148</v>
      </c>
      <c r="C104" s="40">
        <f>[7]С4!F18</f>
        <v>1.4999999999999999E-2</v>
      </c>
    </row>
    <row r="105" spans="1:3" ht="30">
      <c r="A105" s="59" t="s">
        <v>149</v>
      </c>
      <c r="B105" s="58" t="s">
        <v>150</v>
      </c>
      <c r="C105" s="34">
        <f>[7]С4!F19</f>
        <v>12104</v>
      </c>
    </row>
    <row r="106" spans="1:3" ht="31.5">
      <c r="A106" s="59" t="s">
        <v>151</v>
      </c>
      <c r="B106" s="58" t="s">
        <v>152</v>
      </c>
      <c r="C106" s="40">
        <f>[7]С4!F20</f>
        <v>1.4999999999999999E-2</v>
      </c>
    </row>
    <row r="107" spans="1:3" ht="30">
      <c r="A107" s="59" t="s">
        <v>153</v>
      </c>
      <c r="B107" s="33" t="s">
        <v>253</v>
      </c>
      <c r="C107" s="34">
        <f>[7]С4!F21</f>
        <v>1221.9019409821399</v>
      </c>
    </row>
    <row r="108" spans="1:3" ht="45.6" customHeight="1">
      <c r="A108" s="59" t="s">
        <v>155</v>
      </c>
      <c r="B108" s="53" t="s">
        <v>156</v>
      </c>
      <c r="C108" s="85" t="str">
        <f>IF([7]С4.2!F8="да",[7]С4.2!D21,[7]С4.2!D15)</f>
        <v>АО "Новосибирскэнергосбыт"</v>
      </c>
    </row>
    <row r="109" spans="1:3" ht="68.25" customHeight="1">
      <c r="A109" s="59" t="s">
        <v>157</v>
      </c>
      <c r="B109" s="53" t="s">
        <v>158</v>
      </c>
      <c r="C109" s="34">
        <f>[7]С4!F22</f>
        <v>3.6112641666666665</v>
      </c>
    </row>
    <row r="110" spans="1:3" ht="30">
      <c r="A110" s="59" t="s">
        <v>159</v>
      </c>
      <c r="B110" s="58" t="s">
        <v>254</v>
      </c>
      <c r="C110" s="62">
        <f>[7]С4!F23</f>
        <v>110</v>
      </c>
    </row>
    <row r="111" spans="1:3" ht="14.25">
      <c r="A111" s="59" t="s">
        <v>161</v>
      </c>
      <c r="B111" s="53" t="s">
        <v>162</v>
      </c>
      <c r="C111" s="34">
        <f>[7]С4!F24</f>
        <v>8497.1999999999989</v>
      </c>
    </row>
    <row r="112" spans="1:3" ht="14.25">
      <c r="A112" s="59" t="s">
        <v>163</v>
      </c>
      <c r="B112" s="58" t="s">
        <v>164</v>
      </c>
      <c r="C112" s="40">
        <f>[7]С4!F25</f>
        <v>0.36199999999999999</v>
      </c>
    </row>
    <row r="113" spans="1:3" ht="17.25">
      <c r="A113" s="59" t="s">
        <v>165</v>
      </c>
      <c r="B113" s="33" t="s">
        <v>166</v>
      </c>
      <c r="C113" s="34">
        <f>[7]С4!F26</f>
        <v>49.496079999999999</v>
      </c>
    </row>
    <row r="114" spans="1:3" ht="25.5">
      <c r="A114" s="59" t="s">
        <v>167</v>
      </c>
      <c r="B114" s="53" t="s">
        <v>94</v>
      </c>
      <c r="C114" s="85">
        <f>[7]С4.3!E16</f>
        <v>0</v>
      </c>
    </row>
    <row r="115" spans="1:3" ht="25.5">
      <c r="A115" s="59" t="s">
        <v>168</v>
      </c>
      <c r="B115" s="53" t="s">
        <v>169</v>
      </c>
      <c r="C115" s="34">
        <f>[7]С4.3!E17</f>
        <v>25.01</v>
      </c>
    </row>
    <row r="116" spans="1:3" ht="38.25">
      <c r="A116" s="59" t="s">
        <v>170</v>
      </c>
      <c r="B116" s="53" t="s">
        <v>106</v>
      </c>
      <c r="C116" s="85">
        <f>[7]С4.3!E18</f>
        <v>0</v>
      </c>
    </row>
    <row r="117" spans="1:3">
      <c r="A117" s="59" t="s">
        <v>171</v>
      </c>
      <c r="B117" s="53" t="s">
        <v>172</v>
      </c>
      <c r="C117" s="34">
        <f>[7]С4.3!E19</f>
        <v>16.12</v>
      </c>
    </row>
    <row r="118" spans="1:3">
      <c r="A118" s="59" t="s">
        <v>173</v>
      </c>
      <c r="B118" s="58" t="s">
        <v>174</v>
      </c>
      <c r="C118" s="62">
        <f>[7]С4.3!E11</f>
        <v>1871</v>
      </c>
    </row>
    <row r="119" spans="1:3">
      <c r="A119" s="59" t="s">
        <v>175</v>
      </c>
      <c r="B119" s="58" t="s">
        <v>176</v>
      </c>
      <c r="C119" s="52">
        <f>[7]С4.3!E12</f>
        <v>61</v>
      </c>
    </row>
    <row r="120" spans="1:3">
      <c r="A120" s="59" t="s">
        <v>177</v>
      </c>
      <c r="B120" s="58" t="s">
        <v>178</v>
      </c>
      <c r="C120" s="52">
        <f>[7]С4.3!E13</f>
        <v>73</v>
      </c>
    </row>
    <row r="121" spans="1:3" ht="30">
      <c r="A121" s="59" t="s">
        <v>179</v>
      </c>
      <c r="B121" s="33" t="s">
        <v>255</v>
      </c>
      <c r="C121" s="34">
        <f>[7]С4!F27</f>
        <v>904.62444244124072</v>
      </c>
    </row>
    <row r="122" spans="1:3" ht="25.5">
      <c r="A122" s="59" t="s">
        <v>181</v>
      </c>
      <c r="B122" s="53" t="s">
        <v>256</v>
      </c>
      <c r="C122" s="34">
        <f>[7]С4!F28</f>
        <v>694.79603874135228</v>
      </c>
    </row>
    <row r="123" spans="1:3" ht="42.75">
      <c r="A123" s="59" t="s">
        <v>183</v>
      </c>
      <c r="B123" s="53" t="s">
        <v>184</v>
      </c>
      <c r="C123" s="34">
        <f>[7]С4!F29</f>
        <v>209.82840369988838</v>
      </c>
    </row>
    <row r="124" spans="1:3" ht="30.75" thickBot="1">
      <c r="A124" s="72" t="s">
        <v>185</v>
      </c>
      <c r="B124" s="90" t="s">
        <v>186</v>
      </c>
      <c r="C124" s="83">
        <f>[7]С4!F30</f>
        <v>808.29858192931442</v>
      </c>
    </row>
    <row r="125" spans="1:3" s="89" customFormat="1" ht="13.5" thickBot="1">
      <c r="A125" s="47"/>
      <c r="B125" s="75"/>
      <c r="C125" s="15"/>
    </row>
    <row r="126" spans="1:3" s="63" customFormat="1" ht="30" customHeight="1">
      <c r="A126" s="76" t="s">
        <v>195</v>
      </c>
      <c r="B126" s="146" t="s">
        <v>196</v>
      </c>
      <c r="C126" s="146"/>
    </row>
    <row r="127" spans="1:3" ht="30.6" customHeight="1" thickBot="1">
      <c r="A127" s="27" t="s">
        <v>197</v>
      </c>
      <c r="B127" s="90" t="s">
        <v>198</v>
      </c>
      <c r="C127" s="83">
        <f>[7]С5!F17</f>
        <v>0.02</v>
      </c>
    </row>
    <row r="128" spans="1:3" s="89" customFormat="1" ht="13.5" thickBot="1">
      <c r="A128" s="47"/>
      <c r="B128" s="75"/>
      <c r="C128" s="15"/>
    </row>
    <row r="129" spans="1:4" ht="42.75" customHeight="1">
      <c r="A129" s="84" t="s">
        <v>199</v>
      </c>
      <c r="B129" s="146" t="s">
        <v>200</v>
      </c>
      <c r="C129" s="146"/>
    </row>
    <row r="130" spans="1:4" ht="68.25">
      <c r="A130" s="59" t="s">
        <v>201</v>
      </c>
      <c r="B130" s="91" t="s">
        <v>202</v>
      </c>
      <c r="C130" s="34" t="str">
        <f>IF([7]С6.1!E11="нет",[7]С6!F13,"")</f>
        <v/>
      </c>
    </row>
    <row r="131" spans="1:4" ht="42.75">
      <c r="A131" s="59" t="s">
        <v>204</v>
      </c>
      <c r="B131" s="86" t="s">
        <v>205</v>
      </c>
      <c r="C131" s="92" t="str">
        <f>IF([7]С6.1!E12="нет",[7]С6.1!E17,"")</f>
        <v/>
      </c>
    </row>
    <row r="132" spans="1:4" ht="68.25">
      <c r="A132" s="59" t="s">
        <v>206</v>
      </c>
      <c r="B132" s="91" t="s">
        <v>207</v>
      </c>
      <c r="C132" s="127" t="str">
        <f>IF([7]С6.1!E18="нет",[7]С6!F19,"")</f>
        <v/>
      </c>
    </row>
    <row r="133" spans="1:4" ht="55.5">
      <c r="A133" s="59" t="s">
        <v>208</v>
      </c>
      <c r="B133" s="86" t="s">
        <v>209</v>
      </c>
      <c r="C133" s="35" t="str">
        <f>IF([7]С6.1!E18="нет",[7]С6.1!E19,"")</f>
        <v/>
      </c>
    </row>
    <row r="134" spans="1:4" ht="61.5" customHeight="1">
      <c r="A134" s="59" t="s">
        <v>210</v>
      </c>
      <c r="B134" s="86" t="s">
        <v>257</v>
      </c>
      <c r="C134" s="35" t="str">
        <f>IF([7]С6.1!E18="нет",[7]С6.1!E22,"")</f>
        <v/>
      </c>
    </row>
    <row r="135" spans="1:4" ht="69" thickBot="1">
      <c r="A135" s="72" t="s">
        <v>212</v>
      </c>
      <c r="B135" s="98" t="s">
        <v>213</v>
      </c>
      <c r="C135" s="74" t="str">
        <f>IF([7]С6.1!E18="нет",[7]С6.1!E23,"")</f>
        <v/>
      </c>
    </row>
    <row r="136" spans="1:4" s="89" customFormat="1" ht="13.5" thickBot="1">
      <c r="A136" s="47"/>
      <c r="B136" s="75"/>
      <c r="C136" s="15"/>
    </row>
    <row r="137" spans="1:4" ht="15.75">
      <c r="A137" s="84" t="s">
        <v>214</v>
      </c>
      <c r="B137" s="99" t="s">
        <v>215</v>
      </c>
      <c r="C137" s="100">
        <f>[7]С2!F39</f>
        <v>21.531904799999996</v>
      </c>
    </row>
    <row r="138" spans="1:4" ht="14.25">
      <c r="A138" s="59" t="s">
        <v>216</v>
      </c>
      <c r="B138" s="58" t="s">
        <v>217</v>
      </c>
      <c r="C138" s="34">
        <f>[7]С2!F40</f>
        <v>7</v>
      </c>
    </row>
    <row r="139" spans="1:4" ht="17.25">
      <c r="A139" s="59" t="s">
        <v>218</v>
      </c>
      <c r="B139" s="58" t="s">
        <v>219</v>
      </c>
      <c r="C139" s="34">
        <f>[7]С2!F42</f>
        <v>0.97</v>
      </c>
    </row>
    <row r="140" spans="1:4" ht="15" thickBot="1">
      <c r="A140" s="72" t="s">
        <v>220</v>
      </c>
      <c r="B140" s="73" t="s">
        <v>221</v>
      </c>
      <c r="C140" s="46">
        <f>[7]С2!F44</f>
        <v>0.36199999999999999</v>
      </c>
    </row>
    <row r="141" spans="1:4" s="89" customFormat="1" ht="13.5" thickBot="1">
      <c r="A141" s="47"/>
      <c r="B141" s="75"/>
      <c r="C141" s="15"/>
    </row>
    <row r="142" spans="1:4" ht="17.25">
      <c r="A142" s="84" t="s">
        <v>222</v>
      </c>
      <c r="B142" s="103" t="s">
        <v>258</v>
      </c>
      <c r="C142" s="128">
        <f>[7]С2!F37</f>
        <v>1.6598760876745948</v>
      </c>
      <c r="D142" s="89"/>
    </row>
    <row r="143" spans="1:4" ht="17.25" customHeight="1" thickBot="1">
      <c r="A143" s="72" t="s">
        <v>224</v>
      </c>
      <c r="B143" s="142" t="s">
        <v>225</v>
      </c>
      <c r="C143" s="142"/>
      <c r="D143" s="89"/>
    </row>
    <row r="144" spans="1:4">
      <c r="A144" s="105"/>
      <c r="B144" s="129" t="s">
        <v>226</v>
      </c>
      <c r="C144" s="130"/>
    </row>
    <row r="145" spans="1:3">
      <c r="A145" s="105"/>
      <c r="B145" s="131">
        <v>2020</v>
      </c>
      <c r="C145" s="132">
        <f>[7]С2.5!$E$11</f>
        <v>-2.9000000000000026E-2</v>
      </c>
    </row>
    <row r="146" spans="1:3">
      <c r="B146" s="131">
        <f>B145+1</f>
        <v>2021</v>
      </c>
      <c r="C146" s="133">
        <f>[7]С2.5!$F$11</f>
        <v>0.245</v>
      </c>
    </row>
    <row r="147" spans="1:3">
      <c r="B147" s="131">
        <f t="shared" ref="B147:B210" si="0">B146+1</f>
        <v>2022</v>
      </c>
      <c r="C147" s="134">
        <f>[7]С2.5!$G$11</f>
        <v>0.114</v>
      </c>
    </row>
    <row r="148" spans="1:3">
      <c r="B148" s="110">
        <f t="shared" si="0"/>
        <v>2023</v>
      </c>
      <c r="C148" s="135">
        <f>[7]С2.5!$H$11</f>
        <v>0.04</v>
      </c>
    </row>
    <row r="149" spans="1:3">
      <c r="B149" s="110">
        <f t="shared" si="0"/>
        <v>2024</v>
      </c>
      <c r="C149" s="135">
        <f>[7]С2.5!$I$11</f>
        <v>0.11700000000000001</v>
      </c>
    </row>
    <row r="150" spans="1:3" ht="13.5" thickBot="1">
      <c r="B150" s="110">
        <f t="shared" si="0"/>
        <v>2025</v>
      </c>
      <c r="C150" s="135">
        <f>[7]С2.5!$J$11</f>
        <v>6.0999999999999999E-2</v>
      </c>
    </row>
    <row r="151" spans="1:3" ht="13.5" hidden="1" thickBot="1">
      <c r="B151" s="110">
        <f t="shared" si="0"/>
        <v>2026</v>
      </c>
      <c r="C151" s="135">
        <f>[7]С2.5!$K$11</f>
        <v>0</v>
      </c>
    </row>
    <row r="152" spans="1:3" ht="13.5" hidden="1" thickBot="1">
      <c r="B152" s="110">
        <f t="shared" si="0"/>
        <v>2027</v>
      </c>
      <c r="C152" s="135">
        <f>[7]С2.5!$L$11</f>
        <v>0</v>
      </c>
    </row>
    <row r="153" spans="1:3" ht="13.5" hidden="1" thickBot="1">
      <c r="B153" s="110">
        <f t="shared" si="0"/>
        <v>2028</v>
      </c>
      <c r="C153" s="135">
        <f>[7]С2.5!$M$11</f>
        <v>0</v>
      </c>
    </row>
    <row r="154" spans="1:3" ht="13.5" hidden="1" thickBot="1">
      <c r="B154" s="110">
        <f t="shared" si="0"/>
        <v>2029</v>
      </c>
      <c r="C154" s="135">
        <f>[7]С2.5!$N$11</f>
        <v>0</v>
      </c>
    </row>
    <row r="155" spans="1:3" ht="13.5" hidden="1" thickBot="1">
      <c r="B155" s="110">
        <f t="shared" si="0"/>
        <v>2030</v>
      </c>
      <c r="C155" s="135">
        <f>[7]С2.5!$O$11</f>
        <v>0</v>
      </c>
    </row>
    <row r="156" spans="1:3" ht="13.5" hidden="1" thickBot="1">
      <c r="B156" s="110">
        <f t="shared" si="0"/>
        <v>2031</v>
      </c>
      <c r="C156" s="135">
        <f>[7]С2.5!$P$11</f>
        <v>0</v>
      </c>
    </row>
    <row r="157" spans="1:3" ht="13.5" hidden="1" thickBot="1">
      <c r="B157" s="110">
        <f t="shared" si="0"/>
        <v>2032</v>
      </c>
      <c r="C157" s="135">
        <f>[7]С2.5!$Q$11</f>
        <v>0</v>
      </c>
    </row>
    <row r="158" spans="1:3" ht="13.5" hidden="1" thickBot="1">
      <c r="B158" s="110">
        <f t="shared" si="0"/>
        <v>2033</v>
      </c>
      <c r="C158" s="135">
        <f>[7]С2.5!$R$11</f>
        <v>0</v>
      </c>
    </row>
    <row r="159" spans="1:3" ht="13.5" hidden="1" thickBot="1">
      <c r="B159" s="110">
        <f t="shared" si="0"/>
        <v>2034</v>
      </c>
      <c r="C159" s="135">
        <f>[7]С2.5!$S$11</f>
        <v>0</v>
      </c>
    </row>
    <row r="160" spans="1:3" ht="13.5" hidden="1" thickBot="1">
      <c r="B160" s="110">
        <f t="shared" si="0"/>
        <v>2035</v>
      </c>
      <c r="C160" s="135">
        <f>[7]С2.5!$T$11</f>
        <v>0</v>
      </c>
    </row>
    <row r="161" spans="2:3" ht="13.5" hidden="1" thickBot="1">
      <c r="B161" s="110">
        <f t="shared" si="0"/>
        <v>2036</v>
      </c>
      <c r="C161" s="135">
        <f>[7]С2.5!$U$11</f>
        <v>0</v>
      </c>
    </row>
    <row r="162" spans="2:3" ht="13.5" hidden="1" thickBot="1">
      <c r="B162" s="110">
        <f t="shared" si="0"/>
        <v>2037</v>
      </c>
      <c r="C162" s="135">
        <f>[7]С2.5!$V$11</f>
        <v>0</v>
      </c>
    </row>
    <row r="163" spans="2:3" ht="13.5" hidden="1" thickBot="1">
      <c r="B163" s="110">
        <f t="shared" si="0"/>
        <v>2038</v>
      </c>
      <c r="C163" s="135">
        <f>[7]С2.5!$W$11</f>
        <v>0</v>
      </c>
    </row>
    <row r="164" spans="2:3" ht="13.5" hidden="1" thickBot="1">
      <c r="B164" s="110">
        <f t="shared" si="0"/>
        <v>2039</v>
      </c>
      <c r="C164" s="135">
        <f>[7]С2.5!$X$11</f>
        <v>0</v>
      </c>
    </row>
    <row r="165" spans="2:3" ht="13.5" hidden="1" thickBot="1">
      <c r="B165" s="110">
        <f t="shared" si="0"/>
        <v>2040</v>
      </c>
      <c r="C165" s="135">
        <f>[7]С2.5!$Y$11</f>
        <v>0</v>
      </c>
    </row>
    <row r="166" spans="2:3" ht="13.5" hidden="1" thickBot="1">
      <c r="B166" s="110">
        <f t="shared" si="0"/>
        <v>2041</v>
      </c>
      <c r="C166" s="135">
        <f>[7]С2.5!$Z$11</f>
        <v>0</v>
      </c>
    </row>
    <row r="167" spans="2:3" ht="13.5" hidden="1" thickBot="1">
      <c r="B167" s="110">
        <f t="shared" si="0"/>
        <v>2042</v>
      </c>
      <c r="C167" s="135">
        <f>[7]С2.5!$AA$11</f>
        <v>0</v>
      </c>
    </row>
    <row r="168" spans="2:3" ht="13.5" hidden="1" thickBot="1">
      <c r="B168" s="110">
        <f t="shared" si="0"/>
        <v>2043</v>
      </c>
      <c r="C168" s="135">
        <f>[7]С2.5!$AB$11</f>
        <v>0</v>
      </c>
    </row>
    <row r="169" spans="2:3" ht="13.5" hidden="1" thickBot="1">
      <c r="B169" s="110">
        <f t="shared" si="0"/>
        <v>2044</v>
      </c>
      <c r="C169" s="135">
        <f>[7]С2.5!$AC$11</f>
        <v>0</v>
      </c>
    </row>
    <row r="170" spans="2:3" ht="13.5" hidden="1" thickBot="1">
      <c r="B170" s="110">
        <f t="shared" si="0"/>
        <v>2045</v>
      </c>
      <c r="C170" s="135">
        <f>[7]С2.5!$AD$11</f>
        <v>0</v>
      </c>
    </row>
    <row r="171" spans="2:3" ht="13.5" hidden="1" thickBot="1">
      <c r="B171" s="110">
        <f t="shared" si="0"/>
        <v>2046</v>
      </c>
      <c r="C171" s="135">
        <f>[7]С2.5!$AE$11</f>
        <v>0</v>
      </c>
    </row>
    <row r="172" spans="2:3" ht="13.5" hidden="1" thickBot="1">
      <c r="B172" s="110">
        <f t="shared" si="0"/>
        <v>2047</v>
      </c>
      <c r="C172" s="135">
        <f>[7]С2.5!$AF$11</f>
        <v>0</v>
      </c>
    </row>
    <row r="173" spans="2:3" ht="13.5" hidden="1" thickBot="1">
      <c r="B173" s="110">
        <f t="shared" si="0"/>
        <v>2048</v>
      </c>
      <c r="C173" s="135">
        <f>[7]С2.5!$AG$11</f>
        <v>0</v>
      </c>
    </row>
    <row r="174" spans="2:3" ht="13.5" hidden="1" thickBot="1">
      <c r="B174" s="110">
        <f t="shared" si="0"/>
        <v>2049</v>
      </c>
      <c r="C174" s="135">
        <f>[7]С2.5!$AH$11</f>
        <v>0</v>
      </c>
    </row>
    <row r="175" spans="2:3" ht="13.5" hidden="1" thickBot="1">
      <c r="B175" s="110">
        <f t="shared" si="0"/>
        <v>2050</v>
      </c>
      <c r="C175" s="135">
        <f>[7]С2.5!$AI$11</f>
        <v>0</v>
      </c>
    </row>
    <row r="176" spans="2:3" ht="13.5" hidden="1" thickBot="1">
      <c r="B176" s="110">
        <f t="shared" si="0"/>
        <v>2051</v>
      </c>
      <c r="C176" s="135">
        <f>[7]С2.5!$AJ$11</f>
        <v>0</v>
      </c>
    </row>
    <row r="177" spans="2:3" ht="13.5" hidden="1" thickBot="1">
      <c r="B177" s="110">
        <f t="shared" si="0"/>
        <v>2052</v>
      </c>
      <c r="C177" s="135">
        <f>[7]С2.5!$AK$11</f>
        <v>0</v>
      </c>
    </row>
    <row r="178" spans="2:3" ht="13.5" hidden="1" thickBot="1">
      <c r="B178" s="110">
        <f t="shared" si="0"/>
        <v>2053</v>
      </c>
      <c r="C178" s="135">
        <f>[7]С2.5!$AL$11</f>
        <v>0</v>
      </c>
    </row>
    <row r="179" spans="2:3" ht="13.5" hidden="1" thickBot="1">
      <c r="B179" s="110">
        <f t="shared" si="0"/>
        <v>2054</v>
      </c>
      <c r="C179" s="135">
        <f>[7]С2.5!$AM$11</f>
        <v>0</v>
      </c>
    </row>
    <row r="180" spans="2:3" ht="13.5" hidden="1" thickBot="1">
      <c r="B180" s="110">
        <f t="shared" si="0"/>
        <v>2055</v>
      </c>
      <c r="C180" s="135">
        <f>[7]С2.5!$AN$11</f>
        <v>0</v>
      </c>
    </row>
    <row r="181" spans="2:3" ht="13.5" hidden="1" thickBot="1">
      <c r="B181" s="110">
        <f t="shared" si="0"/>
        <v>2056</v>
      </c>
      <c r="C181" s="135">
        <f>[7]С2.5!$AO$11</f>
        <v>0</v>
      </c>
    </row>
    <row r="182" spans="2:3" ht="13.5" hidden="1" thickBot="1">
      <c r="B182" s="110">
        <f t="shared" si="0"/>
        <v>2057</v>
      </c>
      <c r="C182" s="135">
        <f>[7]С2.5!$AP$11</f>
        <v>0</v>
      </c>
    </row>
    <row r="183" spans="2:3" ht="13.5" hidden="1" thickBot="1">
      <c r="B183" s="110">
        <f t="shared" si="0"/>
        <v>2058</v>
      </c>
      <c r="C183" s="135">
        <f>[7]С2.5!$AQ$11</f>
        <v>0</v>
      </c>
    </row>
    <row r="184" spans="2:3" ht="13.5" hidden="1" thickBot="1">
      <c r="B184" s="110">
        <f t="shared" si="0"/>
        <v>2059</v>
      </c>
      <c r="C184" s="135">
        <f>[7]С2.5!$AR$11</f>
        <v>0</v>
      </c>
    </row>
    <row r="185" spans="2:3" ht="13.5" hidden="1" thickBot="1">
      <c r="B185" s="110">
        <f t="shared" si="0"/>
        <v>2060</v>
      </c>
      <c r="C185" s="135">
        <f>[7]С2.5!$AS$11</f>
        <v>0</v>
      </c>
    </row>
    <row r="186" spans="2:3" ht="13.5" hidden="1" thickBot="1">
      <c r="B186" s="110">
        <f t="shared" si="0"/>
        <v>2061</v>
      </c>
      <c r="C186" s="135">
        <f>[7]С2.5!$AT$11</f>
        <v>0</v>
      </c>
    </row>
    <row r="187" spans="2:3" ht="13.5" hidden="1" thickBot="1">
      <c r="B187" s="110">
        <f t="shared" si="0"/>
        <v>2062</v>
      </c>
      <c r="C187" s="135">
        <f>[7]С2.5!$AU$11</f>
        <v>0</v>
      </c>
    </row>
    <row r="188" spans="2:3" ht="13.5" hidden="1" thickBot="1">
      <c r="B188" s="110">
        <f t="shared" si="0"/>
        <v>2063</v>
      </c>
      <c r="C188" s="135">
        <f>[7]С2.5!$AV$11</f>
        <v>0</v>
      </c>
    </row>
    <row r="189" spans="2:3" ht="13.5" hidden="1" thickBot="1">
      <c r="B189" s="110">
        <f t="shared" si="0"/>
        <v>2064</v>
      </c>
      <c r="C189" s="135">
        <f>[7]С2.5!$AW$11</f>
        <v>0</v>
      </c>
    </row>
    <row r="190" spans="2:3" ht="13.5" hidden="1" thickBot="1">
      <c r="B190" s="110">
        <f t="shared" si="0"/>
        <v>2065</v>
      </c>
      <c r="C190" s="135">
        <f>[7]С2.5!$AX$11</f>
        <v>0</v>
      </c>
    </row>
    <row r="191" spans="2:3" ht="13.5" hidden="1" thickBot="1">
      <c r="B191" s="110">
        <f t="shared" si="0"/>
        <v>2066</v>
      </c>
      <c r="C191" s="135">
        <f>[7]С2.5!$AY$11</f>
        <v>0</v>
      </c>
    </row>
    <row r="192" spans="2:3" ht="13.5" hidden="1" thickBot="1">
      <c r="B192" s="110">
        <f t="shared" si="0"/>
        <v>2067</v>
      </c>
      <c r="C192" s="135">
        <f>[7]С2.5!$AZ$11</f>
        <v>0</v>
      </c>
    </row>
    <row r="193" spans="2:3" ht="13.5" hidden="1" thickBot="1">
      <c r="B193" s="110">
        <f t="shared" si="0"/>
        <v>2068</v>
      </c>
      <c r="C193" s="135">
        <f>[7]С2.5!$BA$11</f>
        <v>0</v>
      </c>
    </row>
    <row r="194" spans="2:3" ht="13.5" hidden="1" thickBot="1">
      <c r="B194" s="110">
        <f t="shared" si="0"/>
        <v>2069</v>
      </c>
      <c r="C194" s="135">
        <f>[7]С2.5!$BB$11</f>
        <v>0</v>
      </c>
    </row>
    <row r="195" spans="2:3" ht="13.5" hidden="1" thickBot="1">
      <c r="B195" s="110">
        <f t="shared" si="0"/>
        <v>2070</v>
      </c>
      <c r="C195" s="135">
        <f>[7]С2.5!$BC$11</f>
        <v>0</v>
      </c>
    </row>
    <row r="196" spans="2:3" ht="13.5" hidden="1" thickBot="1">
      <c r="B196" s="110">
        <f t="shared" si="0"/>
        <v>2071</v>
      </c>
      <c r="C196" s="135">
        <f>[7]С2.5!$BD$11</f>
        <v>0</v>
      </c>
    </row>
    <row r="197" spans="2:3" ht="13.5" hidden="1" thickBot="1">
      <c r="B197" s="110">
        <f t="shared" si="0"/>
        <v>2072</v>
      </c>
      <c r="C197" s="135">
        <f>[7]С2.5!$BE$11</f>
        <v>0</v>
      </c>
    </row>
    <row r="198" spans="2:3" ht="13.5" hidden="1" thickBot="1">
      <c r="B198" s="110">
        <f t="shared" si="0"/>
        <v>2073</v>
      </c>
      <c r="C198" s="135">
        <f>[7]С2.5!$BF$11</f>
        <v>0</v>
      </c>
    </row>
    <row r="199" spans="2:3" ht="13.5" hidden="1" thickBot="1">
      <c r="B199" s="110">
        <f t="shared" si="0"/>
        <v>2074</v>
      </c>
      <c r="C199" s="135">
        <f>[7]С2.5!$BG$11</f>
        <v>0</v>
      </c>
    </row>
    <row r="200" spans="2:3" ht="13.5" hidden="1" thickBot="1">
      <c r="B200" s="110">
        <f t="shared" si="0"/>
        <v>2075</v>
      </c>
      <c r="C200" s="135">
        <f>[7]С2.5!$BH$11</f>
        <v>0</v>
      </c>
    </row>
    <row r="201" spans="2:3" ht="13.5" hidden="1" thickBot="1">
      <c r="B201" s="110">
        <f t="shared" si="0"/>
        <v>2076</v>
      </c>
      <c r="C201" s="135">
        <f>[7]С2.5!$BI$11</f>
        <v>0</v>
      </c>
    </row>
    <row r="202" spans="2:3" ht="13.5" hidden="1" thickBot="1">
      <c r="B202" s="110">
        <f t="shared" si="0"/>
        <v>2077</v>
      </c>
      <c r="C202" s="135">
        <f>[7]С2.5!$BJ$11</f>
        <v>0</v>
      </c>
    </row>
    <row r="203" spans="2:3" ht="13.5" hidden="1" thickBot="1">
      <c r="B203" s="110">
        <f t="shared" si="0"/>
        <v>2078</v>
      </c>
      <c r="C203" s="135">
        <f>[7]С2.5!$BK$11</f>
        <v>0</v>
      </c>
    </row>
    <row r="204" spans="2:3" ht="13.5" hidden="1" thickBot="1">
      <c r="B204" s="110">
        <f t="shared" si="0"/>
        <v>2079</v>
      </c>
      <c r="C204" s="135">
        <f>[7]С2.5!$BL$11</f>
        <v>0</v>
      </c>
    </row>
    <row r="205" spans="2:3" ht="13.5" hidden="1" thickBot="1">
      <c r="B205" s="110">
        <f t="shared" si="0"/>
        <v>2080</v>
      </c>
      <c r="C205" s="135">
        <f>[7]С2.5!$BM$11</f>
        <v>0</v>
      </c>
    </row>
    <row r="206" spans="2:3" ht="13.5" hidden="1" thickBot="1">
      <c r="B206" s="110">
        <f t="shared" si="0"/>
        <v>2081</v>
      </c>
      <c r="C206" s="135">
        <f>[7]С2.5!$BN$11</f>
        <v>0</v>
      </c>
    </row>
    <row r="207" spans="2:3" ht="13.5" hidden="1" thickBot="1">
      <c r="B207" s="110">
        <f t="shared" si="0"/>
        <v>2082</v>
      </c>
      <c r="C207" s="135">
        <f>[7]С2.5!$BO$11</f>
        <v>0</v>
      </c>
    </row>
    <row r="208" spans="2:3" ht="13.5" hidden="1" thickBot="1">
      <c r="B208" s="110">
        <f t="shared" si="0"/>
        <v>2083</v>
      </c>
      <c r="C208" s="135">
        <f>[7]С2.5!$BP$11</f>
        <v>0</v>
      </c>
    </row>
    <row r="209" spans="2:3" ht="13.5" hidden="1" thickBot="1">
      <c r="B209" s="110">
        <f t="shared" si="0"/>
        <v>2084</v>
      </c>
      <c r="C209" s="135">
        <f>[7]С2.5!$BQ$11</f>
        <v>0</v>
      </c>
    </row>
    <row r="210" spans="2:3" ht="13.5" hidden="1" thickBot="1">
      <c r="B210" s="110">
        <f t="shared" si="0"/>
        <v>2085</v>
      </c>
      <c r="C210" s="135">
        <f>[7]С2.5!$BR$11</f>
        <v>0</v>
      </c>
    </row>
    <row r="211" spans="2:3" ht="13.5" hidden="1" thickBot="1">
      <c r="B211" s="110">
        <f t="shared" ref="B211:B224" si="1">B210+1</f>
        <v>2086</v>
      </c>
      <c r="C211" s="135">
        <f>[7]С2.5!$BS$11</f>
        <v>0</v>
      </c>
    </row>
    <row r="212" spans="2:3" ht="13.5" hidden="1" thickBot="1">
      <c r="B212" s="110">
        <f t="shared" si="1"/>
        <v>2087</v>
      </c>
      <c r="C212" s="135">
        <f>[7]С2.5!$BT$11</f>
        <v>0</v>
      </c>
    </row>
    <row r="213" spans="2:3" ht="13.5" hidden="1" thickBot="1">
      <c r="B213" s="110">
        <f t="shared" si="1"/>
        <v>2088</v>
      </c>
      <c r="C213" s="135">
        <f>[7]С2.5!$BU$11</f>
        <v>0</v>
      </c>
    </row>
    <row r="214" spans="2:3" ht="13.5" hidden="1" thickBot="1">
      <c r="B214" s="110">
        <f t="shared" si="1"/>
        <v>2089</v>
      </c>
      <c r="C214" s="135">
        <f>[7]С2.5!$BV$11</f>
        <v>0</v>
      </c>
    </row>
    <row r="215" spans="2:3" ht="13.5" hidden="1" thickBot="1">
      <c r="B215" s="110">
        <f t="shared" si="1"/>
        <v>2090</v>
      </c>
      <c r="C215" s="135">
        <f>[7]С2.5!$BW$11</f>
        <v>0</v>
      </c>
    </row>
    <row r="216" spans="2:3" ht="13.5" hidden="1" thickBot="1">
      <c r="B216" s="110">
        <f t="shared" si="1"/>
        <v>2091</v>
      </c>
      <c r="C216" s="135">
        <f>[7]С2.5!$BX$11</f>
        <v>0</v>
      </c>
    </row>
    <row r="217" spans="2:3" ht="13.5" hidden="1" thickBot="1">
      <c r="B217" s="110">
        <f t="shared" si="1"/>
        <v>2092</v>
      </c>
      <c r="C217" s="135">
        <f>[7]С2.5!$BY$11</f>
        <v>0</v>
      </c>
    </row>
    <row r="218" spans="2:3" ht="13.5" hidden="1" thickBot="1">
      <c r="B218" s="110">
        <f t="shared" si="1"/>
        <v>2093</v>
      </c>
      <c r="C218" s="135">
        <f>[7]С2.5!$BZ$11</f>
        <v>0</v>
      </c>
    </row>
    <row r="219" spans="2:3" ht="13.5" hidden="1" thickBot="1">
      <c r="B219" s="110">
        <f t="shared" si="1"/>
        <v>2094</v>
      </c>
      <c r="C219" s="135">
        <f>[7]С2.5!$CA$11</f>
        <v>0</v>
      </c>
    </row>
    <row r="220" spans="2:3" ht="13.5" hidden="1" thickBot="1">
      <c r="B220" s="110">
        <f t="shared" si="1"/>
        <v>2095</v>
      </c>
      <c r="C220" s="135">
        <f>[7]С2.5!$CB$11</f>
        <v>0</v>
      </c>
    </row>
    <row r="221" spans="2:3" ht="13.5" hidden="1" thickBot="1">
      <c r="B221" s="110">
        <f t="shared" si="1"/>
        <v>2096</v>
      </c>
      <c r="C221" s="135">
        <f>[7]С2.5!$CC$11</f>
        <v>0</v>
      </c>
    </row>
    <row r="222" spans="2:3" ht="13.5" hidden="1" thickBot="1">
      <c r="B222" s="110">
        <f t="shared" si="1"/>
        <v>2097</v>
      </c>
      <c r="C222" s="135">
        <f>[7]С2.5!$CD$11</f>
        <v>0</v>
      </c>
    </row>
    <row r="223" spans="2:3" ht="13.5" hidden="1" thickBot="1">
      <c r="B223" s="110">
        <f t="shared" si="1"/>
        <v>2098</v>
      </c>
      <c r="C223" s="135">
        <f>[7]С2.5!$CE$11</f>
        <v>0</v>
      </c>
    </row>
    <row r="224" spans="2:3" ht="13.5" hidden="1" thickBot="1">
      <c r="B224" s="110">
        <f t="shared" si="1"/>
        <v>2099</v>
      </c>
      <c r="C224" s="135">
        <f>[7]С2.5!$CF$11</f>
        <v>0</v>
      </c>
    </row>
    <row r="225" spans="2:3" ht="13.5" hidden="1" thickBot="1">
      <c r="B225" s="112">
        <f>B162+1</f>
        <v>2038</v>
      </c>
      <c r="C225" s="136" t="e">
        <f>[7]С2.5!#REF!</f>
        <v>#REF!</v>
      </c>
    </row>
    <row r="226" spans="2:3">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Button 2">
              <controlPr defaultSize="0" print="0" autoFill="0" autoPict="0" macro="[8]!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3075" r:id="rId4" name="Button 3">
              <controlPr defaultSize="0" print="0" autoFill="0" autoPict="0" macro="[7]!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[9]И1!D13</f>
        <v>Субъект Российской Федерации</v>
      </c>
      <c r="C4" s="10" t="str">
        <f>[9]И1!E13</f>
        <v>Новосибирская область</v>
      </c>
    </row>
    <row r="5" spans="1:3" ht="46.9" customHeight="1">
      <c r="A5" s="8"/>
      <c r="B5" s="9" t="str">
        <f>[9]И1!D14</f>
        <v>Тип муниципального образования (выберите из списка)</v>
      </c>
      <c r="C5" s="10" t="str">
        <f>[9]И1!E14</f>
        <v>рабочий поселок Горный, Тогучинский муниципальный район</v>
      </c>
    </row>
    <row r="6" spans="1:3">
      <c r="A6" s="8"/>
      <c r="B6" s="9" t="str">
        <f>IF([9]И1!E15="","",[9]И1!D15)</f>
        <v/>
      </c>
      <c r="C6" s="10" t="str">
        <f>IF([9]И1!E15="","",[9]И1!E15)</f>
        <v/>
      </c>
    </row>
    <row r="7" spans="1:3">
      <c r="A7" s="8"/>
      <c r="B7" s="9" t="str">
        <f>[9]И1!D16</f>
        <v>Код ОКТМО</v>
      </c>
      <c r="C7" s="11" t="str">
        <f>[9]И1!E16</f>
        <v>50652153051</v>
      </c>
    </row>
    <row r="8" spans="1:3">
      <c r="A8" s="8"/>
      <c r="B8" s="12" t="str">
        <f>[9]И1!D17</f>
        <v>Система теплоснабжения</v>
      </c>
      <c r="C8" s="13">
        <f>[9]И1!E17</f>
        <v>0</v>
      </c>
    </row>
    <row r="9" spans="1:3">
      <c r="A9" s="8"/>
      <c r="B9" s="9" t="str">
        <f>[9]И1!D8</f>
        <v>Период регулирования (i)-й</v>
      </c>
      <c r="C9" s="14">
        <f>[9]И1!E8</f>
        <v>2025</v>
      </c>
    </row>
    <row r="10" spans="1:3">
      <c r="A10" s="8"/>
      <c r="B10" s="9" t="str">
        <f>[9]И1!D9</f>
        <v>Период регулирования (i-1)-й</v>
      </c>
      <c r="C10" s="14">
        <f>[9]И1!E9</f>
        <v>2024</v>
      </c>
    </row>
    <row r="11" spans="1:3">
      <c r="A11" s="8"/>
      <c r="B11" s="9" t="str">
        <f>[9]И1!D10</f>
        <v>Период регулирования (i-2)-й</v>
      </c>
      <c r="C11" s="14">
        <f>[9]И1!E10</f>
        <v>2023</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5397.3897894358424</v>
      </c>
    </row>
    <row r="18" spans="1:3" ht="42.75">
      <c r="A18" s="22" t="s">
        <v>8</v>
      </c>
      <c r="B18" s="25" t="s">
        <v>9</v>
      </c>
      <c r="C18" s="26">
        <f>[9]С1!F12</f>
        <v>808.55576015759993</v>
      </c>
    </row>
    <row r="19" spans="1:3" ht="42.75">
      <c r="A19" s="22" t="s">
        <v>10</v>
      </c>
      <c r="B19" s="25" t="s">
        <v>11</v>
      </c>
      <c r="C19" s="26">
        <f>[9]С2!F12</f>
        <v>3056.1591261705735</v>
      </c>
    </row>
    <row r="20" spans="1:3" ht="30">
      <c r="A20" s="22" t="s">
        <v>12</v>
      </c>
      <c r="B20" s="25" t="s">
        <v>13</v>
      </c>
      <c r="C20" s="26">
        <f>[9]С3!F12</f>
        <v>915.44743976410246</v>
      </c>
    </row>
    <row r="21" spans="1:3" ht="42.75">
      <c r="A21" s="22" t="s">
        <v>14</v>
      </c>
      <c r="B21" s="25" t="s">
        <v>15</v>
      </c>
      <c r="C21" s="26">
        <f>[9]С4!F12</f>
        <v>511.39629100168725</v>
      </c>
    </row>
    <row r="22" spans="1:3" ht="30">
      <c r="A22" s="22" t="s">
        <v>16</v>
      </c>
      <c r="B22" s="25" t="s">
        <v>17</v>
      </c>
      <c r="C22" s="26">
        <f>[9]С5!F12</f>
        <v>105.83117234187927</v>
      </c>
    </row>
    <row r="23" spans="1:3" ht="43.5" thickBot="1">
      <c r="A23" s="27" t="s">
        <v>18</v>
      </c>
      <c r="B23" s="140" t="s">
        <v>19</v>
      </c>
      <c r="C23" s="28" t="str">
        <f>[9]С6!F12</f>
        <v>-</v>
      </c>
    </row>
    <row r="24" spans="1:3" ht="13.5" thickBot="1">
      <c r="A24" s="3"/>
    </row>
    <row r="25" spans="1:3">
      <c r="A25" s="16" t="s">
        <v>4</v>
      </c>
      <c r="B25" s="29" t="s">
        <v>5</v>
      </c>
      <c r="C25" s="30" t="s">
        <v>6</v>
      </c>
    </row>
    <row r="26" spans="1:3">
      <c r="A26" s="19">
        <v>1</v>
      </c>
      <c r="B26" s="31">
        <v>2</v>
      </c>
      <c r="C26" s="32">
        <v>3</v>
      </c>
    </row>
    <row r="27" spans="1:3" ht="37.5" customHeight="1">
      <c r="A27" s="22">
        <v>1</v>
      </c>
      <c r="B27" s="145" t="s">
        <v>20</v>
      </c>
      <c r="C27" s="145"/>
    </row>
    <row r="28" spans="1:3">
      <c r="A28" s="22" t="s">
        <v>8</v>
      </c>
      <c r="B28" s="33" t="s">
        <v>21</v>
      </c>
      <c r="C28" s="34">
        <f>[9]С1.1!E16</f>
        <v>5100</v>
      </c>
    </row>
    <row r="29" spans="1:3" ht="42.75">
      <c r="A29" s="22" t="s">
        <v>10</v>
      </c>
      <c r="B29" s="33" t="s">
        <v>22</v>
      </c>
      <c r="C29" s="34">
        <f>[9]С1.1!E27</f>
        <v>2916.666666666667</v>
      </c>
    </row>
    <row r="30" spans="1:3" ht="17.25">
      <c r="A30" s="22" t="s">
        <v>12</v>
      </c>
      <c r="B30" s="33" t="s">
        <v>23</v>
      </c>
      <c r="C30" s="35">
        <f>[9]С1.1!E19</f>
        <v>1.4E-2</v>
      </c>
    </row>
    <row r="31" spans="1:3" ht="17.25">
      <c r="A31" s="22" t="s">
        <v>14</v>
      </c>
      <c r="B31" s="33" t="s">
        <v>24</v>
      </c>
      <c r="C31" s="35">
        <f>[9]С1.1!E20</f>
        <v>0.04</v>
      </c>
    </row>
    <row r="32" spans="1:3" ht="30">
      <c r="A32" s="22" t="s">
        <v>16</v>
      </c>
      <c r="B32" s="36" t="s">
        <v>25</v>
      </c>
      <c r="C32" s="37">
        <f>[9]С1!F13</f>
        <v>176.4</v>
      </c>
    </row>
    <row r="33" spans="1:3">
      <c r="A33" s="22" t="s">
        <v>18</v>
      </c>
      <c r="B33" s="36" t="s">
        <v>26</v>
      </c>
      <c r="C33" s="38">
        <f>[9]С1!F16</f>
        <v>7000</v>
      </c>
    </row>
    <row r="34" spans="1:3" ht="14.25">
      <c r="A34" s="22" t="s">
        <v>27</v>
      </c>
      <c r="B34" s="39" t="s">
        <v>28</v>
      </c>
      <c r="C34" s="40">
        <f>[9]С1!F17</f>
        <v>0.72857142857142854</v>
      </c>
    </row>
    <row r="35" spans="1:3" ht="15.75">
      <c r="A35" s="41" t="s">
        <v>29</v>
      </c>
      <c r="B35" s="42" t="s">
        <v>30</v>
      </c>
      <c r="C35" s="40">
        <f>[9]С1!F20</f>
        <v>21.588411179999994</v>
      </c>
    </row>
    <row r="36" spans="1:3" ht="15.75">
      <c r="A36" s="41" t="s">
        <v>31</v>
      </c>
      <c r="B36" s="43" t="s">
        <v>32</v>
      </c>
      <c r="C36" s="40">
        <f>[9]С1!F21</f>
        <v>20.818139999999996</v>
      </c>
    </row>
    <row r="37" spans="1:3" ht="14.25">
      <c r="A37" s="41" t="s">
        <v>33</v>
      </c>
      <c r="B37" s="44" t="s">
        <v>34</v>
      </c>
      <c r="C37" s="40">
        <f>[9]С1!F22</f>
        <v>1.0369999999999999</v>
      </c>
    </row>
    <row r="38" spans="1:3" ht="53.25" thickBot="1">
      <c r="A38" s="27" t="s">
        <v>35</v>
      </c>
      <c r="B38" s="45" t="s">
        <v>36</v>
      </c>
      <c r="C38" s="46">
        <f>[9]С1!F23</f>
        <v>1.0469999999999999</v>
      </c>
    </row>
    <row r="39" spans="1:3" ht="13.5" thickBot="1">
      <c r="A39" s="47"/>
      <c r="B39" s="48"/>
      <c r="C39" s="49"/>
    </row>
    <row r="40" spans="1:3" ht="48.75" customHeight="1">
      <c r="A40" s="50" t="s">
        <v>37</v>
      </c>
      <c r="B40" s="146" t="s">
        <v>38</v>
      </c>
      <c r="C40" s="146"/>
    </row>
    <row r="41" spans="1:3" ht="25.5">
      <c r="A41" s="22" t="s">
        <v>39</v>
      </c>
      <c r="B41" s="36" t="s">
        <v>40</v>
      </c>
      <c r="C41" s="51" t="str">
        <f>[9]С2.1!E12</f>
        <v>V</v>
      </c>
    </row>
    <row r="42" spans="1:3" ht="25.5">
      <c r="A42" s="22" t="s">
        <v>41</v>
      </c>
      <c r="B42" s="33" t="s">
        <v>42</v>
      </c>
      <c r="C42" s="51" t="str">
        <f>[9]С2.1!E13</f>
        <v>6 и менее баллов</v>
      </c>
    </row>
    <row r="43" spans="1:3" ht="25.5">
      <c r="A43" s="22" t="s">
        <v>43</v>
      </c>
      <c r="B43" s="33" t="s">
        <v>44</v>
      </c>
      <c r="C43" s="51" t="str">
        <f>[9]С2.1!E14</f>
        <v>от 200 до 500</v>
      </c>
    </row>
    <row r="44" spans="1:3" ht="25.5">
      <c r="A44" s="22" t="s">
        <v>45</v>
      </c>
      <c r="B44" s="33" t="s">
        <v>46</v>
      </c>
      <c r="C44" s="52" t="str">
        <f>[9]С2.1!E15</f>
        <v>нет</v>
      </c>
    </row>
    <row r="45" spans="1:3" ht="30">
      <c r="A45" s="22" t="s">
        <v>47</v>
      </c>
      <c r="B45" s="33" t="s">
        <v>48</v>
      </c>
      <c r="C45" s="34">
        <f>[9]С2!F18</f>
        <v>38910.02669467502</v>
      </c>
    </row>
    <row r="46" spans="1:3" ht="30">
      <c r="A46" s="22" t="s">
        <v>49</v>
      </c>
      <c r="B46" s="53" t="s">
        <v>50</v>
      </c>
      <c r="C46" s="34">
        <f>IF([9]С2!F19&gt;0,[9]С2!F19,[9]С2!F20)</f>
        <v>23441.524932855718</v>
      </c>
    </row>
    <row r="47" spans="1:3" ht="25.5">
      <c r="A47" s="22" t="s">
        <v>51</v>
      </c>
      <c r="B47" s="54" t="s">
        <v>52</v>
      </c>
      <c r="C47" s="34">
        <f>[9]С2.1!E19</f>
        <v>-38</v>
      </c>
    </row>
    <row r="48" spans="1:3" ht="25.5">
      <c r="A48" s="22" t="s">
        <v>53</v>
      </c>
      <c r="B48" s="54" t="s">
        <v>54</v>
      </c>
      <c r="C48" s="34" t="str">
        <f>[9]С2.1!E22</f>
        <v>нет</v>
      </c>
    </row>
    <row r="49" spans="1:3" ht="38.25">
      <c r="A49" s="22" t="s">
        <v>55</v>
      </c>
      <c r="B49" s="55" t="s">
        <v>56</v>
      </c>
      <c r="C49" s="34">
        <f>[9]С2.2!E10</f>
        <v>1287</v>
      </c>
    </row>
    <row r="50" spans="1:3" ht="25.5">
      <c r="A50" s="22" t="s">
        <v>57</v>
      </c>
      <c r="B50" s="56" t="s">
        <v>58</v>
      </c>
      <c r="C50" s="34">
        <f>[9]С2.2!E12</f>
        <v>5.97</v>
      </c>
    </row>
    <row r="51" spans="1:3" ht="52.5">
      <c r="A51" s="22" t="s">
        <v>59</v>
      </c>
      <c r="B51" s="57" t="s">
        <v>60</v>
      </c>
      <c r="C51" s="34">
        <f>[9]С2.2!E13</f>
        <v>1</v>
      </c>
    </row>
    <row r="52" spans="1:3" ht="27.75">
      <c r="A52" s="22" t="s">
        <v>61</v>
      </c>
      <c r="B52" s="56" t="s">
        <v>62</v>
      </c>
      <c r="C52" s="34">
        <f>[9]С2.2!E14</f>
        <v>12104</v>
      </c>
    </row>
    <row r="53" spans="1:3" ht="25.5">
      <c r="A53" s="22" t="s">
        <v>63</v>
      </c>
      <c r="B53" s="57" t="s">
        <v>64</v>
      </c>
      <c r="C53" s="35">
        <f>[9]С2.2!E15</f>
        <v>4.8000000000000001E-2</v>
      </c>
    </row>
    <row r="54" spans="1:3">
      <c r="A54" s="22" t="s">
        <v>65</v>
      </c>
      <c r="B54" s="57" t="s">
        <v>66</v>
      </c>
      <c r="C54" s="34">
        <f>[9]С2.2!E16</f>
        <v>1</v>
      </c>
    </row>
    <row r="55" spans="1:3" ht="15.75">
      <c r="A55" s="22" t="s">
        <v>67</v>
      </c>
      <c r="B55" s="58" t="s">
        <v>68</v>
      </c>
      <c r="C55" s="34">
        <f>[9]С2!F21</f>
        <v>1</v>
      </c>
    </row>
    <row r="56" spans="1:3" ht="30">
      <c r="A56" s="59" t="s">
        <v>69</v>
      </c>
      <c r="B56" s="33" t="s">
        <v>70</v>
      </c>
      <c r="C56" s="34">
        <f>[9]С2!F13</f>
        <v>203708.97017230222</v>
      </c>
    </row>
    <row r="57" spans="1:3" ht="30">
      <c r="A57" s="59" t="s">
        <v>71</v>
      </c>
      <c r="B57" s="58" t="s">
        <v>72</v>
      </c>
      <c r="C57" s="34">
        <f>[9]С2!F14</f>
        <v>113455</v>
      </c>
    </row>
    <row r="58" spans="1:3" ht="15.75">
      <c r="A58" s="59" t="s">
        <v>73</v>
      </c>
      <c r="B58" s="60" t="s">
        <v>74</v>
      </c>
      <c r="C58" s="40">
        <f>[9]С2!F15</f>
        <v>1.071</v>
      </c>
    </row>
    <row r="59" spans="1:3" ht="15.75">
      <c r="A59" s="59" t="s">
        <v>75</v>
      </c>
      <c r="B59" s="60" t="s">
        <v>76</v>
      </c>
      <c r="C59" s="40">
        <f>[9]С2!F16</f>
        <v>1</v>
      </c>
    </row>
    <row r="60" spans="1:3" ht="17.25">
      <c r="A60" s="59" t="s">
        <v>77</v>
      </c>
      <c r="B60" s="58" t="s">
        <v>78</v>
      </c>
      <c r="C60" s="34">
        <f>[9]С2!F17</f>
        <v>1.01</v>
      </c>
    </row>
    <row r="61" spans="1:3" s="63" customFormat="1" ht="14.25">
      <c r="A61" s="59" t="s">
        <v>79</v>
      </c>
      <c r="B61" s="61" t="s">
        <v>80</v>
      </c>
      <c r="C61" s="62">
        <f>[9]С2!F33</f>
        <v>10</v>
      </c>
    </row>
    <row r="62" spans="1:3" ht="30">
      <c r="A62" s="59" t="s">
        <v>81</v>
      </c>
      <c r="B62" s="64" t="s">
        <v>82</v>
      </c>
      <c r="C62" s="34">
        <f>[9]С2!F26</f>
        <v>2416.4994928434235</v>
      </c>
    </row>
    <row r="63" spans="1:3" ht="17.25">
      <c r="A63" s="59" t="s">
        <v>83</v>
      </c>
      <c r="B63" s="53" t="s">
        <v>84</v>
      </c>
      <c r="C63" s="34">
        <f>[9]С2!F27</f>
        <v>0.34662649000000001</v>
      </c>
    </row>
    <row r="64" spans="1:3" ht="17.25">
      <c r="A64" s="59" t="s">
        <v>85</v>
      </c>
      <c r="B64" s="58" t="s">
        <v>86</v>
      </c>
      <c r="C64" s="62">
        <f>[9]С2!F28</f>
        <v>4200</v>
      </c>
    </row>
    <row r="65" spans="1:3" ht="42.75">
      <c r="A65" s="59" t="s">
        <v>87</v>
      </c>
      <c r="B65" s="33" t="s">
        <v>88</v>
      </c>
      <c r="C65" s="34">
        <f>[9]С2!F22</f>
        <v>42890.921752741691</v>
      </c>
    </row>
    <row r="66" spans="1:3" ht="30">
      <c r="A66" s="59" t="s">
        <v>89</v>
      </c>
      <c r="B66" s="60" t="s">
        <v>90</v>
      </c>
      <c r="C66" s="34">
        <f>[9]С2!F23</f>
        <v>1990</v>
      </c>
    </row>
    <row r="67" spans="1:3" ht="30">
      <c r="A67" s="59" t="s">
        <v>91</v>
      </c>
      <c r="B67" s="53" t="s">
        <v>92</v>
      </c>
      <c r="C67" s="34">
        <f>[9]С2.1!E27</f>
        <v>14307.876789999998</v>
      </c>
    </row>
    <row r="68" spans="1:3" ht="38.25">
      <c r="A68" s="59" t="s">
        <v>93</v>
      </c>
      <c r="B68" s="65" t="s">
        <v>94</v>
      </c>
      <c r="C68" s="52">
        <f>[9]С2.3!E21</f>
        <v>0</v>
      </c>
    </row>
    <row r="69" spans="1:3" ht="25.5">
      <c r="A69" s="59" t="s">
        <v>95</v>
      </c>
      <c r="B69" s="66" t="s">
        <v>96</v>
      </c>
      <c r="C69" s="67">
        <f>[9]С2.3!E11</f>
        <v>9.89</v>
      </c>
    </row>
    <row r="70" spans="1:3" ht="25.5">
      <c r="A70" s="59" t="s">
        <v>97</v>
      </c>
      <c r="B70" s="66" t="s">
        <v>98</v>
      </c>
      <c r="C70" s="62">
        <f>[9]С2.3!E13</f>
        <v>300</v>
      </c>
    </row>
    <row r="71" spans="1:3" ht="25.5">
      <c r="A71" s="59" t="s">
        <v>99</v>
      </c>
      <c r="B71" s="65" t="s">
        <v>100</v>
      </c>
      <c r="C71" s="68">
        <f>IF([9]С2.3!E22&gt;0,[9]С2.3!E22,[9]С2.3!E14)</f>
        <v>61211</v>
      </c>
    </row>
    <row r="72" spans="1:3" ht="38.25">
      <c r="A72" s="59" t="s">
        <v>101</v>
      </c>
      <c r="B72" s="65" t="s">
        <v>102</v>
      </c>
      <c r="C72" s="68">
        <f>IF([9]С2.3!E23&gt;0,[9]С2.3!E23,[9]С2.3!E15)</f>
        <v>45675</v>
      </c>
    </row>
    <row r="73" spans="1:3" ht="30">
      <c r="A73" s="59" t="s">
        <v>103</v>
      </c>
      <c r="B73" s="53" t="s">
        <v>104</v>
      </c>
      <c r="C73" s="34">
        <f>[9]С2.1!E28</f>
        <v>9541.9567200000001</v>
      </c>
    </row>
    <row r="74" spans="1:3" ht="38.25">
      <c r="A74" s="59" t="s">
        <v>105</v>
      </c>
      <c r="B74" s="65" t="s">
        <v>106</v>
      </c>
      <c r="C74" s="52">
        <f>[9]С2.3!E25</f>
        <v>0</v>
      </c>
    </row>
    <row r="75" spans="1:3" ht="25.5">
      <c r="A75" s="59" t="s">
        <v>107</v>
      </c>
      <c r="B75" s="66" t="s">
        <v>108</v>
      </c>
      <c r="C75" s="67">
        <f>[9]С2.3!E12</f>
        <v>0.56000000000000005</v>
      </c>
    </row>
    <row r="76" spans="1:3" ht="25.5">
      <c r="A76" s="59" t="s">
        <v>109</v>
      </c>
      <c r="B76" s="66" t="s">
        <v>98</v>
      </c>
      <c r="C76" s="62">
        <f>[9]С2.3!E13</f>
        <v>300</v>
      </c>
    </row>
    <row r="77" spans="1:3" ht="25.5">
      <c r="A77" s="59" t="s">
        <v>110</v>
      </c>
      <c r="B77" s="69" t="s">
        <v>111</v>
      </c>
      <c r="C77" s="68">
        <f>IF([9]С2.3!E26&gt;0,[9]С2.3!E26,[9]С2.3!E16)</f>
        <v>65637</v>
      </c>
    </row>
    <row r="78" spans="1:3" ht="38.25">
      <c r="A78" s="59" t="s">
        <v>112</v>
      </c>
      <c r="B78" s="69" t="s">
        <v>113</v>
      </c>
      <c r="C78" s="68">
        <f>IF([9]С2.3!E27&gt;0,[9]С2.3!E27,[9]С2.3!E17)</f>
        <v>31684</v>
      </c>
    </row>
    <row r="79" spans="1:3" ht="17.25">
      <c r="A79" s="59" t="s">
        <v>114</v>
      </c>
      <c r="B79" s="33" t="s">
        <v>115</v>
      </c>
      <c r="C79" s="35">
        <f>[9]С2!F29</f>
        <v>0.17804631770487722</v>
      </c>
    </row>
    <row r="80" spans="1:3" ht="30">
      <c r="A80" s="59" t="s">
        <v>116</v>
      </c>
      <c r="B80" s="53" t="s">
        <v>117</v>
      </c>
      <c r="C80" s="70">
        <f>[9]С2!F30</f>
        <v>0.1652189781021898</v>
      </c>
    </row>
    <row r="81" spans="1:3" ht="17.25">
      <c r="A81" s="59" t="s">
        <v>118</v>
      </c>
      <c r="B81" s="71" t="s">
        <v>119</v>
      </c>
      <c r="C81" s="35">
        <f>[9]С2!F31</f>
        <v>0.13880000000000001</v>
      </c>
    </row>
    <row r="82" spans="1:3" s="63" customFormat="1" ht="18" thickBot="1">
      <c r="A82" s="72" t="s">
        <v>120</v>
      </c>
      <c r="B82" s="73" t="s">
        <v>121</v>
      </c>
      <c r="C82" s="74">
        <f>[9]С2!F32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[9]С3!F14</f>
        <v>14863.184658749575</v>
      </c>
    </row>
    <row r="86" spans="1:3" s="63" customFormat="1" ht="42.75">
      <c r="A86" s="77" t="s">
        <v>126</v>
      </c>
      <c r="B86" s="53" t="s">
        <v>127</v>
      </c>
      <c r="C86" s="78">
        <f>[9]С3!F15</f>
        <v>0.25</v>
      </c>
    </row>
    <row r="87" spans="1:3" s="63" customFormat="1" ht="14.25">
      <c r="A87" s="77" t="s">
        <v>128</v>
      </c>
      <c r="B87" s="79" t="s">
        <v>129</v>
      </c>
      <c r="C87" s="62">
        <f>[9]С3!F18</f>
        <v>15</v>
      </c>
    </row>
    <row r="88" spans="1:3" s="63" customFormat="1" ht="17.25">
      <c r="A88" s="77" t="s">
        <v>130</v>
      </c>
      <c r="B88" s="33" t="s">
        <v>131</v>
      </c>
      <c r="C88" s="34">
        <f>[9]С3!F19</f>
        <v>4187.478806422544</v>
      </c>
    </row>
    <row r="89" spans="1:3" s="63" customFormat="1" ht="55.5">
      <c r="A89" s="77" t="s">
        <v>132</v>
      </c>
      <c r="B89" s="53" t="s">
        <v>133</v>
      </c>
      <c r="C89" s="80">
        <f>[9]С3!F20</f>
        <v>2.1999999999999999E-2</v>
      </c>
    </row>
    <row r="90" spans="1:3" s="63" customFormat="1" ht="14.25">
      <c r="A90" s="77" t="s">
        <v>134</v>
      </c>
      <c r="B90" s="58" t="s">
        <v>80</v>
      </c>
      <c r="C90" s="62">
        <f>[9]С3!F21</f>
        <v>10</v>
      </c>
    </row>
    <row r="91" spans="1:3" s="63" customFormat="1" ht="17.25">
      <c r="A91" s="77" t="s">
        <v>135</v>
      </c>
      <c r="B91" s="33" t="s">
        <v>136</v>
      </c>
      <c r="C91" s="34">
        <f>[9]С3!F22</f>
        <v>7.2494984785302705</v>
      </c>
    </row>
    <row r="92" spans="1:3" s="63" customFormat="1" ht="55.5">
      <c r="A92" s="77" t="s">
        <v>137</v>
      </c>
      <c r="B92" s="53" t="s">
        <v>138</v>
      </c>
      <c r="C92" s="80">
        <f>[9]С3!F23</f>
        <v>3.0000000000000001E-3</v>
      </c>
    </row>
    <row r="93" spans="1:3" s="63" customFormat="1" ht="27.75" thickBot="1">
      <c r="A93" s="81" t="s">
        <v>139</v>
      </c>
      <c r="B93" s="82" t="s">
        <v>140</v>
      </c>
      <c r="C93" s="83">
        <f>[9]С3!F24</f>
        <v>2416.4994928434235</v>
      </c>
    </row>
    <row r="94" spans="1:3" ht="13.5" thickBot="1">
      <c r="A94" s="47"/>
      <c r="B94" s="75"/>
      <c r="C94" s="15"/>
    </row>
    <row r="95" spans="1:3" ht="42.75" customHeight="1">
      <c r="A95" s="84" t="s">
        <v>141</v>
      </c>
      <c r="B95" s="146" t="s">
        <v>142</v>
      </c>
      <c r="C95" s="146"/>
    </row>
    <row r="96" spans="1:3" ht="30">
      <c r="A96" s="59" t="s">
        <v>143</v>
      </c>
      <c r="B96" s="33" t="s">
        <v>144</v>
      </c>
      <c r="C96" s="34">
        <f>[9]С4!F16</f>
        <v>1652.5</v>
      </c>
    </row>
    <row r="97" spans="1:3" ht="30">
      <c r="A97" s="59" t="s">
        <v>145</v>
      </c>
      <c r="B97" s="58" t="s">
        <v>146</v>
      </c>
      <c r="C97" s="34">
        <f>[9]С4!F17</f>
        <v>73547</v>
      </c>
    </row>
    <row r="98" spans="1:3" ht="17.25">
      <c r="A98" s="59" t="s">
        <v>147</v>
      </c>
      <c r="B98" s="58" t="s">
        <v>148</v>
      </c>
      <c r="C98" s="40">
        <f>[9]С4!F18</f>
        <v>0.02</v>
      </c>
    </row>
    <row r="99" spans="1:3" ht="30">
      <c r="A99" s="59" t="s">
        <v>149</v>
      </c>
      <c r="B99" s="58" t="s">
        <v>150</v>
      </c>
      <c r="C99" s="34">
        <f>[9]С4!F19</f>
        <v>12104</v>
      </c>
    </row>
    <row r="100" spans="1:3" ht="31.5">
      <c r="A100" s="59" t="s">
        <v>151</v>
      </c>
      <c r="B100" s="58" t="s">
        <v>152</v>
      </c>
      <c r="C100" s="40">
        <f>[9]С4!F20</f>
        <v>1.4999999999999999E-2</v>
      </c>
    </row>
    <row r="101" spans="1:3" ht="30">
      <c r="A101" s="59" t="s">
        <v>153</v>
      </c>
      <c r="B101" s="33" t="s">
        <v>154</v>
      </c>
      <c r="C101" s="34">
        <f>[9]С4!F21</f>
        <v>1933.1949342509995</v>
      </c>
    </row>
    <row r="102" spans="1:3" ht="24" customHeight="1">
      <c r="A102" s="59" t="s">
        <v>155</v>
      </c>
      <c r="B102" s="53" t="s">
        <v>156</v>
      </c>
      <c r="C102" s="85">
        <f>IF([9]С4.2!F8="да",[9]С4.2!D21,[9]С4.2!D15)</f>
        <v>0</v>
      </c>
    </row>
    <row r="103" spans="1:3" ht="68.25">
      <c r="A103" s="59" t="s">
        <v>157</v>
      </c>
      <c r="B103" s="53" t="s">
        <v>158</v>
      </c>
      <c r="C103" s="34">
        <f>[9]С4!F22</f>
        <v>3.6112641666666665</v>
      </c>
    </row>
    <row r="104" spans="1:3" ht="30">
      <c r="A104" s="59" t="s">
        <v>159</v>
      </c>
      <c r="B104" s="58" t="s">
        <v>160</v>
      </c>
      <c r="C104" s="34">
        <f>[9]С4!F23</f>
        <v>180</v>
      </c>
    </row>
    <row r="105" spans="1:3" ht="14.25">
      <c r="A105" s="59" t="s">
        <v>161</v>
      </c>
      <c r="B105" s="53" t="s">
        <v>162</v>
      </c>
      <c r="C105" s="34">
        <f>[9]С4!F24</f>
        <v>8497.1999999999989</v>
      </c>
    </row>
    <row r="106" spans="1:3" ht="14.25">
      <c r="A106" s="59" t="s">
        <v>163</v>
      </c>
      <c r="B106" s="58" t="s">
        <v>164</v>
      </c>
      <c r="C106" s="40">
        <f>[9]С4!F25</f>
        <v>0.35</v>
      </c>
    </row>
    <row r="107" spans="1:3" ht="17.25">
      <c r="A107" s="59" t="s">
        <v>165</v>
      </c>
      <c r="B107" s="33" t="s">
        <v>166</v>
      </c>
      <c r="C107" s="34">
        <f>[9]С4!F26</f>
        <v>90.998550000000009</v>
      </c>
    </row>
    <row r="108" spans="1:3" ht="25.5">
      <c r="A108" s="59" t="s">
        <v>167</v>
      </c>
      <c r="B108" s="53" t="s">
        <v>94</v>
      </c>
      <c r="C108" s="85">
        <f>[9]С4.3!E16</f>
        <v>0</v>
      </c>
    </row>
    <row r="109" spans="1:3" ht="25.5">
      <c r="A109" s="59" t="s">
        <v>168</v>
      </c>
      <c r="B109" s="53" t="s">
        <v>169</v>
      </c>
      <c r="C109" s="34">
        <f>[9]С4.3!E17</f>
        <v>25.01</v>
      </c>
    </row>
    <row r="110" spans="1:3" ht="38.25">
      <c r="A110" s="59" t="s">
        <v>170</v>
      </c>
      <c r="B110" s="53" t="s">
        <v>106</v>
      </c>
      <c r="C110" s="85">
        <f>[9]С4.3!E18</f>
        <v>0</v>
      </c>
    </row>
    <row r="111" spans="1:3">
      <c r="A111" s="59" t="s">
        <v>171</v>
      </c>
      <c r="B111" s="53" t="s">
        <v>172</v>
      </c>
      <c r="C111" s="34">
        <f>[9]С4.3!E19</f>
        <v>16.12</v>
      </c>
    </row>
    <row r="112" spans="1:3">
      <c r="A112" s="59" t="s">
        <v>173</v>
      </c>
      <c r="B112" s="58" t="s">
        <v>174</v>
      </c>
      <c r="C112" s="34">
        <f>[9]С4.3!E11</f>
        <v>1871</v>
      </c>
    </row>
    <row r="113" spans="1:3">
      <c r="A113" s="59" t="s">
        <v>175</v>
      </c>
      <c r="B113" s="58" t="s">
        <v>176</v>
      </c>
      <c r="C113" s="52">
        <f>[9]С4.3!E12</f>
        <v>1636</v>
      </c>
    </row>
    <row r="114" spans="1:3">
      <c r="A114" s="59" t="s">
        <v>177</v>
      </c>
      <c r="B114" s="58" t="s">
        <v>178</v>
      </c>
      <c r="C114" s="52">
        <f>[9]С4.3!E13</f>
        <v>204</v>
      </c>
    </row>
    <row r="115" spans="1:3" ht="30">
      <c r="A115" s="59" t="s">
        <v>179</v>
      </c>
      <c r="B115" s="33" t="s">
        <v>180</v>
      </c>
      <c r="C115" s="34">
        <f>[9]С4!F27</f>
        <v>1291.2863994686898</v>
      </c>
    </row>
    <row r="116" spans="1:3" ht="25.5">
      <c r="A116" s="59" t="s">
        <v>181</v>
      </c>
      <c r="B116" s="53" t="s">
        <v>182</v>
      </c>
      <c r="C116" s="34">
        <f>[9]С4!F28</f>
        <v>991.77142816335618</v>
      </c>
    </row>
    <row r="117" spans="1:3" ht="42.75">
      <c r="A117" s="59" t="s">
        <v>183</v>
      </c>
      <c r="B117" s="53" t="s">
        <v>184</v>
      </c>
      <c r="C117" s="34">
        <f>[9]С4!F29</f>
        <v>299.51497130533357</v>
      </c>
    </row>
    <row r="118" spans="1:3" ht="30">
      <c r="A118" s="59" t="s">
        <v>185</v>
      </c>
      <c r="B118" s="39" t="s">
        <v>186</v>
      </c>
      <c r="C118" s="34">
        <f>[9]С4!F30</f>
        <v>2400.0885685191374</v>
      </c>
    </row>
    <row r="119" spans="1:3" ht="42.75">
      <c r="A119" s="59" t="s">
        <v>187</v>
      </c>
      <c r="B119" s="86" t="s">
        <v>188</v>
      </c>
      <c r="C119" s="34">
        <f>[9]С4!F33</f>
        <v>1195.3245718937135</v>
      </c>
    </row>
    <row r="120" spans="1:3" ht="30">
      <c r="A120" s="59" t="s">
        <v>189</v>
      </c>
      <c r="B120" s="87" t="s">
        <v>190</v>
      </c>
      <c r="C120" s="34">
        <f>[9]С4!F35</f>
        <v>17.040680999999999</v>
      </c>
    </row>
    <row r="121" spans="1:3" ht="14.25">
      <c r="A121" s="59" t="s">
        <v>191</v>
      </c>
      <c r="B121" s="56" t="s">
        <v>192</v>
      </c>
      <c r="C121" s="34">
        <f>[9]С4!F36</f>
        <v>14319.9</v>
      </c>
    </row>
    <row r="122" spans="1:3" ht="28.5" thickBot="1">
      <c r="A122" s="72" t="s">
        <v>193</v>
      </c>
      <c r="B122" s="88" t="s">
        <v>194</v>
      </c>
      <c r="C122" s="83">
        <f>[9]С4!F37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[9]С5!F17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[9]С2!F37</f>
        <v>20.818139999999996</v>
      </c>
    </row>
    <row r="136" spans="1:4" ht="14.25">
      <c r="A136" s="59" t="s">
        <v>216</v>
      </c>
      <c r="B136" s="101" t="s">
        <v>217</v>
      </c>
      <c r="C136" s="34">
        <f>[9]С2!F38</f>
        <v>7</v>
      </c>
    </row>
    <row r="137" spans="1:4" ht="17.25">
      <c r="A137" s="59" t="s">
        <v>218</v>
      </c>
      <c r="B137" s="101" t="s">
        <v>219</v>
      </c>
      <c r="C137" s="34">
        <f>[9]С2!F40</f>
        <v>0.97</v>
      </c>
    </row>
    <row r="138" spans="1:4" ht="15" thickBot="1">
      <c r="A138" s="72" t="s">
        <v>220</v>
      </c>
      <c r="B138" s="102" t="s">
        <v>221</v>
      </c>
      <c r="C138" s="46">
        <f>[9]С2!F42</f>
        <v>0.35</v>
      </c>
    </row>
    <row r="139" spans="1:4" s="89" customFormat="1" ht="13.5" thickBot="1">
      <c r="A139" s="47"/>
      <c r="B139" s="75"/>
      <c r="C139" s="15"/>
    </row>
    <row r="140" spans="1:4" ht="30">
      <c r="A140" s="84" t="s">
        <v>222</v>
      </c>
      <c r="B140" s="103" t="s">
        <v>223</v>
      </c>
      <c r="C140" s="104">
        <f>[9]С2!F35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[9]С2.5!$E$11</f>
        <v>-2.9000000000000026E-2</v>
      </c>
      <c r="D143" s="89"/>
    </row>
    <row r="144" spans="1:4">
      <c r="A144" s="105"/>
      <c r="B144" s="110">
        <f>B143+1</f>
        <v>2021</v>
      </c>
      <c r="C144" s="111">
        <f>[9]С2.5!$F$11</f>
        <v>0.245</v>
      </c>
      <c r="D144" s="89"/>
    </row>
    <row r="145" spans="1:4">
      <c r="A145" s="105"/>
      <c r="B145" s="110">
        <f t="shared" ref="B145:B208" si="0">B144+1</f>
        <v>2022</v>
      </c>
      <c r="C145" s="111">
        <f>[9]С2.5!$G$11</f>
        <v>0.114</v>
      </c>
      <c r="D145" s="89"/>
    </row>
    <row r="146" spans="1:4" ht="13.5" thickBot="1">
      <c r="A146" s="105"/>
      <c r="B146" s="112">
        <f t="shared" si="0"/>
        <v>2023</v>
      </c>
      <c r="C146" s="113">
        <f>[9]С2.5!$H$11</f>
        <v>0.04</v>
      </c>
      <c r="D146" s="89"/>
    </row>
    <row r="147" spans="1:4">
      <c r="A147" s="105"/>
      <c r="B147" s="114">
        <f t="shared" si="0"/>
        <v>2024</v>
      </c>
      <c r="C147" s="115">
        <f>[9]С2.5!$I$11</f>
        <v>0.11700000000000001</v>
      </c>
      <c r="D147" s="89"/>
    </row>
    <row r="148" spans="1:4">
      <c r="A148" s="105"/>
      <c r="B148" s="110">
        <f t="shared" si="0"/>
        <v>2025</v>
      </c>
      <c r="C148" s="111">
        <f>[9]С2.5!$J$11</f>
        <v>6.0999999999999999E-2</v>
      </c>
      <c r="D148" s="89"/>
    </row>
    <row r="149" spans="1:4" hidden="1">
      <c r="A149" s="105"/>
      <c r="B149" s="110">
        <f t="shared" si="0"/>
        <v>2026</v>
      </c>
      <c r="C149" s="111">
        <f>[9]С2.5!$K$11</f>
        <v>3.5813361771260002E-2</v>
      </c>
      <c r="D149" s="89"/>
    </row>
    <row r="150" spans="1:4" hidden="1">
      <c r="A150" s="105"/>
      <c r="B150" s="110">
        <f t="shared" si="0"/>
        <v>2027</v>
      </c>
      <c r="C150" s="111">
        <f>[9]С2.5!$L$11</f>
        <v>3.2682303599220003E-2</v>
      </c>
      <c r="D150" s="89"/>
    </row>
    <row r="151" spans="1:4" hidden="1">
      <c r="A151" s="105"/>
      <c r="B151" s="110">
        <f t="shared" si="0"/>
        <v>2028</v>
      </c>
      <c r="C151" s="111">
        <f>[9]С2.5!$M$11</f>
        <v>0</v>
      </c>
      <c r="D151" s="89"/>
    </row>
    <row r="152" spans="1:4" hidden="1">
      <c r="A152" s="105"/>
      <c r="B152" s="110">
        <f t="shared" si="0"/>
        <v>2029</v>
      </c>
      <c r="C152" s="111">
        <f>[9]С2.5!$N$11</f>
        <v>0</v>
      </c>
      <c r="D152" s="89"/>
    </row>
    <row r="153" spans="1:4" hidden="1">
      <c r="A153" s="105"/>
      <c r="B153" s="110">
        <f t="shared" si="0"/>
        <v>2030</v>
      </c>
      <c r="C153" s="111">
        <f>[9]С2.5!$O$11</f>
        <v>0</v>
      </c>
      <c r="D153" s="89"/>
    </row>
    <row r="154" spans="1:4" hidden="1">
      <c r="A154" s="105"/>
      <c r="B154" s="110">
        <f t="shared" si="0"/>
        <v>2031</v>
      </c>
      <c r="C154" s="111">
        <f>[9]С2.5!$P$11</f>
        <v>0</v>
      </c>
      <c r="D154" s="89"/>
    </row>
    <row r="155" spans="1:4" hidden="1">
      <c r="A155" s="89"/>
      <c r="B155" s="110">
        <f t="shared" si="0"/>
        <v>2032</v>
      </c>
      <c r="C155" s="111">
        <f>[9]С2.5!$Q$11</f>
        <v>0</v>
      </c>
      <c r="D155" s="89"/>
    </row>
    <row r="156" spans="1:4" hidden="1">
      <c r="A156" s="89"/>
      <c r="B156" s="110">
        <f t="shared" si="0"/>
        <v>2033</v>
      </c>
      <c r="C156" s="111">
        <f>[9]С2.5!$R$11</f>
        <v>0</v>
      </c>
      <c r="D156" s="89"/>
    </row>
    <row r="157" spans="1:4" hidden="1">
      <c r="B157" s="110">
        <f t="shared" si="0"/>
        <v>2034</v>
      </c>
      <c r="C157" s="111">
        <f>[9]С2.5!$S$11</f>
        <v>0</v>
      </c>
    </row>
    <row r="158" spans="1:4" hidden="1">
      <c r="B158" s="110">
        <f t="shared" si="0"/>
        <v>2035</v>
      </c>
      <c r="C158" s="111">
        <f>[9]С2.5!$T$11</f>
        <v>0</v>
      </c>
    </row>
    <row r="159" spans="1:4" hidden="1">
      <c r="B159" s="110">
        <f t="shared" si="0"/>
        <v>2036</v>
      </c>
      <c r="C159" s="111">
        <f>[9]С2.5!$U$11</f>
        <v>0</v>
      </c>
    </row>
    <row r="160" spans="1:4" hidden="1">
      <c r="B160" s="110">
        <f t="shared" si="0"/>
        <v>2037</v>
      </c>
      <c r="C160" s="111">
        <f>[9]С2.5!$V$11</f>
        <v>0</v>
      </c>
    </row>
    <row r="161" spans="2:3" hidden="1">
      <c r="B161" s="110">
        <f t="shared" si="0"/>
        <v>2038</v>
      </c>
      <c r="C161" s="111">
        <f>[9]С2.5!$W$11</f>
        <v>0</v>
      </c>
    </row>
    <row r="162" spans="2:3" hidden="1">
      <c r="B162" s="110">
        <f t="shared" si="0"/>
        <v>2039</v>
      </c>
      <c r="C162" s="111">
        <f>[9]С2.5!$X$11</f>
        <v>0</v>
      </c>
    </row>
    <row r="163" spans="2:3" hidden="1">
      <c r="B163" s="110">
        <f t="shared" si="0"/>
        <v>2040</v>
      </c>
      <c r="C163" s="111">
        <f>[9]С2.5!$Y$11</f>
        <v>0</v>
      </c>
    </row>
    <row r="164" spans="2:3" hidden="1">
      <c r="B164" s="110">
        <f t="shared" si="0"/>
        <v>2041</v>
      </c>
      <c r="C164" s="111">
        <f>[9]С2.5!$Z$11</f>
        <v>0</v>
      </c>
    </row>
    <row r="165" spans="2:3" hidden="1">
      <c r="B165" s="110">
        <f t="shared" si="0"/>
        <v>2042</v>
      </c>
      <c r="C165" s="111">
        <f>[9]С2.5!$AA$11</f>
        <v>0</v>
      </c>
    </row>
    <row r="166" spans="2:3" hidden="1">
      <c r="B166" s="110">
        <f t="shared" si="0"/>
        <v>2043</v>
      </c>
      <c r="C166" s="111">
        <f>[9]С2.5!$AB$11</f>
        <v>0</v>
      </c>
    </row>
    <row r="167" spans="2:3" hidden="1">
      <c r="B167" s="110">
        <f t="shared" si="0"/>
        <v>2044</v>
      </c>
      <c r="C167" s="111">
        <f>[9]С2.5!$AC$11</f>
        <v>0</v>
      </c>
    </row>
    <row r="168" spans="2:3" hidden="1">
      <c r="B168" s="110">
        <f t="shared" si="0"/>
        <v>2045</v>
      </c>
      <c r="C168" s="111">
        <f>[9]С2.5!$AD$11</f>
        <v>0</v>
      </c>
    </row>
    <row r="169" spans="2:3" hidden="1">
      <c r="B169" s="110">
        <f t="shared" si="0"/>
        <v>2046</v>
      </c>
      <c r="C169" s="111">
        <f>[9]С2.5!$AE$11</f>
        <v>0</v>
      </c>
    </row>
    <row r="170" spans="2:3" hidden="1">
      <c r="B170" s="110">
        <f t="shared" si="0"/>
        <v>2047</v>
      </c>
      <c r="C170" s="111">
        <f>[9]С2.5!$AF$11</f>
        <v>0</v>
      </c>
    </row>
    <row r="171" spans="2:3" hidden="1">
      <c r="B171" s="110">
        <f t="shared" si="0"/>
        <v>2048</v>
      </c>
      <c r="C171" s="111">
        <f>[9]С2.5!$AG$11</f>
        <v>0</v>
      </c>
    </row>
    <row r="172" spans="2:3" hidden="1">
      <c r="B172" s="110">
        <f t="shared" si="0"/>
        <v>2049</v>
      </c>
      <c r="C172" s="111">
        <f>[9]С2.5!$AH$11</f>
        <v>0</v>
      </c>
    </row>
    <row r="173" spans="2:3" hidden="1">
      <c r="B173" s="110">
        <f t="shared" si="0"/>
        <v>2050</v>
      </c>
      <c r="C173" s="111">
        <f>[9]С2.5!$AI$11</f>
        <v>0</v>
      </c>
    </row>
    <row r="174" spans="2:3" hidden="1">
      <c r="B174" s="110">
        <f t="shared" si="0"/>
        <v>2051</v>
      </c>
      <c r="C174" s="111">
        <f>[9]С2.5!$AJ$11</f>
        <v>0</v>
      </c>
    </row>
    <row r="175" spans="2:3" hidden="1">
      <c r="B175" s="110">
        <f t="shared" si="0"/>
        <v>2052</v>
      </c>
      <c r="C175" s="111">
        <f>[9]С2.5!$AK$11</f>
        <v>0</v>
      </c>
    </row>
    <row r="176" spans="2:3" hidden="1">
      <c r="B176" s="110">
        <f t="shared" si="0"/>
        <v>2053</v>
      </c>
      <c r="C176" s="111">
        <f>[9]С2.5!$AL$11</f>
        <v>0</v>
      </c>
    </row>
    <row r="177" spans="2:3" hidden="1">
      <c r="B177" s="110">
        <f t="shared" si="0"/>
        <v>2054</v>
      </c>
      <c r="C177" s="111">
        <f>[9]С2.5!$AM$11</f>
        <v>0</v>
      </c>
    </row>
    <row r="178" spans="2:3" hidden="1">
      <c r="B178" s="110">
        <f t="shared" si="0"/>
        <v>2055</v>
      </c>
      <c r="C178" s="111">
        <f>[9]С2.5!$AN$11</f>
        <v>0</v>
      </c>
    </row>
    <row r="179" spans="2:3" hidden="1">
      <c r="B179" s="110">
        <f t="shared" si="0"/>
        <v>2056</v>
      </c>
      <c r="C179" s="111">
        <f>[9]С2.5!$AO$11</f>
        <v>0</v>
      </c>
    </row>
    <row r="180" spans="2:3" hidden="1">
      <c r="B180" s="110">
        <f t="shared" si="0"/>
        <v>2057</v>
      </c>
      <c r="C180" s="111">
        <f>[9]С2.5!$AP$11</f>
        <v>0</v>
      </c>
    </row>
    <row r="181" spans="2:3" hidden="1">
      <c r="B181" s="110">
        <f t="shared" si="0"/>
        <v>2058</v>
      </c>
      <c r="C181" s="111">
        <f>[9]С2.5!$AQ$11</f>
        <v>0</v>
      </c>
    </row>
    <row r="182" spans="2:3" hidden="1">
      <c r="B182" s="110">
        <f t="shared" si="0"/>
        <v>2059</v>
      </c>
      <c r="C182" s="111">
        <f>[9]С2.5!$AR$11</f>
        <v>0</v>
      </c>
    </row>
    <row r="183" spans="2:3" hidden="1">
      <c r="B183" s="110">
        <f t="shared" si="0"/>
        <v>2060</v>
      </c>
      <c r="C183" s="111">
        <f>[9]С2.5!$AS$11</f>
        <v>0</v>
      </c>
    </row>
    <row r="184" spans="2:3" hidden="1">
      <c r="B184" s="110">
        <f t="shared" si="0"/>
        <v>2061</v>
      </c>
      <c r="C184" s="111">
        <f>[9]С2.5!$AT$11</f>
        <v>0</v>
      </c>
    </row>
    <row r="185" spans="2:3" hidden="1">
      <c r="B185" s="110">
        <f t="shared" si="0"/>
        <v>2062</v>
      </c>
      <c r="C185" s="111">
        <f>[9]С2.5!$AU$11</f>
        <v>0</v>
      </c>
    </row>
    <row r="186" spans="2:3" hidden="1">
      <c r="B186" s="110">
        <f t="shared" si="0"/>
        <v>2063</v>
      </c>
      <c r="C186" s="111">
        <f>[9]С2.5!$AV$11</f>
        <v>0</v>
      </c>
    </row>
    <row r="187" spans="2:3" hidden="1">
      <c r="B187" s="110">
        <f t="shared" si="0"/>
        <v>2064</v>
      </c>
      <c r="C187" s="111">
        <f>[9]С2.5!$AW$11</f>
        <v>0</v>
      </c>
    </row>
    <row r="188" spans="2:3" hidden="1">
      <c r="B188" s="110">
        <f t="shared" si="0"/>
        <v>2065</v>
      </c>
      <c r="C188" s="111">
        <f>[9]С2.5!$AX$11</f>
        <v>0</v>
      </c>
    </row>
    <row r="189" spans="2:3" hidden="1">
      <c r="B189" s="110">
        <f t="shared" si="0"/>
        <v>2066</v>
      </c>
      <c r="C189" s="111">
        <f>[9]С2.5!$AY$11</f>
        <v>0</v>
      </c>
    </row>
    <row r="190" spans="2:3" hidden="1">
      <c r="B190" s="110">
        <f t="shared" si="0"/>
        <v>2067</v>
      </c>
      <c r="C190" s="111">
        <f>[9]С2.5!$AZ$11</f>
        <v>0</v>
      </c>
    </row>
    <row r="191" spans="2:3" hidden="1">
      <c r="B191" s="110">
        <f t="shared" si="0"/>
        <v>2068</v>
      </c>
      <c r="C191" s="111">
        <f>[9]С2.5!$BA$11</f>
        <v>0</v>
      </c>
    </row>
    <row r="192" spans="2:3" hidden="1">
      <c r="B192" s="110">
        <f t="shared" si="0"/>
        <v>2069</v>
      </c>
      <c r="C192" s="111">
        <f>[9]С2.5!$BB$11</f>
        <v>0</v>
      </c>
    </row>
    <row r="193" spans="2:3" hidden="1">
      <c r="B193" s="110">
        <f t="shared" si="0"/>
        <v>2070</v>
      </c>
      <c r="C193" s="111">
        <f>[9]С2.5!$BC$11</f>
        <v>0</v>
      </c>
    </row>
    <row r="194" spans="2:3" hidden="1">
      <c r="B194" s="110">
        <f t="shared" si="0"/>
        <v>2071</v>
      </c>
      <c r="C194" s="111">
        <f>[9]С2.5!$BD$11</f>
        <v>0</v>
      </c>
    </row>
    <row r="195" spans="2:3" hidden="1">
      <c r="B195" s="110">
        <f t="shared" si="0"/>
        <v>2072</v>
      </c>
      <c r="C195" s="111">
        <f>[9]С2.5!$BE$11</f>
        <v>0</v>
      </c>
    </row>
    <row r="196" spans="2:3" hidden="1">
      <c r="B196" s="110">
        <f t="shared" si="0"/>
        <v>2073</v>
      </c>
      <c r="C196" s="111">
        <f>[9]С2.5!$BF$11</f>
        <v>0</v>
      </c>
    </row>
    <row r="197" spans="2:3" hidden="1">
      <c r="B197" s="110">
        <f t="shared" si="0"/>
        <v>2074</v>
      </c>
      <c r="C197" s="111">
        <f>[9]С2.5!$BG$11</f>
        <v>0</v>
      </c>
    </row>
    <row r="198" spans="2:3" hidden="1">
      <c r="B198" s="110">
        <f t="shared" si="0"/>
        <v>2075</v>
      </c>
      <c r="C198" s="111">
        <f>[9]С2.5!$BH$11</f>
        <v>0</v>
      </c>
    </row>
    <row r="199" spans="2:3" hidden="1">
      <c r="B199" s="110">
        <f t="shared" si="0"/>
        <v>2076</v>
      </c>
      <c r="C199" s="111">
        <f>[9]С2.5!$BI$11</f>
        <v>0</v>
      </c>
    </row>
    <row r="200" spans="2:3" hidden="1">
      <c r="B200" s="110">
        <f t="shared" si="0"/>
        <v>2077</v>
      </c>
      <c r="C200" s="111">
        <f>[9]С2.5!$BJ$11</f>
        <v>0</v>
      </c>
    </row>
    <row r="201" spans="2:3" hidden="1">
      <c r="B201" s="110">
        <f t="shared" si="0"/>
        <v>2078</v>
      </c>
      <c r="C201" s="111">
        <f>[9]С2.5!$BK$11</f>
        <v>0</v>
      </c>
    </row>
    <row r="202" spans="2:3" hidden="1">
      <c r="B202" s="110">
        <f t="shared" si="0"/>
        <v>2079</v>
      </c>
      <c r="C202" s="111">
        <f>[9]С2.5!$BL$11</f>
        <v>0</v>
      </c>
    </row>
    <row r="203" spans="2:3" hidden="1">
      <c r="B203" s="110">
        <f t="shared" si="0"/>
        <v>2080</v>
      </c>
      <c r="C203" s="111">
        <f>[9]С2.5!$BM$11</f>
        <v>0</v>
      </c>
    </row>
    <row r="204" spans="2:3" hidden="1">
      <c r="B204" s="110">
        <f t="shared" si="0"/>
        <v>2081</v>
      </c>
      <c r="C204" s="111">
        <f>[9]С2.5!$BN$11</f>
        <v>0</v>
      </c>
    </row>
    <row r="205" spans="2:3" hidden="1">
      <c r="B205" s="110">
        <f t="shared" si="0"/>
        <v>2082</v>
      </c>
      <c r="C205" s="111">
        <f>[9]С2.5!$BO$11</f>
        <v>0</v>
      </c>
    </row>
    <row r="206" spans="2:3" hidden="1">
      <c r="B206" s="110">
        <f t="shared" si="0"/>
        <v>2083</v>
      </c>
      <c r="C206" s="111">
        <f>[9]С2.5!$BP$11</f>
        <v>0</v>
      </c>
    </row>
    <row r="207" spans="2:3" hidden="1">
      <c r="B207" s="110">
        <f t="shared" si="0"/>
        <v>2084</v>
      </c>
      <c r="C207" s="111">
        <f>[9]С2.5!$BQ$11</f>
        <v>0</v>
      </c>
    </row>
    <row r="208" spans="2:3" hidden="1">
      <c r="B208" s="110">
        <f t="shared" si="0"/>
        <v>2085</v>
      </c>
      <c r="C208" s="111">
        <f>[9]С2.5!$BR$11</f>
        <v>0</v>
      </c>
    </row>
    <row r="209" spans="2:3" hidden="1">
      <c r="B209" s="110">
        <f t="shared" ref="B209:B223" si="1">B208+1</f>
        <v>2086</v>
      </c>
      <c r="C209" s="111">
        <f>[9]С2.5!$BS$11</f>
        <v>0</v>
      </c>
    </row>
    <row r="210" spans="2:3" hidden="1">
      <c r="B210" s="110">
        <f t="shared" si="1"/>
        <v>2087</v>
      </c>
      <c r="C210" s="111">
        <f>[9]С2.5!$BT$11</f>
        <v>0</v>
      </c>
    </row>
    <row r="211" spans="2:3" hidden="1">
      <c r="B211" s="110">
        <f t="shared" si="1"/>
        <v>2088</v>
      </c>
      <c r="C211" s="111">
        <f>[9]С2.5!$BU$11</f>
        <v>0</v>
      </c>
    </row>
    <row r="212" spans="2:3" hidden="1">
      <c r="B212" s="110">
        <f t="shared" si="1"/>
        <v>2089</v>
      </c>
      <c r="C212" s="111">
        <f>[9]С2.5!$BV$11</f>
        <v>0</v>
      </c>
    </row>
    <row r="213" spans="2:3" hidden="1">
      <c r="B213" s="110">
        <f t="shared" si="1"/>
        <v>2090</v>
      </c>
      <c r="C213" s="111">
        <f>[9]С2.5!$BW$11</f>
        <v>0</v>
      </c>
    </row>
    <row r="214" spans="2:3" hidden="1">
      <c r="B214" s="110">
        <f t="shared" si="1"/>
        <v>2091</v>
      </c>
      <c r="C214" s="111">
        <f>[9]С2.5!$BX$11</f>
        <v>0</v>
      </c>
    </row>
    <row r="215" spans="2:3" hidden="1">
      <c r="B215" s="110">
        <f t="shared" si="1"/>
        <v>2092</v>
      </c>
      <c r="C215" s="111">
        <f>[9]С2.5!$BY$11</f>
        <v>0</v>
      </c>
    </row>
    <row r="216" spans="2:3" hidden="1">
      <c r="B216" s="110">
        <f t="shared" si="1"/>
        <v>2093</v>
      </c>
      <c r="C216" s="111">
        <f>[9]С2.5!$BZ$11</f>
        <v>0</v>
      </c>
    </row>
    <row r="217" spans="2:3" hidden="1">
      <c r="B217" s="110">
        <f t="shared" si="1"/>
        <v>2094</v>
      </c>
      <c r="C217" s="111">
        <f>[9]С2.5!$CA$11</f>
        <v>0</v>
      </c>
    </row>
    <row r="218" spans="2:3" hidden="1">
      <c r="B218" s="110">
        <f t="shared" si="1"/>
        <v>2095</v>
      </c>
      <c r="C218" s="111">
        <f>[9]С2.5!$CB$11</f>
        <v>0</v>
      </c>
    </row>
    <row r="219" spans="2:3" hidden="1">
      <c r="B219" s="110">
        <f t="shared" si="1"/>
        <v>2096</v>
      </c>
      <c r="C219" s="111">
        <f>[9]С2.5!$CC$11</f>
        <v>0</v>
      </c>
    </row>
    <row r="220" spans="2:3" hidden="1">
      <c r="B220" s="110">
        <f t="shared" si="1"/>
        <v>2097</v>
      </c>
      <c r="C220" s="111">
        <f>[9]С2.5!$CD$11</f>
        <v>0</v>
      </c>
    </row>
    <row r="221" spans="2:3" hidden="1">
      <c r="B221" s="110">
        <f t="shared" si="1"/>
        <v>2098</v>
      </c>
      <c r="C221" s="111">
        <f>[9]С2.5!$CE$11</f>
        <v>0</v>
      </c>
    </row>
    <row r="222" spans="2:3" hidden="1">
      <c r="B222" s="110">
        <f t="shared" si="1"/>
        <v>2099</v>
      </c>
      <c r="C222" s="111">
        <f>[9]С2.5!$CF$11</f>
        <v>0</v>
      </c>
    </row>
    <row r="223" spans="2:3" ht="13.5" hidden="1" thickBot="1">
      <c r="B223" s="112">
        <f t="shared" si="1"/>
        <v>2100</v>
      </c>
      <c r="C223" s="113">
        <f>[9]С2.5!$CG$11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1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4578" r:id="rId4" name="Button 2">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[11]И1!D13</f>
        <v>Субъект Российской Федерации</v>
      </c>
      <c r="C4" s="10" t="str">
        <f>[11]И1!E13</f>
        <v>Новосибирская область</v>
      </c>
    </row>
    <row r="5" spans="1:3" ht="46.9" customHeight="1">
      <c r="A5" s="8"/>
      <c r="B5" s="9" t="str">
        <f>[11]И1!D14</f>
        <v>Тип муниципального образования (выберите из списка)</v>
      </c>
      <c r="C5" s="10" t="str">
        <f>[11]И1!E14</f>
        <v>село Борцово, Тогучинский муниципальный район</v>
      </c>
    </row>
    <row r="6" spans="1:3">
      <c r="A6" s="8"/>
      <c r="B6" s="9" t="str">
        <f>IF([11]И1!E15="","",[11]И1!D15)</f>
        <v/>
      </c>
      <c r="C6" s="10" t="str">
        <f>IF([11]И1!E15="","",[11]И1!E15)</f>
        <v/>
      </c>
    </row>
    <row r="7" spans="1:3">
      <c r="A7" s="8"/>
      <c r="B7" s="9" t="str">
        <f>[11]И1!D16</f>
        <v>Код ОКТМО</v>
      </c>
      <c r="C7" s="11" t="str">
        <f>[11]И1!E16</f>
        <v>50652402101</v>
      </c>
    </row>
    <row r="8" spans="1:3">
      <c r="A8" s="8"/>
      <c r="B8" s="12" t="str">
        <f>[11]И1!D17</f>
        <v>Система теплоснабжения</v>
      </c>
      <c r="C8" s="13">
        <f>[11]И1!E17</f>
        <v>0</v>
      </c>
    </row>
    <row r="9" spans="1:3">
      <c r="A9" s="8"/>
      <c r="B9" s="9" t="str">
        <f>[11]И1!D8</f>
        <v>Период регулирования (i)-й</v>
      </c>
      <c r="C9" s="14">
        <f>[11]И1!E8</f>
        <v>2025</v>
      </c>
    </row>
    <row r="10" spans="1:3">
      <c r="A10" s="8"/>
      <c r="B10" s="9" t="str">
        <f>[11]И1!D9</f>
        <v>Период регулирования (i-1)-й</v>
      </c>
      <c r="C10" s="14">
        <f>[11]И1!E9</f>
        <v>2024</v>
      </c>
    </row>
    <row r="11" spans="1:3">
      <c r="A11" s="8"/>
      <c r="B11" s="9" t="str">
        <f>[11]И1!D10</f>
        <v>Период регулирования (i-2)-й</v>
      </c>
      <c r="C11" s="14">
        <f>[11]И1!E10</f>
        <v>2023</v>
      </c>
    </row>
    <row r="12" spans="1:3">
      <c r="A12" s="8"/>
      <c r="B12" s="9" t="str">
        <f>[11]И1!D11</f>
        <v>Базовый год (б)</v>
      </c>
      <c r="C12" s="14">
        <f>[11]И1!E11</f>
        <v>2019</v>
      </c>
    </row>
    <row r="13" spans="1:3" ht="38.25">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5382.3768427006353</v>
      </c>
    </row>
    <row r="18" spans="1:3" ht="42.75">
      <c r="A18" s="22" t="s">
        <v>8</v>
      </c>
      <c r="B18" s="25" t="s">
        <v>9</v>
      </c>
      <c r="C18" s="26">
        <f>[11]С1!F12</f>
        <v>795.80460480398301</v>
      </c>
    </row>
    <row r="19" spans="1:3" ht="42.75">
      <c r="A19" s="22" t="s">
        <v>10</v>
      </c>
      <c r="B19" s="25" t="s">
        <v>11</v>
      </c>
      <c r="C19" s="26">
        <f>[11]С2!F12</f>
        <v>3056.1591261705735</v>
      </c>
    </row>
    <row r="20" spans="1:3" ht="30">
      <c r="A20" s="22" t="s">
        <v>12</v>
      </c>
      <c r="B20" s="25" t="s">
        <v>13</v>
      </c>
      <c r="C20" s="26">
        <f>[11]С3!F12</f>
        <v>915.44743976410246</v>
      </c>
    </row>
    <row r="21" spans="1:3" ht="42.75">
      <c r="A21" s="22" t="s">
        <v>14</v>
      </c>
      <c r="B21" s="25" t="s">
        <v>15</v>
      </c>
      <c r="C21" s="26">
        <f>[11]С4!F12</f>
        <v>509.42887112470947</v>
      </c>
    </row>
    <row r="22" spans="1:3" ht="30">
      <c r="A22" s="22" t="s">
        <v>16</v>
      </c>
      <c r="B22" s="25" t="s">
        <v>17</v>
      </c>
      <c r="C22" s="26">
        <f>[11]С5!F12</f>
        <v>105.53680083726736</v>
      </c>
    </row>
    <row r="23" spans="1:3" ht="43.5" thickBot="1">
      <c r="A23" s="27" t="s">
        <v>18</v>
      </c>
      <c r="B23" s="140" t="s">
        <v>19</v>
      </c>
      <c r="C23" s="28" t="str">
        <f>[11]С6!F12</f>
        <v>-</v>
      </c>
    </row>
    <row r="24" spans="1:3" ht="13.5" thickBot="1">
      <c r="A24" s="3"/>
    </row>
    <row r="25" spans="1:3">
      <c r="A25" s="16" t="s">
        <v>4</v>
      </c>
      <c r="B25" s="29" t="s">
        <v>5</v>
      </c>
      <c r="C25" s="30" t="s">
        <v>6</v>
      </c>
    </row>
    <row r="26" spans="1:3">
      <c r="A26" s="19">
        <v>1</v>
      </c>
      <c r="B26" s="31">
        <v>2</v>
      </c>
      <c r="C26" s="32">
        <v>3</v>
      </c>
    </row>
    <row r="27" spans="1:3" ht="35.25" customHeight="1">
      <c r="A27" s="22">
        <v>1</v>
      </c>
      <c r="B27" s="145" t="s">
        <v>20</v>
      </c>
      <c r="C27" s="145"/>
    </row>
    <row r="28" spans="1:3">
      <c r="A28" s="22" t="s">
        <v>8</v>
      </c>
      <c r="B28" s="33" t="s">
        <v>21</v>
      </c>
      <c r="C28" s="34">
        <f>[11]С1.1!E16</f>
        <v>5100</v>
      </c>
    </row>
    <row r="29" spans="1:3" ht="42.75">
      <c r="A29" s="22" t="s">
        <v>10</v>
      </c>
      <c r="B29" s="33" t="s">
        <v>22</v>
      </c>
      <c r="C29" s="34">
        <f>[11]С1.1!E27</f>
        <v>2870.67</v>
      </c>
    </row>
    <row r="30" spans="1:3" ht="17.25">
      <c r="A30" s="22" t="s">
        <v>12</v>
      </c>
      <c r="B30" s="33" t="s">
        <v>23</v>
      </c>
      <c r="C30" s="35">
        <f>[11]С1.1!E19</f>
        <v>1.4E-2</v>
      </c>
    </row>
    <row r="31" spans="1:3" ht="17.25">
      <c r="A31" s="22" t="s">
        <v>14</v>
      </c>
      <c r="B31" s="33" t="s">
        <v>24</v>
      </c>
      <c r="C31" s="35">
        <f>[11]С1.1!E20</f>
        <v>0.04</v>
      </c>
    </row>
    <row r="32" spans="1:3" ht="30">
      <c r="A32" s="22" t="s">
        <v>16</v>
      </c>
      <c r="B32" s="36" t="s">
        <v>25</v>
      </c>
      <c r="C32" s="37">
        <f>[11]С1!F13</f>
        <v>176.4</v>
      </c>
    </row>
    <row r="33" spans="1:3">
      <c r="A33" s="22" t="s">
        <v>18</v>
      </c>
      <c r="B33" s="36" t="s">
        <v>26</v>
      </c>
      <c r="C33" s="38">
        <f>[11]С1!F16</f>
        <v>7000</v>
      </c>
    </row>
    <row r="34" spans="1:3" ht="14.25">
      <c r="A34" s="22" t="s">
        <v>27</v>
      </c>
      <c r="B34" s="39" t="s">
        <v>28</v>
      </c>
      <c r="C34" s="40">
        <f>[11]С1!F17</f>
        <v>0.72857142857142854</v>
      </c>
    </row>
    <row r="35" spans="1:3" ht="15.75">
      <c r="A35" s="41" t="s">
        <v>29</v>
      </c>
      <c r="B35" s="42" t="s">
        <v>30</v>
      </c>
      <c r="C35" s="40">
        <f>[11]С1!F20</f>
        <v>21.588411179999994</v>
      </c>
    </row>
    <row r="36" spans="1:3" ht="15.75">
      <c r="A36" s="41" t="s">
        <v>31</v>
      </c>
      <c r="B36" s="43" t="s">
        <v>32</v>
      </c>
      <c r="C36" s="40">
        <f>[11]С1!F21</f>
        <v>20.818139999999996</v>
      </c>
    </row>
    <row r="37" spans="1:3" ht="14.25">
      <c r="A37" s="41" t="s">
        <v>33</v>
      </c>
      <c r="B37" s="44" t="s">
        <v>34</v>
      </c>
      <c r="C37" s="40">
        <f>[11]С1!F22</f>
        <v>1.0369999999999999</v>
      </c>
    </row>
    <row r="38" spans="1:3" ht="53.25" thickBot="1">
      <c r="A38" s="27" t="s">
        <v>35</v>
      </c>
      <c r="B38" s="45" t="s">
        <v>36</v>
      </c>
      <c r="C38" s="46">
        <f>[11]С1!F23</f>
        <v>1.0469999999999999</v>
      </c>
    </row>
    <row r="39" spans="1:3" ht="13.5" thickBot="1">
      <c r="A39" s="47"/>
      <c r="B39" s="48"/>
      <c r="C39" s="49"/>
    </row>
    <row r="40" spans="1:3" ht="47.25" customHeight="1">
      <c r="A40" s="50" t="s">
        <v>37</v>
      </c>
      <c r="B40" s="146" t="s">
        <v>38</v>
      </c>
      <c r="C40" s="146"/>
    </row>
    <row r="41" spans="1:3" ht="25.5">
      <c r="A41" s="22" t="s">
        <v>39</v>
      </c>
      <c r="B41" s="36" t="s">
        <v>40</v>
      </c>
      <c r="C41" s="51" t="str">
        <f>[11]С2.1!E12</f>
        <v>V</v>
      </c>
    </row>
    <row r="42" spans="1:3" ht="25.5">
      <c r="A42" s="22" t="s">
        <v>41</v>
      </c>
      <c r="B42" s="33" t="s">
        <v>42</v>
      </c>
      <c r="C42" s="51" t="str">
        <f>[11]С2.1!E13</f>
        <v>6 и менее баллов</v>
      </c>
    </row>
    <row r="43" spans="1:3" ht="25.5">
      <c r="A43" s="22" t="s">
        <v>43</v>
      </c>
      <c r="B43" s="33" t="s">
        <v>44</v>
      </c>
      <c r="C43" s="51" t="str">
        <f>[11]С2.1!E14</f>
        <v>от 200 до 500</v>
      </c>
    </row>
    <row r="44" spans="1:3" ht="25.5">
      <c r="A44" s="22" t="s">
        <v>45</v>
      </c>
      <c r="B44" s="33" t="s">
        <v>46</v>
      </c>
      <c r="C44" s="52" t="str">
        <f>[11]С2.1!E15</f>
        <v>нет</v>
      </c>
    </row>
    <row r="45" spans="1:3" ht="30">
      <c r="A45" s="22" t="s">
        <v>47</v>
      </c>
      <c r="B45" s="33" t="s">
        <v>48</v>
      </c>
      <c r="C45" s="34">
        <f>[11]С2!F18</f>
        <v>38910.02669467502</v>
      </c>
    </row>
    <row r="46" spans="1:3" ht="30">
      <c r="A46" s="22" t="s">
        <v>49</v>
      </c>
      <c r="B46" s="53" t="s">
        <v>50</v>
      </c>
      <c r="C46" s="34">
        <f>IF([11]С2!F19&gt;0,[11]С2!F19,[11]С2!F20)</f>
        <v>23441.524932855718</v>
      </c>
    </row>
    <row r="47" spans="1:3" ht="25.5">
      <c r="A47" s="22" t="s">
        <v>51</v>
      </c>
      <c r="B47" s="54" t="s">
        <v>52</v>
      </c>
      <c r="C47" s="34">
        <f>[11]С2.1!E19</f>
        <v>-38</v>
      </c>
    </row>
    <row r="48" spans="1:3" ht="25.5">
      <c r="A48" s="22" t="s">
        <v>53</v>
      </c>
      <c r="B48" s="54" t="s">
        <v>54</v>
      </c>
      <c r="C48" s="34" t="str">
        <f>[11]С2.1!E22</f>
        <v>нет</v>
      </c>
    </row>
    <row r="49" spans="1:3" ht="38.25">
      <c r="A49" s="22" t="s">
        <v>55</v>
      </c>
      <c r="B49" s="55" t="s">
        <v>56</v>
      </c>
      <c r="C49" s="34">
        <f>[11]С2.2!E10</f>
        <v>1287</v>
      </c>
    </row>
    <row r="50" spans="1:3" ht="25.5">
      <c r="A50" s="22" t="s">
        <v>57</v>
      </c>
      <c r="B50" s="56" t="s">
        <v>58</v>
      </c>
      <c r="C50" s="34">
        <f>[11]С2.2!E12</f>
        <v>5.97</v>
      </c>
    </row>
    <row r="51" spans="1:3" ht="52.5">
      <c r="A51" s="22" t="s">
        <v>59</v>
      </c>
      <c r="B51" s="57" t="s">
        <v>60</v>
      </c>
      <c r="C51" s="34">
        <f>[11]С2.2!E13</f>
        <v>1</v>
      </c>
    </row>
    <row r="52" spans="1:3" ht="27.75">
      <c r="A52" s="22" t="s">
        <v>61</v>
      </c>
      <c r="B52" s="56" t="s">
        <v>62</v>
      </c>
      <c r="C52" s="34">
        <f>[11]С2.2!E14</f>
        <v>12104</v>
      </c>
    </row>
    <row r="53" spans="1:3" ht="25.5">
      <c r="A53" s="22" t="s">
        <v>63</v>
      </c>
      <c r="B53" s="57" t="s">
        <v>64</v>
      </c>
      <c r="C53" s="35">
        <f>[11]С2.2!E15</f>
        <v>4.8000000000000001E-2</v>
      </c>
    </row>
    <row r="54" spans="1:3">
      <c r="A54" s="22" t="s">
        <v>65</v>
      </c>
      <c r="B54" s="57" t="s">
        <v>66</v>
      </c>
      <c r="C54" s="34">
        <f>[11]С2.2!E16</f>
        <v>1</v>
      </c>
    </row>
    <row r="55" spans="1:3" ht="15.75">
      <c r="A55" s="22" t="s">
        <v>67</v>
      </c>
      <c r="B55" s="58" t="s">
        <v>68</v>
      </c>
      <c r="C55" s="34">
        <f>[11]С2!F21</f>
        <v>1</v>
      </c>
    </row>
    <row r="56" spans="1:3" ht="30">
      <c r="A56" s="59" t="s">
        <v>69</v>
      </c>
      <c r="B56" s="33" t="s">
        <v>70</v>
      </c>
      <c r="C56" s="34">
        <f>[11]С2!F13</f>
        <v>203708.97017230222</v>
      </c>
    </row>
    <row r="57" spans="1:3" ht="30">
      <c r="A57" s="59" t="s">
        <v>71</v>
      </c>
      <c r="B57" s="58" t="s">
        <v>72</v>
      </c>
      <c r="C57" s="34">
        <f>[11]С2!F14</f>
        <v>113455</v>
      </c>
    </row>
    <row r="58" spans="1:3" ht="15.75">
      <c r="A58" s="59" t="s">
        <v>73</v>
      </c>
      <c r="B58" s="60" t="s">
        <v>74</v>
      </c>
      <c r="C58" s="40">
        <f>[11]С2!F15</f>
        <v>1.071</v>
      </c>
    </row>
    <row r="59" spans="1:3" ht="15.75">
      <c r="A59" s="59" t="s">
        <v>75</v>
      </c>
      <c r="B59" s="60" t="s">
        <v>76</v>
      </c>
      <c r="C59" s="40">
        <f>[11]С2!F16</f>
        <v>1</v>
      </c>
    </row>
    <row r="60" spans="1:3" ht="17.25">
      <c r="A60" s="59" t="s">
        <v>77</v>
      </c>
      <c r="B60" s="58" t="s">
        <v>78</v>
      </c>
      <c r="C60" s="34">
        <f>[11]С2!F17</f>
        <v>1.01</v>
      </c>
    </row>
    <row r="61" spans="1:3" s="63" customFormat="1" ht="14.25">
      <c r="A61" s="59" t="s">
        <v>79</v>
      </c>
      <c r="B61" s="61" t="s">
        <v>80</v>
      </c>
      <c r="C61" s="62">
        <f>[11]С2!F33</f>
        <v>10</v>
      </c>
    </row>
    <row r="62" spans="1:3" ht="30">
      <c r="A62" s="59" t="s">
        <v>81</v>
      </c>
      <c r="B62" s="64" t="s">
        <v>82</v>
      </c>
      <c r="C62" s="34">
        <f>[11]С2!F26</f>
        <v>2416.4994928434235</v>
      </c>
    </row>
    <row r="63" spans="1:3" ht="17.25">
      <c r="A63" s="59" t="s">
        <v>83</v>
      </c>
      <c r="B63" s="53" t="s">
        <v>84</v>
      </c>
      <c r="C63" s="34">
        <f>[11]С2!F27</f>
        <v>0.34662649000000001</v>
      </c>
    </row>
    <row r="64" spans="1:3" ht="17.25">
      <c r="A64" s="59" t="s">
        <v>85</v>
      </c>
      <c r="B64" s="58" t="s">
        <v>86</v>
      </c>
      <c r="C64" s="62">
        <f>[11]С2!F28</f>
        <v>4200</v>
      </c>
    </row>
    <row r="65" spans="1:3" ht="42.75">
      <c r="A65" s="59" t="s">
        <v>87</v>
      </c>
      <c r="B65" s="33" t="s">
        <v>88</v>
      </c>
      <c r="C65" s="34">
        <f>[11]С2!F22</f>
        <v>42890.921752741691</v>
      </c>
    </row>
    <row r="66" spans="1:3" ht="30">
      <c r="A66" s="59" t="s">
        <v>89</v>
      </c>
      <c r="B66" s="60" t="s">
        <v>90</v>
      </c>
      <c r="C66" s="34">
        <f>[11]С2!F23</f>
        <v>1990</v>
      </c>
    </row>
    <row r="67" spans="1:3" ht="30">
      <c r="A67" s="59" t="s">
        <v>91</v>
      </c>
      <c r="B67" s="53" t="s">
        <v>92</v>
      </c>
      <c r="C67" s="34">
        <f>[11]С2.1!E27</f>
        <v>14307.876789999998</v>
      </c>
    </row>
    <row r="68" spans="1:3" ht="38.25">
      <c r="A68" s="59" t="s">
        <v>93</v>
      </c>
      <c r="B68" s="65" t="s">
        <v>94</v>
      </c>
      <c r="C68" s="52">
        <f>[11]С2.3!E21</f>
        <v>0</v>
      </c>
    </row>
    <row r="69" spans="1:3" ht="25.5">
      <c r="A69" s="59" t="s">
        <v>95</v>
      </c>
      <c r="B69" s="66" t="s">
        <v>96</v>
      </c>
      <c r="C69" s="67">
        <f>[11]С2.3!E11</f>
        <v>9.89</v>
      </c>
    </row>
    <row r="70" spans="1:3" ht="25.5">
      <c r="A70" s="59" t="s">
        <v>97</v>
      </c>
      <c r="B70" s="66" t="s">
        <v>98</v>
      </c>
      <c r="C70" s="62">
        <f>[11]С2.3!E13</f>
        <v>300</v>
      </c>
    </row>
    <row r="71" spans="1:3" ht="25.5">
      <c r="A71" s="59" t="s">
        <v>99</v>
      </c>
      <c r="B71" s="65" t="s">
        <v>100</v>
      </c>
      <c r="C71" s="68">
        <f>IF([11]С2.3!E22&gt;0,[11]С2.3!E22,[11]С2.3!E14)</f>
        <v>61211</v>
      </c>
    </row>
    <row r="72" spans="1:3" ht="38.25">
      <c r="A72" s="59" t="s">
        <v>101</v>
      </c>
      <c r="B72" s="65" t="s">
        <v>102</v>
      </c>
      <c r="C72" s="68">
        <f>IF([11]С2.3!E23&gt;0,[11]С2.3!E23,[11]С2.3!E15)</f>
        <v>45675</v>
      </c>
    </row>
    <row r="73" spans="1:3" ht="30">
      <c r="A73" s="59" t="s">
        <v>103</v>
      </c>
      <c r="B73" s="53" t="s">
        <v>104</v>
      </c>
      <c r="C73" s="34">
        <f>[11]С2.1!E28</f>
        <v>9541.9567200000001</v>
      </c>
    </row>
    <row r="74" spans="1:3" ht="38.25">
      <c r="A74" s="59" t="s">
        <v>105</v>
      </c>
      <c r="B74" s="65" t="s">
        <v>106</v>
      </c>
      <c r="C74" s="52">
        <f>[11]С2.3!E25</f>
        <v>0</v>
      </c>
    </row>
    <row r="75" spans="1:3" ht="25.5">
      <c r="A75" s="59" t="s">
        <v>107</v>
      </c>
      <c r="B75" s="66" t="s">
        <v>108</v>
      </c>
      <c r="C75" s="67">
        <f>[11]С2.3!E12</f>
        <v>0.56000000000000005</v>
      </c>
    </row>
    <row r="76" spans="1:3" ht="25.5">
      <c r="A76" s="59" t="s">
        <v>109</v>
      </c>
      <c r="B76" s="66" t="s">
        <v>98</v>
      </c>
      <c r="C76" s="62">
        <f>[11]С2.3!E13</f>
        <v>300</v>
      </c>
    </row>
    <row r="77" spans="1:3" ht="25.5">
      <c r="A77" s="59" t="s">
        <v>110</v>
      </c>
      <c r="B77" s="69" t="s">
        <v>111</v>
      </c>
      <c r="C77" s="68">
        <f>IF([11]С2.3!E26&gt;0,[11]С2.3!E26,[11]С2.3!E16)</f>
        <v>65637</v>
      </c>
    </row>
    <row r="78" spans="1:3" ht="38.25">
      <c r="A78" s="59" t="s">
        <v>112</v>
      </c>
      <c r="B78" s="69" t="s">
        <v>113</v>
      </c>
      <c r="C78" s="68">
        <f>IF([11]С2.3!E27&gt;0,[11]С2.3!E27,[11]С2.3!E17)</f>
        <v>31684</v>
      </c>
    </row>
    <row r="79" spans="1:3" ht="17.25">
      <c r="A79" s="59" t="s">
        <v>114</v>
      </c>
      <c r="B79" s="33" t="s">
        <v>115</v>
      </c>
      <c r="C79" s="35">
        <f>[11]С2!F29</f>
        <v>0.17804631770487722</v>
      </c>
    </row>
    <row r="80" spans="1:3" ht="30">
      <c r="A80" s="59" t="s">
        <v>116</v>
      </c>
      <c r="B80" s="53" t="s">
        <v>117</v>
      </c>
      <c r="C80" s="70">
        <f>[11]С2!F30</f>
        <v>0.1652189781021898</v>
      </c>
    </row>
    <row r="81" spans="1:3" ht="17.25">
      <c r="A81" s="59" t="s">
        <v>118</v>
      </c>
      <c r="B81" s="71" t="s">
        <v>119</v>
      </c>
      <c r="C81" s="35">
        <f>[11]С2!F31</f>
        <v>0.13880000000000001</v>
      </c>
    </row>
    <row r="82" spans="1:3" s="63" customFormat="1" ht="18" thickBot="1">
      <c r="A82" s="72" t="s">
        <v>120</v>
      </c>
      <c r="B82" s="73" t="s">
        <v>121</v>
      </c>
      <c r="C82" s="74">
        <f>[11]С2!F32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[11]С3!F14</f>
        <v>14863.184658749575</v>
      </c>
    </row>
    <row r="86" spans="1:3" s="63" customFormat="1" ht="42.75">
      <c r="A86" s="77" t="s">
        <v>126</v>
      </c>
      <c r="B86" s="53" t="s">
        <v>127</v>
      </c>
      <c r="C86" s="78">
        <f>[11]С3!F15</f>
        <v>0.25</v>
      </c>
    </row>
    <row r="87" spans="1:3" s="63" customFormat="1" ht="14.25">
      <c r="A87" s="77" t="s">
        <v>128</v>
      </c>
      <c r="B87" s="79" t="s">
        <v>129</v>
      </c>
      <c r="C87" s="62">
        <f>[11]С3!F18</f>
        <v>15</v>
      </c>
    </row>
    <row r="88" spans="1:3" s="63" customFormat="1" ht="17.25">
      <c r="A88" s="77" t="s">
        <v>130</v>
      </c>
      <c r="B88" s="33" t="s">
        <v>131</v>
      </c>
      <c r="C88" s="34">
        <f>[11]С3!F19</f>
        <v>4187.478806422544</v>
      </c>
    </row>
    <row r="89" spans="1:3" s="63" customFormat="1" ht="55.5">
      <c r="A89" s="77" t="s">
        <v>132</v>
      </c>
      <c r="B89" s="53" t="s">
        <v>133</v>
      </c>
      <c r="C89" s="80">
        <f>[11]С3!F20</f>
        <v>2.1999999999999999E-2</v>
      </c>
    </row>
    <row r="90" spans="1:3" s="63" customFormat="1" ht="14.25">
      <c r="A90" s="77" t="s">
        <v>134</v>
      </c>
      <c r="B90" s="58" t="s">
        <v>80</v>
      </c>
      <c r="C90" s="62">
        <f>[11]С3!F21</f>
        <v>10</v>
      </c>
    </row>
    <row r="91" spans="1:3" s="63" customFormat="1" ht="17.25">
      <c r="A91" s="77" t="s">
        <v>135</v>
      </c>
      <c r="B91" s="33" t="s">
        <v>136</v>
      </c>
      <c r="C91" s="34">
        <f>[11]С3!F22</f>
        <v>7.2494984785302705</v>
      </c>
    </row>
    <row r="92" spans="1:3" s="63" customFormat="1" ht="55.5">
      <c r="A92" s="77" t="s">
        <v>137</v>
      </c>
      <c r="B92" s="53" t="s">
        <v>138</v>
      </c>
      <c r="C92" s="80">
        <f>[11]С3!F23</f>
        <v>3.0000000000000001E-3</v>
      </c>
    </row>
    <row r="93" spans="1:3" s="63" customFormat="1" ht="27.75" thickBot="1">
      <c r="A93" s="81" t="s">
        <v>139</v>
      </c>
      <c r="B93" s="82" t="s">
        <v>140</v>
      </c>
      <c r="C93" s="83">
        <f>[11]С3!F24</f>
        <v>2416.4994928434235</v>
      </c>
    </row>
    <row r="94" spans="1:3" ht="13.5" thickBot="1">
      <c r="A94" s="47"/>
      <c r="B94" s="75"/>
      <c r="C94" s="15"/>
    </row>
    <row r="95" spans="1:3" ht="42" customHeight="1">
      <c r="A95" s="84" t="s">
        <v>141</v>
      </c>
      <c r="B95" s="146" t="s">
        <v>142</v>
      </c>
      <c r="C95" s="146"/>
    </row>
    <row r="96" spans="1:3" ht="30">
      <c r="A96" s="59" t="s">
        <v>143</v>
      </c>
      <c r="B96" s="33" t="s">
        <v>144</v>
      </c>
      <c r="C96" s="34">
        <f>[11]С4!F16</f>
        <v>1652.5</v>
      </c>
    </row>
    <row r="97" spans="1:3" ht="30">
      <c r="A97" s="59" t="s">
        <v>145</v>
      </c>
      <c r="B97" s="58" t="s">
        <v>146</v>
      </c>
      <c r="C97" s="34">
        <f>[11]С4!F17</f>
        <v>73547</v>
      </c>
    </row>
    <row r="98" spans="1:3" ht="17.25">
      <c r="A98" s="59" t="s">
        <v>147</v>
      </c>
      <c r="B98" s="58" t="s">
        <v>148</v>
      </c>
      <c r="C98" s="40">
        <f>[11]С4!F18</f>
        <v>0.02</v>
      </c>
    </row>
    <row r="99" spans="1:3" ht="30">
      <c r="A99" s="59" t="s">
        <v>149</v>
      </c>
      <c r="B99" s="58" t="s">
        <v>150</v>
      </c>
      <c r="C99" s="34">
        <f>[11]С4!F19</f>
        <v>12104</v>
      </c>
    </row>
    <row r="100" spans="1:3" ht="31.5">
      <c r="A100" s="59" t="s">
        <v>151</v>
      </c>
      <c r="B100" s="58" t="s">
        <v>152</v>
      </c>
      <c r="C100" s="40">
        <f>[11]С4!F20</f>
        <v>1.4999999999999999E-2</v>
      </c>
    </row>
    <row r="101" spans="1:3" ht="30">
      <c r="A101" s="59" t="s">
        <v>153</v>
      </c>
      <c r="B101" s="33" t="s">
        <v>154</v>
      </c>
      <c r="C101" s="34">
        <f>[11]С4!F21</f>
        <v>1933.1949342509995</v>
      </c>
    </row>
    <row r="102" spans="1:3" ht="24" customHeight="1">
      <c r="A102" s="59" t="s">
        <v>155</v>
      </c>
      <c r="B102" s="53" t="s">
        <v>156</v>
      </c>
      <c r="C102" s="85">
        <f>IF([11]С4.2!F8="да",[11]С4.2!D21,[11]С4.2!D15)</f>
        <v>0</v>
      </c>
    </row>
    <row r="103" spans="1:3" ht="68.25">
      <c r="A103" s="59" t="s">
        <v>157</v>
      </c>
      <c r="B103" s="53" t="s">
        <v>158</v>
      </c>
      <c r="C103" s="34">
        <f>[11]С4!F22</f>
        <v>3.6112641666666665</v>
      </c>
    </row>
    <row r="104" spans="1:3" ht="30">
      <c r="A104" s="59" t="s">
        <v>159</v>
      </c>
      <c r="B104" s="58" t="s">
        <v>160</v>
      </c>
      <c r="C104" s="34">
        <f>[11]С4!F23</f>
        <v>180</v>
      </c>
    </row>
    <row r="105" spans="1:3" ht="14.25">
      <c r="A105" s="59" t="s">
        <v>161</v>
      </c>
      <c r="B105" s="53" t="s">
        <v>162</v>
      </c>
      <c r="C105" s="34">
        <f>[11]С4!F24</f>
        <v>8497.1999999999989</v>
      </c>
    </row>
    <row r="106" spans="1:3" ht="14.25">
      <c r="A106" s="59" t="s">
        <v>163</v>
      </c>
      <c r="B106" s="58" t="s">
        <v>164</v>
      </c>
      <c r="C106" s="40">
        <f>[11]С4!F25</f>
        <v>0.35</v>
      </c>
    </row>
    <row r="107" spans="1:3" ht="17.25">
      <c r="A107" s="59" t="s">
        <v>165</v>
      </c>
      <c r="B107" s="33" t="s">
        <v>166</v>
      </c>
      <c r="C107" s="34">
        <f>[11]С4!F26</f>
        <v>78.159870000000012</v>
      </c>
    </row>
    <row r="108" spans="1:3" ht="25.5">
      <c r="A108" s="59" t="s">
        <v>167</v>
      </c>
      <c r="B108" s="53" t="s">
        <v>94</v>
      </c>
      <c r="C108" s="85">
        <f>[11]С4.3!E16</f>
        <v>0</v>
      </c>
    </row>
    <row r="109" spans="1:3" ht="25.5">
      <c r="A109" s="59" t="s">
        <v>168</v>
      </c>
      <c r="B109" s="53" t="s">
        <v>169</v>
      </c>
      <c r="C109" s="34">
        <f>[11]С4.3!E17</f>
        <v>21.01</v>
      </c>
    </row>
    <row r="110" spans="1:3" ht="38.25">
      <c r="A110" s="59" t="s">
        <v>170</v>
      </c>
      <c r="B110" s="53" t="s">
        <v>106</v>
      </c>
      <c r="C110" s="85">
        <f>[11]С4.3!E18</f>
        <v>0</v>
      </c>
    </row>
    <row r="111" spans="1:3">
      <c r="A111" s="59" t="s">
        <v>171</v>
      </c>
      <c r="B111" s="53" t="s">
        <v>172</v>
      </c>
      <c r="C111" s="34">
        <f>[11]С4.3!E19</f>
        <v>21.95</v>
      </c>
    </row>
    <row r="112" spans="1:3">
      <c r="A112" s="59" t="s">
        <v>173</v>
      </c>
      <c r="B112" s="58" t="s">
        <v>174</v>
      </c>
      <c r="C112" s="34">
        <f>[11]С4.3!E11</f>
        <v>1871</v>
      </c>
    </row>
    <row r="113" spans="1:3">
      <c r="A113" s="59" t="s">
        <v>175</v>
      </c>
      <c r="B113" s="58" t="s">
        <v>176</v>
      </c>
      <c r="C113" s="52">
        <f>[11]С4.3!E12</f>
        <v>1636</v>
      </c>
    </row>
    <row r="114" spans="1:3">
      <c r="A114" s="59" t="s">
        <v>177</v>
      </c>
      <c r="B114" s="58" t="s">
        <v>178</v>
      </c>
      <c r="C114" s="52">
        <f>[11]С4.3!E13</f>
        <v>204</v>
      </c>
    </row>
    <row r="115" spans="1:3" ht="30">
      <c r="A115" s="59" t="s">
        <v>179</v>
      </c>
      <c r="B115" s="33" t="s">
        <v>180</v>
      </c>
      <c r="C115" s="34">
        <f>[11]С4!F27</f>
        <v>1291.2863994686898</v>
      </c>
    </row>
    <row r="116" spans="1:3" ht="25.5">
      <c r="A116" s="59" t="s">
        <v>181</v>
      </c>
      <c r="B116" s="53" t="s">
        <v>182</v>
      </c>
      <c r="C116" s="34">
        <f>[11]С4!F28</f>
        <v>991.77142816335618</v>
      </c>
    </row>
    <row r="117" spans="1:3" ht="42.75">
      <c r="A117" s="59" t="s">
        <v>183</v>
      </c>
      <c r="B117" s="53" t="s">
        <v>184</v>
      </c>
      <c r="C117" s="34">
        <f>[11]С4!F29</f>
        <v>299.51497130533357</v>
      </c>
    </row>
    <row r="118" spans="1:3" ht="30">
      <c r="A118" s="59" t="s">
        <v>185</v>
      </c>
      <c r="B118" s="39" t="s">
        <v>186</v>
      </c>
      <c r="C118" s="34">
        <f>[11]С4!F30</f>
        <v>2380.4411640107382</v>
      </c>
    </row>
    <row r="119" spans="1:3" ht="42.75">
      <c r="A119" s="59" t="s">
        <v>187</v>
      </c>
      <c r="B119" s="86" t="s">
        <v>188</v>
      </c>
      <c r="C119" s="34">
        <f>[11]С4!F33</f>
        <v>1176.7426982817792</v>
      </c>
    </row>
    <row r="120" spans="1:3" ht="30">
      <c r="A120" s="59" t="s">
        <v>189</v>
      </c>
      <c r="B120" s="87" t="s">
        <v>190</v>
      </c>
      <c r="C120" s="34">
        <f>[11]С4!F35</f>
        <v>17.040680999999999</v>
      </c>
    </row>
    <row r="121" spans="1:3" ht="14.25">
      <c r="A121" s="59" t="s">
        <v>191</v>
      </c>
      <c r="B121" s="56" t="s">
        <v>192</v>
      </c>
      <c r="C121" s="34">
        <f>[11]С4!F36</f>
        <v>14319.9</v>
      </c>
    </row>
    <row r="122" spans="1:3" ht="28.5" thickBot="1">
      <c r="A122" s="72" t="s">
        <v>193</v>
      </c>
      <c r="B122" s="88" t="s">
        <v>194</v>
      </c>
      <c r="C122" s="83">
        <f>[11]С4!F37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[11]С5!F17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[11]С2!F37</f>
        <v>20.818139999999996</v>
      </c>
    </row>
    <row r="136" spans="1:4" ht="14.25">
      <c r="A136" s="59" t="s">
        <v>216</v>
      </c>
      <c r="B136" s="101" t="s">
        <v>217</v>
      </c>
      <c r="C136" s="34">
        <f>[11]С2!F38</f>
        <v>7</v>
      </c>
    </row>
    <row r="137" spans="1:4" ht="17.25">
      <c r="A137" s="59" t="s">
        <v>218</v>
      </c>
      <c r="B137" s="101" t="s">
        <v>219</v>
      </c>
      <c r="C137" s="34">
        <f>[11]С2!F40</f>
        <v>0.97</v>
      </c>
    </row>
    <row r="138" spans="1:4" ht="15" thickBot="1">
      <c r="A138" s="72" t="s">
        <v>220</v>
      </c>
      <c r="B138" s="102" t="s">
        <v>221</v>
      </c>
      <c r="C138" s="46">
        <f>[11]С2!F42</f>
        <v>0.35</v>
      </c>
    </row>
    <row r="139" spans="1:4" s="89" customFormat="1" ht="13.5" thickBot="1">
      <c r="A139" s="47"/>
      <c r="B139" s="75"/>
      <c r="C139" s="15"/>
    </row>
    <row r="140" spans="1:4" ht="30">
      <c r="A140" s="84" t="s">
        <v>222</v>
      </c>
      <c r="B140" s="103" t="s">
        <v>223</v>
      </c>
      <c r="C140" s="104">
        <f>[11]С2!F35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[11]С2.5!$E$11</f>
        <v>-2.9000000000000026E-2</v>
      </c>
      <c r="D143" s="89"/>
    </row>
    <row r="144" spans="1:4">
      <c r="A144" s="105"/>
      <c r="B144" s="110">
        <f>B143+1</f>
        <v>2021</v>
      </c>
      <c r="C144" s="111">
        <f>[11]С2.5!$F$11</f>
        <v>0.245</v>
      </c>
      <c r="D144" s="89"/>
    </row>
    <row r="145" spans="1:4">
      <c r="A145" s="105"/>
      <c r="B145" s="110">
        <f t="shared" ref="B145:B208" si="0">B144+1</f>
        <v>2022</v>
      </c>
      <c r="C145" s="111">
        <f>[11]С2.5!$G$11</f>
        <v>0.114</v>
      </c>
      <c r="D145" s="89"/>
    </row>
    <row r="146" spans="1:4" ht="13.5" thickBot="1">
      <c r="A146" s="105"/>
      <c r="B146" s="112">
        <f t="shared" si="0"/>
        <v>2023</v>
      </c>
      <c r="C146" s="113">
        <f>[11]С2.5!$H$11</f>
        <v>0.04</v>
      </c>
      <c r="D146" s="89"/>
    </row>
    <row r="147" spans="1:4">
      <c r="A147" s="105"/>
      <c r="B147" s="114">
        <f t="shared" si="0"/>
        <v>2024</v>
      </c>
      <c r="C147" s="115">
        <f>[11]С2.5!$I$11</f>
        <v>0.11700000000000001</v>
      </c>
      <c r="D147" s="89"/>
    </row>
    <row r="148" spans="1:4">
      <c r="A148" s="105"/>
      <c r="B148" s="110">
        <f t="shared" si="0"/>
        <v>2025</v>
      </c>
      <c r="C148" s="111">
        <f>[11]С2.5!$J$11</f>
        <v>6.0999999999999999E-2</v>
      </c>
      <c r="D148" s="89"/>
    </row>
    <row r="149" spans="1:4" hidden="1">
      <c r="A149" s="105"/>
      <c r="B149" s="110">
        <f t="shared" si="0"/>
        <v>2026</v>
      </c>
      <c r="C149" s="111">
        <f>[11]С2.5!$K$11</f>
        <v>3.5813361771260002E-2</v>
      </c>
      <c r="D149" s="89"/>
    </row>
    <row r="150" spans="1:4" hidden="1">
      <c r="A150" s="105"/>
      <c r="B150" s="110">
        <f t="shared" si="0"/>
        <v>2027</v>
      </c>
      <c r="C150" s="111">
        <f>[11]С2.5!$L$11</f>
        <v>3.2682303599220003E-2</v>
      </c>
      <c r="D150" s="89"/>
    </row>
    <row r="151" spans="1:4" hidden="1">
      <c r="A151" s="105"/>
      <c r="B151" s="110">
        <f t="shared" si="0"/>
        <v>2028</v>
      </c>
      <c r="C151" s="111">
        <f>[11]С2.5!$M$11</f>
        <v>0</v>
      </c>
      <c r="D151" s="89"/>
    </row>
    <row r="152" spans="1:4" hidden="1">
      <c r="A152" s="105"/>
      <c r="B152" s="110">
        <f t="shared" si="0"/>
        <v>2029</v>
      </c>
      <c r="C152" s="111">
        <f>[11]С2.5!$N$11</f>
        <v>0</v>
      </c>
      <c r="D152" s="89"/>
    </row>
    <row r="153" spans="1:4" hidden="1">
      <c r="A153" s="105"/>
      <c r="B153" s="110">
        <f t="shared" si="0"/>
        <v>2030</v>
      </c>
      <c r="C153" s="111">
        <f>[11]С2.5!$O$11</f>
        <v>0</v>
      </c>
      <c r="D153" s="89"/>
    </row>
    <row r="154" spans="1:4" hidden="1">
      <c r="A154" s="105"/>
      <c r="B154" s="110">
        <f t="shared" si="0"/>
        <v>2031</v>
      </c>
      <c r="C154" s="111">
        <f>[11]С2.5!$P$11</f>
        <v>0</v>
      </c>
      <c r="D154" s="89"/>
    </row>
    <row r="155" spans="1:4" hidden="1">
      <c r="A155" s="89"/>
      <c r="B155" s="110">
        <f t="shared" si="0"/>
        <v>2032</v>
      </c>
      <c r="C155" s="111">
        <f>[11]С2.5!$Q$11</f>
        <v>0</v>
      </c>
      <c r="D155" s="89"/>
    </row>
    <row r="156" spans="1:4" hidden="1">
      <c r="A156" s="89"/>
      <c r="B156" s="110">
        <f t="shared" si="0"/>
        <v>2033</v>
      </c>
      <c r="C156" s="111">
        <f>[11]С2.5!$R$11</f>
        <v>0</v>
      </c>
      <c r="D156" s="89"/>
    </row>
    <row r="157" spans="1:4" hidden="1">
      <c r="B157" s="110">
        <f t="shared" si="0"/>
        <v>2034</v>
      </c>
      <c r="C157" s="111">
        <f>[11]С2.5!$S$11</f>
        <v>0</v>
      </c>
    </row>
    <row r="158" spans="1:4" hidden="1">
      <c r="B158" s="110">
        <f t="shared" si="0"/>
        <v>2035</v>
      </c>
      <c r="C158" s="111">
        <f>[11]С2.5!$T$11</f>
        <v>0</v>
      </c>
    </row>
    <row r="159" spans="1:4" hidden="1">
      <c r="B159" s="110">
        <f t="shared" si="0"/>
        <v>2036</v>
      </c>
      <c r="C159" s="111">
        <f>[11]С2.5!$U$11</f>
        <v>0</v>
      </c>
    </row>
    <row r="160" spans="1:4" hidden="1">
      <c r="B160" s="110">
        <f t="shared" si="0"/>
        <v>2037</v>
      </c>
      <c r="C160" s="111">
        <f>[11]С2.5!$V$11</f>
        <v>0</v>
      </c>
    </row>
    <row r="161" spans="2:3" hidden="1">
      <c r="B161" s="110">
        <f t="shared" si="0"/>
        <v>2038</v>
      </c>
      <c r="C161" s="111">
        <f>[11]С2.5!$W$11</f>
        <v>0</v>
      </c>
    </row>
    <row r="162" spans="2:3" hidden="1">
      <c r="B162" s="110">
        <f t="shared" si="0"/>
        <v>2039</v>
      </c>
      <c r="C162" s="111">
        <f>[11]С2.5!$X$11</f>
        <v>0</v>
      </c>
    </row>
    <row r="163" spans="2:3" hidden="1">
      <c r="B163" s="110">
        <f t="shared" si="0"/>
        <v>2040</v>
      </c>
      <c r="C163" s="111">
        <f>[11]С2.5!$Y$11</f>
        <v>0</v>
      </c>
    </row>
    <row r="164" spans="2:3" hidden="1">
      <c r="B164" s="110">
        <f t="shared" si="0"/>
        <v>2041</v>
      </c>
      <c r="C164" s="111">
        <f>[11]С2.5!$Z$11</f>
        <v>0</v>
      </c>
    </row>
    <row r="165" spans="2:3" hidden="1">
      <c r="B165" s="110">
        <f t="shared" si="0"/>
        <v>2042</v>
      </c>
      <c r="C165" s="111">
        <f>[11]С2.5!$AA$11</f>
        <v>0</v>
      </c>
    </row>
    <row r="166" spans="2:3" hidden="1">
      <c r="B166" s="110">
        <f t="shared" si="0"/>
        <v>2043</v>
      </c>
      <c r="C166" s="111">
        <f>[11]С2.5!$AB$11</f>
        <v>0</v>
      </c>
    </row>
    <row r="167" spans="2:3" hidden="1">
      <c r="B167" s="110">
        <f t="shared" si="0"/>
        <v>2044</v>
      </c>
      <c r="C167" s="111">
        <f>[11]С2.5!$AC$11</f>
        <v>0</v>
      </c>
    </row>
    <row r="168" spans="2:3" hidden="1">
      <c r="B168" s="110">
        <f t="shared" si="0"/>
        <v>2045</v>
      </c>
      <c r="C168" s="111">
        <f>[11]С2.5!$AD$11</f>
        <v>0</v>
      </c>
    </row>
    <row r="169" spans="2:3" hidden="1">
      <c r="B169" s="110">
        <f t="shared" si="0"/>
        <v>2046</v>
      </c>
      <c r="C169" s="111">
        <f>[11]С2.5!$AE$11</f>
        <v>0</v>
      </c>
    </row>
    <row r="170" spans="2:3" hidden="1">
      <c r="B170" s="110">
        <f t="shared" si="0"/>
        <v>2047</v>
      </c>
      <c r="C170" s="111">
        <f>[11]С2.5!$AF$11</f>
        <v>0</v>
      </c>
    </row>
    <row r="171" spans="2:3" hidden="1">
      <c r="B171" s="110">
        <f t="shared" si="0"/>
        <v>2048</v>
      </c>
      <c r="C171" s="111">
        <f>[11]С2.5!$AG$11</f>
        <v>0</v>
      </c>
    </row>
    <row r="172" spans="2:3" hidden="1">
      <c r="B172" s="110">
        <f t="shared" si="0"/>
        <v>2049</v>
      </c>
      <c r="C172" s="111">
        <f>[11]С2.5!$AH$11</f>
        <v>0</v>
      </c>
    </row>
    <row r="173" spans="2:3" hidden="1">
      <c r="B173" s="110">
        <f t="shared" si="0"/>
        <v>2050</v>
      </c>
      <c r="C173" s="111">
        <f>[11]С2.5!$AI$11</f>
        <v>0</v>
      </c>
    </row>
    <row r="174" spans="2:3" hidden="1">
      <c r="B174" s="110">
        <f t="shared" si="0"/>
        <v>2051</v>
      </c>
      <c r="C174" s="111">
        <f>[11]С2.5!$AJ$11</f>
        <v>0</v>
      </c>
    </row>
    <row r="175" spans="2:3" hidden="1">
      <c r="B175" s="110">
        <f t="shared" si="0"/>
        <v>2052</v>
      </c>
      <c r="C175" s="111">
        <f>[11]С2.5!$AK$11</f>
        <v>0</v>
      </c>
    </row>
    <row r="176" spans="2:3" hidden="1">
      <c r="B176" s="110">
        <f t="shared" si="0"/>
        <v>2053</v>
      </c>
      <c r="C176" s="111">
        <f>[11]С2.5!$AL$11</f>
        <v>0</v>
      </c>
    </row>
    <row r="177" spans="2:3" hidden="1">
      <c r="B177" s="110">
        <f t="shared" si="0"/>
        <v>2054</v>
      </c>
      <c r="C177" s="111">
        <f>[11]С2.5!$AM$11</f>
        <v>0</v>
      </c>
    </row>
    <row r="178" spans="2:3" hidden="1">
      <c r="B178" s="110">
        <f t="shared" si="0"/>
        <v>2055</v>
      </c>
      <c r="C178" s="111">
        <f>[11]С2.5!$AN$11</f>
        <v>0</v>
      </c>
    </row>
    <row r="179" spans="2:3" hidden="1">
      <c r="B179" s="110">
        <f t="shared" si="0"/>
        <v>2056</v>
      </c>
      <c r="C179" s="111">
        <f>[11]С2.5!$AO$11</f>
        <v>0</v>
      </c>
    </row>
    <row r="180" spans="2:3" hidden="1">
      <c r="B180" s="110">
        <f t="shared" si="0"/>
        <v>2057</v>
      </c>
      <c r="C180" s="111">
        <f>[11]С2.5!$AP$11</f>
        <v>0</v>
      </c>
    </row>
    <row r="181" spans="2:3" hidden="1">
      <c r="B181" s="110">
        <f t="shared" si="0"/>
        <v>2058</v>
      </c>
      <c r="C181" s="111">
        <f>[11]С2.5!$AQ$11</f>
        <v>0</v>
      </c>
    </row>
    <row r="182" spans="2:3" hidden="1">
      <c r="B182" s="110">
        <f t="shared" si="0"/>
        <v>2059</v>
      </c>
      <c r="C182" s="111">
        <f>[11]С2.5!$AR$11</f>
        <v>0</v>
      </c>
    </row>
    <row r="183" spans="2:3" hidden="1">
      <c r="B183" s="110">
        <f t="shared" si="0"/>
        <v>2060</v>
      </c>
      <c r="C183" s="111">
        <f>[11]С2.5!$AS$11</f>
        <v>0</v>
      </c>
    </row>
    <row r="184" spans="2:3" hidden="1">
      <c r="B184" s="110">
        <f t="shared" si="0"/>
        <v>2061</v>
      </c>
      <c r="C184" s="111">
        <f>[11]С2.5!$AT$11</f>
        <v>0</v>
      </c>
    </row>
    <row r="185" spans="2:3" hidden="1">
      <c r="B185" s="110">
        <f t="shared" si="0"/>
        <v>2062</v>
      </c>
      <c r="C185" s="111">
        <f>[11]С2.5!$AU$11</f>
        <v>0</v>
      </c>
    </row>
    <row r="186" spans="2:3" hidden="1">
      <c r="B186" s="110">
        <f t="shared" si="0"/>
        <v>2063</v>
      </c>
      <c r="C186" s="111">
        <f>[11]С2.5!$AV$11</f>
        <v>0</v>
      </c>
    </row>
    <row r="187" spans="2:3" hidden="1">
      <c r="B187" s="110">
        <f t="shared" si="0"/>
        <v>2064</v>
      </c>
      <c r="C187" s="111">
        <f>[11]С2.5!$AW$11</f>
        <v>0</v>
      </c>
    </row>
    <row r="188" spans="2:3" hidden="1">
      <c r="B188" s="110">
        <f t="shared" si="0"/>
        <v>2065</v>
      </c>
      <c r="C188" s="111">
        <f>[11]С2.5!$AX$11</f>
        <v>0</v>
      </c>
    </row>
    <row r="189" spans="2:3" hidden="1">
      <c r="B189" s="110">
        <f t="shared" si="0"/>
        <v>2066</v>
      </c>
      <c r="C189" s="111">
        <f>[11]С2.5!$AY$11</f>
        <v>0</v>
      </c>
    </row>
    <row r="190" spans="2:3" hidden="1">
      <c r="B190" s="110">
        <f t="shared" si="0"/>
        <v>2067</v>
      </c>
      <c r="C190" s="111">
        <f>[11]С2.5!$AZ$11</f>
        <v>0</v>
      </c>
    </row>
    <row r="191" spans="2:3" hidden="1">
      <c r="B191" s="110">
        <f t="shared" si="0"/>
        <v>2068</v>
      </c>
      <c r="C191" s="111">
        <f>[11]С2.5!$BA$11</f>
        <v>0</v>
      </c>
    </row>
    <row r="192" spans="2:3" hidden="1">
      <c r="B192" s="110">
        <f t="shared" si="0"/>
        <v>2069</v>
      </c>
      <c r="C192" s="111">
        <f>[11]С2.5!$BB$11</f>
        <v>0</v>
      </c>
    </row>
    <row r="193" spans="2:3" hidden="1">
      <c r="B193" s="110">
        <f t="shared" si="0"/>
        <v>2070</v>
      </c>
      <c r="C193" s="111">
        <f>[11]С2.5!$BC$11</f>
        <v>0</v>
      </c>
    </row>
    <row r="194" spans="2:3" hidden="1">
      <c r="B194" s="110">
        <f t="shared" si="0"/>
        <v>2071</v>
      </c>
      <c r="C194" s="111">
        <f>[11]С2.5!$BD$11</f>
        <v>0</v>
      </c>
    </row>
    <row r="195" spans="2:3" hidden="1">
      <c r="B195" s="110">
        <f t="shared" si="0"/>
        <v>2072</v>
      </c>
      <c r="C195" s="111">
        <f>[11]С2.5!$BE$11</f>
        <v>0</v>
      </c>
    </row>
    <row r="196" spans="2:3" hidden="1">
      <c r="B196" s="110">
        <f t="shared" si="0"/>
        <v>2073</v>
      </c>
      <c r="C196" s="111">
        <f>[11]С2.5!$BF$11</f>
        <v>0</v>
      </c>
    </row>
    <row r="197" spans="2:3" hidden="1">
      <c r="B197" s="110">
        <f t="shared" si="0"/>
        <v>2074</v>
      </c>
      <c r="C197" s="111">
        <f>[11]С2.5!$BG$11</f>
        <v>0</v>
      </c>
    </row>
    <row r="198" spans="2:3" hidden="1">
      <c r="B198" s="110">
        <f t="shared" si="0"/>
        <v>2075</v>
      </c>
      <c r="C198" s="111">
        <f>[11]С2.5!$BH$11</f>
        <v>0</v>
      </c>
    </row>
    <row r="199" spans="2:3" hidden="1">
      <c r="B199" s="110">
        <f t="shared" si="0"/>
        <v>2076</v>
      </c>
      <c r="C199" s="111">
        <f>[11]С2.5!$BI$11</f>
        <v>0</v>
      </c>
    </row>
    <row r="200" spans="2:3" hidden="1">
      <c r="B200" s="110">
        <f t="shared" si="0"/>
        <v>2077</v>
      </c>
      <c r="C200" s="111">
        <f>[11]С2.5!$BJ$11</f>
        <v>0</v>
      </c>
    </row>
    <row r="201" spans="2:3" hidden="1">
      <c r="B201" s="110">
        <f t="shared" si="0"/>
        <v>2078</v>
      </c>
      <c r="C201" s="111">
        <f>[11]С2.5!$BK$11</f>
        <v>0</v>
      </c>
    </row>
    <row r="202" spans="2:3" hidden="1">
      <c r="B202" s="110">
        <f t="shared" si="0"/>
        <v>2079</v>
      </c>
      <c r="C202" s="111">
        <f>[11]С2.5!$BL$11</f>
        <v>0</v>
      </c>
    </row>
    <row r="203" spans="2:3" hidden="1">
      <c r="B203" s="110">
        <f t="shared" si="0"/>
        <v>2080</v>
      </c>
      <c r="C203" s="111">
        <f>[11]С2.5!$BM$11</f>
        <v>0</v>
      </c>
    </row>
    <row r="204" spans="2:3" hidden="1">
      <c r="B204" s="110">
        <f t="shared" si="0"/>
        <v>2081</v>
      </c>
      <c r="C204" s="111">
        <f>[11]С2.5!$BN$11</f>
        <v>0</v>
      </c>
    </row>
    <row r="205" spans="2:3" hidden="1">
      <c r="B205" s="110">
        <f t="shared" si="0"/>
        <v>2082</v>
      </c>
      <c r="C205" s="111">
        <f>[11]С2.5!$BO$11</f>
        <v>0</v>
      </c>
    </row>
    <row r="206" spans="2:3" hidden="1">
      <c r="B206" s="110">
        <f t="shared" si="0"/>
        <v>2083</v>
      </c>
      <c r="C206" s="111">
        <f>[11]С2.5!$BP$11</f>
        <v>0</v>
      </c>
    </row>
    <row r="207" spans="2:3" hidden="1">
      <c r="B207" s="110">
        <f t="shared" si="0"/>
        <v>2084</v>
      </c>
      <c r="C207" s="111">
        <f>[11]С2.5!$BQ$11</f>
        <v>0</v>
      </c>
    </row>
    <row r="208" spans="2:3" hidden="1">
      <c r="B208" s="110">
        <f t="shared" si="0"/>
        <v>2085</v>
      </c>
      <c r="C208" s="111">
        <f>[11]С2.5!$BR$11</f>
        <v>0</v>
      </c>
    </row>
    <row r="209" spans="2:3" hidden="1">
      <c r="B209" s="110">
        <f t="shared" ref="B209:B223" si="1">B208+1</f>
        <v>2086</v>
      </c>
      <c r="C209" s="111">
        <f>[11]С2.5!$BS$11</f>
        <v>0</v>
      </c>
    </row>
    <row r="210" spans="2:3" hidden="1">
      <c r="B210" s="110">
        <f t="shared" si="1"/>
        <v>2087</v>
      </c>
      <c r="C210" s="111">
        <f>[11]С2.5!$BT$11</f>
        <v>0</v>
      </c>
    </row>
    <row r="211" spans="2:3" hidden="1">
      <c r="B211" s="110">
        <f t="shared" si="1"/>
        <v>2088</v>
      </c>
      <c r="C211" s="111">
        <f>[11]С2.5!$BU$11</f>
        <v>0</v>
      </c>
    </row>
    <row r="212" spans="2:3" hidden="1">
      <c r="B212" s="110">
        <f t="shared" si="1"/>
        <v>2089</v>
      </c>
      <c r="C212" s="111">
        <f>[11]С2.5!$BV$11</f>
        <v>0</v>
      </c>
    </row>
    <row r="213" spans="2:3" hidden="1">
      <c r="B213" s="110">
        <f t="shared" si="1"/>
        <v>2090</v>
      </c>
      <c r="C213" s="111">
        <f>[11]С2.5!$BW$11</f>
        <v>0</v>
      </c>
    </row>
    <row r="214" spans="2:3" hidden="1">
      <c r="B214" s="110">
        <f t="shared" si="1"/>
        <v>2091</v>
      </c>
      <c r="C214" s="111">
        <f>[11]С2.5!$BX$11</f>
        <v>0</v>
      </c>
    </row>
    <row r="215" spans="2:3" hidden="1">
      <c r="B215" s="110">
        <f t="shared" si="1"/>
        <v>2092</v>
      </c>
      <c r="C215" s="111">
        <f>[11]С2.5!$BY$11</f>
        <v>0</v>
      </c>
    </row>
    <row r="216" spans="2:3" hidden="1">
      <c r="B216" s="110">
        <f t="shared" si="1"/>
        <v>2093</v>
      </c>
      <c r="C216" s="111">
        <f>[11]С2.5!$BZ$11</f>
        <v>0</v>
      </c>
    </row>
    <row r="217" spans="2:3" hidden="1">
      <c r="B217" s="110">
        <f t="shared" si="1"/>
        <v>2094</v>
      </c>
      <c r="C217" s="111">
        <f>[11]С2.5!$CA$11</f>
        <v>0</v>
      </c>
    </row>
    <row r="218" spans="2:3" hidden="1">
      <c r="B218" s="110">
        <f t="shared" si="1"/>
        <v>2095</v>
      </c>
      <c r="C218" s="111">
        <f>[11]С2.5!$CB$11</f>
        <v>0</v>
      </c>
    </row>
    <row r="219" spans="2:3" hidden="1">
      <c r="B219" s="110">
        <f t="shared" si="1"/>
        <v>2096</v>
      </c>
      <c r="C219" s="111">
        <f>[11]С2.5!$CC$11</f>
        <v>0</v>
      </c>
    </row>
    <row r="220" spans="2:3" hidden="1">
      <c r="B220" s="110">
        <f t="shared" si="1"/>
        <v>2097</v>
      </c>
      <c r="C220" s="111">
        <f>[11]С2.5!$CD$11</f>
        <v>0</v>
      </c>
    </row>
    <row r="221" spans="2:3" hidden="1">
      <c r="B221" s="110">
        <f t="shared" si="1"/>
        <v>2098</v>
      </c>
      <c r="C221" s="111">
        <f>[11]С2.5!$CE$11</f>
        <v>0</v>
      </c>
    </row>
    <row r="222" spans="2:3" hidden="1">
      <c r="B222" s="110">
        <f t="shared" si="1"/>
        <v>2099</v>
      </c>
      <c r="C222" s="111">
        <f>[11]С2.5!$CF$11</f>
        <v>0</v>
      </c>
    </row>
    <row r="223" spans="2:3" ht="13.5" hidden="1" thickBot="1">
      <c r="B223" s="112">
        <f t="shared" si="1"/>
        <v>2100</v>
      </c>
      <c r="C223" s="113">
        <f>[11]С2.5!$CG$11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8" r:id="rId3" name="Button 2">
              <controlPr defaultSize="0" print="0" autoFill="0" autoPict="0" macro="[1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4099" r:id="rId4" name="Button 3">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[13]И1!D13</f>
        <v>Субъект Российской Федерации</v>
      </c>
      <c r="C4" s="10" t="str">
        <f>[13]И1!E13</f>
        <v>Новосибирская область</v>
      </c>
    </row>
    <row r="5" spans="1:3" ht="46.9" customHeight="1">
      <c r="A5" s="8"/>
      <c r="B5" s="9" t="str">
        <f>[13]И1!D14</f>
        <v>Тип муниципального образования (выберите из списка)</v>
      </c>
      <c r="C5" s="10" t="str">
        <f>[13]И1!E14</f>
        <v>село Буготак, Тогучинский муниципальный район</v>
      </c>
    </row>
    <row r="6" spans="1:3">
      <c r="A6" s="8"/>
      <c r="B6" s="9" t="str">
        <f>IF([13]И1!E15="","",[13]И1!D15)</f>
        <v/>
      </c>
      <c r="C6" s="10" t="str">
        <f>IF([13]И1!E15="","",[13]И1!E15)</f>
        <v/>
      </c>
    </row>
    <row r="7" spans="1:3">
      <c r="A7" s="8"/>
      <c r="B7" s="9" t="str">
        <f>[13]И1!D16</f>
        <v>Код ОКТМО</v>
      </c>
      <c r="C7" s="11" t="str">
        <f>[13]И1!E16</f>
        <v>50652404101</v>
      </c>
    </row>
    <row r="8" spans="1:3">
      <c r="A8" s="8"/>
      <c r="B8" s="12" t="str">
        <f>[13]И1!D17</f>
        <v>Система теплоснабжения</v>
      </c>
      <c r="C8" s="13">
        <f>[13]И1!E17</f>
        <v>0</v>
      </c>
    </row>
    <row r="9" spans="1:3">
      <c r="A9" s="8"/>
      <c r="B9" s="9" t="str">
        <f>[13]И1!D8</f>
        <v>Период регулирования (i)-й</v>
      </c>
      <c r="C9" s="14">
        <f>[13]И1!E8</f>
        <v>2025</v>
      </c>
    </row>
    <row r="10" spans="1:3">
      <c r="A10" s="8"/>
      <c r="B10" s="9" t="str">
        <f>[13]И1!D9</f>
        <v>Период регулирования (i-1)-й</v>
      </c>
      <c r="C10" s="14">
        <f>[13]И1!E9</f>
        <v>2024</v>
      </c>
    </row>
    <row r="11" spans="1:3">
      <c r="A11" s="8"/>
      <c r="B11" s="9" t="str">
        <f>[13]И1!D10</f>
        <v>Период регулирования (i-2)-й</v>
      </c>
      <c r="C11" s="14">
        <f>[13]И1!E10</f>
        <v>2023</v>
      </c>
    </row>
    <row r="12" spans="1:3">
      <c r="A12" s="8"/>
      <c r="B12" s="9" t="str">
        <f>[13]И1!D11</f>
        <v>Базовый год (б)</v>
      </c>
      <c r="C12" s="14">
        <f>[13]И1!E11</f>
        <v>2019</v>
      </c>
    </row>
    <row r="13" spans="1:3" ht="38.25">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5381.9635687167047</v>
      </c>
    </row>
    <row r="18" spans="1:3" ht="42.75">
      <c r="A18" s="22" t="s">
        <v>8</v>
      </c>
      <c r="B18" s="25" t="s">
        <v>9</v>
      </c>
      <c r="C18" s="26">
        <f>[13]С1!F12</f>
        <v>795.80460480398301</v>
      </c>
    </row>
    <row r="19" spans="1:3" ht="42.75">
      <c r="A19" s="22" t="s">
        <v>10</v>
      </c>
      <c r="B19" s="25" t="s">
        <v>11</v>
      </c>
      <c r="C19" s="26">
        <f>[13]С2!F12</f>
        <v>3056.1591261705735</v>
      </c>
    </row>
    <row r="20" spans="1:3" ht="30">
      <c r="A20" s="22" t="s">
        <v>12</v>
      </c>
      <c r="B20" s="25" t="s">
        <v>13</v>
      </c>
      <c r="C20" s="26">
        <f>[13]С3!F12</f>
        <v>915.44743976410246</v>
      </c>
    </row>
    <row r="21" spans="1:3" ht="42.75">
      <c r="A21" s="22" t="s">
        <v>14</v>
      </c>
      <c r="B21" s="25" t="s">
        <v>15</v>
      </c>
      <c r="C21" s="26">
        <f>[13]С4!F12</f>
        <v>509.02370055222809</v>
      </c>
    </row>
    <row r="22" spans="1:3" ht="30">
      <c r="A22" s="22" t="s">
        <v>16</v>
      </c>
      <c r="B22" s="25" t="s">
        <v>17</v>
      </c>
      <c r="C22" s="26">
        <f>[13]С5!F12</f>
        <v>105.52869742581774</v>
      </c>
    </row>
    <row r="23" spans="1:3" ht="43.5" thickBot="1">
      <c r="A23" s="27" t="s">
        <v>18</v>
      </c>
      <c r="B23" s="140" t="s">
        <v>19</v>
      </c>
      <c r="C23" s="28" t="str">
        <f>[13]С6!F12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[13]С1.1!E16</f>
        <v>5100</v>
      </c>
    </row>
    <row r="29" spans="1:3" ht="42.75">
      <c r="A29" s="22" t="s">
        <v>10</v>
      </c>
      <c r="B29" s="33" t="s">
        <v>22</v>
      </c>
      <c r="C29" s="34">
        <f>[13]С1.1!E27</f>
        <v>2870.67</v>
      </c>
    </row>
    <row r="30" spans="1:3" ht="17.25">
      <c r="A30" s="22" t="s">
        <v>12</v>
      </c>
      <c r="B30" s="33" t="s">
        <v>23</v>
      </c>
      <c r="C30" s="35">
        <f>[13]С1.1!E19</f>
        <v>1.4E-2</v>
      </c>
    </row>
    <row r="31" spans="1:3" ht="17.25">
      <c r="A31" s="22" t="s">
        <v>14</v>
      </c>
      <c r="B31" s="33" t="s">
        <v>24</v>
      </c>
      <c r="C31" s="35">
        <f>[13]С1.1!E20</f>
        <v>0.04</v>
      </c>
    </row>
    <row r="32" spans="1:3" ht="30">
      <c r="A32" s="22" t="s">
        <v>16</v>
      </c>
      <c r="B32" s="36" t="s">
        <v>25</v>
      </c>
      <c r="C32" s="37">
        <f>[13]С1!F13</f>
        <v>176.4</v>
      </c>
    </row>
    <row r="33" spans="1:3">
      <c r="A33" s="22" t="s">
        <v>18</v>
      </c>
      <c r="B33" s="36" t="s">
        <v>26</v>
      </c>
      <c r="C33" s="38">
        <f>[13]С1!F16</f>
        <v>7000</v>
      </c>
    </row>
    <row r="34" spans="1:3" ht="14.25">
      <c r="A34" s="22" t="s">
        <v>27</v>
      </c>
      <c r="B34" s="39" t="s">
        <v>28</v>
      </c>
      <c r="C34" s="40">
        <f>[13]С1!F17</f>
        <v>0.72857142857142854</v>
      </c>
    </row>
    <row r="35" spans="1:3" ht="15.75">
      <c r="A35" s="41" t="s">
        <v>29</v>
      </c>
      <c r="B35" s="42" t="s">
        <v>30</v>
      </c>
      <c r="C35" s="40">
        <f>[13]С1!F20</f>
        <v>21.588411179999994</v>
      </c>
    </row>
    <row r="36" spans="1:3" ht="15.75">
      <c r="A36" s="41" t="s">
        <v>31</v>
      </c>
      <c r="B36" s="43" t="s">
        <v>32</v>
      </c>
      <c r="C36" s="40">
        <f>[13]С1!F21</f>
        <v>20.818139999999996</v>
      </c>
    </row>
    <row r="37" spans="1:3" ht="14.25">
      <c r="A37" s="41" t="s">
        <v>33</v>
      </c>
      <c r="B37" s="44" t="s">
        <v>34</v>
      </c>
      <c r="C37" s="40">
        <f>[13]С1!F22</f>
        <v>1.0369999999999999</v>
      </c>
    </row>
    <row r="38" spans="1:3" ht="53.25" thickBot="1">
      <c r="A38" s="27" t="s">
        <v>35</v>
      </c>
      <c r="B38" s="45" t="s">
        <v>36</v>
      </c>
      <c r="C38" s="46">
        <f>[13]С1!F23</f>
        <v>1.0469999999999999</v>
      </c>
    </row>
    <row r="39" spans="1:3" ht="13.5" thickBot="1">
      <c r="A39" s="47"/>
      <c r="B39" s="48"/>
      <c r="C39" s="49"/>
    </row>
    <row r="40" spans="1:3" ht="39" customHeight="1">
      <c r="A40" s="50" t="s">
        <v>37</v>
      </c>
      <c r="B40" s="146" t="s">
        <v>38</v>
      </c>
      <c r="C40" s="146"/>
    </row>
    <row r="41" spans="1:3" ht="25.5">
      <c r="A41" s="22" t="s">
        <v>39</v>
      </c>
      <c r="B41" s="36" t="s">
        <v>40</v>
      </c>
      <c r="C41" s="51" t="str">
        <f>[13]С2.1!E12</f>
        <v>V</v>
      </c>
    </row>
    <row r="42" spans="1:3" ht="25.5">
      <c r="A42" s="22" t="s">
        <v>41</v>
      </c>
      <c r="B42" s="33" t="s">
        <v>42</v>
      </c>
      <c r="C42" s="51" t="str">
        <f>[13]С2.1!E13</f>
        <v>6 и менее баллов</v>
      </c>
    </row>
    <row r="43" spans="1:3" ht="25.5">
      <c r="A43" s="22" t="s">
        <v>43</v>
      </c>
      <c r="B43" s="33" t="s">
        <v>44</v>
      </c>
      <c r="C43" s="51" t="str">
        <f>[13]С2.1!E14</f>
        <v>от 200 до 500</v>
      </c>
    </row>
    <row r="44" spans="1:3" ht="25.5">
      <c r="A44" s="22" t="s">
        <v>45</v>
      </c>
      <c r="B44" s="33" t="s">
        <v>46</v>
      </c>
      <c r="C44" s="52" t="str">
        <f>[13]С2.1!E15</f>
        <v>нет</v>
      </c>
    </row>
    <row r="45" spans="1:3" ht="30">
      <c r="A45" s="22" t="s">
        <v>47</v>
      </c>
      <c r="B45" s="33" t="s">
        <v>48</v>
      </c>
      <c r="C45" s="34">
        <f>[13]С2!F18</f>
        <v>38910.02669467502</v>
      </c>
    </row>
    <row r="46" spans="1:3" ht="30">
      <c r="A46" s="22" t="s">
        <v>49</v>
      </c>
      <c r="B46" s="53" t="s">
        <v>50</v>
      </c>
      <c r="C46" s="34">
        <f>IF([13]С2!F19&gt;0,[13]С2!F19,[13]С2!F20)</f>
        <v>23441.524932855718</v>
      </c>
    </row>
    <row r="47" spans="1:3" ht="25.5">
      <c r="A47" s="22" t="s">
        <v>51</v>
      </c>
      <c r="B47" s="54" t="s">
        <v>52</v>
      </c>
      <c r="C47" s="34">
        <f>[13]С2.1!E19</f>
        <v>-38</v>
      </c>
    </row>
    <row r="48" spans="1:3" ht="25.5">
      <c r="A48" s="22" t="s">
        <v>53</v>
      </c>
      <c r="B48" s="54" t="s">
        <v>54</v>
      </c>
      <c r="C48" s="34" t="str">
        <f>[13]С2.1!E22</f>
        <v>нет</v>
      </c>
    </row>
    <row r="49" spans="1:3" ht="38.25">
      <c r="A49" s="22" t="s">
        <v>55</v>
      </c>
      <c r="B49" s="55" t="s">
        <v>56</v>
      </c>
      <c r="C49" s="34">
        <f>[13]С2.2!E10</f>
        <v>1287</v>
      </c>
    </row>
    <row r="50" spans="1:3" ht="25.5">
      <c r="A50" s="22" t="s">
        <v>57</v>
      </c>
      <c r="B50" s="56" t="s">
        <v>58</v>
      </c>
      <c r="C50" s="34">
        <f>[13]С2.2!E12</f>
        <v>5.97</v>
      </c>
    </row>
    <row r="51" spans="1:3" ht="52.5">
      <c r="A51" s="22" t="s">
        <v>59</v>
      </c>
      <c r="B51" s="57" t="s">
        <v>60</v>
      </c>
      <c r="C51" s="34">
        <f>[13]С2.2!E13</f>
        <v>1</v>
      </c>
    </row>
    <row r="52" spans="1:3" ht="27.75">
      <c r="A52" s="22" t="s">
        <v>61</v>
      </c>
      <c r="B52" s="56" t="s">
        <v>62</v>
      </c>
      <c r="C52" s="34">
        <f>[13]С2.2!E14</f>
        <v>12104</v>
      </c>
    </row>
    <row r="53" spans="1:3" ht="25.5">
      <c r="A53" s="22" t="s">
        <v>63</v>
      </c>
      <c r="B53" s="57" t="s">
        <v>64</v>
      </c>
      <c r="C53" s="35">
        <f>[13]С2.2!E15</f>
        <v>4.8000000000000001E-2</v>
      </c>
    </row>
    <row r="54" spans="1:3">
      <c r="A54" s="22" t="s">
        <v>65</v>
      </c>
      <c r="B54" s="57" t="s">
        <v>66</v>
      </c>
      <c r="C54" s="34">
        <f>[13]С2.2!E16</f>
        <v>1</v>
      </c>
    </row>
    <row r="55" spans="1:3" ht="15.75">
      <c r="A55" s="22" t="s">
        <v>67</v>
      </c>
      <c r="B55" s="58" t="s">
        <v>68</v>
      </c>
      <c r="C55" s="34">
        <f>[13]С2!F21</f>
        <v>1</v>
      </c>
    </row>
    <row r="56" spans="1:3" ht="30">
      <c r="A56" s="59" t="s">
        <v>69</v>
      </c>
      <c r="B56" s="33" t="s">
        <v>70</v>
      </c>
      <c r="C56" s="34">
        <f>[13]С2!F13</f>
        <v>203708.97017230222</v>
      </c>
    </row>
    <row r="57" spans="1:3" ht="30">
      <c r="A57" s="59" t="s">
        <v>71</v>
      </c>
      <c r="B57" s="58" t="s">
        <v>72</v>
      </c>
      <c r="C57" s="34">
        <f>[13]С2!F14</f>
        <v>113455</v>
      </c>
    </row>
    <row r="58" spans="1:3" ht="15.75">
      <c r="A58" s="59" t="s">
        <v>73</v>
      </c>
      <c r="B58" s="60" t="s">
        <v>74</v>
      </c>
      <c r="C58" s="40">
        <f>[13]С2!F15</f>
        <v>1.071</v>
      </c>
    </row>
    <row r="59" spans="1:3" ht="15.75">
      <c r="A59" s="59" t="s">
        <v>75</v>
      </c>
      <c r="B59" s="60" t="s">
        <v>76</v>
      </c>
      <c r="C59" s="40">
        <f>[13]С2!F16</f>
        <v>1</v>
      </c>
    </row>
    <row r="60" spans="1:3" ht="17.25">
      <c r="A60" s="59" t="s">
        <v>77</v>
      </c>
      <c r="B60" s="58" t="s">
        <v>78</v>
      </c>
      <c r="C60" s="34">
        <f>[13]С2!F17</f>
        <v>1.01</v>
      </c>
    </row>
    <row r="61" spans="1:3" s="63" customFormat="1" ht="14.25">
      <c r="A61" s="59" t="s">
        <v>79</v>
      </c>
      <c r="B61" s="61" t="s">
        <v>80</v>
      </c>
      <c r="C61" s="62">
        <f>[13]С2!F33</f>
        <v>10</v>
      </c>
    </row>
    <row r="62" spans="1:3" ht="30">
      <c r="A62" s="59" t="s">
        <v>81</v>
      </c>
      <c r="B62" s="64" t="s">
        <v>82</v>
      </c>
      <c r="C62" s="34">
        <f>[13]С2!F26</f>
        <v>2416.4994928434235</v>
      </c>
    </row>
    <row r="63" spans="1:3" ht="17.25">
      <c r="A63" s="59" t="s">
        <v>83</v>
      </c>
      <c r="B63" s="53" t="s">
        <v>84</v>
      </c>
      <c r="C63" s="34">
        <f>[13]С2!F27</f>
        <v>0.34662649000000001</v>
      </c>
    </row>
    <row r="64" spans="1:3" ht="17.25">
      <c r="A64" s="59" t="s">
        <v>85</v>
      </c>
      <c r="B64" s="58" t="s">
        <v>86</v>
      </c>
      <c r="C64" s="62">
        <f>[13]С2!F28</f>
        <v>4200</v>
      </c>
    </row>
    <row r="65" spans="1:3" ht="42.75">
      <c r="A65" s="59" t="s">
        <v>87</v>
      </c>
      <c r="B65" s="33" t="s">
        <v>88</v>
      </c>
      <c r="C65" s="34">
        <f>[13]С2!F22</f>
        <v>42890.921752741691</v>
      </c>
    </row>
    <row r="66" spans="1:3" ht="30">
      <c r="A66" s="59" t="s">
        <v>89</v>
      </c>
      <c r="B66" s="60" t="s">
        <v>90</v>
      </c>
      <c r="C66" s="34">
        <f>[13]С2!F23</f>
        <v>1990</v>
      </c>
    </row>
    <row r="67" spans="1:3" ht="30">
      <c r="A67" s="59" t="s">
        <v>91</v>
      </c>
      <c r="B67" s="53" t="s">
        <v>92</v>
      </c>
      <c r="C67" s="34">
        <f>[13]С2.1!E27</f>
        <v>14307.876789999998</v>
      </c>
    </row>
    <row r="68" spans="1:3" ht="38.25">
      <c r="A68" s="59" t="s">
        <v>93</v>
      </c>
      <c r="B68" s="65" t="s">
        <v>94</v>
      </c>
      <c r="C68" s="52">
        <f>[13]С2.3!E21</f>
        <v>0</v>
      </c>
    </row>
    <row r="69" spans="1:3" ht="25.5">
      <c r="A69" s="59" t="s">
        <v>95</v>
      </c>
      <c r="B69" s="66" t="s">
        <v>96</v>
      </c>
      <c r="C69" s="67">
        <f>[13]С2.3!E11</f>
        <v>9.89</v>
      </c>
    </row>
    <row r="70" spans="1:3" ht="25.5">
      <c r="A70" s="59" t="s">
        <v>97</v>
      </c>
      <c r="B70" s="66" t="s">
        <v>98</v>
      </c>
      <c r="C70" s="62">
        <f>[13]С2.3!E13</f>
        <v>300</v>
      </c>
    </row>
    <row r="71" spans="1:3" ht="25.5">
      <c r="A71" s="59" t="s">
        <v>99</v>
      </c>
      <c r="B71" s="65" t="s">
        <v>100</v>
      </c>
      <c r="C71" s="68">
        <f>IF([13]С2.3!E22&gt;0,[13]С2.3!E22,[13]С2.3!E14)</f>
        <v>61211</v>
      </c>
    </row>
    <row r="72" spans="1:3" ht="38.25">
      <c r="A72" s="59" t="s">
        <v>101</v>
      </c>
      <c r="B72" s="65" t="s">
        <v>102</v>
      </c>
      <c r="C72" s="68">
        <f>IF([13]С2.3!E23&gt;0,[13]С2.3!E23,[13]С2.3!E15)</f>
        <v>45675</v>
      </c>
    </row>
    <row r="73" spans="1:3" ht="30">
      <c r="A73" s="59" t="s">
        <v>103</v>
      </c>
      <c r="B73" s="53" t="s">
        <v>104</v>
      </c>
      <c r="C73" s="34">
        <f>[13]С2.1!E28</f>
        <v>9541.9567200000001</v>
      </c>
    </row>
    <row r="74" spans="1:3" ht="38.25">
      <c r="A74" s="59" t="s">
        <v>105</v>
      </c>
      <c r="B74" s="65" t="s">
        <v>106</v>
      </c>
      <c r="C74" s="52">
        <f>[13]С2.3!E25</f>
        <v>0</v>
      </c>
    </row>
    <row r="75" spans="1:3" ht="25.5">
      <c r="A75" s="59" t="s">
        <v>107</v>
      </c>
      <c r="B75" s="66" t="s">
        <v>108</v>
      </c>
      <c r="C75" s="67">
        <f>[13]С2.3!E12</f>
        <v>0.56000000000000005</v>
      </c>
    </row>
    <row r="76" spans="1:3" ht="25.5">
      <c r="A76" s="59" t="s">
        <v>109</v>
      </c>
      <c r="B76" s="66" t="s">
        <v>98</v>
      </c>
      <c r="C76" s="62">
        <f>[13]С2.3!E13</f>
        <v>300</v>
      </c>
    </row>
    <row r="77" spans="1:3" ht="25.5">
      <c r="A77" s="59" t="s">
        <v>110</v>
      </c>
      <c r="B77" s="69" t="s">
        <v>111</v>
      </c>
      <c r="C77" s="68">
        <f>IF([13]С2.3!E26&gt;0,[13]С2.3!E26,[13]С2.3!E16)</f>
        <v>65637</v>
      </c>
    </row>
    <row r="78" spans="1:3" ht="38.25">
      <c r="A78" s="59" t="s">
        <v>112</v>
      </c>
      <c r="B78" s="69" t="s">
        <v>113</v>
      </c>
      <c r="C78" s="68">
        <f>IF([13]С2.3!E27&gt;0,[13]С2.3!E27,[13]С2.3!E17)</f>
        <v>31684</v>
      </c>
    </row>
    <row r="79" spans="1:3" ht="17.25">
      <c r="A79" s="59" t="s">
        <v>114</v>
      </c>
      <c r="B79" s="33" t="s">
        <v>115</v>
      </c>
      <c r="C79" s="35">
        <f>[13]С2!F29</f>
        <v>0.17804631770487722</v>
      </c>
    </row>
    <row r="80" spans="1:3" ht="30">
      <c r="A80" s="59" t="s">
        <v>116</v>
      </c>
      <c r="B80" s="53" t="s">
        <v>117</v>
      </c>
      <c r="C80" s="70">
        <f>[13]С2!F30</f>
        <v>0.1652189781021898</v>
      </c>
    </row>
    <row r="81" spans="1:3" ht="17.25">
      <c r="A81" s="59" t="s">
        <v>118</v>
      </c>
      <c r="B81" s="71" t="s">
        <v>119</v>
      </c>
      <c r="C81" s="35">
        <f>[13]С2!F31</f>
        <v>0.13880000000000001</v>
      </c>
    </row>
    <row r="82" spans="1:3" s="63" customFormat="1" ht="18" thickBot="1">
      <c r="A82" s="72" t="s">
        <v>120</v>
      </c>
      <c r="B82" s="73" t="s">
        <v>121</v>
      </c>
      <c r="C82" s="74">
        <f>[13]С2!F32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[13]С3!F14</f>
        <v>14863.184658749575</v>
      </c>
    </row>
    <row r="86" spans="1:3" s="63" customFormat="1" ht="42.75">
      <c r="A86" s="77" t="s">
        <v>126</v>
      </c>
      <c r="B86" s="53" t="s">
        <v>127</v>
      </c>
      <c r="C86" s="78">
        <f>[13]С3!F15</f>
        <v>0.25</v>
      </c>
    </row>
    <row r="87" spans="1:3" s="63" customFormat="1" ht="14.25">
      <c r="A87" s="77" t="s">
        <v>128</v>
      </c>
      <c r="B87" s="79" t="s">
        <v>129</v>
      </c>
      <c r="C87" s="62">
        <f>[13]С3!F18</f>
        <v>15</v>
      </c>
    </row>
    <row r="88" spans="1:3" s="63" customFormat="1" ht="17.25">
      <c r="A88" s="77" t="s">
        <v>130</v>
      </c>
      <c r="B88" s="33" t="s">
        <v>131</v>
      </c>
      <c r="C88" s="34">
        <f>[13]С3!F19</f>
        <v>4187.478806422544</v>
      </c>
    </row>
    <row r="89" spans="1:3" s="63" customFormat="1" ht="55.5">
      <c r="A89" s="77" t="s">
        <v>132</v>
      </c>
      <c r="B89" s="53" t="s">
        <v>133</v>
      </c>
      <c r="C89" s="80">
        <f>[13]С3!F20</f>
        <v>2.1999999999999999E-2</v>
      </c>
    </row>
    <row r="90" spans="1:3" s="63" customFormat="1" ht="14.25">
      <c r="A90" s="77" t="s">
        <v>134</v>
      </c>
      <c r="B90" s="58" t="s">
        <v>80</v>
      </c>
      <c r="C90" s="62">
        <f>[13]С3!F21</f>
        <v>10</v>
      </c>
    </row>
    <row r="91" spans="1:3" s="63" customFormat="1" ht="17.25">
      <c r="A91" s="77" t="s">
        <v>135</v>
      </c>
      <c r="B91" s="33" t="s">
        <v>136</v>
      </c>
      <c r="C91" s="34">
        <f>[13]С3!F22</f>
        <v>7.2494984785302705</v>
      </c>
    </row>
    <row r="92" spans="1:3" s="63" customFormat="1" ht="55.5">
      <c r="A92" s="77" t="s">
        <v>137</v>
      </c>
      <c r="B92" s="53" t="s">
        <v>138</v>
      </c>
      <c r="C92" s="80">
        <f>[13]С3!F23</f>
        <v>3.0000000000000001E-3</v>
      </c>
    </row>
    <row r="93" spans="1:3" s="63" customFormat="1" ht="27.75" thickBot="1">
      <c r="A93" s="81" t="s">
        <v>139</v>
      </c>
      <c r="B93" s="82" t="s">
        <v>140</v>
      </c>
      <c r="C93" s="83">
        <f>[13]С3!F24</f>
        <v>2416.4994928434235</v>
      </c>
    </row>
    <row r="94" spans="1:3" ht="13.5" thickBot="1">
      <c r="A94" s="47"/>
      <c r="B94" s="75"/>
      <c r="C94" s="15"/>
    </row>
    <row r="95" spans="1:3" ht="38.25" customHeight="1">
      <c r="A95" s="84" t="s">
        <v>141</v>
      </c>
      <c r="B95" s="146" t="s">
        <v>142</v>
      </c>
      <c r="C95" s="146"/>
    </row>
    <row r="96" spans="1:3" ht="30">
      <c r="A96" s="59" t="s">
        <v>143</v>
      </c>
      <c r="B96" s="33" t="s">
        <v>144</v>
      </c>
      <c r="C96" s="34">
        <f>[13]С4!F16</f>
        <v>1652.5</v>
      </c>
    </row>
    <row r="97" spans="1:3" ht="30">
      <c r="A97" s="59" t="s">
        <v>145</v>
      </c>
      <c r="B97" s="58" t="s">
        <v>146</v>
      </c>
      <c r="C97" s="34">
        <f>[13]С4!F17</f>
        <v>73547</v>
      </c>
    </row>
    <row r="98" spans="1:3" ht="17.25">
      <c r="A98" s="59" t="s">
        <v>147</v>
      </c>
      <c r="B98" s="58" t="s">
        <v>148</v>
      </c>
      <c r="C98" s="40">
        <f>[13]С4!F18</f>
        <v>0.02</v>
      </c>
    </row>
    <row r="99" spans="1:3" ht="30">
      <c r="A99" s="59" t="s">
        <v>149</v>
      </c>
      <c r="B99" s="58" t="s">
        <v>150</v>
      </c>
      <c r="C99" s="34">
        <f>[13]С4!F19</f>
        <v>12104</v>
      </c>
    </row>
    <row r="100" spans="1:3" ht="31.5">
      <c r="A100" s="59" t="s">
        <v>151</v>
      </c>
      <c r="B100" s="58" t="s">
        <v>152</v>
      </c>
      <c r="C100" s="40">
        <f>[13]С4!F20</f>
        <v>1.4999999999999999E-2</v>
      </c>
    </row>
    <row r="101" spans="1:3" ht="30">
      <c r="A101" s="59" t="s">
        <v>153</v>
      </c>
      <c r="B101" s="33" t="s">
        <v>154</v>
      </c>
      <c r="C101" s="34">
        <f>[13]С4!F21</f>
        <v>1933.1949342509995</v>
      </c>
    </row>
    <row r="102" spans="1:3" ht="24" customHeight="1">
      <c r="A102" s="59" t="s">
        <v>155</v>
      </c>
      <c r="B102" s="53" t="s">
        <v>156</v>
      </c>
      <c r="C102" s="85">
        <f>IF([13]С4.2!F8="да",[13]С4.2!D21,[13]С4.2!D15)</f>
        <v>0</v>
      </c>
    </row>
    <row r="103" spans="1:3" ht="68.25">
      <c r="A103" s="59" t="s">
        <v>157</v>
      </c>
      <c r="B103" s="53" t="s">
        <v>158</v>
      </c>
      <c r="C103" s="34">
        <f>[13]С4!F22</f>
        <v>3.6112641666666665</v>
      </c>
    </row>
    <row r="104" spans="1:3" ht="30">
      <c r="A104" s="59" t="s">
        <v>159</v>
      </c>
      <c r="B104" s="58" t="s">
        <v>160</v>
      </c>
      <c r="C104" s="34">
        <f>[13]С4!F23</f>
        <v>180</v>
      </c>
    </row>
    <row r="105" spans="1:3" ht="14.25">
      <c r="A105" s="59" t="s">
        <v>161</v>
      </c>
      <c r="B105" s="53" t="s">
        <v>162</v>
      </c>
      <c r="C105" s="34">
        <f>[13]С4!F24</f>
        <v>8497.1999999999989</v>
      </c>
    </row>
    <row r="106" spans="1:3" ht="14.25">
      <c r="A106" s="59" t="s">
        <v>163</v>
      </c>
      <c r="B106" s="58" t="s">
        <v>164</v>
      </c>
      <c r="C106" s="40">
        <f>[13]С4!F25</f>
        <v>0.35</v>
      </c>
    </row>
    <row r="107" spans="1:3" ht="17.25">
      <c r="A107" s="59" t="s">
        <v>165</v>
      </c>
      <c r="B107" s="33" t="s">
        <v>166</v>
      </c>
      <c r="C107" s="34">
        <f>[13]С4!F26</f>
        <v>73.320210000000003</v>
      </c>
    </row>
    <row r="108" spans="1:3" ht="25.5">
      <c r="A108" s="59" t="s">
        <v>167</v>
      </c>
      <c r="B108" s="53" t="s">
        <v>94</v>
      </c>
      <c r="C108" s="85">
        <f>[13]С4.3!E16</f>
        <v>0</v>
      </c>
    </row>
    <row r="109" spans="1:3" ht="25.5">
      <c r="A109" s="59" t="s">
        <v>168</v>
      </c>
      <c r="B109" s="53" t="s">
        <v>169</v>
      </c>
      <c r="C109" s="34">
        <f>[13]С4.3!E17</f>
        <v>19.63</v>
      </c>
    </row>
    <row r="110" spans="1:3" ht="38.25">
      <c r="A110" s="59" t="s">
        <v>170</v>
      </c>
      <c r="B110" s="53" t="s">
        <v>106</v>
      </c>
      <c r="C110" s="85">
        <f>[13]С4.3!E18</f>
        <v>0</v>
      </c>
    </row>
    <row r="111" spans="1:3">
      <c r="A111" s="59" t="s">
        <v>171</v>
      </c>
      <c r="B111" s="53" t="s">
        <v>172</v>
      </c>
      <c r="C111" s="34">
        <f>[13]С4.3!E19</f>
        <v>21.95</v>
      </c>
    </row>
    <row r="112" spans="1:3">
      <c r="A112" s="59" t="s">
        <v>173</v>
      </c>
      <c r="B112" s="58" t="s">
        <v>174</v>
      </c>
      <c r="C112" s="34">
        <f>[13]С4.3!E11</f>
        <v>1871</v>
      </c>
    </row>
    <row r="113" spans="1:3">
      <c r="A113" s="59" t="s">
        <v>175</v>
      </c>
      <c r="B113" s="58" t="s">
        <v>176</v>
      </c>
      <c r="C113" s="52">
        <f>[13]С4.3!E12</f>
        <v>1636</v>
      </c>
    </row>
    <row r="114" spans="1:3">
      <c r="A114" s="59" t="s">
        <v>177</v>
      </c>
      <c r="B114" s="58" t="s">
        <v>178</v>
      </c>
      <c r="C114" s="52">
        <f>[13]С4.3!E13</f>
        <v>204</v>
      </c>
    </row>
    <row r="115" spans="1:3" ht="30">
      <c r="A115" s="59" t="s">
        <v>179</v>
      </c>
      <c r="B115" s="33" t="s">
        <v>180</v>
      </c>
      <c r="C115" s="34">
        <f>[13]С4!F27</f>
        <v>1291.2863994686898</v>
      </c>
    </row>
    <row r="116" spans="1:3" ht="25.5">
      <c r="A116" s="59" t="s">
        <v>181</v>
      </c>
      <c r="B116" s="53" t="s">
        <v>182</v>
      </c>
      <c r="C116" s="34">
        <f>[13]С4!F28</f>
        <v>991.77142816335618</v>
      </c>
    </row>
    <row r="117" spans="1:3" ht="42.75">
      <c r="A117" s="59" t="s">
        <v>183</v>
      </c>
      <c r="B117" s="53" t="s">
        <v>184</v>
      </c>
      <c r="C117" s="34">
        <f>[13]С4!F29</f>
        <v>299.51497130533357</v>
      </c>
    </row>
    <row r="118" spans="1:3" ht="30">
      <c r="A118" s="59" t="s">
        <v>185</v>
      </c>
      <c r="B118" s="39" t="s">
        <v>186</v>
      </c>
      <c r="C118" s="34">
        <f>[13]С4!F30</f>
        <v>2380.0395022154144</v>
      </c>
    </row>
    <row r="119" spans="1:3" ht="42.75">
      <c r="A119" s="59" t="s">
        <v>187</v>
      </c>
      <c r="B119" s="86" t="s">
        <v>188</v>
      </c>
      <c r="C119" s="34">
        <f>[13]С4!F33</f>
        <v>1176.7426982817792</v>
      </c>
    </row>
    <row r="120" spans="1:3" ht="30">
      <c r="A120" s="59" t="s">
        <v>189</v>
      </c>
      <c r="B120" s="87" t="s">
        <v>190</v>
      </c>
      <c r="C120" s="34">
        <f>[13]С4!F35</f>
        <v>17.040680999999999</v>
      </c>
    </row>
    <row r="121" spans="1:3" ht="14.25">
      <c r="A121" s="59" t="s">
        <v>191</v>
      </c>
      <c r="B121" s="56" t="s">
        <v>192</v>
      </c>
      <c r="C121" s="34">
        <f>[13]С4!F36</f>
        <v>14319.9</v>
      </c>
    </row>
    <row r="122" spans="1:3" ht="28.5" thickBot="1">
      <c r="A122" s="72" t="s">
        <v>193</v>
      </c>
      <c r="B122" s="88" t="s">
        <v>194</v>
      </c>
      <c r="C122" s="83">
        <f>[13]С4!F37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[13]С5!F17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[13]С2!F37</f>
        <v>20.818139999999996</v>
      </c>
    </row>
    <row r="136" spans="1:4" ht="14.25">
      <c r="A136" s="59" t="s">
        <v>216</v>
      </c>
      <c r="B136" s="101" t="s">
        <v>217</v>
      </c>
      <c r="C136" s="34">
        <f>[13]С2!F38</f>
        <v>7</v>
      </c>
    </row>
    <row r="137" spans="1:4" ht="17.25">
      <c r="A137" s="59" t="s">
        <v>218</v>
      </c>
      <c r="B137" s="101" t="s">
        <v>219</v>
      </c>
      <c r="C137" s="34">
        <f>[13]С2!F40</f>
        <v>0.97</v>
      </c>
    </row>
    <row r="138" spans="1:4" ht="15" thickBot="1">
      <c r="A138" s="72" t="s">
        <v>220</v>
      </c>
      <c r="B138" s="102" t="s">
        <v>221</v>
      </c>
      <c r="C138" s="46">
        <f>[13]С2!F42</f>
        <v>0.35</v>
      </c>
    </row>
    <row r="139" spans="1:4" s="89" customFormat="1" ht="13.5" thickBot="1">
      <c r="A139" s="47"/>
      <c r="B139" s="75"/>
      <c r="C139" s="15"/>
    </row>
    <row r="140" spans="1:4" ht="30">
      <c r="A140" s="84" t="s">
        <v>222</v>
      </c>
      <c r="B140" s="103" t="s">
        <v>223</v>
      </c>
      <c r="C140" s="104">
        <f>[13]С2!F35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[13]С2.5!$E$11</f>
        <v>-2.9000000000000026E-2</v>
      </c>
      <c r="D143" s="89"/>
    </row>
    <row r="144" spans="1:4">
      <c r="A144" s="105"/>
      <c r="B144" s="110">
        <f>B143+1</f>
        <v>2021</v>
      </c>
      <c r="C144" s="111">
        <f>[13]С2.5!$F$11</f>
        <v>0.245</v>
      </c>
      <c r="D144" s="89"/>
    </row>
    <row r="145" spans="1:4">
      <c r="A145" s="105"/>
      <c r="B145" s="110">
        <f t="shared" ref="B145:B208" si="0">B144+1</f>
        <v>2022</v>
      </c>
      <c r="C145" s="111">
        <f>[13]С2.5!$G$11</f>
        <v>0.114</v>
      </c>
      <c r="D145" s="89"/>
    </row>
    <row r="146" spans="1:4" ht="13.5" thickBot="1">
      <c r="A146" s="105"/>
      <c r="B146" s="112">
        <f t="shared" si="0"/>
        <v>2023</v>
      </c>
      <c r="C146" s="113">
        <f>[13]С2.5!$H$11</f>
        <v>0.04</v>
      </c>
      <c r="D146" s="89"/>
    </row>
    <row r="147" spans="1:4">
      <c r="A147" s="105"/>
      <c r="B147" s="114">
        <f t="shared" si="0"/>
        <v>2024</v>
      </c>
      <c r="C147" s="115">
        <f>[13]С2.5!$I$11</f>
        <v>0.11700000000000001</v>
      </c>
      <c r="D147" s="89"/>
    </row>
    <row r="148" spans="1:4">
      <c r="A148" s="105"/>
      <c r="B148" s="110">
        <f t="shared" si="0"/>
        <v>2025</v>
      </c>
      <c r="C148" s="111">
        <f>[13]С2.5!$J$11</f>
        <v>6.0999999999999999E-2</v>
      </c>
      <c r="D148" s="89"/>
    </row>
    <row r="149" spans="1:4" hidden="1">
      <c r="A149" s="105"/>
      <c r="B149" s="110">
        <f t="shared" si="0"/>
        <v>2026</v>
      </c>
      <c r="C149" s="111">
        <f>[13]С2.5!$K$11</f>
        <v>3.5813361771260002E-2</v>
      </c>
      <c r="D149" s="89"/>
    </row>
    <row r="150" spans="1:4" hidden="1">
      <c r="A150" s="105"/>
      <c r="B150" s="110">
        <f t="shared" si="0"/>
        <v>2027</v>
      </c>
      <c r="C150" s="111">
        <f>[13]С2.5!$L$11</f>
        <v>3.2682303599220003E-2</v>
      </c>
      <c r="D150" s="89"/>
    </row>
    <row r="151" spans="1:4" hidden="1">
      <c r="A151" s="105"/>
      <c r="B151" s="110">
        <f t="shared" si="0"/>
        <v>2028</v>
      </c>
      <c r="C151" s="111">
        <f>[13]С2.5!$M$11</f>
        <v>0</v>
      </c>
      <c r="D151" s="89"/>
    </row>
    <row r="152" spans="1:4" hidden="1">
      <c r="A152" s="105"/>
      <c r="B152" s="110">
        <f t="shared" si="0"/>
        <v>2029</v>
      </c>
      <c r="C152" s="111">
        <f>[13]С2.5!$N$11</f>
        <v>0</v>
      </c>
      <c r="D152" s="89"/>
    </row>
    <row r="153" spans="1:4" hidden="1">
      <c r="A153" s="105"/>
      <c r="B153" s="110">
        <f t="shared" si="0"/>
        <v>2030</v>
      </c>
      <c r="C153" s="111">
        <f>[13]С2.5!$O$11</f>
        <v>0</v>
      </c>
      <c r="D153" s="89"/>
    </row>
    <row r="154" spans="1:4" hidden="1">
      <c r="A154" s="105"/>
      <c r="B154" s="110">
        <f t="shared" si="0"/>
        <v>2031</v>
      </c>
      <c r="C154" s="111">
        <f>[13]С2.5!$P$11</f>
        <v>0</v>
      </c>
      <c r="D154" s="89"/>
    </row>
    <row r="155" spans="1:4" hidden="1">
      <c r="A155" s="89"/>
      <c r="B155" s="110">
        <f t="shared" si="0"/>
        <v>2032</v>
      </c>
      <c r="C155" s="111">
        <f>[13]С2.5!$Q$11</f>
        <v>0</v>
      </c>
      <c r="D155" s="89"/>
    </row>
    <row r="156" spans="1:4" hidden="1">
      <c r="A156" s="89"/>
      <c r="B156" s="110">
        <f t="shared" si="0"/>
        <v>2033</v>
      </c>
      <c r="C156" s="111">
        <f>[13]С2.5!$R$11</f>
        <v>0</v>
      </c>
      <c r="D156" s="89"/>
    </row>
    <row r="157" spans="1:4" hidden="1">
      <c r="B157" s="110">
        <f t="shared" si="0"/>
        <v>2034</v>
      </c>
      <c r="C157" s="111">
        <f>[13]С2.5!$S$11</f>
        <v>0</v>
      </c>
    </row>
    <row r="158" spans="1:4" hidden="1">
      <c r="B158" s="110">
        <f t="shared" si="0"/>
        <v>2035</v>
      </c>
      <c r="C158" s="111">
        <f>[13]С2.5!$T$11</f>
        <v>0</v>
      </c>
    </row>
    <row r="159" spans="1:4" hidden="1">
      <c r="B159" s="110">
        <f t="shared" si="0"/>
        <v>2036</v>
      </c>
      <c r="C159" s="111">
        <f>[13]С2.5!$U$11</f>
        <v>0</v>
      </c>
    </row>
    <row r="160" spans="1:4" hidden="1">
      <c r="B160" s="110">
        <f t="shared" si="0"/>
        <v>2037</v>
      </c>
      <c r="C160" s="111">
        <f>[13]С2.5!$V$11</f>
        <v>0</v>
      </c>
    </row>
    <row r="161" spans="2:3" hidden="1">
      <c r="B161" s="110">
        <f t="shared" si="0"/>
        <v>2038</v>
      </c>
      <c r="C161" s="111">
        <f>[13]С2.5!$W$11</f>
        <v>0</v>
      </c>
    </row>
    <row r="162" spans="2:3" hidden="1">
      <c r="B162" s="110">
        <f t="shared" si="0"/>
        <v>2039</v>
      </c>
      <c r="C162" s="111">
        <f>[13]С2.5!$X$11</f>
        <v>0</v>
      </c>
    </row>
    <row r="163" spans="2:3" hidden="1">
      <c r="B163" s="110">
        <f t="shared" si="0"/>
        <v>2040</v>
      </c>
      <c r="C163" s="111">
        <f>[13]С2.5!$Y$11</f>
        <v>0</v>
      </c>
    </row>
    <row r="164" spans="2:3" hidden="1">
      <c r="B164" s="110">
        <f t="shared" si="0"/>
        <v>2041</v>
      </c>
      <c r="C164" s="111">
        <f>[13]С2.5!$Z$11</f>
        <v>0</v>
      </c>
    </row>
    <row r="165" spans="2:3" hidden="1">
      <c r="B165" s="110">
        <f t="shared" si="0"/>
        <v>2042</v>
      </c>
      <c r="C165" s="111">
        <f>[13]С2.5!$AA$11</f>
        <v>0</v>
      </c>
    </row>
    <row r="166" spans="2:3" hidden="1">
      <c r="B166" s="110">
        <f t="shared" si="0"/>
        <v>2043</v>
      </c>
      <c r="C166" s="111">
        <f>[13]С2.5!$AB$11</f>
        <v>0</v>
      </c>
    </row>
    <row r="167" spans="2:3" hidden="1">
      <c r="B167" s="110">
        <f t="shared" si="0"/>
        <v>2044</v>
      </c>
      <c r="C167" s="111">
        <f>[13]С2.5!$AC$11</f>
        <v>0</v>
      </c>
    </row>
    <row r="168" spans="2:3" hidden="1">
      <c r="B168" s="110">
        <f t="shared" si="0"/>
        <v>2045</v>
      </c>
      <c r="C168" s="111">
        <f>[13]С2.5!$AD$11</f>
        <v>0</v>
      </c>
    </row>
    <row r="169" spans="2:3" hidden="1">
      <c r="B169" s="110">
        <f t="shared" si="0"/>
        <v>2046</v>
      </c>
      <c r="C169" s="111">
        <f>[13]С2.5!$AE$11</f>
        <v>0</v>
      </c>
    </row>
    <row r="170" spans="2:3" hidden="1">
      <c r="B170" s="110">
        <f t="shared" si="0"/>
        <v>2047</v>
      </c>
      <c r="C170" s="111">
        <f>[13]С2.5!$AF$11</f>
        <v>0</v>
      </c>
    </row>
    <row r="171" spans="2:3" hidden="1">
      <c r="B171" s="110">
        <f t="shared" si="0"/>
        <v>2048</v>
      </c>
      <c r="C171" s="111">
        <f>[13]С2.5!$AG$11</f>
        <v>0</v>
      </c>
    </row>
    <row r="172" spans="2:3" hidden="1">
      <c r="B172" s="110">
        <f t="shared" si="0"/>
        <v>2049</v>
      </c>
      <c r="C172" s="111">
        <f>[13]С2.5!$AH$11</f>
        <v>0</v>
      </c>
    </row>
    <row r="173" spans="2:3" hidden="1">
      <c r="B173" s="110">
        <f t="shared" si="0"/>
        <v>2050</v>
      </c>
      <c r="C173" s="111">
        <f>[13]С2.5!$AI$11</f>
        <v>0</v>
      </c>
    </row>
    <row r="174" spans="2:3" hidden="1">
      <c r="B174" s="110">
        <f t="shared" si="0"/>
        <v>2051</v>
      </c>
      <c r="C174" s="111">
        <f>[13]С2.5!$AJ$11</f>
        <v>0</v>
      </c>
    </row>
    <row r="175" spans="2:3" hidden="1">
      <c r="B175" s="110">
        <f t="shared" si="0"/>
        <v>2052</v>
      </c>
      <c r="C175" s="111">
        <f>[13]С2.5!$AK$11</f>
        <v>0</v>
      </c>
    </row>
    <row r="176" spans="2:3" hidden="1">
      <c r="B176" s="110">
        <f t="shared" si="0"/>
        <v>2053</v>
      </c>
      <c r="C176" s="111">
        <f>[13]С2.5!$AL$11</f>
        <v>0</v>
      </c>
    </row>
    <row r="177" spans="2:3" hidden="1">
      <c r="B177" s="110">
        <f t="shared" si="0"/>
        <v>2054</v>
      </c>
      <c r="C177" s="111">
        <f>[13]С2.5!$AM$11</f>
        <v>0</v>
      </c>
    </row>
    <row r="178" spans="2:3" hidden="1">
      <c r="B178" s="110">
        <f t="shared" si="0"/>
        <v>2055</v>
      </c>
      <c r="C178" s="111">
        <f>[13]С2.5!$AN$11</f>
        <v>0</v>
      </c>
    </row>
    <row r="179" spans="2:3" hidden="1">
      <c r="B179" s="110">
        <f t="shared" si="0"/>
        <v>2056</v>
      </c>
      <c r="C179" s="111">
        <f>[13]С2.5!$AO$11</f>
        <v>0</v>
      </c>
    </row>
    <row r="180" spans="2:3" hidden="1">
      <c r="B180" s="110">
        <f t="shared" si="0"/>
        <v>2057</v>
      </c>
      <c r="C180" s="111">
        <f>[13]С2.5!$AP$11</f>
        <v>0</v>
      </c>
    </row>
    <row r="181" spans="2:3" hidden="1">
      <c r="B181" s="110">
        <f t="shared" si="0"/>
        <v>2058</v>
      </c>
      <c r="C181" s="111">
        <f>[13]С2.5!$AQ$11</f>
        <v>0</v>
      </c>
    </row>
    <row r="182" spans="2:3" hidden="1">
      <c r="B182" s="110">
        <f t="shared" si="0"/>
        <v>2059</v>
      </c>
      <c r="C182" s="111">
        <f>[13]С2.5!$AR$11</f>
        <v>0</v>
      </c>
    </row>
    <row r="183" spans="2:3" hidden="1">
      <c r="B183" s="110">
        <f t="shared" si="0"/>
        <v>2060</v>
      </c>
      <c r="C183" s="111">
        <f>[13]С2.5!$AS$11</f>
        <v>0</v>
      </c>
    </row>
    <row r="184" spans="2:3" hidden="1">
      <c r="B184" s="110">
        <f t="shared" si="0"/>
        <v>2061</v>
      </c>
      <c r="C184" s="111">
        <f>[13]С2.5!$AT$11</f>
        <v>0</v>
      </c>
    </row>
    <row r="185" spans="2:3" hidden="1">
      <c r="B185" s="110">
        <f t="shared" si="0"/>
        <v>2062</v>
      </c>
      <c r="C185" s="111">
        <f>[13]С2.5!$AU$11</f>
        <v>0</v>
      </c>
    </row>
    <row r="186" spans="2:3" hidden="1">
      <c r="B186" s="110">
        <f t="shared" si="0"/>
        <v>2063</v>
      </c>
      <c r="C186" s="111">
        <f>[13]С2.5!$AV$11</f>
        <v>0</v>
      </c>
    </row>
    <row r="187" spans="2:3" hidden="1">
      <c r="B187" s="110">
        <f t="shared" si="0"/>
        <v>2064</v>
      </c>
      <c r="C187" s="111">
        <f>[13]С2.5!$AW$11</f>
        <v>0</v>
      </c>
    </row>
    <row r="188" spans="2:3" hidden="1">
      <c r="B188" s="110">
        <f t="shared" si="0"/>
        <v>2065</v>
      </c>
      <c r="C188" s="111">
        <f>[13]С2.5!$AX$11</f>
        <v>0</v>
      </c>
    </row>
    <row r="189" spans="2:3" hidden="1">
      <c r="B189" s="110">
        <f t="shared" si="0"/>
        <v>2066</v>
      </c>
      <c r="C189" s="111">
        <f>[13]С2.5!$AY$11</f>
        <v>0</v>
      </c>
    </row>
    <row r="190" spans="2:3" hidden="1">
      <c r="B190" s="110">
        <f t="shared" si="0"/>
        <v>2067</v>
      </c>
      <c r="C190" s="111">
        <f>[13]С2.5!$AZ$11</f>
        <v>0</v>
      </c>
    </row>
    <row r="191" spans="2:3" hidden="1">
      <c r="B191" s="110">
        <f t="shared" si="0"/>
        <v>2068</v>
      </c>
      <c r="C191" s="111">
        <f>[13]С2.5!$BA$11</f>
        <v>0</v>
      </c>
    </row>
    <row r="192" spans="2:3" hidden="1">
      <c r="B192" s="110">
        <f t="shared" si="0"/>
        <v>2069</v>
      </c>
      <c r="C192" s="111">
        <f>[13]С2.5!$BB$11</f>
        <v>0</v>
      </c>
    </row>
    <row r="193" spans="2:3" hidden="1">
      <c r="B193" s="110">
        <f t="shared" si="0"/>
        <v>2070</v>
      </c>
      <c r="C193" s="111">
        <f>[13]С2.5!$BC$11</f>
        <v>0</v>
      </c>
    </row>
    <row r="194" spans="2:3" hidden="1">
      <c r="B194" s="110">
        <f t="shared" si="0"/>
        <v>2071</v>
      </c>
      <c r="C194" s="111">
        <f>[13]С2.5!$BD$11</f>
        <v>0</v>
      </c>
    </row>
    <row r="195" spans="2:3" hidden="1">
      <c r="B195" s="110">
        <f t="shared" si="0"/>
        <v>2072</v>
      </c>
      <c r="C195" s="111">
        <f>[13]С2.5!$BE$11</f>
        <v>0</v>
      </c>
    </row>
    <row r="196" spans="2:3" hidden="1">
      <c r="B196" s="110">
        <f t="shared" si="0"/>
        <v>2073</v>
      </c>
      <c r="C196" s="111">
        <f>[13]С2.5!$BF$11</f>
        <v>0</v>
      </c>
    </row>
    <row r="197" spans="2:3" hidden="1">
      <c r="B197" s="110">
        <f t="shared" si="0"/>
        <v>2074</v>
      </c>
      <c r="C197" s="111">
        <f>[13]С2.5!$BG$11</f>
        <v>0</v>
      </c>
    </row>
    <row r="198" spans="2:3" hidden="1">
      <c r="B198" s="110">
        <f t="shared" si="0"/>
        <v>2075</v>
      </c>
      <c r="C198" s="111">
        <f>[13]С2.5!$BH$11</f>
        <v>0</v>
      </c>
    </row>
    <row r="199" spans="2:3" hidden="1">
      <c r="B199" s="110">
        <f t="shared" si="0"/>
        <v>2076</v>
      </c>
      <c r="C199" s="111">
        <f>[13]С2.5!$BI$11</f>
        <v>0</v>
      </c>
    </row>
    <row r="200" spans="2:3" hidden="1">
      <c r="B200" s="110">
        <f t="shared" si="0"/>
        <v>2077</v>
      </c>
      <c r="C200" s="111">
        <f>[13]С2.5!$BJ$11</f>
        <v>0</v>
      </c>
    </row>
    <row r="201" spans="2:3" hidden="1">
      <c r="B201" s="110">
        <f t="shared" si="0"/>
        <v>2078</v>
      </c>
      <c r="C201" s="111">
        <f>[13]С2.5!$BK$11</f>
        <v>0</v>
      </c>
    </row>
    <row r="202" spans="2:3" hidden="1">
      <c r="B202" s="110">
        <f t="shared" si="0"/>
        <v>2079</v>
      </c>
      <c r="C202" s="111">
        <f>[13]С2.5!$BL$11</f>
        <v>0</v>
      </c>
    </row>
    <row r="203" spans="2:3" hidden="1">
      <c r="B203" s="110">
        <f t="shared" si="0"/>
        <v>2080</v>
      </c>
      <c r="C203" s="111">
        <f>[13]С2.5!$BM$11</f>
        <v>0</v>
      </c>
    </row>
    <row r="204" spans="2:3" hidden="1">
      <c r="B204" s="110">
        <f t="shared" si="0"/>
        <v>2081</v>
      </c>
      <c r="C204" s="111">
        <f>[13]С2.5!$BN$11</f>
        <v>0</v>
      </c>
    </row>
    <row r="205" spans="2:3" hidden="1">
      <c r="B205" s="110">
        <f t="shared" si="0"/>
        <v>2082</v>
      </c>
      <c r="C205" s="111">
        <f>[13]С2.5!$BO$11</f>
        <v>0</v>
      </c>
    </row>
    <row r="206" spans="2:3" hidden="1">
      <c r="B206" s="110">
        <f t="shared" si="0"/>
        <v>2083</v>
      </c>
      <c r="C206" s="111">
        <f>[13]С2.5!$BP$11</f>
        <v>0</v>
      </c>
    </row>
    <row r="207" spans="2:3" hidden="1">
      <c r="B207" s="110">
        <f t="shared" si="0"/>
        <v>2084</v>
      </c>
      <c r="C207" s="111">
        <f>[13]С2.5!$BQ$11</f>
        <v>0</v>
      </c>
    </row>
    <row r="208" spans="2:3" hidden="1">
      <c r="B208" s="110">
        <f t="shared" si="0"/>
        <v>2085</v>
      </c>
      <c r="C208" s="111">
        <f>[13]С2.5!$BR$11</f>
        <v>0</v>
      </c>
    </row>
    <row r="209" spans="2:3" hidden="1">
      <c r="B209" s="110">
        <f t="shared" ref="B209:B223" si="1">B208+1</f>
        <v>2086</v>
      </c>
      <c r="C209" s="111">
        <f>[13]С2.5!$BS$11</f>
        <v>0</v>
      </c>
    </row>
    <row r="210" spans="2:3" hidden="1">
      <c r="B210" s="110">
        <f t="shared" si="1"/>
        <v>2087</v>
      </c>
      <c r="C210" s="111">
        <f>[13]С2.5!$BT$11</f>
        <v>0</v>
      </c>
    </row>
    <row r="211" spans="2:3" hidden="1">
      <c r="B211" s="110">
        <f t="shared" si="1"/>
        <v>2088</v>
      </c>
      <c r="C211" s="111">
        <f>[13]С2.5!$BU$11</f>
        <v>0</v>
      </c>
    </row>
    <row r="212" spans="2:3" hidden="1">
      <c r="B212" s="110">
        <f t="shared" si="1"/>
        <v>2089</v>
      </c>
      <c r="C212" s="111">
        <f>[13]С2.5!$BV$11</f>
        <v>0</v>
      </c>
    </row>
    <row r="213" spans="2:3" hidden="1">
      <c r="B213" s="110">
        <f t="shared" si="1"/>
        <v>2090</v>
      </c>
      <c r="C213" s="111">
        <f>[13]С2.5!$BW$11</f>
        <v>0</v>
      </c>
    </row>
    <row r="214" spans="2:3" hidden="1">
      <c r="B214" s="110">
        <f t="shared" si="1"/>
        <v>2091</v>
      </c>
      <c r="C214" s="111">
        <f>[13]С2.5!$BX$11</f>
        <v>0</v>
      </c>
    </row>
    <row r="215" spans="2:3" hidden="1">
      <c r="B215" s="110">
        <f t="shared" si="1"/>
        <v>2092</v>
      </c>
      <c r="C215" s="111">
        <f>[13]С2.5!$BY$11</f>
        <v>0</v>
      </c>
    </row>
    <row r="216" spans="2:3" hidden="1">
      <c r="B216" s="110">
        <f t="shared" si="1"/>
        <v>2093</v>
      </c>
      <c r="C216" s="111">
        <f>[13]С2.5!$BZ$11</f>
        <v>0</v>
      </c>
    </row>
    <row r="217" spans="2:3" hidden="1">
      <c r="B217" s="110">
        <f t="shared" si="1"/>
        <v>2094</v>
      </c>
      <c r="C217" s="111">
        <f>[13]С2.5!$CA$11</f>
        <v>0</v>
      </c>
    </row>
    <row r="218" spans="2:3" hidden="1">
      <c r="B218" s="110">
        <f t="shared" si="1"/>
        <v>2095</v>
      </c>
      <c r="C218" s="111">
        <f>[13]С2.5!$CB$11</f>
        <v>0</v>
      </c>
    </row>
    <row r="219" spans="2:3" hidden="1">
      <c r="B219" s="110">
        <f t="shared" si="1"/>
        <v>2096</v>
      </c>
      <c r="C219" s="111">
        <f>[13]С2.5!$CC$11</f>
        <v>0</v>
      </c>
    </row>
    <row r="220" spans="2:3" hidden="1">
      <c r="B220" s="110">
        <f t="shared" si="1"/>
        <v>2097</v>
      </c>
      <c r="C220" s="111">
        <f>[13]С2.5!$CD$11</f>
        <v>0</v>
      </c>
    </row>
    <row r="221" spans="2:3" hidden="1">
      <c r="B221" s="110">
        <f t="shared" si="1"/>
        <v>2098</v>
      </c>
      <c r="C221" s="111">
        <f>[13]С2.5!$CE$11</f>
        <v>0</v>
      </c>
    </row>
    <row r="222" spans="2:3" hidden="1">
      <c r="B222" s="110">
        <f t="shared" si="1"/>
        <v>2099</v>
      </c>
      <c r="C222" s="111">
        <f>[13]С2.5!$CF$11</f>
        <v>0</v>
      </c>
    </row>
    <row r="223" spans="2:3" ht="13.5" hidden="1" thickBot="1">
      <c r="B223" s="112">
        <f t="shared" si="1"/>
        <v>2100</v>
      </c>
      <c r="C223" s="113">
        <f>[13]С2.5!$CG$11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2">
              <controlPr defaultSize="0" print="0" autoFill="0" autoPict="0" macro="[1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5123" r:id="rId4" name="Button 3">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[15]И1!D13</f>
        <v>Субъект Российской Федерации</v>
      </c>
      <c r="C4" s="10" t="str">
        <f>[15]И1!E13</f>
        <v>Новосибирская область</v>
      </c>
    </row>
    <row r="5" spans="1:3" ht="46.9" customHeight="1">
      <c r="A5" s="8"/>
      <c r="B5" s="9" t="str">
        <f>[15]И1!D14</f>
        <v>Тип муниципального образования (выберите из списка)</v>
      </c>
      <c r="C5" s="10" t="str">
        <f>[15]И1!E14</f>
        <v>село Пойменное, Тогучинский муниципальный район</v>
      </c>
    </row>
    <row r="6" spans="1:3">
      <c r="A6" s="8"/>
      <c r="B6" s="9" t="str">
        <f>IF([15]И1!E15="","",[15]И1!D15)</f>
        <v/>
      </c>
      <c r="C6" s="10" t="str">
        <f>IF([15]И1!E15="","",[15]И1!E15)</f>
        <v/>
      </c>
    </row>
    <row r="7" spans="1:3">
      <c r="A7" s="8"/>
      <c r="B7" s="9" t="str">
        <f>[15]И1!D16</f>
        <v>Код ОКТМО</v>
      </c>
      <c r="C7" s="11" t="str">
        <f>[15]И1!E16</f>
        <v>50652407101</v>
      </c>
    </row>
    <row r="8" spans="1:3">
      <c r="A8" s="8"/>
      <c r="B8" s="12" t="str">
        <f>[15]И1!D17</f>
        <v>Система теплоснабжения</v>
      </c>
      <c r="C8" s="13">
        <f>[15]И1!E17</f>
        <v>0</v>
      </c>
    </row>
    <row r="9" spans="1:3">
      <c r="A9" s="8"/>
      <c r="B9" s="9" t="str">
        <f>[15]И1!D8</f>
        <v>Период регулирования (i)-й</v>
      </c>
      <c r="C9" s="14">
        <f>[15]И1!E8</f>
        <v>2025</v>
      </c>
    </row>
    <row r="10" spans="1:3">
      <c r="A10" s="8"/>
      <c r="B10" s="9" t="str">
        <f>[15]И1!D9</f>
        <v>Период регулирования (i-1)-й</v>
      </c>
      <c r="C10" s="14">
        <f>[15]И1!E9</f>
        <v>2024</v>
      </c>
    </row>
    <row r="11" spans="1:3">
      <c r="A11" s="8"/>
      <c r="B11" s="9" t="str">
        <f>[15]И1!D10</f>
        <v>Период регулирования (i-2)-й</v>
      </c>
      <c r="C11" s="14">
        <f>[15]И1!E10</f>
        <v>2023</v>
      </c>
    </row>
    <row r="12" spans="1:3">
      <c r="A12" s="8"/>
      <c r="B12" s="9" t="str">
        <f>[15]И1!D11</f>
        <v>Базовый год (б)</v>
      </c>
      <c r="C12" s="14">
        <f>[15]И1!E11</f>
        <v>2019</v>
      </c>
    </row>
    <row r="13" spans="1:3" ht="38.25">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5381.4394893892559</v>
      </c>
    </row>
    <row r="18" spans="1:3" ht="42.75">
      <c r="A18" s="22" t="s">
        <v>8</v>
      </c>
      <c r="B18" s="25" t="s">
        <v>9</v>
      </c>
      <c r="C18" s="26">
        <f>[15]С1!F12</f>
        <v>795.80460480398301</v>
      </c>
    </row>
    <row r="19" spans="1:3" ht="42.75">
      <c r="A19" s="22" t="s">
        <v>10</v>
      </c>
      <c r="B19" s="25" t="s">
        <v>11</v>
      </c>
      <c r="C19" s="26">
        <f>[15]С2!F12</f>
        <v>3056.1591261705735</v>
      </c>
    </row>
    <row r="20" spans="1:3" ht="30">
      <c r="A20" s="22" t="s">
        <v>12</v>
      </c>
      <c r="B20" s="25" t="s">
        <v>13</v>
      </c>
      <c r="C20" s="26">
        <f>[15]С3!F12</f>
        <v>915.44743976410246</v>
      </c>
    </row>
    <row r="21" spans="1:3" ht="42.75">
      <c r="A21" s="22" t="s">
        <v>14</v>
      </c>
      <c r="B21" s="25" t="s">
        <v>15</v>
      </c>
      <c r="C21" s="26">
        <f>[15]С4!F12</f>
        <v>508.50989729002333</v>
      </c>
    </row>
    <row r="22" spans="1:3" ht="30">
      <c r="A22" s="22" t="s">
        <v>16</v>
      </c>
      <c r="B22" s="25" t="s">
        <v>17</v>
      </c>
      <c r="C22" s="26">
        <f>[15]С5!F12</f>
        <v>105.51842136057365</v>
      </c>
    </row>
    <row r="23" spans="1:3" ht="43.5" thickBot="1">
      <c r="A23" s="27" t="s">
        <v>18</v>
      </c>
      <c r="B23" s="140" t="s">
        <v>19</v>
      </c>
      <c r="C23" s="28" t="str">
        <f>[15]С6!F12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[15]С1.1!E16</f>
        <v>5100</v>
      </c>
    </row>
    <row r="29" spans="1:3" ht="42.75">
      <c r="A29" s="22" t="s">
        <v>10</v>
      </c>
      <c r="B29" s="33" t="s">
        <v>22</v>
      </c>
      <c r="C29" s="34">
        <f>[15]С1.1!E27</f>
        <v>2870.67</v>
      </c>
    </row>
    <row r="30" spans="1:3" ht="17.25">
      <c r="A30" s="22" t="s">
        <v>12</v>
      </c>
      <c r="B30" s="33" t="s">
        <v>23</v>
      </c>
      <c r="C30" s="35">
        <f>[15]С1.1!E19</f>
        <v>1.4E-2</v>
      </c>
    </row>
    <row r="31" spans="1:3" ht="17.25">
      <c r="A31" s="22" t="s">
        <v>14</v>
      </c>
      <c r="B31" s="33" t="s">
        <v>24</v>
      </c>
      <c r="C31" s="35">
        <f>[15]С1.1!E20</f>
        <v>0.04</v>
      </c>
    </row>
    <row r="32" spans="1:3" ht="30">
      <c r="A32" s="22" t="s">
        <v>16</v>
      </c>
      <c r="B32" s="36" t="s">
        <v>25</v>
      </c>
      <c r="C32" s="37">
        <f>[15]С1!F13</f>
        <v>176.4</v>
      </c>
    </row>
    <row r="33" spans="1:3">
      <c r="A33" s="22" t="s">
        <v>18</v>
      </c>
      <c r="B33" s="36" t="s">
        <v>26</v>
      </c>
      <c r="C33" s="38">
        <f>[15]С1!F16</f>
        <v>7000</v>
      </c>
    </row>
    <row r="34" spans="1:3" ht="14.25">
      <c r="A34" s="22" t="s">
        <v>27</v>
      </c>
      <c r="B34" s="39" t="s">
        <v>28</v>
      </c>
      <c r="C34" s="40">
        <f>[15]С1!F17</f>
        <v>0.72857142857142854</v>
      </c>
    </row>
    <row r="35" spans="1:3" ht="15.75">
      <c r="A35" s="41" t="s">
        <v>29</v>
      </c>
      <c r="B35" s="42" t="s">
        <v>30</v>
      </c>
      <c r="C35" s="40">
        <f>[15]С1!F20</f>
        <v>21.588411179999994</v>
      </c>
    </row>
    <row r="36" spans="1:3" ht="15.75">
      <c r="A36" s="41" t="s">
        <v>31</v>
      </c>
      <c r="B36" s="43" t="s">
        <v>32</v>
      </c>
      <c r="C36" s="40">
        <f>[15]С1!F21</f>
        <v>20.818139999999996</v>
      </c>
    </row>
    <row r="37" spans="1:3" ht="14.25">
      <c r="A37" s="41" t="s">
        <v>33</v>
      </c>
      <c r="B37" s="44" t="s">
        <v>34</v>
      </c>
      <c r="C37" s="40">
        <f>[15]С1!F22</f>
        <v>1.0369999999999999</v>
      </c>
    </row>
    <row r="38" spans="1:3" ht="53.25" thickBot="1">
      <c r="A38" s="27" t="s">
        <v>35</v>
      </c>
      <c r="B38" s="45" t="s">
        <v>36</v>
      </c>
      <c r="C38" s="46">
        <f>[15]С1!F23</f>
        <v>1.0469999999999999</v>
      </c>
    </row>
    <row r="39" spans="1:3" ht="13.5" thickBot="1">
      <c r="A39" s="47"/>
      <c r="B39" s="48"/>
      <c r="C39" s="49"/>
    </row>
    <row r="40" spans="1:3" ht="42.75" customHeight="1">
      <c r="A40" s="50" t="s">
        <v>37</v>
      </c>
      <c r="B40" s="146" t="s">
        <v>38</v>
      </c>
      <c r="C40" s="146"/>
    </row>
    <row r="41" spans="1:3" ht="25.5">
      <c r="A41" s="22" t="s">
        <v>39</v>
      </c>
      <c r="B41" s="36" t="s">
        <v>40</v>
      </c>
      <c r="C41" s="51" t="str">
        <f>[15]С2.1!E12</f>
        <v>V</v>
      </c>
    </row>
    <row r="42" spans="1:3" ht="25.5">
      <c r="A42" s="22" t="s">
        <v>41</v>
      </c>
      <c r="B42" s="33" t="s">
        <v>42</v>
      </c>
      <c r="C42" s="51" t="str">
        <f>[15]С2.1!E13</f>
        <v>6 и менее баллов</v>
      </c>
    </row>
    <row r="43" spans="1:3" ht="25.5">
      <c r="A43" s="22" t="s">
        <v>43</v>
      </c>
      <c r="B43" s="33" t="s">
        <v>44</v>
      </c>
      <c r="C43" s="51" t="str">
        <f>[15]С2.1!E14</f>
        <v>от 200 до 500</v>
      </c>
    </row>
    <row r="44" spans="1:3" ht="25.5">
      <c r="A44" s="22" t="s">
        <v>45</v>
      </c>
      <c r="B44" s="33" t="s">
        <v>46</v>
      </c>
      <c r="C44" s="52" t="str">
        <f>[15]С2.1!E15</f>
        <v>нет</v>
      </c>
    </row>
    <row r="45" spans="1:3" ht="30">
      <c r="A45" s="22" t="s">
        <v>47</v>
      </c>
      <c r="B45" s="33" t="s">
        <v>48</v>
      </c>
      <c r="C45" s="34">
        <f>[15]С2!F18</f>
        <v>38910.02669467502</v>
      </c>
    </row>
    <row r="46" spans="1:3" ht="30">
      <c r="A46" s="22" t="s">
        <v>49</v>
      </c>
      <c r="B46" s="53" t="s">
        <v>50</v>
      </c>
      <c r="C46" s="34">
        <f>IF([15]С2!F19&gt;0,[15]С2!F19,[15]С2!F20)</f>
        <v>23441.524932855718</v>
      </c>
    </row>
    <row r="47" spans="1:3" ht="25.5">
      <c r="A47" s="22" t="s">
        <v>51</v>
      </c>
      <c r="B47" s="54" t="s">
        <v>52</v>
      </c>
      <c r="C47" s="34">
        <f>[15]С2.1!E19</f>
        <v>-38</v>
      </c>
    </row>
    <row r="48" spans="1:3" ht="25.5">
      <c r="A48" s="22" t="s">
        <v>53</v>
      </c>
      <c r="B48" s="54" t="s">
        <v>54</v>
      </c>
      <c r="C48" s="34" t="str">
        <f>[15]С2.1!E22</f>
        <v>нет</v>
      </c>
    </row>
    <row r="49" spans="1:3" ht="38.25">
      <c r="A49" s="22" t="s">
        <v>55</v>
      </c>
      <c r="B49" s="55" t="s">
        <v>56</v>
      </c>
      <c r="C49" s="34">
        <f>[15]С2.2!E10</f>
        <v>1287</v>
      </c>
    </row>
    <row r="50" spans="1:3" ht="25.5">
      <c r="A50" s="22" t="s">
        <v>57</v>
      </c>
      <c r="B50" s="56" t="s">
        <v>58</v>
      </c>
      <c r="C50" s="34">
        <f>[15]С2.2!E12</f>
        <v>5.97</v>
      </c>
    </row>
    <row r="51" spans="1:3" ht="52.5">
      <c r="A51" s="22" t="s">
        <v>59</v>
      </c>
      <c r="B51" s="57" t="s">
        <v>60</v>
      </c>
      <c r="C51" s="34">
        <f>[15]С2.2!E13</f>
        <v>1</v>
      </c>
    </row>
    <row r="52" spans="1:3" ht="27.75">
      <c r="A52" s="22" t="s">
        <v>61</v>
      </c>
      <c r="B52" s="56" t="s">
        <v>62</v>
      </c>
      <c r="C52" s="34">
        <f>[15]С2.2!E14</f>
        <v>12104</v>
      </c>
    </row>
    <row r="53" spans="1:3" ht="25.5">
      <c r="A53" s="22" t="s">
        <v>63</v>
      </c>
      <c r="B53" s="57" t="s">
        <v>64</v>
      </c>
      <c r="C53" s="35">
        <f>[15]С2.2!E15</f>
        <v>4.8000000000000001E-2</v>
      </c>
    </row>
    <row r="54" spans="1:3">
      <c r="A54" s="22" t="s">
        <v>65</v>
      </c>
      <c r="B54" s="57" t="s">
        <v>66</v>
      </c>
      <c r="C54" s="34">
        <f>[15]С2.2!E16</f>
        <v>1</v>
      </c>
    </row>
    <row r="55" spans="1:3" ht="15.75">
      <c r="A55" s="22" t="s">
        <v>67</v>
      </c>
      <c r="B55" s="58" t="s">
        <v>68</v>
      </c>
      <c r="C55" s="34">
        <f>[15]С2!F21</f>
        <v>1</v>
      </c>
    </row>
    <row r="56" spans="1:3" ht="30">
      <c r="A56" s="59" t="s">
        <v>69</v>
      </c>
      <c r="B56" s="33" t="s">
        <v>70</v>
      </c>
      <c r="C56" s="34">
        <f>[15]С2!F13</f>
        <v>203708.97017230222</v>
      </c>
    </row>
    <row r="57" spans="1:3" ht="30">
      <c r="A57" s="59" t="s">
        <v>71</v>
      </c>
      <c r="B57" s="58" t="s">
        <v>72</v>
      </c>
      <c r="C57" s="34">
        <f>[15]С2!F14</f>
        <v>113455</v>
      </c>
    </row>
    <row r="58" spans="1:3" ht="15.75">
      <c r="A58" s="59" t="s">
        <v>73</v>
      </c>
      <c r="B58" s="60" t="s">
        <v>74</v>
      </c>
      <c r="C58" s="40">
        <f>[15]С2!F15</f>
        <v>1.071</v>
      </c>
    </row>
    <row r="59" spans="1:3" ht="15.75">
      <c r="A59" s="59" t="s">
        <v>75</v>
      </c>
      <c r="B59" s="60" t="s">
        <v>76</v>
      </c>
      <c r="C59" s="40">
        <f>[15]С2!F16</f>
        <v>1</v>
      </c>
    </row>
    <row r="60" spans="1:3" ht="17.25">
      <c r="A60" s="59" t="s">
        <v>77</v>
      </c>
      <c r="B60" s="58" t="s">
        <v>78</v>
      </c>
      <c r="C60" s="34">
        <f>[15]С2!F17</f>
        <v>1.01</v>
      </c>
    </row>
    <row r="61" spans="1:3" s="63" customFormat="1" ht="14.25">
      <c r="A61" s="59" t="s">
        <v>79</v>
      </c>
      <c r="B61" s="61" t="s">
        <v>80</v>
      </c>
      <c r="C61" s="62">
        <f>[15]С2!F33</f>
        <v>10</v>
      </c>
    </row>
    <row r="62" spans="1:3" ht="30">
      <c r="A62" s="59" t="s">
        <v>81</v>
      </c>
      <c r="B62" s="64" t="s">
        <v>82</v>
      </c>
      <c r="C62" s="34">
        <f>[15]С2!F26</f>
        <v>2416.4994928434235</v>
      </c>
    </row>
    <row r="63" spans="1:3" ht="17.25">
      <c r="A63" s="59" t="s">
        <v>83</v>
      </c>
      <c r="B63" s="53" t="s">
        <v>84</v>
      </c>
      <c r="C63" s="34">
        <f>[15]С2!F27</f>
        <v>0.34662649000000001</v>
      </c>
    </row>
    <row r="64" spans="1:3" ht="17.25">
      <c r="A64" s="59" t="s">
        <v>85</v>
      </c>
      <c r="B64" s="58" t="s">
        <v>86</v>
      </c>
      <c r="C64" s="62">
        <f>[15]С2!F28</f>
        <v>4200</v>
      </c>
    </row>
    <row r="65" spans="1:3" ht="42.75">
      <c r="A65" s="59" t="s">
        <v>87</v>
      </c>
      <c r="B65" s="33" t="s">
        <v>88</v>
      </c>
      <c r="C65" s="34">
        <f>[15]С2!F22</f>
        <v>42890.921752741691</v>
      </c>
    </row>
    <row r="66" spans="1:3" ht="30">
      <c r="A66" s="59" t="s">
        <v>89</v>
      </c>
      <c r="B66" s="60" t="s">
        <v>90</v>
      </c>
      <c r="C66" s="34">
        <f>[15]С2!F23</f>
        <v>1990</v>
      </c>
    </row>
    <row r="67" spans="1:3" ht="30">
      <c r="A67" s="59" t="s">
        <v>91</v>
      </c>
      <c r="B67" s="53" t="s">
        <v>92</v>
      </c>
      <c r="C67" s="34">
        <f>[15]С2.1!E27</f>
        <v>14307.876789999998</v>
      </c>
    </row>
    <row r="68" spans="1:3" ht="38.25">
      <c r="A68" s="59" t="s">
        <v>93</v>
      </c>
      <c r="B68" s="65" t="s">
        <v>94</v>
      </c>
      <c r="C68" s="52">
        <f>[15]С2.3!E21</f>
        <v>0</v>
      </c>
    </row>
    <row r="69" spans="1:3" ht="25.5">
      <c r="A69" s="59" t="s">
        <v>95</v>
      </c>
      <c r="B69" s="66" t="s">
        <v>96</v>
      </c>
      <c r="C69" s="67">
        <f>[15]С2.3!E11</f>
        <v>9.89</v>
      </c>
    </row>
    <row r="70" spans="1:3" ht="25.5">
      <c r="A70" s="59" t="s">
        <v>97</v>
      </c>
      <c r="B70" s="66" t="s">
        <v>98</v>
      </c>
      <c r="C70" s="62">
        <f>[15]С2.3!E13</f>
        <v>300</v>
      </c>
    </row>
    <row r="71" spans="1:3" ht="25.5">
      <c r="A71" s="59" t="s">
        <v>99</v>
      </c>
      <c r="B71" s="65" t="s">
        <v>100</v>
      </c>
      <c r="C71" s="68">
        <f>IF([15]С2.3!E22&gt;0,[15]С2.3!E22,[15]С2.3!E14)</f>
        <v>61211</v>
      </c>
    </row>
    <row r="72" spans="1:3" ht="38.25">
      <c r="A72" s="59" t="s">
        <v>101</v>
      </c>
      <c r="B72" s="65" t="s">
        <v>102</v>
      </c>
      <c r="C72" s="68">
        <f>IF([15]С2.3!E23&gt;0,[15]С2.3!E23,[15]С2.3!E15)</f>
        <v>45675</v>
      </c>
    </row>
    <row r="73" spans="1:3" ht="30">
      <c r="A73" s="59" t="s">
        <v>103</v>
      </c>
      <c r="B73" s="53" t="s">
        <v>104</v>
      </c>
      <c r="C73" s="34">
        <f>[15]С2.1!E28</f>
        <v>9541.9567200000001</v>
      </c>
    </row>
    <row r="74" spans="1:3" ht="38.25">
      <c r="A74" s="59" t="s">
        <v>105</v>
      </c>
      <c r="B74" s="65" t="s">
        <v>106</v>
      </c>
      <c r="C74" s="52">
        <f>[15]С2.3!E25</f>
        <v>0</v>
      </c>
    </row>
    <row r="75" spans="1:3" ht="25.5">
      <c r="A75" s="59" t="s">
        <v>107</v>
      </c>
      <c r="B75" s="66" t="s">
        <v>108</v>
      </c>
      <c r="C75" s="67">
        <f>[15]С2.3!E12</f>
        <v>0.56000000000000005</v>
      </c>
    </row>
    <row r="76" spans="1:3" ht="25.5">
      <c r="A76" s="59" t="s">
        <v>109</v>
      </c>
      <c r="B76" s="66" t="s">
        <v>98</v>
      </c>
      <c r="C76" s="62">
        <f>[15]С2.3!E13</f>
        <v>300</v>
      </c>
    </row>
    <row r="77" spans="1:3" ht="25.5">
      <c r="A77" s="59" t="s">
        <v>110</v>
      </c>
      <c r="B77" s="69" t="s">
        <v>111</v>
      </c>
      <c r="C77" s="68">
        <f>IF([15]С2.3!E26&gt;0,[15]С2.3!E26,[15]С2.3!E16)</f>
        <v>65637</v>
      </c>
    </row>
    <row r="78" spans="1:3" ht="38.25">
      <c r="A78" s="59" t="s">
        <v>112</v>
      </c>
      <c r="B78" s="69" t="s">
        <v>113</v>
      </c>
      <c r="C78" s="68">
        <f>IF([15]С2.3!E27&gt;0,[15]С2.3!E27,[15]С2.3!E17)</f>
        <v>31684</v>
      </c>
    </row>
    <row r="79" spans="1:3" ht="17.25">
      <c r="A79" s="59" t="s">
        <v>114</v>
      </c>
      <c r="B79" s="33" t="s">
        <v>115</v>
      </c>
      <c r="C79" s="35">
        <f>[15]С2!F29</f>
        <v>0.17804631770487722</v>
      </c>
    </row>
    <row r="80" spans="1:3" ht="30">
      <c r="A80" s="59" t="s">
        <v>116</v>
      </c>
      <c r="B80" s="53" t="s">
        <v>117</v>
      </c>
      <c r="C80" s="70">
        <f>[15]С2!F30</f>
        <v>0.1652189781021898</v>
      </c>
    </row>
    <row r="81" spans="1:3" ht="17.25">
      <c r="A81" s="59" t="s">
        <v>118</v>
      </c>
      <c r="B81" s="71" t="s">
        <v>119</v>
      </c>
      <c r="C81" s="35">
        <f>[15]С2!F31</f>
        <v>0.13880000000000001</v>
      </c>
    </row>
    <row r="82" spans="1:3" s="63" customFormat="1" ht="18" thickBot="1">
      <c r="A82" s="72" t="s">
        <v>120</v>
      </c>
      <c r="B82" s="73" t="s">
        <v>121</v>
      </c>
      <c r="C82" s="74">
        <f>[15]С2!F32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[15]С3!F14</f>
        <v>14863.184658749575</v>
      </c>
    </row>
    <row r="86" spans="1:3" s="63" customFormat="1" ht="42.75">
      <c r="A86" s="77" t="s">
        <v>126</v>
      </c>
      <c r="B86" s="53" t="s">
        <v>127</v>
      </c>
      <c r="C86" s="78">
        <f>[15]С3!F15</f>
        <v>0.25</v>
      </c>
    </row>
    <row r="87" spans="1:3" s="63" customFormat="1" ht="14.25">
      <c r="A87" s="77" t="s">
        <v>128</v>
      </c>
      <c r="B87" s="79" t="s">
        <v>129</v>
      </c>
      <c r="C87" s="62">
        <f>[15]С3!F18</f>
        <v>15</v>
      </c>
    </row>
    <row r="88" spans="1:3" s="63" customFormat="1" ht="17.25">
      <c r="A88" s="77" t="s">
        <v>130</v>
      </c>
      <c r="B88" s="33" t="s">
        <v>131</v>
      </c>
      <c r="C88" s="34">
        <f>[15]С3!F19</f>
        <v>4187.478806422544</v>
      </c>
    </row>
    <row r="89" spans="1:3" s="63" customFormat="1" ht="55.5">
      <c r="A89" s="77" t="s">
        <v>132</v>
      </c>
      <c r="B89" s="53" t="s">
        <v>133</v>
      </c>
      <c r="C89" s="80">
        <f>[15]С3!F20</f>
        <v>2.1999999999999999E-2</v>
      </c>
    </row>
    <row r="90" spans="1:3" s="63" customFormat="1" ht="14.25">
      <c r="A90" s="77" t="s">
        <v>134</v>
      </c>
      <c r="B90" s="58" t="s">
        <v>80</v>
      </c>
      <c r="C90" s="62">
        <f>[15]С3!F21</f>
        <v>10</v>
      </c>
    </row>
    <row r="91" spans="1:3" s="63" customFormat="1" ht="17.25">
      <c r="A91" s="77" t="s">
        <v>135</v>
      </c>
      <c r="B91" s="33" t="s">
        <v>136</v>
      </c>
      <c r="C91" s="34">
        <f>[15]С3!F22</f>
        <v>7.2494984785302705</v>
      </c>
    </row>
    <row r="92" spans="1:3" s="63" customFormat="1" ht="55.5">
      <c r="A92" s="77" t="s">
        <v>137</v>
      </c>
      <c r="B92" s="53" t="s">
        <v>138</v>
      </c>
      <c r="C92" s="80">
        <f>[15]С3!F23</f>
        <v>3.0000000000000001E-3</v>
      </c>
    </row>
    <row r="93" spans="1:3" s="63" customFormat="1" ht="27.75" thickBot="1">
      <c r="A93" s="81" t="s">
        <v>139</v>
      </c>
      <c r="B93" s="82" t="s">
        <v>140</v>
      </c>
      <c r="C93" s="83">
        <f>[15]С3!F24</f>
        <v>2416.4994928434235</v>
      </c>
    </row>
    <row r="94" spans="1:3" ht="13.5" thickBot="1">
      <c r="A94" s="47"/>
      <c r="B94" s="75"/>
      <c r="C94" s="15"/>
    </row>
    <row r="95" spans="1:3" ht="37.5" customHeight="1">
      <c r="A95" s="84" t="s">
        <v>141</v>
      </c>
      <c r="B95" s="146" t="s">
        <v>142</v>
      </c>
      <c r="C95" s="146"/>
    </row>
    <row r="96" spans="1:3" ht="30">
      <c r="A96" s="59" t="s">
        <v>143</v>
      </c>
      <c r="B96" s="33" t="s">
        <v>144</v>
      </c>
      <c r="C96" s="34">
        <f>[15]С4!F16</f>
        <v>1652.5</v>
      </c>
    </row>
    <row r="97" spans="1:3" ht="30">
      <c r="A97" s="59" t="s">
        <v>145</v>
      </c>
      <c r="B97" s="58" t="s">
        <v>146</v>
      </c>
      <c r="C97" s="34">
        <f>[15]С4!F17</f>
        <v>73547</v>
      </c>
    </row>
    <row r="98" spans="1:3" ht="17.25">
      <c r="A98" s="59" t="s">
        <v>147</v>
      </c>
      <c r="B98" s="58" t="s">
        <v>148</v>
      </c>
      <c r="C98" s="40">
        <f>[15]С4!F18</f>
        <v>0.02</v>
      </c>
    </row>
    <row r="99" spans="1:3" ht="30">
      <c r="A99" s="59" t="s">
        <v>149</v>
      </c>
      <c r="B99" s="58" t="s">
        <v>150</v>
      </c>
      <c r="C99" s="34">
        <f>[15]С4!F19</f>
        <v>12104</v>
      </c>
    </row>
    <row r="100" spans="1:3" ht="31.5">
      <c r="A100" s="59" t="s">
        <v>151</v>
      </c>
      <c r="B100" s="58" t="s">
        <v>152</v>
      </c>
      <c r="C100" s="40">
        <f>[15]С4!F20</f>
        <v>1.4999999999999999E-2</v>
      </c>
    </row>
    <row r="101" spans="1:3" ht="30">
      <c r="A101" s="59" t="s">
        <v>153</v>
      </c>
      <c r="B101" s="33" t="s">
        <v>154</v>
      </c>
      <c r="C101" s="34">
        <f>[15]С4!F21</f>
        <v>1933.1949342509995</v>
      </c>
    </row>
    <row r="102" spans="1:3" ht="24" customHeight="1">
      <c r="A102" s="59" t="s">
        <v>155</v>
      </c>
      <c r="B102" s="53" t="s">
        <v>156</v>
      </c>
      <c r="C102" s="85">
        <f>IF([15]С4.2!F8="да",[15]С4.2!D21,[15]С4.2!D15)</f>
        <v>0</v>
      </c>
    </row>
    <row r="103" spans="1:3" ht="68.25">
      <c r="A103" s="59" t="s">
        <v>157</v>
      </c>
      <c r="B103" s="53" t="s">
        <v>158</v>
      </c>
      <c r="C103" s="34">
        <f>[15]С4!F22</f>
        <v>3.6112641666666665</v>
      </c>
    </row>
    <row r="104" spans="1:3" ht="30">
      <c r="A104" s="59" t="s">
        <v>159</v>
      </c>
      <c r="B104" s="58" t="s">
        <v>160</v>
      </c>
      <c r="C104" s="34">
        <f>[15]С4!F23</f>
        <v>180</v>
      </c>
    </row>
    <row r="105" spans="1:3" ht="14.25">
      <c r="A105" s="59" t="s">
        <v>161</v>
      </c>
      <c r="B105" s="53" t="s">
        <v>162</v>
      </c>
      <c r="C105" s="34">
        <f>[15]С4!F24</f>
        <v>8497.1999999999989</v>
      </c>
    </row>
    <row r="106" spans="1:3" ht="14.25">
      <c r="A106" s="59" t="s">
        <v>163</v>
      </c>
      <c r="B106" s="58" t="s">
        <v>164</v>
      </c>
      <c r="C106" s="40">
        <f>[15]С4!F25</f>
        <v>0.35</v>
      </c>
    </row>
    <row r="107" spans="1:3" ht="17.25">
      <c r="A107" s="59" t="s">
        <v>165</v>
      </c>
      <c r="B107" s="33" t="s">
        <v>166</v>
      </c>
      <c r="C107" s="34">
        <f>[15]С4!F26</f>
        <v>67.182959999999994</v>
      </c>
    </row>
    <row r="108" spans="1:3" ht="25.5">
      <c r="A108" s="59" t="s">
        <v>167</v>
      </c>
      <c r="B108" s="53" t="s">
        <v>94</v>
      </c>
      <c r="C108" s="85">
        <f>[15]С4.3!E16</f>
        <v>0</v>
      </c>
    </row>
    <row r="109" spans="1:3" ht="25.5">
      <c r="A109" s="59" t="s">
        <v>168</v>
      </c>
      <c r="B109" s="53" t="s">
        <v>169</v>
      </c>
      <c r="C109" s="34">
        <f>[15]С4.3!E17</f>
        <v>17.88</v>
      </c>
    </row>
    <row r="110" spans="1:3" ht="38.25">
      <c r="A110" s="59" t="s">
        <v>170</v>
      </c>
      <c r="B110" s="53" t="s">
        <v>106</v>
      </c>
      <c r="C110" s="85">
        <f>[15]С4.3!E18</f>
        <v>0</v>
      </c>
    </row>
    <row r="111" spans="1:3">
      <c r="A111" s="59" t="s">
        <v>171</v>
      </c>
      <c r="B111" s="53" t="s">
        <v>172</v>
      </c>
      <c r="C111" s="34">
        <f>[15]С4.3!E19</f>
        <v>21.95</v>
      </c>
    </row>
    <row r="112" spans="1:3">
      <c r="A112" s="59" t="s">
        <v>173</v>
      </c>
      <c r="B112" s="58" t="s">
        <v>174</v>
      </c>
      <c r="C112" s="34">
        <f>[15]С4.3!E11</f>
        <v>1871</v>
      </c>
    </row>
    <row r="113" spans="1:3">
      <c r="A113" s="59" t="s">
        <v>175</v>
      </c>
      <c r="B113" s="58" t="s">
        <v>176</v>
      </c>
      <c r="C113" s="52">
        <f>[15]С4.3!E12</f>
        <v>1636</v>
      </c>
    </row>
    <row r="114" spans="1:3">
      <c r="A114" s="59" t="s">
        <v>177</v>
      </c>
      <c r="B114" s="58" t="s">
        <v>178</v>
      </c>
      <c r="C114" s="52">
        <f>[15]С4.3!E13</f>
        <v>204</v>
      </c>
    </row>
    <row r="115" spans="1:3" ht="30">
      <c r="A115" s="59" t="s">
        <v>179</v>
      </c>
      <c r="B115" s="33" t="s">
        <v>180</v>
      </c>
      <c r="C115" s="34">
        <f>[15]С4!F27</f>
        <v>1291.2863994686898</v>
      </c>
    </row>
    <row r="116" spans="1:3" ht="25.5">
      <c r="A116" s="59" t="s">
        <v>181</v>
      </c>
      <c r="B116" s="53" t="s">
        <v>182</v>
      </c>
      <c r="C116" s="34">
        <f>[15]С4!F28</f>
        <v>991.77142816335618</v>
      </c>
    </row>
    <row r="117" spans="1:3" ht="42.75">
      <c r="A117" s="59" t="s">
        <v>183</v>
      </c>
      <c r="B117" s="53" t="s">
        <v>184</v>
      </c>
      <c r="C117" s="34">
        <f>[15]С4!F29</f>
        <v>299.51497130533357</v>
      </c>
    </row>
    <row r="118" spans="1:3" ht="30">
      <c r="A118" s="59" t="s">
        <v>185</v>
      </c>
      <c r="B118" s="39" t="s">
        <v>186</v>
      </c>
      <c r="C118" s="34">
        <f>[15]С4!F30</f>
        <v>2379.5301484894599</v>
      </c>
    </row>
    <row r="119" spans="1:3" ht="42.75">
      <c r="A119" s="59" t="s">
        <v>187</v>
      </c>
      <c r="B119" s="86" t="s">
        <v>188</v>
      </c>
      <c r="C119" s="34">
        <f>[15]С4!F33</f>
        <v>1176.7426982817792</v>
      </c>
    </row>
    <row r="120" spans="1:3" ht="30">
      <c r="A120" s="59" t="s">
        <v>189</v>
      </c>
      <c r="B120" s="87" t="s">
        <v>190</v>
      </c>
      <c r="C120" s="34">
        <f>[15]С4!F35</f>
        <v>17.040680999999999</v>
      </c>
    </row>
    <row r="121" spans="1:3" ht="14.25">
      <c r="A121" s="59" t="s">
        <v>191</v>
      </c>
      <c r="B121" s="56" t="s">
        <v>192</v>
      </c>
      <c r="C121" s="34">
        <f>[15]С4!F36</f>
        <v>14319.9</v>
      </c>
    </row>
    <row r="122" spans="1:3" ht="28.5" thickBot="1">
      <c r="A122" s="72" t="s">
        <v>193</v>
      </c>
      <c r="B122" s="88" t="s">
        <v>194</v>
      </c>
      <c r="C122" s="83">
        <f>[15]С4!F37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[15]С5!F17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[15]С2!F37</f>
        <v>20.818139999999996</v>
      </c>
    </row>
    <row r="136" spans="1:4" ht="14.25">
      <c r="A136" s="59" t="s">
        <v>216</v>
      </c>
      <c r="B136" s="101" t="s">
        <v>217</v>
      </c>
      <c r="C136" s="34">
        <f>[15]С2!F38</f>
        <v>7</v>
      </c>
    </row>
    <row r="137" spans="1:4" ht="17.25">
      <c r="A137" s="59" t="s">
        <v>218</v>
      </c>
      <c r="B137" s="101" t="s">
        <v>219</v>
      </c>
      <c r="C137" s="34">
        <f>[15]С2!F40</f>
        <v>0.97</v>
      </c>
    </row>
    <row r="138" spans="1:4" ht="15" thickBot="1">
      <c r="A138" s="72" t="s">
        <v>220</v>
      </c>
      <c r="B138" s="102" t="s">
        <v>221</v>
      </c>
      <c r="C138" s="46">
        <f>[15]С2!F42</f>
        <v>0.35</v>
      </c>
    </row>
    <row r="139" spans="1:4" s="89" customFormat="1" ht="13.5" thickBot="1">
      <c r="A139" s="47"/>
      <c r="B139" s="75"/>
      <c r="C139" s="15"/>
    </row>
    <row r="140" spans="1:4" ht="30">
      <c r="A140" s="84" t="s">
        <v>222</v>
      </c>
      <c r="B140" s="103" t="s">
        <v>223</v>
      </c>
      <c r="C140" s="104">
        <f>[15]С2!F35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[15]С2.5!$E$11</f>
        <v>-2.9000000000000026E-2</v>
      </c>
      <c r="D143" s="89"/>
    </row>
    <row r="144" spans="1:4">
      <c r="A144" s="105"/>
      <c r="B144" s="110">
        <f>B143+1</f>
        <v>2021</v>
      </c>
      <c r="C144" s="111">
        <f>[15]С2.5!$F$11</f>
        <v>0.245</v>
      </c>
      <c r="D144" s="89"/>
    </row>
    <row r="145" spans="1:4">
      <c r="A145" s="105"/>
      <c r="B145" s="110">
        <f t="shared" ref="B145:B208" si="0">B144+1</f>
        <v>2022</v>
      </c>
      <c r="C145" s="111">
        <f>[15]С2.5!$G$11</f>
        <v>0.114</v>
      </c>
      <c r="D145" s="89"/>
    </row>
    <row r="146" spans="1:4" ht="13.5" thickBot="1">
      <c r="A146" s="105"/>
      <c r="B146" s="112">
        <f t="shared" si="0"/>
        <v>2023</v>
      </c>
      <c r="C146" s="113">
        <f>[15]С2.5!$H$11</f>
        <v>0.04</v>
      </c>
      <c r="D146" s="89"/>
    </row>
    <row r="147" spans="1:4">
      <c r="A147" s="105"/>
      <c r="B147" s="114">
        <f t="shared" si="0"/>
        <v>2024</v>
      </c>
      <c r="C147" s="115">
        <f>[15]С2.5!$I$11</f>
        <v>0.11700000000000001</v>
      </c>
      <c r="D147" s="89"/>
    </row>
    <row r="148" spans="1:4">
      <c r="A148" s="105"/>
      <c r="B148" s="110">
        <f t="shared" si="0"/>
        <v>2025</v>
      </c>
      <c r="C148" s="111">
        <f>[15]С2.5!$J$11</f>
        <v>6.0999999999999999E-2</v>
      </c>
      <c r="D148" s="89"/>
    </row>
    <row r="149" spans="1:4" hidden="1">
      <c r="A149" s="105"/>
      <c r="B149" s="110">
        <f t="shared" si="0"/>
        <v>2026</v>
      </c>
      <c r="C149" s="111">
        <f>[15]С2.5!$K$11</f>
        <v>3.5813361771260002E-2</v>
      </c>
      <c r="D149" s="89"/>
    </row>
    <row r="150" spans="1:4" hidden="1">
      <c r="A150" s="105"/>
      <c r="B150" s="110">
        <f t="shared" si="0"/>
        <v>2027</v>
      </c>
      <c r="C150" s="111">
        <f>[15]С2.5!$L$11</f>
        <v>3.2682303599220003E-2</v>
      </c>
      <c r="D150" s="89"/>
    </row>
    <row r="151" spans="1:4" hidden="1">
      <c r="A151" s="105"/>
      <c r="B151" s="110">
        <f t="shared" si="0"/>
        <v>2028</v>
      </c>
      <c r="C151" s="111">
        <f>[15]С2.5!$M$11</f>
        <v>0</v>
      </c>
      <c r="D151" s="89"/>
    </row>
    <row r="152" spans="1:4" hidden="1">
      <c r="A152" s="105"/>
      <c r="B152" s="110">
        <f t="shared" si="0"/>
        <v>2029</v>
      </c>
      <c r="C152" s="111">
        <f>[15]С2.5!$N$11</f>
        <v>0</v>
      </c>
      <c r="D152" s="89"/>
    </row>
    <row r="153" spans="1:4" hidden="1">
      <c r="A153" s="105"/>
      <c r="B153" s="110">
        <f t="shared" si="0"/>
        <v>2030</v>
      </c>
      <c r="C153" s="111">
        <f>[15]С2.5!$O$11</f>
        <v>0</v>
      </c>
      <c r="D153" s="89"/>
    </row>
    <row r="154" spans="1:4" hidden="1">
      <c r="A154" s="105"/>
      <c r="B154" s="110">
        <f t="shared" si="0"/>
        <v>2031</v>
      </c>
      <c r="C154" s="111">
        <f>[15]С2.5!$P$11</f>
        <v>0</v>
      </c>
      <c r="D154" s="89"/>
    </row>
    <row r="155" spans="1:4" hidden="1">
      <c r="A155" s="89"/>
      <c r="B155" s="110">
        <f t="shared" si="0"/>
        <v>2032</v>
      </c>
      <c r="C155" s="111">
        <f>[15]С2.5!$Q$11</f>
        <v>0</v>
      </c>
      <c r="D155" s="89"/>
    </row>
    <row r="156" spans="1:4" hidden="1">
      <c r="A156" s="89"/>
      <c r="B156" s="110">
        <f t="shared" si="0"/>
        <v>2033</v>
      </c>
      <c r="C156" s="111">
        <f>[15]С2.5!$R$11</f>
        <v>0</v>
      </c>
      <c r="D156" s="89"/>
    </row>
    <row r="157" spans="1:4" hidden="1">
      <c r="B157" s="110">
        <f t="shared" si="0"/>
        <v>2034</v>
      </c>
      <c r="C157" s="111">
        <f>[15]С2.5!$S$11</f>
        <v>0</v>
      </c>
    </row>
    <row r="158" spans="1:4" hidden="1">
      <c r="B158" s="110">
        <f t="shared" si="0"/>
        <v>2035</v>
      </c>
      <c r="C158" s="111">
        <f>[15]С2.5!$T$11</f>
        <v>0</v>
      </c>
    </row>
    <row r="159" spans="1:4" hidden="1">
      <c r="B159" s="110">
        <f t="shared" si="0"/>
        <v>2036</v>
      </c>
      <c r="C159" s="111">
        <f>[15]С2.5!$U$11</f>
        <v>0</v>
      </c>
    </row>
    <row r="160" spans="1:4" hidden="1">
      <c r="B160" s="110">
        <f t="shared" si="0"/>
        <v>2037</v>
      </c>
      <c r="C160" s="111">
        <f>[15]С2.5!$V$11</f>
        <v>0</v>
      </c>
    </row>
    <row r="161" spans="2:3" hidden="1">
      <c r="B161" s="110">
        <f t="shared" si="0"/>
        <v>2038</v>
      </c>
      <c r="C161" s="111">
        <f>[15]С2.5!$W$11</f>
        <v>0</v>
      </c>
    </row>
    <row r="162" spans="2:3" hidden="1">
      <c r="B162" s="110">
        <f t="shared" si="0"/>
        <v>2039</v>
      </c>
      <c r="C162" s="111">
        <f>[15]С2.5!$X$11</f>
        <v>0</v>
      </c>
    </row>
    <row r="163" spans="2:3" hidden="1">
      <c r="B163" s="110">
        <f t="shared" si="0"/>
        <v>2040</v>
      </c>
      <c r="C163" s="111">
        <f>[15]С2.5!$Y$11</f>
        <v>0</v>
      </c>
    </row>
    <row r="164" spans="2:3" hidden="1">
      <c r="B164" s="110">
        <f t="shared" si="0"/>
        <v>2041</v>
      </c>
      <c r="C164" s="111">
        <f>[15]С2.5!$Z$11</f>
        <v>0</v>
      </c>
    </row>
    <row r="165" spans="2:3" hidden="1">
      <c r="B165" s="110">
        <f t="shared" si="0"/>
        <v>2042</v>
      </c>
      <c r="C165" s="111">
        <f>[15]С2.5!$AA$11</f>
        <v>0</v>
      </c>
    </row>
    <row r="166" spans="2:3" hidden="1">
      <c r="B166" s="110">
        <f t="shared" si="0"/>
        <v>2043</v>
      </c>
      <c r="C166" s="111">
        <f>[15]С2.5!$AB$11</f>
        <v>0</v>
      </c>
    </row>
    <row r="167" spans="2:3" hidden="1">
      <c r="B167" s="110">
        <f t="shared" si="0"/>
        <v>2044</v>
      </c>
      <c r="C167" s="111">
        <f>[15]С2.5!$AC$11</f>
        <v>0</v>
      </c>
    </row>
    <row r="168" spans="2:3" hidden="1">
      <c r="B168" s="110">
        <f t="shared" si="0"/>
        <v>2045</v>
      </c>
      <c r="C168" s="111">
        <f>[15]С2.5!$AD$11</f>
        <v>0</v>
      </c>
    </row>
    <row r="169" spans="2:3" hidden="1">
      <c r="B169" s="110">
        <f t="shared" si="0"/>
        <v>2046</v>
      </c>
      <c r="C169" s="111">
        <f>[15]С2.5!$AE$11</f>
        <v>0</v>
      </c>
    </row>
    <row r="170" spans="2:3" hidden="1">
      <c r="B170" s="110">
        <f t="shared" si="0"/>
        <v>2047</v>
      </c>
      <c r="C170" s="111">
        <f>[15]С2.5!$AF$11</f>
        <v>0</v>
      </c>
    </row>
    <row r="171" spans="2:3" hidden="1">
      <c r="B171" s="110">
        <f t="shared" si="0"/>
        <v>2048</v>
      </c>
      <c r="C171" s="111">
        <f>[15]С2.5!$AG$11</f>
        <v>0</v>
      </c>
    </row>
    <row r="172" spans="2:3" hidden="1">
      <c r="B172" s="110">
        <f t="shared" si="0"/>
        <v>2049</v>
      </c>
      <c r="C172" s="111">
        <f>[15]С2.5!$AH$11</f>
        <v>0</v>
      </c>
    </row>
    <row r="173" spans="2:3" hidden="1">
      <c r="B173" s="110">
        <f t="shared" si="0"/>
        <v>2050</v>
      </c>
      <c r="C173" s="111">
        <f>[15]С2.5!$AI$11</f>
        <v>0</v>
      </c>
    </row>
    <row r="174" spans="2:3" hidden="1">
      <c r="B174" s="110">
        <f t="shared" si="0"/>
        <v>2051</v>
      </c>
      <c r="C174" s="111">
        <f>[15]С2.5!$AJ$11</f>
        <v>0</v>
      </c>
    </row>
    <row r="175" spans="2:3" hidden="1">
      <c r="B175" s="110">
        <f t="shared" si="0"/>
        <v>2052</v>
      </c>
      <c r="C175" s="111">
        <f>[15]С2.5!$AK$11</f>
        <v>0</v>
      </c>
    </row>
    <row r="176" spans="2:3" hidden="1">
      <c r="B176" s="110">
        <f t="shared" si="0"/>
        <v>2053</v>
      </c>
      <c r="C176" s="111">
        <f>[15]С2.5!$AL$11</f>
        <v>0</v>
      </c>
    </row>
    <row r="177" spans="2:3" hidden="1">
      <c r="B177" s="110">
        <f t="shared" si="0"/>
        <v>2054</v>
      </c>
      <c r="C177" s="111">
        <f>[15]С2.5!$AM$11</f>
        <v>0</v>
      </c>
    </row>
    <row r="178" spans="2:3" hidden="1">
      <c r="B178" s="110">
        <f t="shared" si="0"/>
        <v>2055</v>
      </c>
      <c r="C178" s="111">
        <f>[15]С2.5!$AN$11</f>
        <v>0</v>
      </c>
    </row>
    <row r="179" spans="2:3" hidden="1">
      <c r="B179" s="110">
        <f t="shared" si="0"/>
        <v>2056</v>
      </c>
      <c r="C179" s="111">
        <f>[15]С2.5!$AO$11</f>
        <v>0</v>
      </c>
    </row>
    <row r="180" spans="2:3" hidden="1">
      <c r="B180" s="110">
        <f t="shared" si="0"/>
        <v>2057</v>
      </c>
      <c r="C180" s="111">
        <f>[15]С2.5!$AP$11</f>
        <v>0</v>
      </c>
    </row>
    <row r="181" spans="2:3" hidden="1">
      <c r="B181" s="110">
        <f t="shared" si="0"/>
        <v>2058</v>
      </c>
      <c r="C181" s="111">
        <f>[15]С2.5!$AQ$11</f>
        <v>0</v>
      </c>
    </row>
    <row r="182" spans="2:3" hidden="1">
      <c r="B182" s="110">
        <f t="shared" si="0"/>
        <v>2059</v>
      </c>
      <c r="C182" s="111">
        <f>[15]С2.5!$AR$11</f>
        <v>0</v>
      </c>
    </row>
    <row r="183" spans="2:3" hidden="1">
      <c r="B183" s="110">
        <f t="shared" si="0"/>
        <v>2060</v>
      </c>
      <c r="C183" s="111">
        <f>[15]С2.5!$AS$11</f>
        <v>0</v>
      </c>
    </row>
    <row r="184" spans="2:3" hidden="1">
      <c r="B184" s="110">
        <f t="shared" si="0"/>
        <v>2061</v>
      </c>
      <c r="C184" s="111">
        <f>[15]С2.5!$AT$11</f>
        <v>0</v>
      </c>
    </row>
    <row r="185" spans="2:3" hidden="1">
      <c r="B185" s="110">
        <f t="shared" si="0"/>
        <v>2062</v>
      </c>
      <c r="C185" s="111">
        <f>[15]С2.5!$AU$11</f>
        <v>0</v>
      </c>
    </row>
    <row r="186" spans="2:3" hidden="1">
      <c r="B186" s="110">
        <f t="shared" si="0"/>
        <v>2063</v>
      </c>
      <c r="C186" s="111">
        <f>[15]С2.5!$AV$11</f>
        <v>0</v>
      </c>
    </row>
    <row r="187" spans="2:3" hidden="1">
      <c r="B187" s="110">
        <f t="shared" si="0"/>
        <v>2064</v>
      </c>
      <c r="C187" s="111">
        <f>[15]С2.5!$AW$11</f>
        <v>0</v>
      </c>
    </row>
    <row r="188" spans="2:3" hidden="1">
      <c r="B188" s="110">
        <f t="shared" si="0"/>
        <v>2065</v>
      </c>
      <c r="C188" s="111">
        <f>[15]С2.5!$AX$11</f>
        <v>0</v>
      </c>
    </row>
    <row r="189" spans="2:3" hidden="1">
      <c r="B189" s="110">
        <f t="shared" si="0"/>
        <v>2066</v>
      </c>
      <c r="C189" s="111">
        <f>[15]С2.5!$AY$11</f>
        <v>0</v>
      </c>
    </row>
    <row r="190" spans="2:3" hidden="1">
      <c r="B190" s="110">
        <f t="shared" si="0"/>
        <v>2067</v>
      </c>
      <c r="C190" s="111">
        <f>[15]С2.5!$AZ$11</f>
        <v>0</v>
      </c>
    </row>
    <row r="191" spans="2:3" hidden="1">
      <c r="B191" s="110">
        <f t="shared" si="0"/>
        <v>2068</v>
      </c>
      <c r="C191" s="111">
        <f>[15]С2.5!$BA$11</f>
        <v>0</v>
      </c>
    </row>
    <row r="192" spans="2:3" hidden="1">
      <c r="B192" s="110">
        <f t="shared" si="0"/>
        <v>2069</v>
      </c>
      <c r="C192" s="111">
        <f>[15]С2.5!$BB$11</f>
        <v>0</v>
      </c>
    </row>
    <row r="193" spans="2:3" hidden="1">
      <c r="B193" s="110">
        <f t="shared" si="0"/>
        <v>2070</v>
      </c>
      <c r="C193" s="111">
        <f>[15]С2.5!$BC$11</f>
        <v>0</v>
      </c>
    </row>
    <row r="194" spans="2:3" hidden="1">
      <c r="B194" s="110">
        <f t="shared" si="0"/>
        <v>2071</v>
      </c>
      <c r="C194" s="111">
        <f>[15]С2.5!$BD$11</f>
        <v>0</v>
      </c>
    </row>
    <row r="195" spans="2:3" hidden="1">
      <c r="B195" s="110">
        <f t="shared" si="0"/>
        <v>2072</v>
      </c>
      <c r="C195" s="111">
        <f>[15]С2.5!$BE$11</f>
        <v>0</v>
      </c>
    </row>
    <row r="196" spans="2:3" hidden="1">
      <c r="B196" s="110">
        <f t="shared" si="0"/>
        <v>2073</v>
      </c>
      <c r="C196" s="111">
        <f>[15]С2.5!$BF$11</f>
        <v>0</v>
      </c>
    </row>
    <row r="197" spans="2:3" hidden="1">
      <c r="B197" s="110">
        <f t="shared" si="0"/>
        <v>2074</v>
      </c>
      <c r="C197" s="111">
        <f>[15]С2.5!$BG$11</f>
        <v>0</v>
      </c>
    </row>
    <row r="198" spans="2:3" hidden="1">
      <c r="B198" s="110">
        <f t="shared" si="0"/>
        <v>2075</v>
      </c>
      <c r="C198" s="111">
        <f>[15]С2.5!$BH$11</f>
        <v>0</v>
      </c>
    </row>
    <row r="199" spans="2:3" hidden="1">
      <c r="B199" s="110">
        <f t="shared" si="0"/>
        <v>2076</v>
      </c>
      <c r="C199" s="111">
        <f>[15]С2.5!$BI$11</f>
        <v>0</v>
      </c>
    </row>
    <row r="200" spans="2:3" hidden="1">
      <c r="B200" s="110">
        <f t="shared" si="0"/>
        <v>2077</v>
      </c>
      <c r="C200" s="111">
        <f>[15]С2.5!$BJ$11</f>
        <v>0</v>
      </c>
    </row>
    <row r="201" spans="2:3" hidden="1">
      <c r="B201" s="110">
        <f t="shared" si="0"/>
        <v>2078</v>
      </c>
      <c r="C201" s="111">
        <f>[15]С2.5!$BK$11</f>
        <v>0</v>
      </c>
    </row>
    <row r="202" spans="2:3" hidden="1">
      <c r="B202" s="110">
        <f t="shared" si="0"/>
        <v>2079</v>
      </c>
      <c r="C202" s="111">
        <f>[15]С2.5!$BL$11</f>
        <v>0</v>
      </c>
    </row>
    <row r="203" spans="2:3" hidden="1">
      <c r="B203" s="110">
        <f t="shared" si="0"/>
        <v>2080</v>
      </c>
      <c r="C203" s="111">
        <f>[15]С2.5!$BM$11</f>
        <v>0</v>
      </c>
    </row>
    <row r="204" spans="2:3" hidden="1">
      <c r="B204" s="110">
        <f t="shared" si="0"/>
        <v>2081</v>
      </c>
      <c r="C204" s="111">
        <f>[15]С2.5!$BN$11</f>
        <v>0</v>
      </c>
    </row>
    <row r="205" spans="2:3" hidden="1">
      <c r="B205" s="110">
        <f t="shared" si="0"/>
        <v>2082</v>
      </c>
      <c r="C205" s="111">
        <f>[15]С2.5!$BO$11</f>
        <v>0</v>
      </c>
    </row>
    <row r="206" spans="2:3" hidden="1">
      <c r="B206" s="110">
        <f t="shared" si="0"/>
        <v>2083</v>
      </c>
      <c r="C206" s="111">
        <f>[15]С2.5!$BP$11</f>
        <v>0</v>
      </c>
    </row>
    <row r="207" spans="2:3" hidden="1">
      <c r="B207" s="110">
        <f t="shared" si="0"/>
        <v>2084</v>
      </c>
      <c r="C207" s="111">
        <f>[15]С2.5!$BQ$11</f>
        <v>0</v>
      </c>
    </row>
    <row r="208" spans="2:3" hidden="1">
      <c r="B208" s="110">
        <f t="shared" si="0"/>
        <v>2085</v>
      </c>
      <c r="C208" s="111">
        <f>[15]С2.5!$BR$11</f>
        <v>0</v>
      </c>
    </row>
    <row r="209" spans="2:3" hidden="1">
      <c r="B209" s="110">
        <f t="shared" ref="B209:B223" si="1">B208+1</f>
        <v>2086</v>
      </c>
      <c r="C209" s="111">
        <f>[15]С2.5!$BS$11</f>
        <v>0</v>
      </c>
    </row>
    <row r="210" spans="2:3" hidden="1">
      <c r="B210" s="110">
        <f t="shared" si="1"/>
        <v>2087</v>
      </c>
      <c r="C210" s="111">
        <f>[15]С2.5!$BT$11</f>
        <v>0</v>
      </c>
    </row>
    <row r="211" spans="2:3" hidden="1">
      <c r="B211" s="110">
        <f t="shared" si="1"/>
        <v>2088</v>
      </c>
      <c r="C211" s="111">
        <f>[15]С2.5!$BU$11</f>
        <v>0</v>
      </c>
    </row>
    <row r="212" spans="2:3" hidden="1">
      <c r="B212" s="110">
        <f t="shared" si="1"/>
        <v>2089</v>
      </c>
      <c r="C212" s="111">
        <f>[15]С2.5!$BV$11</f>
        <v>0</v>
      </c>
    </row>
    <row r="213" spans="2:3" hidden="1">
      <c r="B213" s="110">
        <f t="shared" si="1"/>
        <v>2090</v>
      </c>
      <c r="C213" s="111">
        <f>[15]С2.5!$BW$11</f>
        <v>0</v>
      </c>
    </row>
    <row r="214" spans="2:3" hidden="1">
      <c r="B214" s="110">
        <f t="shared" si="1"/>
        <v>2091</v>
      </c>
      <c r="C214" s="111">
        <f>[15]С2.5!$BX$11</f>
        <v>0</v>
      </c>
    </row>
    <row r="215" spans="2:3" hidden="1">
      <c r="B215" s="110">
        <f t="shared" si="1"/>
        <v>2092</v>
      </c>
      <c r="C215" s="111">
        <f>[15]С2.5!$BY$11</f>
        <v>0</v>
      </c>
    </row>
    <row r="216" spans="2:3" hidden="1">
      <c r="B216" s="110">
        <f t="shared" si="1"/>
        <v>2093</v>
      </c>
      <c r="C216" s="111">
        <f>[15]С2.5!$BZ$11</f>
        <v>0</v>
      </c>
    </row>
    <row r="217" spans="2:3" hidden="1">
      <c r="B217" s="110">
        <f t="shared" si="1"/>
        <v>2094</v>
      </c>
      <c r="C217" s="111">
        <f>[15]С2.5!$CA$11</f>
        <v>0</v>
      </c>
    </row>
    <row r="218" spans="2:3" hidden="1">
      <c r="B218" s="110">
        <f t="shared" si="1"/>
        <v>2095</v>
      </c>
      <c r="C218" s="111">
        <f>[15]С2.5!$CB$11</f>
        <v>0</v>
      </c>
    </row>
    <row r="219" spans="2:3" hidden="1">
      <c r="B219" s="110">
        <f t="shared" si="1"/>
        <v>2096</v>
      </c>
      <c r="C219" s="111">
        <f>[15]С2.5!$CC$11</f>
        <v>0</v>
      </c>
    </row>
    <row r="220" spans="2:3" hidden="1">
      <c r="B220" s="110">
        <f t="shared" si="1"/>
        <v>2097</v>
      </c>
      <c r="C220" s="111">
        <f>[15]С2.5!$CD$11</f>
        <v>0</v>
      </c>
    </row>
    <row r="221" spans="2:3" hidden="1">
      <c r="B221" s="110">
        <f t="shared" si="1"/>
        <v>2098</v>
      </c>
      <c r="C221" s="111">
        <f>[15]С2.5!$CE$11</f>
        <v>0</v>
      </c>
    </row>
    <row r="222" spans="2:3" hidden="1">
      <c r="B222" s="110">
        <f t="shared" si="1"/>
        <v>2099</v>
      </c>
      <c r="C222" s="111">
        <f>[15]С2.5!$CF$11</f>
        <v>0</v>
      </c>
    </row>
    <row r="223" spans="2:3" ht="13.5" hidden="1" thickBot="1">
      <c r="B223" s="112">
        <f t="shared" si="1"/>
        <v>2100</v>
      </c>
      <c r="C223" s="113">
        <f>[15]С2.5!$CG$11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6" r:id="rId3" name="Button 2">
              <controlPr defaultSize="0" print="0" autoFill="0" autoPict="0" macro="[1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6147" r:id="rId4" name="Button 3">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[17]И1!D13</f>
        <v>Субъект Российской Федерации</v>
      </c>
      <c r="C4" s="10" t="str">
        <f>[17]И1!E13</f>
        <v>Новосибирская область</v>
      </c>
    </row>
    <row r="5" spans="1:3" ht="46.9" customHeight="1">
      <c r="A5" s="8"/>
      <c r="B5" s="9" t="str">
        <f>[17]И1!D14</f>
        <v>Тип муниципального образования (выберите из списка)</v>
      </c>
      <c r="C5" s="10" t="str">
        <f>[17]И1!E14</f>
        <v xml:space="preserve">село Янченково, Тогучинский муниципальный район </v>
      </c>
    </row>
    <row r="6" spans="1:3">
      <c r="A6" s="8"/>
      <c r="B6" s="9" t="str">
        <f>IF([17]И1!E15="","",[17]И1!D15)</f>
        <v/>
      </c>
      <c r="C6" s="10" t="str">
        <f>IF([17]И1!E15="","",[17]И1!E15)</f>
        <v/>
      </c>
    </row>
    <row r="7" spans="1:3">
      <c r="A7" s="8"/>
      <c r="B7" s="9" t="str">
        <f>[17]И1!D16</f>
        <v>Код ОКТМО</v>
      </c>
      <c r="C7" s="11" t="str">
        <f>[17]И1!E16</f>
        <v>50652410101</v>
      </c>
    </row>
    <row r="8" spans="1:3">
      <c r="A8" s="8"/>
      <c r="B8" s="12" t="str">
        <f>[17]И1!D17</f>
        <v>Система теплоснабжения</v>
      </c>
      <c r="C8" s="13">
        <f>[17]И1!E17</f>
        <v>0</v>
      </c>
    </row>
    <row r="9" spans="1:3">
      <c r="A9" s="8"/>
      <c r="B9" s="9" t="str">
        <f>[17]И1!D8</f>
        <v>Период регулирования (i)-й</v>
      </c>
      <c r="C9" s="14">
        <f>[17]И1!E8</f>
        <v>2025</v>
      </c>
    </row>
    <row r="10" spans="1:3">
      <c r="A10" s="8"/>
      <c r="B10" s="9" t="str">
        <f>[17]И1!D9</f>
        <v>Период регулирования (i-1)-й</v>
      </c>
      <c r="C10" s="14">
        <f>[17]И1!E9</f>
        <v>2024</v>
      </c>
    </row>
    <row r="11" spans="1:3">
      <c r="A11" s="8"/>
      <c r="B11" s="9" t="str">
        <f>[17]И1!D10</f>
        <v>Период регулирования (i-2)-й</v>
      </c>
      <c r="C11" s="14">
        <f>[17]И1!E10</f>
        <v>2023</v>
      </c>
    </row>
    <row r="12" spans="1:3">
      <c r="A12" s="8"/>
      <c r="B12" s="9" t="str">
        <f>[17]И1!D11</f>
        <v>Базовый год (б)</v>
      </c>
      <c r="C12" s="14">
        <f>[17]И1!E11</f>
        <v>2019</v>
      </c>
    </row>
    <row r="13" spans="1:3" ht="38.25">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5382.5715007365452</v>
      </c>
    </row>
    <row r="18" spans="1:3" ht="42.75">
      <c r="A18" s="22" t="s">
        <v>8</v>
      </c>
      <c r="B18" s="25" t="s">
        <v>9</v>
      </c>
      <c r="C18" s="26">
        <f>[17]С1!F12</f>
        <v>795.80460480398301</v>
      </c>
    </row>
    <row r="19" spans="1:3" ht="42.75">
      <c r="A19" s="22" t="s">
        <v>10</v>
      </c>
      <c r="B19" s="25" t="s">
        <v>11</v>
      </c>
      <c r="C19" s="26">
        <f>[17]С2!F12</f>
        <v>3056.1591261705735</v>
      </c>
    </row>
    <row r="20" spans="1:3" ht="30">
      <c r="A20" s="22" t="s">
        <v>12</v>
      </c>
      <c r="B20" s="25" t="s">
        <v>13</v>
      </c>
      <c r="C20" s="26">
        <f>[17]С3!F12</f>
        <v>915.44743976410246</v>
      </c>
    </row>
    <row r="21" spans="1:3" ht="42.75">
      <c r="A21" s="22" t="s">
        <v>14</v>
      </c>
      <c r="B21" s="25" t="s">
        <v>15</v>
      </c>
      <c r="C21" s="26">
        <f>[17]С4!F12</f>
        <v>509.61971233638559</v>
      </c>
    </row>
    <row r="22" spans="1:3" ht="30">
      <c r="A22" s="22" t="s">
        <v>16</v>
      </c>
      <c r="B22" s="25" t="s">
        <v>17</v>
      </c>
      <c r="C22" s="26">
        <f>[17]С5!F12</f>
        <v>105.54061766150089</v>
      </c>
    </row>
    <row r="23" spans="1:3" ht="43.5" thickBot="1">
      <c r="A23" s="27" t="s">
        <v>18</v>
      </c>
      <c r="B23" s="140" t="s">
        <v>19</v>
      </c>
      <c r="C23" s="28" t="str">
        <f>[17]С6!F12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[17]С1.1!E16</f>
        <v>5100</v>
      </c>
    </row>
    <row r="29" spans="1:3" ht="42.75">
      <c r="A29" s="22" t="s">
        <v>10</v>
      </c>
      <c r="B29" s="33" t="s">
        <v>22</v>
      </c>
      <c r="C29" s="34">
        <f>[17]С1.1!E27</f>
        <v>2870.67</v>
      </c>
    </row>
    <row r="30" spans="1:3" ht="17.25">
      <c r="A30" s="22" t="s">
        <v>12</v>
      </c>
      <c r="B30" s="33" t="s">
        <v>23</v>
      </c>
      <c r="C30" s="35">
        <f>[17]С1.1!E19</f>
        <v>1.4E-2</v>
      </c>
    </row>
    <row r="31" spans="1:3" ht="17.25">
      <c r="A31" s="22" t="s">
        <v>14</v>
      </c>
      <c r="B31" s="33" t="s">
        <v>24</v>
      </c>
      <c r="C31" s="35">
        <f>[17]С1.1!E20</f>
        <v>0.04</v>
      </c>
    </row>
    <row r="32" spans="1:3" ht="30">
      <c r="A32" s="22" t="s">
        <v>16</v>
      </c>
      <c r="B32" s="36" t="s">
        <v>25</v>
      </c>
      <c r="C32" s="37">
        <f>[17]С1!F13</f>
        <v>176.4</v>
      </c>
    </row>
    <row r="33" spans="1:3">
      <c r="A33" s="22" t="s">
        <v>18</v>
      </c>
      <c r="B33" s="36" t="s">
        <v>26</v>
      </c>
      <c r="C33" s="38">
        <f>[17]С1!F16</f>
        <v>7000</v>
      </c>
    </row>
    <row r="34" spans="1:3" ht="14.25">
      <c r="A34" s="22" t="s">
        <v>27</v>
      </c>
      <c r="B34" s="39" t="s">
        <v>28</v>
      </c>
      <c r="C34" s="40">
        <f>[17]С1!F17</f>
        <v>0.72857142857142854</v>
      </c>
    </row>
    <row r="35" spans="1:3" ht="15.75">
      <c r="A35" s="41" t="s">
        <v>29</v>
      </c>
      <c r="B35" s="42" t="s">
        <v>30</v>
      </c>
      <c r="C35" s="40">
        <f>[17]С1!F20</f>
        <v>21.588411179999994</v>
      </c>
    </row>
    <row r="36" spans="1:3" ht="15.75">
      <c r="A36" s="41" t="s">
        <v>31</v>
      </c>
      <c r="B36" s="43" t="s">
        <v>32</v>
      </c>
      <c r="C36" s="40">
        <f>[17]С1!F21</f>
        <v>20.818139999999996</v>
      </c>
    </row>
    <row r="37" spans="1:3" ht="14.25">
      <c r="A37" s="41" t="s">
        <v>33</v>
      </c>
      <c r="B37" s="44" t="s">
        <v>34</v>
      </c>
      <c r="C37" s="40">
        <f>[17]С1!F22</f>
        <v>1.0369999999999999</v>
      </c>
    </row>
    <row r="38" spans="1:3" ht="53.25" thickBot="1">
      <c r="A38" s="27" t="s">
        <v>35</v>
      </c>
      <c r="B38" s="45" t="s">
        <v>36</v>
      </c>
      <c r="C38" s="46">
        <f>[17]С1!F23</f>
        <v>1.0469999999999999</v>
      </c>
    </row>
    <row r="39" spans="1:3" ht="13.5" thickBot="1">
      <c r="A39" s="47"/>
      <c r="B39" s="48"/>
      <c r="C39" s="49"/>
    </row>
    <row r="40" spans="1:3" ht="39" customHeight="1">
      <c r="A40" s="50" t="s">
        <v>37</v>
      </c>
      <c r="B40" s="146" t="s">
        <v>38</v>
      </c>
      <c r="C40" s="146"/>
    </row>
    <row r="41" spans="1:3" ht="25.5">
      <c r="A41" s="22" t="s">
        <v>39</v>
      </c>
      <c r="B41" s="36" t="s">
        <v>40</v>
      </c>
      <c r="C41" s="51" t="str">
        <f>[17]С2.1!E12</f>
        <v>V</v>
      </c>
    </row>
    <row r="42" spans="1:3" ht="25.5">
      <c r="A42" s="22" t="s">
        <v>41</v>
      </c>
      <c r="B42" s="33" t="s">
        <v>42</v>
      </c>
      <c r="C42" s="51" t="str">
        <f>[17]С2.1!E13</f>
        <v>6 и менее баллов</v>
      </c>
    </row>
    <row r="43" spans="1:3" ht="25.5">
      <c r="A43" s="22" t="s">
        <v>43</v>
      </c>
      <c r="B43" s="33" t="s">
        <v>44</v>
      </c>
      <c r="C43" s="51" t="str">
        <f>[17]С2.1!E14</f>
        <v>от 200 до 500</v>
      </c>
    </row>
    <row r="44" spans="1:3" ht="25.5">
      <c r="A44" s="22" t="s">
        <v>45</v>
      </c>
      <c r="B44" s="33" t="s">
        <v>46</v>
      </c>
      <c r="C44" s="52" t="str">
        <f>[17]С2.1!E15</f>
        <v>нет</v>
      </c>
    </row>
    <row r="45" spans="1:3" ht="30">
      <c r="A45" s="22" t="s">
        <v>47</v>
      </c>
      <c r="B45" s="33" t="s">
        <v>48</v>
      </c>
      <c r="C45" s="34">
        <f>[17]С2!F18</f>
        <v>38910.02669467502</v>
      </c>
    </row>
    <row r="46" spans="1:3" ht="30">
      <c r="A46" s="22" t="s">
        <v>49</v>
      </c>
      <c r="B46" s="53" t="s">
        <v>50</v>
      </c>
      <c r="C46" s="34">
        <f>IF([17]С2!F19&gt;0,[17]С2!F19,[17]С2!F20)</f>
        <v>23441.524932855718</v>
      </c>
    </row>
    <row r="47" spans="1:3" ht="25.5">
      <c r="A47" s="22" t="s">
        <v>51</v>
      </c>
      <c r="B47" s="54" t="s">
        <v>52</v>
      </c>
      <c r="C47" s="34">
        <f>[17]С2.1!E19</f>
        <v>-38</v>
      </c>
    </row>
    <row r="48" spans="1:3" ht="25.5">
      <c r="A48" s="22" t="s">
        <v>53</v>
      </c>
      <c r="B48" s="54" t="s">
        <v>54</v>
      </c>
      <c r="C48" s="34" t="str">
        <f>[17]С2.1!E22</f>
        <v>нет</v>
      </c>
    </row>
    <row r="49" spans="1:3" ht="38.25">
      <c r="A49" s="22" t="s">
        <v>55</v>
      </c>
      <c r="B49" s="55" t="s">
        <v>56</v>
      </c>
      <c r="C49" s="34">
        <f>[17]С2.2!E10</f>
        <v>1287</v>
      </c>
    </row>
    <row r="50" spans="1:3" ht="25.5">
      <c r="A50" s="22" t="s">
        <v>57</v>
      </c>
      <c r="B50" s="56" t="s">
        <v>58</v>
      </c>
      <c r="C50" s="34">
        <f>[17]С2.2!E12</f>
        <v>5.97</v>
      </c>
    </row>
    <row r="51" spans="1:3" ht="52.5">
      <c r="A51" s="22" t="s">
        <v>59</v>
      </c>
      <c r="B51" s="57" t="s">
        <v>60</v>
      </c>
      <c r="C51" s="34">
        <f>[17]С2.2!E13</f>
        <v>1</v>
      </c>
    </row>
    <row r="52" spans="1:3" ht="27.75">
      <c r="A52" s="22" t="s">
        <v>61</v>
      </c>
      <c r="B52" s="56" t="s">
        <v>62</v>
      </c>
      <c r="C52" s="34">
        <f>[17]С2.2!E14</f>
        <v>12104</v>
      </c>
    </row>
    <row r="53" spans="1:3" ht="25.5">
      <c r="A53" s="22" t="s">
        <v>63</v>
      </c>
      <c r="B53" s="57" t="s">
        <v>64</v>
      </c>
      <c r="C53" s="35">
        <f>[17]С2.2!E15</f>
        <v>4.8000000000000001E-2</v>
      </c>
    </row>
    <row r="54" spans="1:3">
      <c r="A54" s="22" t="s">
        <v>65</v>
      </c>
      <c r="B54" s="57" t="s">
        <v>66</v>
      </c>
      <c r="C54" s="34">
        <f>[17]С2.2!E16</f>
        <v>1</v>
      </c>
    </row>
    <row r="55" spans="1:3" ht="15.75">
      <c r="A55" s="22" t="s">
        <v>67</v>
      </c>
      <c r="B55" s="58" t="s">
        <v>68</v>
      </c>
      <c r="C55" s="34">
        <f>[17]С2!F21</f>
        <v>1</v>
      </c>
    </row>
    <row r="56" spans="1:3" ht="30">
      <c r="A56" s="59" t="s">
        <v>69</v>
      </c>
      <c r="B56" s="33" t="s">
        <v>70</v>
      </c>
      <c r="C56" s="34">
        <f>[17]С2!F13</f>
        <v>203708.97017230222</v>
      </c>
    </row>
    <row r="57" spans="1:3" ht="30">
      <c r="A57" s="59" t="s">
        <v>71</v>
      </c>
      <c r="B57" s="58" t="s">
        <v>72</v>
      </c>
      <c r="C57" s="34">
        <f>[17]С2!F14</f>
        <v>113455</v>
      </c>
    </row>
    <row r="58" spans="1:3" ht="15.75">
      <c r="A58" s="59" t="s">
        <v>73</v>
      </c>
      <c r="B58" s="60" t="s">
        <v>74</v>
      </c>
      <c r="C58" s="40">
        <f>[17]С2!F15</f>
        <v>1.071</v>
      </c>
    </row>
    <row r="59" spans="1:3" ht="15.75">
      <c r="A59" s="59" t="s">
        <v>75</v>
      </c>
      <c r="B59" s="60" t="s">
        <v>76</v>
      </c>
      <c r="C59" s="40">
        <f>[17]С2!F16</f>
        <v>1</v>
      </c>
    </row>
    <row r="60" spans="1:3" ht="17.25">
      <c r="A60" s="59" t="s">
        <v>77</v>
      </c>
      <c r="B60" s="58" t="s">
        <v>78</v>
      </c>
      <c r="C60" s="34">
        <f>[17]С2!F17</f>
        <v>1.01</v>
      </c>
    </row>
    <row r="61" spans="1:3" s="63" customFormat="1" ht="14.25">
      <c r="A61" s="59" t="s">
        <v>79</v>
      </c>
      <c r="B61" s="61" t="s">
        <v>80</v>
      </c>
      <c r="C61" s="62">
        <f>[17]С2!F33</f>
        <v>10</v>
      </c>
    </row>
    <row r="62" spans="1:3" ht="30">
      <c r="A62" s="59" t="s">
        <v>81</v>
      </c>
      <c r="B62" s="64" t="s">
        <v>82</v>
      </c>
      <c r="C62" s="34">
        <f>[17]С2!F26</f>
        <v>2416.4994928434235</v>
      </c>
    </row>
    <row r="63" spans="1:3" ht="17.25">
      <c r="A63" s="59" t="s">
        <v>83</v>
      </c>
      <c r="B63" s="53" t="s">
        <v>84</v>
      </c>
      <c r="C63" s="34">
        <f>[17]С2!F27</f>
        <v>0.34662649000000001</v>
      </c>
    </row>
    <row r="64" spans="1:3" ht="17.25">
      <c r="A64" s="59" t="s">
        <v>85</v>
      </c>
      <c r="B64" s="58" t="s">
        <v>86</v>
      </c>
      <c r="C64" s="62">
        <f>[17]С2!F28</f>
        <v>4200</v>
      </c>
    </row>
    <row r="65" spans="1:3" ht="42.75">
      <c r="A65" s="59" t="s">
        <v>87</v>
      </c>
      <c r="B65" s="33" t="s">
        <v>88</v>
      </c>
      <c r="C65" s="34">
        <f>[17]С2!F22</f>
        <v>42890.921752741691</v>
      </c>
    </row>
    <row r="66" spans="1:3" ht="30">
      <c r="A66" s="59" t="s">
        <v>89</v>
      </c>
      <c r="B66" s="60" t="s">
        <v>90</v>
      </c>
      <c r="C66" s="34">
        <f>[17]С2!F23</f>
        <v>1990</v>
      </c>
    </row>
    <row r="67" spans="1:3" ht="30">
      <c r="A67" s="59" t="s">
        <v>91</v>
      </c>
      <c r="B67" s="53" t="s">
        <v>92</v>
      </c>
      <c r="C67" s="34">
        <f>[17]С2.1!E27</f>
        <v>14307.876789999998</v>
      </c>
    </row>
    <row r="68" spans="1:3" ht="38.25">
      <c r="A68" s="59" t="s">
        <v>93</v>
      </c>
      <c r="B68" s="65" t="s">
        <v>94</v>
      </c>
      <c r="C68" s="52">
        <f>[17]С2.3!E21</f>
        <v>0</v>
      </c>
    </row>
    <row r="69" spans="1:3" ht="25.5">
      <c r="A69" s="59" t="s">
        <v>95</v>
      </c>
      <c r="B69" s="66" t="s">
        <v>96</v>
      </c>
      <c r="C69" s="67">
        <f>[17]С2.3!E11</f>
        <v>9.89</v>
      </c>
    </row>
    <row r="70" spans="1:3" ht="25.5">
      <c r="A70" s="59" t="s">
        <v>97</v>
      </c>
      <c r="B70" s="66" t="s">
        <v>98</v>
      </c>
      <c r="C70" s="62">
        <f>[17]С2.3!E13</f>
        <v>300</v>
      </c>
    </row>
    <row r="71" spans="1:3" ht="25.5">
      <c r="A71" s="59" t="s">
        <v>99</v>
      </c>
      <c r="B71" s="65" t="s">
        <v>100</v>
      </c>
      <c r="C71" s="68">
        <f>IF([17]С2.3!E22&gt;0,[17]С2.3!E22,[17]С2.3!E14)</f>
        <v>61211</v>
      </c>
    </row>
    <row r="72" spans="1:3" ht="38.25">
      <c r="A72" s="59" t="s">
        <v>101</v>
      </c>
      <c r="B72" s="65" t="s">
        <v>102</v>
      </c>
      <c r="C72" s="68">
        <f>IF([17]С2.3!E23&gt;0,[17]С2.3!E23,[17]С2.3!E15)</f>
        <v>45675</v>
      </c>
    </row>
    <row r="73" spans="1:3" ht="30">
      <c r="A73" s="59" t="s">
        <v>103</v>
      </c>
      <c r="B73" s="53" t="s">
        <v>104</v>
      </c>
      <c r="C73" s="34">
        <f>[17]С2.1!E28</f>
        <v>9541.9567200000001</v>
      </c>
    </row>
    <row r="74" spans="1:3" ht="38.25">
      <c r="A74" s="59" t="s">
        <v>105</v>
      </c>
      <c r="B74" s="65" t="s">
        <v>106</v>
      </c>
      <c r="C74" s="52">
        <f>[17]С2.3!E25</f>
        <v>0</v>
      </c>
    </row>
    <row r="75" spans="1:3" ht="25.5">
      <c r="A75" s="59" t="s">
        <v>107</v>
      </c>
      <c r="B75" s="66" t="s">
        <v>108</v>
      </c>
      <c r="C75" s="67">
        <f>[17]С2.3!E12</f>
        <v>0.56000000000000005</v>
      </c>
    </row>
    <row r="76" spans="1:3" ht="25.5">
      <c r="A76" s="59" t="s">
        <v>109</v>
      </c>
      <c r="B76" s="66" t="s">
        <v>98</v>
      </c>
      <c r="C76" s="62">
        <f>[17]С2.3!E13</f>
        <v>300</v>
      </c>
    </row>
    <row r="77" spans="1:3" ht="25.5">
      <c r="A77" s="59" t="s">
        <v>110</v>
      </c>
      <c r="B77" s="69" t="s">
        <v>111</v>
      </c>
      <c r="C77" s="68">
        <f>IF([17]С2.3!E26&gt;0,[17]С2.3!E26,[17]С2.3!E16)</f>
        <v>65637</v>
      </c>
    </row>
    <row r="78" spans="1:3" ht="38.25">
      <c r="A78" s="59" t="s">
        <v>112</v>
      </c>
      <c r="B78" s="69" t="s">
        <v>113</v>
      </c>
      <c r="C78" s="68">
        <f>IF([17]С2.3!E27&gt;0,[17]С2.3!E27,[17]С2.3!E17)</f>
        <v>31684</v>
      </c>
    </row>
    <row r="79" spans="1:3" ht="17.25">
      <c r="A79" s="59" t="s">
        <v>114</v>
      </c>
      <c r="B79" s="33" t="s">
        <v>115</v>
      </c>
      <c r="C79" s="35">
        <f>[17]С2!F29</f>
        <v>0.17804631770487722</v>
      </c>
    </row>
    <row r="80" spans="1:3" ht="30">
      <c r="A80" s="59" t="s">
        <v>116</v>
      </c>
      <c r="B80" s="53" t="s">
        <v>117</v>
      </c>
      <c r="C80" s="70">
        <f>[17]С2!F30</f>
        <v>0.1652189781021898</v>
      </c>
    </row>
    <row r="81" spans="1:3" ht="17.25">
      <c r="A81" s="59" t="s">
        <v>118</v>
      </c>
      <c r="B81" s="71" t="s">
        <v>119</v>
      </c>
      <c r="C81" s="35">
        <f>[17]С2!F31</f>
        <v>0.13880000000000001</v>
      </c>
    </row>
    <row r="82" spans="1:3" s="63" customFormat="1" ht="18" thickBot="1">
      <c r="A82" s="72" t="s">
        <v>120</v>
      </c>
      <c r="B82" s="73" t="s">
        <v>121</v>
      </c>
      <c r="C82" s="74">
        <f>[17]С2!F32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[17]С3!F14</f>
        <v>14863.184658749575</v>
      </c>
    </row>
    <row r="86" spans="1:3" s="63" customFormat="1" ht="42.75">
      <c r="A86" s="77" t="s">
        <v>126</v>
      </c>
      <c r="B86" s="53" t="s">
        <v>127</v>
      </c>
      <c r="C86" s="78">
        <f>[17]С3!F15</f>
        <v>0.25</v>
      </c>
    </row>
    <row r="87" spans="1:3" s="63" customFormat="1" ht="14.25">
      <c r="A87" s="77" t="s">
        <v>128</v>
      </c>
      <c r="B87" s="79" t="s">
        <v>129</v>
      </c>
      <c r="C87" s="62">
        <f>[17]С3!F18</f>
        <v>15</v>
      </c>
    </row>
    <row r="88" spans="1:3" s="63" customFormat="1" ht="17.25">
      <c r="A88" s="77" t="s">
        <v>130</v>
      </c>
      <c r="B88" s="33" t="s">
        <v>131</v>
      </c>
      <c r="C88" s="34">
        <f>[17]С3!F19</f>
        <v>4187.478806422544</v>
      </c>
    </row>
    <row r="89" spans="1:3" s="63" customFormat="1" ht="55.5">
      <c r="A89" s="77" t="s">
        <v>132</v>
      </c>
      <c r="B89" s="53" t="s">
        <v>133</v>
      </c>
      <c r="C89" s="80">
        <f>[17]С3!F20</f>
        <v>2.1999999999999999E-2</v>
      </c>
    </row>
    <row r="90" spans="1:3" s="63" customFormat="1" ht="14.25">
      <c r="A90" s="77" t="s">
        <v>134</v>
      </c>
      <c r="B90" s="58" t="s">
        <v>80</v>
      </c>
      <c r="C90" s="62">
        <f>[17]С3!F21</f>
        <v>10</v>
      </c>
    </row>
    <row r="91" spans="1:3" s="63" customFormat="1" ht="17.25">
      <c r="A91" s="77" t="s">
        <v>135</v>
      </c>
      <c r="B91" s="33" t="s">
        <v>136</v>
      </c>
      <c r="C91" s="34">
        <f>[17]С3!F22</f>
        <v>7.2494984785302705</v>
      </c>
    </row>
    <row r="92" spans="1:3" s="63" customFormat="1" ht="55.5">
      <c r="A92" s="77" t="s">
        <v>137</v>
      </c>
      <c r="B92" s="53" t="s">
        <v>138</v>
      </c>
      <c r="C92" s="80">
        <f>[17]С3!F23</f>
        <v>3.0000000000000001E-3</v>
      </c>
    </row>
    <row r="93" spans="1:3" s="63" customFormat="1" ht="27.75" thickBot="1">
      <c r="A93" s="81" t="s">
        <v>139</v>
      </c>
      <c r="B93" s="82" t="s">
        <v>140</v>
      </c>
      <c r="C93" s="83">
        <f>[17]С3!F24</f>
        <v>2416.4994928434235</v>
      </c>
    </row>
    <row r="94" spans="1:3" ht="13.5" thickBot="1">
      <c r="A94" s="47"/>
      <c r="B94" s="75"/>
      <c r="C94" s="15"/>
    </row>
    <row r="95" spans="1:3" ht="38.25" customHeight="1">
      <c r="A95" s="84" t="s">
        <v>141</v>
      </c>
      <c r="B95" s="146" t="s">
        <v>142</v>
      </c>
      <c r="C95" s="146"/>
    </row>
    <row r="96" spans="1:3" ht="30">
      <c r="A96" s="59" t="s">
        <v>143</v>
      </c>
      <c r="B96" s="33" t="s">
        <v>144</v>
      </c>
      <c r="C96" s="34">
        <f>[17]С4!F16</f>
        <v>1652.5</v>
      </c>
    </row>
    <row r="97" spans="1:3" ht="30">
      <c r="A97" s="59" t="s">
        <v>145</v>
      </c>
      <c r="B97" s="58" t="s">
        <v>146</v>
      </c>
      <c r="C97" s="34">
        <f>[17]С4!F17</f>
        <v>73547</v>
      </c>
    </row>
    <row r="98" spans="1:3" ht="17.25">
      <c r="A98" s="59" t="s">
        <v>147</v>
      </c>
      <c r="B98" s="58" t="s">
        <v>148</v>
      </c>
      <c r="C98" s="40">
        <f>[17]С4!F18</f>
        <v>0.02</v>
      </c>
    </row>
    <row r="99" spans="1:3" ht="30">
      <c r="A99" s="59" t="s">
        <v>149</v>
      </c>
      <c r="B99" s="58" t="s">
        <v>150</v>
      </c>
      <c r="C99" s="34">
        <f>[17]С4!F19</f>
        <v>12104</v>
      </c>
    </row>
    <row r="100" spans="1:3" ht="31.5">
      <c r="A100" s="59" t="s">
        <v>151</v>
      </c>
      <c r="B100" s="58" t="s">
        <v>152</v>
      </c>
      <c r="C100" s="40">
        <f>[17]С4!F20</f>
        <v>1.4999999999999999E-2</v>
      </c>
    </row>
    <row r="101" spans="1:3" ht="30">
      <c r="A101" s="59" t="s">
        <v>153</v>
      </c>
      <c r="B101" s="33" t="s">
        <v>154</v>
      </c>
      <c r="C101" s="34">
        <f>[17]С4!F21</f>
        <v>1933.1949342509995</v>
      </c>
    </row>
    <row r="102" spans="1:3" ht="24" customHeight="1">
      <c r="A102" s="59" t="s">
        <v>155</v>
      </c>
      <c r="B102" s="53" t="s">
        <v>156</v>
      </c>
      <c r="C102" s="85">
        <f>IF([17]С4.2!F8="да",[17]С4.2!D21,[17]С4.2!D15)</f>
        <v>0</v>
      </c>
    </row>
    <row r="103" spans="1:3" ht="68.25">
      <c r="A103" s="59" t="s">
        <v>157</v>
      </c>
      <c r="B103" s="53" t="s">
        <v>158</v>
      </c>
      <c r="C103" s="34">
        <f>[17]С4!F22</f>
        <v>3.6112641666666665</v>
      </c>
    </row>
    <row r="104" spans="1:3" ht="30">
      <c r="A104" s="59" t="s">
        <v>159</v>
      </c>
      <c r="B104" s="58" t="s">
        <v>160</v>
      </c>
      <c r="C104" s="34">
        <f>[17]С4!F23</f>
        <v>180</v>
      </c>
    </row>
    <row r="105" spans="1:3" ht="14.25">
      <c r="A105" s="59" t="s">
        <v>161</v>
      </c>
      <c r="B105" s="53" t="s">
        <v>162</v>
      </c>
      <c r="C105" s="34">
        <f>[17]С4!F24</f>
        <v>8497.1999999999989</v>
      </c>
    </row>
    <row r="106" spans="1:3" ht="14.25">
      <c r="A106" s="59" t="s">
        <v>163</v>
      </c>
      <c r="B106" s="58" t="s">
        <v>164</v>
      </c>
      <c r="C106" s="40">
        <f>[17]С4!F25</f>
        <v>0.35</v>
      </c>
    </row>
    <row r="107" spans="1:3" ht="17.25">
      <c r="A107" s="59" t="s">
        <v>165</v>
      </c>
      <c r="B107" s="33" t="s">
        <v>166</v>
      </c>
      <c r="C107" s="34">
        <f>[17]С4!F26</f>
        <v>80.439419999999998</v>
      </c>
    </row>
    <row r="108" spans="1:3" ht="25.5">
      <c r="A108" s="59" t="s">
        <v>167</v>
      </c>
      <c r="B108" s="53" t="s">
        <v>94</v>
      </c>
      <c r="C108" s="85">
        <f>[17]С4.3!E16</f>
        <v>0</v>
      </c>
    </row>
    <row r="109" spans="1:3" ht="25.5">
      <c r="A109" s="59" t="s">
        <v>168</v>
      </c>
      <c r="B109" s="53" t="s">
        <v>169</v>
      </c>
      <c r="C109" s="34">
        <f>[17]С4.3!E17</f>
        <v>21.66</v>
      </c>
    </row>
    <row r="110" spans="1:3" ht="38.25">
      <c r="A110" s="59" t="s">
        <v>170</v>
      </c>
      <c r="B110" s="53" t="s">
        <v>106</v>
      </c>
      <c r="C110" s="85">
        <f>[17]С4.3!E18</f>
        <v>0</v>
      </c>
    </row>
    <row r="111" spans="1:3">
      <c r="A111" s="59" t="s">
        <v>171</v>
      </c>
      <c r="B111" s="53" t="s">
        <v>172</v>
      </c>
      <c r="C111" s="34">
        <f>[17]С4.3!E19</f>
        <v>21.95</v>
      </c>
    </row>
    <row r="112" spans="1:3">
      <c r="A112" s="59" t="s">
        <v>173</v>
      </c>
      <c r="B112" s="58" t="s">
        <v>174</v>
      </c>
      <c r="C112" s="34">
        <f>[17]С4.3!E11</f>
        <v>1871</v>
      </c>
    </row>
    <row r="113" spans="1:3">
      <c r="A113" s="59" t="s">
        <v>175</v>
      </c>
      <c r="B113" s="58" t="s">
        <v>176</v>
      </c>
      <c r="C113" s="52">
        <f>[17]С4.3!E12</f>
        <v>1636</v>
      </c>
    </row>
    <row r="114" spans="1:3">
      <c r="A114" s="59" t="s">
        <v>177</v>
      </c>
      <c r="B114" s="58" t="s">
        <v>178</v>
      </c>
      <c r="C114" s="52">
        <f>[17]С4.3!E13</f>
        <v>204</v>
      </c>
    </row>
    <row r="115" spans="1:3" ht="30">
      <c r="A115" s="59" t="s">
        <v>179</v>
      </c>
      <c r="B115" s="33" t="s">
        <v>180</v>
      </c>
      <c r="C115" s="34">
        <f>[17]С4!F27</f>
        <v>1291.2863994686898</v>
      </c>
    </row>
    <row r="116" spans="1:3" ht="25.5">
      <c r="A116" s="59" t="s">
        <v>181</v>
      </c>
      <c r="B116" s="53" t="s">
        <v>182</v>
      </c>
      <c r="C116" s="34">
        <f>[17]С4!F28</f>
        <v>991.77142816335618</v>
      </c>
    </row>
    <row r="117" spans="1:3" ht="42.75">
      <c r="A117" s="59" t="s">
        <v>183</v>
      </c>
      <c r="B117" s="53" t="s">
        <v>184</v>
      </c>
      <c r="C117" s="34">
        <f>[17]С4!F29</f>
        <v>299.51497130533357</v>
      </c>
    </row>
    <row r="118" spans="1:3" ht="30">
      <c r="A118" s="59" t="s">
        <v>185</v>
      </c>
      <c r="B118" s="39" t="s">
        <v>186</v>
      </c>
      <c r="C118" s="34">
        <f>[17]С4!F30</f>
        <v>2380.6303525375206</v>
      </c>
    </row>
    <row r="119" spans="1:3" ht="42.75">
      <c r="A119" s="59" t="s">
        <v>187</v>
      </c>
      <c r="B119" s="86" t="s">
        <v>188</v>
      </c>
      <c r="C119" s="34">
        <f>[17]С4!F33</f>
        <v>1176.7426982817792</v>
      </c>
    </row>
    <row r="120" spans="1:3" ht="30">
      <c r="A120" s="59" t="s">
        <v>189</v>
      </c>
      <c r="B120" s="87" t="s">
        <v>190</v>
      </c>
      <c r="C120" s="34">
        <f>[17]С4!F35</f>
        <v>17.040680999999999</v>
      </c>
    </row>
    <row r="121" spans="1:3" ht="14.25">
      <c r="A121" s="59" t="s">
        <v>191</v>
      </c>
      <c r="B121" s="56" t="s">
        <v>192</v>
      </c>
      <c r="C121" s="34">
        <f>[17]С4!F36</f>
        <v>14319.9</v>
      </c>
    </row>
    <row r="122" spans="1:3" ht="28.5" thickBot="1">
      <c r="A122" s="72" t="s">
        <v>193</v>
      </c>
      <c r="B122" s="88" t="s">
        <v>194</v>
      </c>
      <c r="C122" s="83">
        <f>[17]С4!F37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[17]С5!F17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[17]С2!F37</f>
        <v>20.818139999999996</v>
      </c>
    </row>
    <row r="136" spans="1:4" ht="14.25">
      <c r="A136" s="59" t="s">
        <v>216</v>
      </c>
      <c r="B136" s="101" t="s">
        <v>217</v>
      </c>
      <c r="C136" s="34">
        <f>[17]С2!F38</f>
        <v>7</v>
      </c>
    </row>
    <row r="137" spans="1:4" ht="17.25">
      <c r="A137" s="59" t="s">
        <v>218</v>
      </c>
      <c r="B137" s="101" t="s">
        <v>219</v>
      </c>
      <c r="C137" s="34">
        <f>[17]С2!F40</f>
        <v>0.97</v>
      </c>
    </row>
    <row r="138" spans="1:4" ht="15" thickBot="1">
      <c r="A138" s="72" t="s">
        <v>220</v>
      </c>
      <c r="B138" s="102" t="s">
        <v>221</v>
      </c>
      <c r="C138" s="46">
        <f>[17]С2!F42</f>
        <v>0.35</v>
      </c>
    </row>
    <row r="139" spans="1:4" s="89" customFormat="1" ht="13.5" thickBot="1">
      <c r="A139" s="47"/>
      <c r="B139" s="75"/>
      <c r="C139" s="15"/>
    </row>
    <row r="140" spans="1:4" ht="30">
      <c r="A140" s="84" t="s">
        <v>222</v>
      </c>
      <c r="B140" s="103" t="s">
        <v>223</v>
      </c>
      <c r="C140" s="104">
        <f>[17]С2!F35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[17]С2.5!$E$11</f>
        <v>-2.9000000000000026E-2</v>
      </c>
      <c r="D143" s="89"/>
    </row>
    <row r="144" spans="1:4">
      <c r="A144" s="105"/>
      <c r="B144" s="110">
        <f>B143+1</f>
        <v>2021</v>
      </c>
      <c r="C144" s="111">
        <f>[17]С2.5!$F$11</f>
        <v>0.245</v>
      </c>
      <c r="D144" s="89"/>
    </row>
    <row r="145" spans="1:4">
      <c r="A145" s="105"/>
      <c r="B145" s="110">
        <f t="shared" ref="B145:B208" si="0">B144+1</f>
        <v>2022</v>
      </c>
      <c r="C145" s="111">
        <f>[17]С2.5!$G$11</f>
        <v>0.114</v>
      </c>
      <c r="D145" s="89"/>
    </row>
    <row r="146" spans="1:4" ht="13.5" thickBot="1">
      <c r="A146" s="105"/>
      <c r="B146" s="112">
        <f t="shared" si="0"/>
        <v>2023</v>
      </c>
      <c r="C146" s="113">
        <f>[17]С2.5!$H$11</f>
        <v>0.04</v>
      </c>
      <c r="D146" s="89"/>
    </row>
    <row r="147" spans="1:4">
      <c r="A147" s="105"/>
      <c r="B147" s="114">
        <f t="shared" si="0"/>
        <v>2024</v>
      </c>
      <c r="C147" s="115">
        <f>[17]С2.5!$I$11</f>
        <v>0.11700000000000001</v>
      </c>
      <c r="D147" s="89"/>
    </row>
    <row r="148" spans="1:4">
      <c r="A148" s="105"/>
      <c r="B148" s="110">
        <f t="shared" si="0"/>
        <v>2025</v>
      </c>
      <c r="C148" s="111">
        <f>[17]С2.5!$J$11</f>
        <v>6.0999999999999999E-2</v>
      </c>
      <c r="D148" s="89"/>
    </row>
    <row r="149" spans="1:4" hidden="1">
      <c r="A149" s="105"/>
      <c r="B149" s="110">
        <f t="shared" si="0"/>
        <v>2026</v>
      </c>
      <c r="C149" s="111">
        <f>[17]С2.5!$K$11</f>
        <v>3.5813361771260002E-2</v>
      </c>
      <c r="D149" s="89"/>
    </row>
    <row r="150" spans="1:4" hidden="1">
      <c r="A150" s="105"/>
      <c r="B150" s="110">
        <f t="shared" si="0"/>
        <v>2027</v>
      </c>
      <c r="C150" s="111">
        <f>[17]С2.5!$L$11</f>
        <v>3.2682303599220003E-2</v>
      </c>
      <c r="D150" s="89"/>
    </row>
    <row r="151" spans="1:4" hidden="1">
      <c r="A151" s="105"/>
      <c r="B151" s="110">
        <f t="shared" si="0"/>
        <v>2028</v>
      </c>
      <c r="C151" s="111">
        <f>[17]С2.5!$M$11</f>
        <v>0</v>
      </c>
      <c r="D151" s="89"/>
    </row>
    <row r="152" spans="1:4" hidden="1">
      <c r="A152" s="105"/>
      <c r="B152" s="110">
        <f t="shared" si="0"/>
        <v>2029</v>
      </c>
      <c r="C152" s="111">
        <f>[17]С2.5!$N$11</f>
        <v>0</v>
      </c>
      <c r="D152" s="89"/>
    </row>
    <row r="153" spans="1:4" hidden="1">
      <c r="A153" s="105"/>
      <c r="B153" s="110">
        <f t="shared" si="0"/>
        <v>2030</v>
      </c>
      <c r="C153" s="111">
        <f>[17]С2.5!$O$11</f>
        <v>0</v>
      </c>
      <c r="D153" s="89"/>
    </row>
    <row r="154" spans="1:4" hidden="1">
      <c r="A154" s="105"/>
      <c r="B154" s="110">
        <f t="shared" si="0"/>
        <v>2031</v>
      </c>
      <c r="C154" s="111">
        <f>[17]С2.5!$P$11</f>
        <v>0</v>
      </c>
      <c r="D154" s="89"/>
    </row>
    <row r="155" spans="1:4" hidden="1">
      <c r="A155" s="89"/>
      <c r="B155" s="110">
        <f t="shared" si="0"/>
        <v>2032</v>
      </c>
      <c r="C155" s="111">
        <f>[17]С2.5!$Q$11</f>
        <v>0</v>
      </c>
      <c r="D155" s="89"/>
    </row>
    <row r="156" spans="1:4" hidden="1">
      <c r="A156" s="89"/>
      <c r="B156" s="110">
        <f t="shared" si="0"/>
        <v>2033</v>
      </c>
      <c r="C156" s="111">
        <f>[17]С2.5!$R$11</f>
        <v>0</v>
      </c>
      <c r="D156" s="89"/>
    </row>
    <row r="157" spans="1:4" hidden="1">
      <c r="B157" s="110">
        <f t="shared" si="0"/>
        <v>2034</v>
      </c>
      <c r="C157" s="111">
        <f>[17]С2.5!$S$11</f>
        <v>0</v>
      </c>
    </row>
    <row r="158" spans="1:4" hidden="1">
      <c r="B158" s="110">
        <f t="shared" si="0"/>
        <v>2035</v>
      </c>
      <c r="C158" s="111">
        <f>[17]С2.5!$T$11</f>
        <v>0</v>
      </c>
    </row>
    <row r="159" spans="1:4" hidden="1">
      <c r="B159" s="110">
        <f t="shared" si="0"/>
        <v>2036</v>
      </c>
      <c r="C159" s="111">
        <f>[17]С2.5!$U$11</f>
        <v>0</v>
      </c>
    </row>
    <row r="160" spans="1:4" hidden="1">
      <c r="B160" s="110">
        <f t="shared" si="0"/>
        <v>2037</v>
      </c>
      <c r="C160" s="111">
        <f>[17]С2.5!$V$11</f>
        <v>0</v>
      </c>
    </row>
    <row r="161" spans="2:3" hidden="1">
      <c r="B161" s="110">
        <f t="shared" si="0"/>
        <v>2038</v>
      </c>
      <c r="C161" s="111">
        <f>[17]С2.5!$W$11</f>
        <v>0</v>
      </c>
    </row>
    <row r="162" spans="2:3" hidden="1">
      <c r="B162" s="110">
        <f t="shared" si="0"/>
        <v>2039</v>
      </c>
      <c r="C162" s="111">
        <f>[17]С2.5!$X$11</f>
        <v>0</v>
      </c>
    </row>
    <row r="163" spans="2:3" hidden="1">
      <c r="B163" s="110">
        <f t="shared" si="0"/>
        <v>2040</v>
      </c>
      <c r="C163" s="111">
        <f>[17]С2.5!$Y$11</f>
        <v>0</v>
      </c>
    </row>
    <row r="164" spans="2:3" hidden="1">
      <c r="B164" s="110">
        <f t="shared" si="0"/>
        <v>2041</v>
      </c>
      <c r="C164" s="111">
        <f>[17]С2.5!$Z$11</f>
        <v>0</v>
      </c>
    </row>
    <row r="165" spans="2:3" hidden="1">
      <c r="B165" s="110">
        <f t="shared" si="0"/>
        <v>2042</v>
      </c>
      <c r="C165" s="111">
        <f>[17]С2.5!$AA$11</f>
        <v>0</v>
      </c>
    </row>
    <row r="166" spans="2:3" hidden="1">
      <c r="B166" s="110">
        <f t="shared" si="0"/>
        <v>2043</v>
      </c>
      <c r="C166" s="111">
        <f>[17]С2.5!$AB$11</f>
        <v>0</v>
      </c>
    </row>
    <row r="167" spans="2:3" hidden="1">
      <c r="B167" s="110">
        <f t="shared" si="0"/>
        <v>2044</v>
      </c>
      <c r="C167" s="111">
        <f>[17]С2.5!$AC$11</f>
        <v>0</v>
      </c>
    </row>
    <row r="168" spans="2:3" hidden="1">
      <c r="B168" s="110">
        <f t="shared" si="0"/>
        <v>2045</v>
      </c>
      <c r="C168" s="111">
        <f>[17]С2.5!$AD$11</f>
        <v>0</v>
      </c>
    </row>
    <row r="169" spans="2:3" hidden="1">
      <c r="B169" s="110">
        <f t="shared" si="0"/>
        <v>2046</v>
      </c>
      <c r="C169" s="111">
        <f>[17]С2.5!$AE$11</f>
        <v>0</v>
      </c>
    </row>
    <row r="170" spans="2:3" hidden="1">
      <c r="B170" s="110">
        <f t="shared" si="0"/>
        <v>2047</v>
      </c>
      <c r="C170" s="111">
        <f>[17]С2.5!$AF$11</f>
        <v>0</v>
      </c>
    </row>
    <row r="171" spans="2:3" hidden="1">
      <c r="B171" s="110">
        <f t="shared" si="0"/>
        <v>2048</v>
      </c>
      <c r="C171" s="111">
        <f>[17]С2.5!$AG$11</f>
        <v>0</v>
      </c>
    </row>
    <row r="172" spans="2:3" hidden="1">
      <c r="B172" s="110">
        <f t="shared" si="0"/>
        <v>2049</v>
      </c>
      <c r="C172" s="111">
        <f>[17]С2.5!$AH$11</f>
        <v>0</v>
      </c>
    </row>
    <row r="173" spans="2:3" hidden="1">
      <c r="B173" s="110">
        <f t="shared" si="0"/>
        <v>2050</v>
      </c>
      <c r="C173" s="111">
        <f>[17]С2.5!$AI$11</f>
        <v>0</v>
      </c>
    </row>
    <row r="174" spans="2:3" hidden="1">
      <c r="B174" s="110">
        <f t="shared" si="0"/>
        <v>2051</v>
      </c>
      <c r="C174" s="111">
        <f>[17]С2.5!$AJ$11</f>
        <v>0</v>
      </c>
    </row>
    <row r="175" spans="2:3" hidden="1">
      <c r="B175" s="110">
        <f t="shared" si="0"/>
        <v>2052</v>
      </c>
      <c r="C175" s="111">
        <f>[17]С2.5!$AK$11</f>
        <v>0</v>
      </c>
    </row>
    <row r="176" spans="2:3" hidden="1">
      <c r="B176" s="110">
        <f t="shared" si="0"/>
        <v>2053</v>
      </c>
      <c r="C176" s="111">
        <f>[17]С2.5!$AL$11</f>
        <v>0</v>
      </c>
    </row>
    <row r="177" spans="2:3" hidden="1">
      <c r="B177" s="110">
        <f t="shared" si="0"/>
        <v>2054</v>
      </c>
      <c r="C177" s="111">
        <f>[17]С2.5!$AM$11</f>
        <v>0</v>
      </c>
    </row>
    <row r="178" spans="2:3" hidden="1">
      <c r="B178" s="110">
        <f t="shared" si="0"/>
        <v>2055</v>
      </c>
      <c r="C178" s="111">
        <f>[17]С2.5!$AN$11</f>
        <v>0</v>
      </c>
    </row>
    <row r="179" spans="2:3" hidden="1">
      <c r="B179" s="110">
        <f t="shared" si="0"/>
        <v>2056</v>
      </c>
      <c r="C179" s="111">
        <f>[17]С2.5!$AO$11</f>
        <v>0</v>
      </c>
    </row>
    <row r="180" spans="2:3" hidden="1">
      <c r="B180" s="110">
        <f t="shared" si="0"/>
        <v>2057</v>
      </c>
      <c r="C180" s="111">
        <f>[17]С2.5!$AP$11</f>
        <v>0</v>
      </c>
    </row>
    <row r="181" spans="2:3" hidden="1">
      <c r="B181" s="110">
        <f t="shared" si="0"/>
        <v>2058</v>
      </c>
      <c r="C181" s="111">
        <f>[17]С2.5!$AQ$11</f>
        <v>0</v>
      </c>
    </row>
    <row r="182" spans="2:3" hidden="1">
      <c r="B182" s="110">
        <f t="shared" si="0"/>
        <v>2059</v>
      </c>
      <c r="C182" s="111">
        <f>[17]С2.5!$AR$11</f>
        <v>0</v>
      </c>
    </row>
    <row r="183" spans="2:3" hidden="1">
      <c r="B183" s="110">
        <f t="shared" si="0"/>
        <v>2060</v>
      </c>
      <c r="C183" s="111">
        <f>[17]С2.5!$AS$11</f>
        <v>0</v>
      </c>
    </row>
    <row r="184" spans="2:3" hidden="1">
      <c r="B184" s="110">
        <f t="shared" si="0"/>
        <v>2061</v>
      </c>
      <c r="C184" s="111">
        <f>[17]С2.5!$AT$11</f>
        <v>0</v>
      </c>
    </row>
    <row r="185" spans="2:3" hidden="1">
      <c r="B185" s="110">
        <f t="shared" si="0"/>
        <v>2062</v>
      </c>
      <c r="C185" s="111">
        <f>[17]С2.5!$AU$11</f>
        <v>0</v>
      </c>
    </row>
    <row r="186" spans="2:3" hidden="1">
      <c r="B186" s="110">
        <f t="shared" si="0"/>
        <v>2063</v>
      </c>
      <c r="C186" s="111">
        <f>[17]С2.5!$AV$11</f>
        <v>0</v>
      </c>
    </row>
    <row r="187" spans="2:3" hidden="1">
      <c r="B187" s="110">
        <f t="shared" si="0"/>
        <v>2064</v>
      </c>
      <c r="C187" s="111">
        <f>[17]С2.5!$AW$11</f>
        <v>0</v>
      </c>
    </row>
    <row r="188" spans="2:3" hidden="1">
      <c r="B188" s="110">
        <f t="shared" si="0"/>
        <v>2065</v>
      </c>
      <c r="C188" s="111">
        <f>[17]С2.5!$AX$11</f>
        <v>0</v>
      </c>
    </row>
    <row r="189" spans="2:3" hidden="1">
      <c r="B189" s="110">
        <f t="shared" si="0"/>
        <v>2066</v>
      </c>
      <c r="C189" s="111">
        <f>[17]С2.5!$AY$11</f>
        <v>0</v>
      </c>
    </row>
    <row r="190" spans="2:3" hidden="1">
      <c r="B190" s="110">
        <f t="shared" si="0"/>
        <v>2067</v>
      </c>
      <c r="C190" s="111">
        <f>[17]С2.5!$AZ$11</f>
        <v>0</v>
      </c>
    </row>
    <row r="191" spans="2:3" hidden="1">
      <c r="B191" s="110">
        <f t="shared" si="0"/>
        <v>2068</v>
      </c>
      <c r="C191" s="111">
        <f>[17]С2.5!$BA$11</f>
        <v>0</v>
      </c>
    </row>
    <row r="192" spans="2:3" hidden="1">
      <c r="B192" s="110">
        <f t="shared" si="0"/>
        <v>2069</v>
      </c>
      <c r="C192" s="111">
        <f>[17]С2.5!$BB$11</f>
        <v>0</v>
      </c>
    </row>
    <row r="193" spans="2:3" hidden="1">
      <c r="B193" s="110">
        <f t="shared" si="0"/>
        <v>2070</v>
      </c>
      <c r="C193" s="111">
        <f>[17]С2.5!$BC$11</f>
        <v>0</v>
      </c>
    </row>
    <row r="194" spans="2:3" hidden="1">
      <c r="B194" s="110">
        <f t="shared" si="0"/>
        <v>2071</v>
      </c>
      <c r="C194" s="111">
        <f>[17]С2.5!$BD$11</f>
        <v>0</v>
      </c>
    </row>
    <row r="195" spans="2:3" hidden="1">
      <c r="B195" s="110">
        <f t="shared" si="0"/>
        <v>2072</v>
      </c>
      <c r="C195" s="111">
        <f>[17]С2.5!$BE$11</f>
        <v>0</v>
      </c>
    </row>
    <row r="196" spans="2:3" hidden="1">
      <c r="B196" s="110">
        <f t="shared" si="0"/>
        <v>2073</v>
      </c>
      <c r="C196" s="111">
        <f>[17]С2.5!$BF$11</f>
        <v>0</v>
      </c>
    </row>
    <row r="197" spans="2:3" hidden="1">
      <c r="B197" s="110">
        <f t="shared" si="0"/>
        <v>2074</v>
      </c>
      <c r="C197" s="111">
        <f>[17]С2.5!$BG$11</f>
        <v>0</v>
      </c>
    </row>
    <row r="198" spans="2:3" hidden="1">
      <c r="B198" s="110">
        <f t="shared" si="0"/>
        <v>2075</v>
      </c>
      <c r="C198" s="111">
        <f>[17]С2.5!$BH$11</f>
        <v>0</v>
      </c>
    </row>
    <row r="199" spans="2:3" hidden="1">
      <c r="B199" s="110">
        <f t="shared" si="0"/>
        <v>2076</v>
      </c>
      <c r="C199" s="111">
        <f>[17]С2.5!$BI$11</f>
        <v>0</v>
      </c>
    </row>
    <row r="200" spans="2:3" hidden="1">
      <c r="B200" s="110">
        <f t="shared" si="0"/>
        <v>2077</v>
      </c>
      <c r="C200" s="111">
        <f>[17]С2.5!$BJ$11</f>
        <v>0</v>
      </c>
    </row>
    <row r="201" spans="2:3" hidden="1">
      <c r="B201" s="110">
        <f t="shared" si="0"/>
        <v>2078</v>
      </c>
      <c r="C201" s="111">
        <f>[17]С2.5!$BK$11</f>
        <v>0</v>
      </c>
    </row>
    <row r="202" spans="2:3" hidden="1">
      <c r="B202" s="110">
        <f t="shared" si="0"/>
        <v>2079</v>
      </c>
      <c r="C202" s="111">
        <f>[17]С2.5!$BL$11</f>
        <v>0</v>
      </c>
    </row>
    <row r="203" spans="2:3" hidden="1">
      <c r="B203" s="110">
        <f t="shared" si="0"/>
        <v>2080</v>
      </c>
      <c r="C203" s="111">
        <f>[17]С2.5!$BM$11</f>
        <v>0</v>
      </c>
    </row>
    <row r="204" spans="2:3" hidden="1">
      <c r="B204" s="110">
        <f t="shared" si="0"/>
        <v>2081</v>
      </c>
      <c r="C204" s="111">
        <f>[17]С2.5!$BN$11</f>
        <v>0</v>
      </c>
    </row>
    <row r="205" spans="2:3" hidden="1">
      <c r="B205" s="110">
        <f t="shared" si="0"/>
        <v>2082</v>
      </c>
      <c r="C205" s="111">
        <f>[17]С2.5!$BO$11</f>
        <v>0</v>
      </c>
    </row>
    <row r="206" spans="2:3" hidden="1">
      <c r="B206" s="110">
        <f t="shared" si="0"/>
        <v>2083</v>
      </c>
      <c r="C206" s="111">
        <f>[17]С2.5!$BP$11</f>
        <v>0</v>
      </c>
    </row>
    <row r="207" spans="2:3" hidden="1">
      <c r="B207" s="110">
        <f t="shared" si="0"/>
        <v>2084</v>
      </c>
      <c r="C207" s="111">
        <f>[17]С2.5!$BQ$11</f>
        <v>0</v>
      </c>
    </row>
    <row r="208" spans="2:3" hidden="1">
      <c r="B208" s="110">
        <f t="shared" si="0"/>
        <v>2085</v>
      </c>
      <c r="C208" s="111">
        <f>[17]С2.5!$BR$11</f>
        <v>0</v>
      </c>
    </row>
    <row r="209" spans="2:3" hidden="1">
      <c r="B209" s="110">
        <f t="shared" ref="B209:B223" si="1">B208+1</f>
        <v>2086</v>
      </c>
      <c r="C209" s="111">
        <f>[17]С2.5!$BS$11</f>
        <v>0</v>
      </c>
    </row>
    <row r="210" spans="2:3" hidden="1">
      <c r="B210" s="110">
        <f t="shared" si="1"/>
        <v>2087</v>
      </c>
      <c r="C210" s="111">
        <f>[17]С2.5!$BT$11</f>
        <v>0</v>
      </c>
    </row>
    <row r="211" spans="2:3" hidden="1">
      <c r="B211" s="110">
        <f t="shared" si="1"/>
        <v>2088</v>
      </c>
      <c r="C211" s="111">
        <f>[17]С2.5!$BU$11</f>
        <v>0</v>
      </c>
    </row>
    <row r="212" spans="2:3" hidden="1">
      <c r="B212" s="110">
        <f t="shared" si="1"/>
        <v>2089</v>
      </c>
      <c r="C212" s="111">
        <f>[17]С2.5!$BV$11</f>
        <v>0</v>
      </c>
    </row>
    <row r="213" spans="2:3" hidden="1">
      <c r="B213" s="110">
        <f t="shared" si="1"/>
        <v>2090</v>
      </c>
      <c r="C213" s="111">
        <f>[17]С2.5!$BW$11</f>
        <v>0</v>
      </c>
    </row>
    <row r="214" spans="2:3" hidden="1">
      <c r="B214" s="110">
        <f t="shared" si="1"/>
        <v>2091</v>
      </c>
      <c r="C214" s="111">
        <f>[17]С2.5!$BX$11</f>
        <v>0</v>
      </c>
    </row>
    <row r="215" spans="2:3" hidden="1">
      <c r="B215" s="110">
        <f t="shared" si="1"/>
        <v>2092</v>
      </c>
      <c r="C215" s="111">
        <f>[17]С2.5!$BY$11</f>
        <v>0</v>
      </c>
    </row>
    <row r="216" spans="2:3" hidden="1">
      <c r="B216" s="110">
        <f t="shared" si="1"/>
        <v>2093</v>
      </c>
      <c r="C216" s="111">
        <f>[17]С2.5!$BZ$11</f>
        <v>0</v>
      </c>
    </row>
    <row r="217" spans="2:3" hidden="1">
      <c r="B217" s="110">
        <f t="shared" si="1"/>
        <v>2094</v>
      </c>
      <c r="C217" s="111">
        <f>[17]С2.5!$CA$11</f>
        <v>0</v>
      </c>
    </row>
    <row r="218" spans="2:3" hidden="1">
      <c r="B218" s="110">
        <f t="shared" si="1"/>
        <v>2095</v>
      </c>
      <c r="C218" s="111">
        <f>[17]С2.5!$CB$11</f>
        <v>0</v>
      </c>
    </row>
    <row r="219" spans="2:3" hidden="1">
      <c r="B219" s="110">
        <f t="shared" si="1"/>
        <v>2096</v>
      </c>
      <c r="C219" s="111">
        <f>[17]С2.5!$CC$11</f>
        <v>0</v>
      </c>
    </row>
    <row r="220" spans="2:3" hidden="1">
      <c r="B220" s="110">
        <f t="shared" si="1"/>
        <v>2097</v>
      </c>
      <c r="C220" s="111">
        <f>[17]С2.5!$CD$11</f>
        <v>0</v>
      </c>
    </row>
    <row r="221" spans="2:3" hidden="1">
      <c r="B221" s="110">
        <f t="shared" si="1"/>
        <v>2098</v>
      </c>
      <c r="C221" s="111">
        <f>[17]С2.5!$CE$11</f>
        <v>0</v>
      </c>
    </row>
    <row r="222" spans="2:3" hidden="1">
      <c r="B222" s="110">
        <f t="shared" si="1"/>
        <v>2099</v>
      </c>
      <c r="C222" s="111">
        <f>[17]С2.5!$CF$11</f>
        <v>0</v>
      </c>
    </row>
    <row r="223" spans="2:3" ht="13.5" hidden="1" thickBot="1">
      <c r="B223" s="112">
        <f t="shared" si="1"/>
        <v>2100</v>
      </c>
      <c r="C223" s="113">
        <f>[17]С2.5!$CG$11</f>
        <v>0</v>
      </c>
    </row>
    <row r="224" spans="2:3" hidden="1">
      <c r="C224" s="116"/>
    </row>
    <row r="225" spans="3:3" hidden="1">
      <c r="C225" s="116"/>
    </row>
    <row r="226" spans="3:3">
      <c r="C226" s="116"/>
    </row>
  </sheetData>
  <mergeCells count="9">
    <mergeCell ref="B95:C95"/>
    <mergeCell ref="B124:C124"/>
    <mergeCell ref="B127:C127"/>
    <mergeCell ref="B141:C141"/>
    <mergeCell ref="A14:C14"/>
    <mergeCell ref="B1:C1"/>
    <mergeCell ref="B27:C27"/>
    <mergeCell ref="B40:C40"/>
    <mergeCell ref="B84:C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0" r:id="rId3" name="Button 2">
              <controlPr defaultSize="0" print="0" autoFill="0" autoPict="0" macro="[1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1" r:id="rId4" name="Button 3">
              <controlPr defaultSize="0" print="0" autoFill="0" autoPict="0" macro="[1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2" r:id="rId5" name="Button 4">
              <controlPr defaultSize="0" print="0" autoFill="0" autoPict="0" macro="[1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3" r:id="rId6" name="Button 5">
              <controlPr defaultSize="0" print="0" autoFill="0" autoPict="0" macro="[1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4" r:id="rId7" name="Button 6">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[19]И1!D13</f>
        <v>Субъект Российской Федерации</v>
      </c>
      <c r="C4" s="10" t="str">
        <f>[19]И1!E13</f>
        <v>Новосибирская область</v>
      </c>
    </row>
    <row r="5" spans="1:3" ht="46.9" customHeight="1">
      <c r="A5" s="8"/>
      <c r="B5" s="9" t="str">
        <f>[19]И1!D14</f>
        <v>Тип муниципального образования (выберите из списка)</v>
      </c>
      <c r="C5" s="10" t="str">
        <f>[19]И1!E14</f>
        <v>село Завьялово, Тогучинский муниципальный район</v>
      </c>
    </row>
    <row r="6" spans="1:3">
      <c r="A6" s="8"/>
      <c r="B6" s="9" t="str">
        <f>IF([19]И1!E15="","",[19]И1!D15)</f>
        <v/>
      </c>
      <c r="C6" s="10" t="str">
        <f>IF([19]И1!E15="","",[19]И1!E15)</f>
        <v/>
      </c>
    </row>
    <row r="7" spans="1:3">
      <c r="A7" s="8"/>
      <c r="B7" s="9" t="str">
        <f>[19]И1!D16</f>
        <v>Код ОКТМО</v>
      </c>
      <c r="C7" s="11" t="str">
        <f>[19]И1!E16</f>
        <v>50652413101</v>
      </c>
    </row>
    <row r="8" spans="1:3">
      <c r="A8" s="8"/>
      <c r="B8" s="12" t="str">
        <f>[19]И1!D17</f>
        <v>Система теплоснабжения</v>
      </c>
      <c r="C8" s="13">
        <f>[19]И1!E17</f>
        <v>0</v>
      </c>
    </row>
    <row r="9" spans="1:3">
      <c r="A9" s="8"/>
      <c r="B9" s="9" t="str">
        <f>[19]И1!D8</f>
        <v>Период регулирования (i)-й</v>
      </c>
      <c r="C9" s="14">
        <f>[19]И1!E8</f>
        <v>2025</v>
      </c>
    </row>
    <row r="10" spans="1:3">
      <c r="A10" s="8"/>
      <c r="B10" s="9" t="str">
        <f>[19]И1!D9</f>
        <v>Период регулирования (i-1)-й</v>
      </c>
      <c r="C10" s="14">
        <f>[19]И1!E9</f>
        <v>2024</v>
      </c>
    </row>
    <row r="11" spans="1:3">
      <c r="A11" s="8"/>
      <c r="B11" s="9" t="str">
        <f>[19]И1!D10</f>
        <v>Период регулирования (i-2)-й</v>
      </c>
      <c r="C11" s="14">
        <f>[19]И1!E10</f>
        <v>2023</v>
      </c>
    </row>
    <row r="12" spans="1:3">
      <c r="A12" s="8"/>
      <c r="B12" s="9" t="str">
        <f>[19]И1!D11</f>
        <v>Базовый год (б)</v>
      </c>
      <c r="C12" s="14">
        <f>[19]И1!E11</f>
        <v>2019</v>
      </c>
    </row>
    <row r="13" spans="1:3" ht="38.25">
      <c r="A13" s="8"/>
      <c r="B13" s="9" t="str">
        <f>[19]И1!D18</f>
        <v>Вид топлива, использование которого преобладает в системе теплоснабжения</v>
      </c>
      <c r="C13" s="15" t="str">
        <f>[19]С1.1!E13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5384.0718649825558</v>
      </c>
    </row>
    <row r="18" spans="1:3" ht="42.75">
      <c r="A18" s="22" t="s">
        <v>8</v>
      </c>
      <c r="B18" s="25" t="s">
        <v>9</v>
      </c>
      <c r="C18" s="26">
        <f>[19]С1!F12</f>
        <v>795.80460480398301</v>
      </c>
    </row>
    <row r="19" spans="1:3" ht="42.75">
      <c r="A19" s="22" t="s">
        <v>10</v>
      </c>
      <c r="B19" s="25" t="s">
        <v>11</v>
      </c>
      <c r="C19" s="26">
        <f>[19]С2!F12</f>
        <v>3056.1591261705735</v>
      </c>
    </row>
    <row r="20" spans="1:3" ht="30">
      <c r="A20" s="22" t="s">
        <v>12</v>
      </c>
      <c r="B20" s="25" t="s">
        <v>13</v>
      </c>
      <c r="C20" s="26">
        <f>[19]С3!F12</f>
        <v>915.44743976410246</v>
      </c>
    </row>
    <row r="21" spans="1:3" ht="42.75">
      <c r="A21" s="22" t="s">
        <v>14</v>
      </c>
      <c r="B21" s="25" t="s">
        <v>15</v>
      </c>
      <c r="C21" s="26">
        <f>[19]С4!F12</f>
        <v>511.09065767561174</v>
      </c>
    </row>
    <row r="22" spans="1:3" ht="30">
      <c r="A22" s="22" t="s">
        <v>16</v>
      </c>
      <c r="B22" s="25" t="s">
        <v>17</v>
      </c>
      <c r="C22" s="26">
        <f>[19]С5!F12</f>
        <v>105.57003656828542</v>
      </c>
    </row>
    <row r="23" spans="1:3" ht="43.5" thickBot="1">
      <c r="A23" s="27" t="s">
        <v>18</v>
      </c>
      <c r="B23" s="140" t="s">
        <v>19</v>
      </c>
      <c r="C23" s="28" t="str">
        <f>[19]С6!F12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[19]С1.1!E16</f>
        <v>5100</v>
      </c>
    </row>
    <row r="29" spans="1:3" ht="42.75">
      <c r="A29" s="22" t="s">
        <v>10</v>
      </c>
      <c r="B29" s="33" t="s">
        <v>22</v>
      </c>
      <c r="C29" s="34">
        <f>[19]С1.1!E27</f>
        <v>2870.67</v>
      </c>
    </row>
    <row r="30" spans="1:3" ht="17.25">
      <c r="A30" s="22" t="s">
        <v>12</v>
      </c>
      <c r="B30" s="33" t="s">
        <v>23</v>
      </c>
      <c r="C30" s="35">
        <f>[19]С1.1!E19</f>
        <v>1.4E-2</v>
      </c>
    </row>
    <row r="31" spans="1:3" ht="17.25">
      <c r="A31" s="22" t="s">
        <v>14</v>
      </c>
      <c r="B31" s="33" t="s">
        <v>24</v>
      </c>
      <c r="C31" s="35">
        <f>[19]С1.1!E20</f>
        <v>0.04</v>
      </c>
    </row>
    <row r="32" spans="1:3" ht="30">
      <c r="A32" s="22" t="s">
        <v>16</v>
      </c>
      <c r="B32" s="36" t="s">
        <v>25</v>
      </c>
      <c r="C32" s="37">
        <f>[19]С1!F13</f>
        <v>176.4</v>
      </c>
    </row>
    <row r="33" spans="1:3">
      <c r="A33" s="22" t="s">
        <v>18</v>
      </c>
      <c r="B33" s="36" t="s">
        <v>26</v>
      </c>
      <c r="C33" s="38">
        <f>[19]С1!F16</f>
        <v>7000</v>
      </c>
    </row>
    <row r="34" spans="1:3" ht="14.25">
      <c r="A34" s="22" t="s">
        <v>27</v>
      </c>
      <c r="B34" s="39" t="s">
        <v>28</v>
      </c>
      <c r="C34" s="40">
        <f>[19]С1!F17</f>
        <v>0.72857142857142854</v>
      </c>
    </row>
    <row r="35" spans="1:3" ht="15.75">
      <c r="A35" s="41" t="s">
        <v>29</v>
      </c>
      <c r="B35" s="42" t="s">
        <v>30</v>
      </c>
      <c r="C35" s="40">
        <f>[19]С1!F20</f>
        <v>21.588411179999994</v>
      </c>
    </row>
    <row r="36" spans="1:3" ht="15.75">
      <c r="A36" s="41" t="s">
        <v>31</v>
      </c>
      <c r="B36" s="43" t="s">
        <v>32</v>
      </c>
      <c r="C36" s="40">
        <f>[19]С1!F21</f>
        <v>20.818139999999996</v>
      </c>
    </row>
    <row r="37" spans="1:3" ht="14.25">
      <c r="A37" s="41" t="s">
        <v>33</v>
      </c>
      <c r="B37" s="44" t="s">
        <v>34</v>
      </c>
      <c r="C37" s="40">
        <f>[19]С1!F22</f>
        <v>1.0369999999999999</v>
      </c>
    </row>
    <row r="38" spans="1:3" ht="53.25" thickBot="1">
      <c r="A38" s="27" t="s">
        <v>35</v>
      </c>
      <c r="B38" s="45" t="s">
        <v>36</v>
      </c>
      <c r="C38" s="46">
        <f>[19]С1!F23</f>
        <v>1.0469999999999999</v>
      </c>
    </row>
    <row r="39" spans="1:3" ht="13.5" thickBot="1">
      <c r="A39" s="47"/>
      <c r="B39" s="48"/>
      <c r="C39" s="49"/>
    </row>
    <row r="40" spans="1:3" ht="42.75" customHeight="1">
      <c r="A40" s="50" t="s">
        <v>37</v>
      </c>
      <c r="B40" s="146" t="s">
        <v>38</v>
      </c>
      <c r="C40" s="146"/>
    </row>
    <row r="41" spans="1:3" ht="25.5">
      <c r="A41" s="22" t="s">
        <v>39</v>
      </c>
      <c r="B41" s="36" t="s">
        <v>40</v>
      </c>
      <c r="C41" s="51" t="str">
        <f>[19]С2.1!E12</f>
        <v>V</v>
      </c>
    </row>
    <row r="42" spans="1:3" ht="25.5">
      <c r="A42" s="22" t="s">
        <v>41</v>
      </c>
      <c r="B42" s="33" t="s">
        <v>42</v>
      </c>
      <c r="C42" s="51" t="str">
        <f>[19]С2.1!E13</f>
        <v>6 и менее баллов</v>
      </c>
    </row>
    <row r="43" spans="1:3" ht="25.5">
      <c r="A43" s="22" t="s">
        <v>43</v>
      </c>
      <c r="B43" s="33" t="s">
        <v>44</v>
      </c>
      <c r="C43" s="51" t="str">
        <f>[19]С2.1!E14</f>
        <v>от 200 до 500</v>
      </c>
    </row>
    <row r="44" spans="1:3" ht="25.5">
      <c r="A44" s="22" t="s">
        <v>45</v>
      </c>
      <c r="B44" s="33" t="s">
        <v>46</v>
      </c>
      <c r="C44" s="52" t="str">
        <f>[19]С2.1!E15</f>
        <v>нет</v>
      </c>
    </row>
    <row r="45" spans="1:3" ht="30">
      <c r="A45" s="22" t="s">
        <v>47</v>
      </c>
      <c r="B45" s="33" t="s">
        <v>48</v>
      </c>
      <c r="C45" s="34">
        <f>[19]С2!F18</f>
        <v>38910.02669467502</v>
      </c>
    </row>
    <row r="46" spans="1:3" ht="30">
      <c r="A46" s="22" t="s">
        <v>49</v>
      </c>
      <c r="B46" s="53" t="s">
        <v>50</v>
      </c>
      <c r="C46" s="34">
        <f>IF([19]С2!F19&gt;0,[19]С2!F19,[19]С2!F20)</f>
        <v>23441.524932855718</v>
      </c>
    </row>
    <row r="47" spans="1:3" ht="25.5">
      <c r="A47" s="22" t="s">
        <v>51</v>
      </c>
      <c r="B47" s="54" t="s">
        <v>52</v>
      </c>
      <c r="C47" s="34">
        <f>[19]С2.1!E19</f>
        <v>-38</v>
      </c>
    </row>
    <row r="48" spans="1:3" ht="25.5">
      <c r="A48" s="22" t="s">
        <v>53</v>
      </c>
      <c r="B48" s="54" t="s">
        <v>54</v>
      </c>
      <c r="C48" s="34" t="str">
        <f>[19]С2.1!E22</f>
        <v>нет</v>
      </c>
    </row>
    <row r="49" spans="1:3" ht="38.25">
      <c r="A49" s="22" t="s">
        <v>55</v>
      </c>
      <c r="B49" s="55" t="s">
        <v>56</v>
      </c>
      <c r="C49" s="34">
        <f>[19]С2.2!E10</f>
        <v>1287</v>
      </c>
    </row>
    <row r="50" spans="1:3" ht="25.5">
      <c r="A50" s="22" t="s">
        <v>57</v>
      </c>
      <c r="B50" s="56" t="s">
        <v>58</v>
      </c>
      <c r="C50" s="34">
        <f>[19]С2.2!E12</f>
        <v>5.97</v>
      </c>
    </row>
    <row r="51" spans="1:3" ht="52.5">
      <c r="A51" s="22" t="s">
        <v>59</v>
      </c>
      <c r="B51" s="57" t="s">
        <v>60</v>
      </c>
      <c r="C51" s="34">
        <f>[19]С2.2!E13</f>
        <v>1</v>
      </c>
    </row>
    <row r="52" spans="1:3" ht="27.75">
      <c r="A52" s="22" t="s">
        <v>61</v>
      </c>
      <c r="B52" s="56" t="s">
        <v>62</v>
      </c>
      <c r="C52" s="34">
        <f>[19]С2.2!E14</f>
        <v>12104</v>
      </c>
    </row>
    <row r="53" spans="1:3" ht="25.5">
      <c r="A53" s="22" t="s">
        <v>63</v>
      </c>
      <c r="B53" s="57" t="s">
        <v>64</v>
      </c>
      <c r="C53" s="35">
        <f>[19]С2.2!E15</f>
        <v>4.8000000000000001E-2</v>
      </c>
    </row>
    <row r="54" spans="1:3">
      <c r="A54" s="22" t="s">
        <v>65</v>
      </c>
      <c r="B54" s="57" t="s">
        <v>66</v>
      </c>
      <c r="C54" s="34">
        <f>[19]С2.2!E16</f>
        <v>1</v>
      </c>
    </row>
    <row r="55" spans="1:3" ht="15.75">
      <c r="A55" s="22" t="s">
        <v>67</v>
      </c>
      <c r="B55" s="58" t="s">
        <v>68</v>
      </c>
      <c r="C55" s="34">
        <f>[19]С2!F21</f>
        <v>1</v>
      </c>
    </row>
    <row r="56" spans="1:3" ht="30">
      <c r="A56" s="59" t="s">
        <v>69</v>
      </c>
      <c r="B56" s="33" t="s">
        <v>70</v>
      </c>
      <c r="C56" s="34">
        <f>[19]С2!F13</f>
        <v>203708.97017230222</v>
      </c>
    </row>
    <row r="57" spans="1:3" ht="30">
      <c r="A57" s="59" t="s">
        <v>71</v>
      </c>
      <c r="B57" s="58" t="s">
        <v>72</v>
      </c>
      <c r="C57" s="34">
        <f>[19]С2!F14</f>
        <v>113455</v>
      </c>
    </row>
    <row r="58" spans="1:3" ht="15.75">
      <c r="A58" s="59" t="s">
        <v>73</v>
      </c>
      <c r="B58" s="60" t="s">
        <v>74</v>
      </c>
      <c r="C58" s="40">
        <f>[19]С2!F15</f>
        <v>1.071</v>
      </c>
    </row>
    <row r="59" spans="1:3" ht="15.75">
      <c r="A59" s="59" t="s">
        <v>75</v>
      </c>
      <c r="B59" s="60" t="s">
        <v>76</v>
      </c>
      <c r="C59" s="40">
        <f>[19]С2!F16</f>
        <v>1</v>
      </c>
    </row>
    <row r="60" spans="1:3" ht="17.25">
      <c r="A60" s="59" t="s">
        <v>77</v>
      </c>
      <c r="B60" s="58" t="s">
        <v>78</v>
      </c>
      <c r="C60" s="34">
        <f>[19]С2!F17</f>
        <v>1.01</v>
      </c>
    </row>
    <row r="61" spans="1:3" s="63" customFormat="1" ht="14.25">
      <c r="A61" s="59" t="s">
        <v>79</v>
      </c>
      <c r="B61" s="61" t="s">
        <v>80</v>
      </c>
      <c r="C61" s="62">
        <f>[19]С2!F33</f>
        <v>10</v>
      </c>
    </row>
    <row r="62" spans="1:3" ht="30">
      <c r="A62" s="59" t="s">
        <v>81</v>
      </c>
      <c r="B62" s="64" t="s">
        <v>82</v>
      </c>
      <c r="C62" s="34">
        <f>[19]С2!F26</f>
        <v>2416.4994928434235</v>
      </c>
    </row>
    <row r="63" spans="1:3" ht="17.25">
      <c r="A63" s="59" t="s">
        <v>83</v>
      </c>
      <c r="B63" s="53" t="s">
        <v>84</v>
      </c>
      <c r="C63" s="34">
        <f>[19]С2!F27</f>
        <v>0.34662649000000001</v>
      </c>
    </row>
    <row r="64" spans="1:3" ht="17.25">
      <c r="A64" s="59" t="s">
        <v>85</v>
      </c>
      <c r="B64" s="58" t="s">
        <v>86</v>
      </c>
      <c r="C64" s="62">
        <f>[19]С2!F28</f>
        <v>4200</v>
      </c>
    </row>
    <row r="65" spans="1:3" ht="42.75">
      <c r="A65" s="59" t="s">
        <v>87</v>
      </c>
      <c r="B65" s="33" t="s">
        <v>88</v>
      </c>
      <c r="C65" s="34">
        <f>[19]С2!F22</f>
        <v>42890.921752741691</v>
      </c>
    </row>
    <row r="66" spans="1:3" ht="30">
      <c r="A66" s="59" t="s">
        <v>89</v>
      </c>
      <c r="B66" s="60" t="s">
        <v>90</v>
      </c>
      <c r="C66" s="34">
        <f>[19]С2!F23</f>
        <v>1990</v>
      </c>
    </row>
    <row r="67" spans="1:3" ht="30">
      <c r="A67" s="59" t="s">
        <v>91</v>
      </c>
      <c r="B67" s="53" t="s">
        <v>92</v>
      </c>
      <c r="C67" s="34">
        <f>[19]С2.1!E27</f>
        <v>14307.876789999998</v>
      </c>
    </row>
    <row r="68" spans="1:3" ht="38.25">
      <c r="A68" s="59" t="s">
        <v>93</v>
      </c>
      <c r="B68" s="65" t="s">
        <v>94</v>
      </c>
      <c r="C68" s="52">
        <f>[19]С2.3!E21</f>
        <v>0</v>
      </c>
    </row>
    <row r="69" spans="1:3" ht="25.5">
      <c r="A69" s="59" t="s">
        <v>95</v>
      </c>
      <c r="B69" s="66" t="s">
        <v>96</v>
      </c>
      <c r="C69" s="67">
        <f>[19]С2.3!E11</f>
        <v>9.89</v>
      </c>
    </row>
    <row r="70" spans="1:3" ht="25.5">
      <c r="A70" s="59" t="s">
        <v>97</v>
      </c>
      <c r="B70" s="66" t="s">
        <v>98</v>
      </c>
      <c r="C70" s="62">
        <f>[19]С2.3!E13</f>
        <v>300</v>
      </c>
    </row>
    <row r="71" spans="1:3" ht="25.5">
      <c r="A71" s="59" t="s">
        <v>99</v>
      </c>
      <c r="B71" s="65" t="s">
        <v>100</v>
      </c>
      <c r="C71" s="68">
        <f>IF([19]С2.3!E22&gt;0,[19]С2.3!E22,[19]С2.3!E14)</f>
        <v>61211</v>
      </c>
    </row>
    <row r="72" spans="1:3" ht="38.25">
      <c r="A72" s="59" t="s">
        <v>101</v>
      </c>
      <c r="B72" s="65" t="s">
        <v>102</v>
      </c>
      <c r="C72" s="68">
        <f>IF([19]С2.3!E23&gt;0,[19]С2.3!E23,[19]С2.3!E15)</f>
        <v>45675</v>
      </c>
    </row>
    <row r="73" spans="1:3" ht="30">
      <c r="A73" s="59" t="s">
        <v>103</v>
      </c>
      <c r="B73" s="53" t="s">
        <v>104</v>
      </c>
      <c r="C73" s="34">
        <f>[19]С2.1!E28</f>
        <v>9541.9567200000001</v>
      </c>
    </row>
    <row r="74" spans="1:3" ht="38.25">
      <c r="A74" s="59" t="s">
        <v>105</v>
      </c>
      <c r="B74" s="65" t="s">
        <v>106</v>
      </c>
      <c r="C74" s="52">
        <f>[19]С2.3!E25</f>
        <v>0</v>
      </c>
    </row>
    <row r="75" spans="1:3" ht="25.5">
      <c r="A75" s="59" t="s">
        <v>107</v>
      </c>
      <c r="B75" s="66" t="s">
        <v>108</v>
      </c>
      <c r="C75" s="67">
        <f>[19]С2.3!E12</f>
        <v>0.56000000000000005</v>
      </c>
    </row>
    <row r="76" spans="1:3" ht="25.5">
      <c r="A76" s="59" t="s">
        <v>109</v>
      </c>
      <c r="B76" s="66" t="s">
        <v>98</v>
      </c>
      <c r="C76" s="62">
        <f>[19]С2.3!E13</f>
        <v>300</v>
      </c>
    </row>
    <row r="77" spans="1:3" ht="25.5">
      <c r="A77" s="59" t="s">
        <v>110</v>
      </c>
      <c r="B77" s="69" t="s">
        <v>111</v>
      </c>
      <c r="C77" s="68">
        <f>IF([19]С2.3!E26&gt;0,[19]С2.3!E26,[19]С2.3!E16)</f>
        <v>65637</v>
      </c>
    </row>
    <row r="78" spans="1:3" ht="38.25">
      <c r="A78" s="59" t="s">
        <v>112</v>
      </c>
      <c r="B78" s="69" t="s">
        <v>113</v>
      </c>
      <c r="C78" s="68">
        <f>IF([19]С2.3!E27&gt;0,[19]С2.3!E27,[19]С2.3!E17)</f>
        <v>31684</v>
      </c>
    </row>
    <row r="79" spans="1:3" ht="17.25">
      <c r="A79" s="59" t="s">
        <v>114</v>
      </c>
      <c r="B79" s="33" t="s">
        <v>115</v>
      </c>
      <c r="C79" s="35">
        <f>[19]С2!F29</f>
        <v>0.17804631770487722</v>
      </c>
    </row>
    <row r="80" spans="1:3" ht="30">
      <c r="A80" s="59" t="s">
        <v>116</v>
      </c>
      <c r="B80" s="53" t="s">
        <v>117</v>
      </c>
      <c r="C80" s="70">
        <f>[19]С2!F30</f>
        <v>0.1652189781021898</v>
      </c>
    </row>
    <row r="81" spans="1:3" ht="17.25">
      <c r="A81" s="59" t="s">
        <v>118</v>
      </c>
      <c r="B81" s="71" t="s">
        <v>119</v>
      </c>
      <c r="C81" s="35">
        <f>[19]С2!F31</f>
        <v>0.13880000000000001</v>
      </c>
    </row>
    <row r="82" spans="1:3" s="63" customFormat="1" ht="18" thickBot="1">
      <c r="A82" s="72" t="s">
        <v>120</v>
      </c>
      <c r="B82" s="73" t="s">
        <v>121</v>
      </c>
      <c r="C82" s="74">
        <f>[19]С2!F32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[19]С3!F14</f>
        <v>14863.184658749575</v>
      </c>
    </row>
    <row r="86" spans="1:3" s="63" customFormat="1" ht="42.75">
      <c r="A86" s="77" t="s">
        <v>126</v>
      </c>
      <c r="B86" s="53" t="s">
        <v>127</v>
      </c>
      <c r="C86" s="78">
        <f>[19]С3!F15</f>
        <v>0.25</v>
      </c>
    </row>
    <row r="87" spans="1:3" s="63" customFormat="1" ht="14.25">
      <c r="A87" s="77" t="s">
        <v>128</v>
      </c>
      <c r="B87" s="79" t="s">
        <v>129</v>
      </c>
      <c r="C87" s="62">
        <f>[19]С3!F18</f>
        <v>15</v>
      </c>
    </row>
    <row r="88" spans="1:3" s="63" customFormat="1" ht="17.25">
      <c r="A88" s="77" t="s">
        <v>130</v>
      </c>
      <c r="B88" s="33" t="s">
        <v>131</v>
      </c>
      <c r="C88" s="34">
        <f>[19]С3!F19</f>
        <v>4187.478806422544</v>
      </c>
    </row>
    <row r="89" spans="1:3" s="63" customFormat="1" ht="55.5">
      <c r="A89" s="77" t="s">
        <v>132</v>
      </c>
      <c r="B89" s="53" t="s">
        <v>133</v>
      </c>
      <c r="C89" s="80">
        <f>[19]С3!F20</f>
        <v>2.1999999999999999E-2</v>
      </c>
    </row>
    <row r="90" spans="1:3" s="63" customFormat="1" ht="14.25">
      <c r="A90" s="77" t="s">
        <v>134</v>
      </c>
      <c r="B90" s="58" t="s">
        <v>80</v>
      </c>
      <c r="C90" s="62">
        <f>[19]С3!F21</f>
        <v>10</v>
      </c>
    </row>
    <row r="91" spans="1:3" s="63" customFormat="1" ht="17.25">
      <c r="A91" s="77" t="s">
        <v>135</v>
      </c>
      <c r="B91" s="33" t="s">
        <v>136</v>
      </c>
      <c r="C91" s="34">
        <f>[19]С3!F22</f>
        <v>7.2494984785302705</v>
      </c>
    </row>
    <row r="92" spans="1:3" s="63" customFormat="1" ht="55.5">
      <c r="A92" s="77" t="s">
        <v>137</v>
      </c>
      <c r="B92" s="53" t="s">
        <v>138</v>
      </c>
      <c r="C92" s="80">
        <f>[19]С3!F23</f>
        <v>3.0000000000000001E-3</v>
      </c>
    </row>
    <row r="93" spans="1:3" s="63" customFormat="1" ht="27.75" thickBot="1">
      <c r="A93" s="81" t="s">
        <v>139</v>
      </c>
      <c r="B93" s="82" t="s">
        <v>140</v>
      </c>
      <c r="C93" s="83">
        <f>[19]С3!F24</f>
        <v>2416.4994928434235</v>
      </c>
    </row>
    <row r="94" spans="1:3" ht="13.5" thickBot="1">
      <c r="A94" s="47"/>
      <c r="B94" s="75"/>
      <c r="C94" s="15"/>
    </row>
    <row r="95" spans="1:3" ht="44.25" customHeight="1">
      <c r="A95" s="84" t="s">
        <v>141</v>
      </c>
      <c r="B95" s="146" t="s">
        <v>142</v>
      </c>
      <c r="C95" s="146"/>
    </row>
    <row r="96" spans="1:3" ht="30">
      <c r="A96" s="59" t="s">
        <v>143</v>
      </c>
      <c r="B96" s="33" t="s">
        <v>144</v>
      </c>
      <c r="C96" s="34">
        <f>[19]С4!F16</f>
        <v>1652.5</v>
      </c>
    </row>
    <row r="97" spans="1:3" ht="30">
      <c r="A97" s="59" t="s">
        <v>145</v>
      </c>
      <c r="B97" s="58" t="s">
        <v>146</v>
      </c>
      <c r="C97" s="34">
        <f>[19]С4!F17</f>
        <v>73547</v>
      </c>
    </row>
    <row r="98" spans="1:3" ht="17.25">
      <c r="A98" s="59" t="s">
        <v>147</v>
      </c>
      <c r="B98" s="58" t="s">
        <v>148</v>
      </c>
      <c r="C98" s="40">
        <f>[19]С4!F18</f>
        <v>0.02</v>
      </c>
    </row>
    <row r="99" spans="1:3" ht="30">
      <c r="A99" s="59" t="s">
        <v>149</v>
      </c>
      <c r="B99" s="58" t="s">
        <v>150</v>
      </c>
      <c r="C99" s="34">
        <f>[19]С4!F19</f>
        <v>12104</v>
      </c>
    </row>
    <row r="100" spans="1:3" ht="31.5">
      <c r="A100" s="59" t="s">
        <v>151</v>
      </c>
      <c r="B100" s="58" t="s">
        <v>152</v>
      </c>
      <c r="C100" s="40">
        <f>[19]С4!F20</f>
        <v>1.4999999999999999E-2</v>
      </c>
    </row>
    <row r="101" spans="1:3" ht="30">
      <c r="A101" s="59" t="s">
        <v>153</v>
      </c>
      <c r="B101" s="33" t="s">
        <v>154</v>
      </c>
      <c r="C101" s="34">
        <f>[19]С4!F21</f>
        <v>1933.1949342509995</v>
      </c>
    </row>
    <row r="102" spans="1:3" ht="24" customHeight="1">
      <c r="A102" s="59" t="s">
        <v>155</v>
      </c>
      <c r="B102" s="53" t="s">
        <v>156</v>
      </c>
      <c r="C102" s="85">
        <f>IF([19]С4.2!F8="да",[19]С4.2!D21,[19]С4.2!D15)</f>
        <v>0</v>
      </c>
    </row>
    <row r="103" spans="1:3" ht="68.25">
      <c r="A103" s="59" t="s">
        <v>157</v>
      </c>
      <c r="B103" s="53" t="s">
        <v>158</v>
      </c>
      <c r="C103" s="34">
        <f>[19]С4!F22</f>
        <v>3.6112641666666665</v>
      </c>
    </row>
    <row r="104" spans="1:3" ht="30">
      <c r="A104" s="59" t="s">
        <v>159</v>
      </c>
      <c r="B104" s="58" t="s">
        <v>160</v>
      </c>
      <c r="C104" s="34">
        <f>[19]С4!F23</f>
        <v>180</v>
      </c>
    </row>
    <row r="105" spans="1:3" ht="14.25">
      <c r="A105" s="59" t="s">
        <v>161</v>
      </c>
      <c r="B105" s="53" t="s">
        <v>162</v>
      </c>
      <c r="C105" s="34">
        <f>[19]С4!F24</f>
        <v>8497.1999999999989</v>
      </c>
    </row>
    <row r="106" spans="1:3" ht="14.25">
      <c r="A106" s="59" t="s">
        <v>163</v>
      </c>
      <c r="B106" s="58" t="s">
        <v>164</v>
      </c>
      <c r="C106" s="40">
        <f>[19]С4!F25</f>
        <v>0.35</v>
      </c>
    </row>
    <row r="107" spans="1:3" ht="17.25">
      <c r="A107" s="59" t="s">
        <v>165</v>
      </c>
      <c r="B107" s="33" t="s">
        <v>166</v>
      </c>
      <c r="C107" s="34">
        <f>[19]С4!F26</f>
        <v>98.00949</v>
      </c>
    </row>
    <row r="108" spans="1:3" ht="25.5">
      <c r="A108" s="59" t="s">
        <v>167</v>
      </c>
      <c r="B108" s="53" t="s">
        <v>94</v>
      </c>
      <c r="C108" s="85">
        <f>[19]С4.3!E16</f>
        <v>0</v>
      </c>
    </row>
    <row r="109" spans="1:3" ht="25.5">
      <c r="A109" s="59" t="s">
        <v>168</v>
      </c>
      <c r="B109" s="53" t="s">
        <v>169</v>
      </c>
      <c r="C109" s="34">
        <f>[19]С4.3!E17</f>
        <v>26.67</v>
      </c>
    </row>
    <row r="110" spans="1:3" ht="38.25">
      <c r="A110" s="59" t="s">
        <v>170</v>
      </c>
      <c r="B110" s="53" t="s">
        <v>106</v>
      </c>
      <c r="C110" s="85">
        <f>[19]С4.3!E18</f>
        <v>0</v>
      </c>
    </row>
    <row r="111" spans="1:3">
      <c r="A111" s="59" t="s">
        <v>171</v>
      </c>
      <c r="B111" s="53" t="s">
        <v>172</v>
      </c>
      <c r="C111" s="34">
        <f>[19]С4.3!E19</f>
        <v>21.95</v>
      </c>
    </row>
    <row r="112" spans="1:3">
      <c r="A112" s="59" t="s">
        <v>173</v>
      </c>
      <c r="B112" s="58" t="s">
        <v>174</v>
      </c>
      <c r="C112" s="34">
        <f>[19]С4.3!E11</f>
        <v>1871</v>
      </c>
    </row>
    <row r="113" spans="1:3">
      <c r="A113" s="59" t="s">
        <v>175</v>
      </c>
      <c r="B113" s="58" t="s">
        <v>176</v>
      </c>
      <c r="C113" s="52">
        <f>[19]С4.3!E12</f>
        <v>1636</v>
      </c>
    </row>
    <row r="114" spans="1:3">
      <c r="A114" s="59" t="s">
        <v>177</v>
      </c>
      <c r="B114" s="58" t="s">
        <v>178</v>
      </c>
      <c r="C114" s="52">
        <f>[19]С4.3!E13</f>
        <v>204</v>
      </c>
    </row>
    <row r="115" spans="1:3" ht="30">
      <c r="A115" s="59" t="s">
        <v>179</v>
      </c>
      <c r="B115" s="33" t="s">
        <v>180</v>
      </c>
      <c r="C115" s="34">
        <f>[19]С4!F27</f>
        <v>1291.2863994686898</v>
      </c>
    </row>
    <row r="116" spans="1:3" ht="25.5">
      <c r="A116" s="59" t="s">
        <v>181</v>
      </c>
      <c r="B116" s="53" t="s">
        <v>182</v>
      </c>
      <c r="C116" s="34">
        <f>[19]С4!F28</f>
        <v>991.77142816335618</v>
      </c>
    </row>
    <row r="117" spans="1:3" ht="42.75">
      <c r="A117" s="59" t="s">
        <v>183</v>
      </c>
      <c r="B117" s="53" t="s">
        <v>184</v>
      </c>
      <c r="C117" s="34">
        <f>[19]С4!F29</f>
        <v>299.51497130533357</v>
      </c>
    </row>
    <row r="118" spans="1:3" ht="30">
      <c r="A118" s="59" t="s">
        <v>185</v>
      </c>
      <c r="B118" s="39" t="s">
        <v>186</v>
      </c>
      <c r="C118" s="34">
        <f>[19]С4!F30</f>
        <v>2382.0885594901092</v>
      </c>
    </row>
    <row r="119" spans="1:3" ht="42.75">
      <c r="A119" s="59" t="s">
        <v>187</v>
      </c>
      <c r="B119" s="86" t="s">
        <v>188</v>
      </c>
      <c r="C119" s="34">
        <f>[19]С4!F33</f>
        <v>1176.7426982817792</v>
      </c>
    </row>
    <row r="120" spans="1:3" ht="30">
      <c r="A120" s="59" t="s">
        <v>189</v>
      </c>
      <c r="B120" s="87" t="s">
        <v>190</v>
      </c>
      <c r="C120" s="34">
        <f>[19]С4!F35</f>
        <v>17.040680999999999</v>
      </c>
    </row>
    <row r="121" spans="1:3" ht="14.25">
      <c r="A121" s="59" t="s">
        <v>191</v>
      </c>
      <c r="B121" s="56" t="s">
        <v>192</v>
      </c>
      <c r="C121" s="34">
        <f>[19]С4!F36</f>
        <v>14319.9</v>
      </c>
    </row>
    <row r="122" spans="1:3" ht="28.5" thickBot="1">
      <c r="A122" s="72" t="s">
        <v>193</v>
      </c>
      <c r="B122" s="88" t="s">
        <v>194</v>
      </c>
      <c r="C122" s="83">
        <f>[19]С4!F37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[19]С5!F17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[19]С2!F37</f>
        <v>20.818139999999996</v>
      </c>
    </row>
    <row r="136" spans="1:4" ht="14.25">
      <c r="A136" s="59" t="s">
        <v>216</v>
      </c>
      <c r="B136" s="101" t="s">
        <v>217</v>
      </c>
      <c r="C136" s="34">
        <f>[19]С2!F38</f>
        <v>7</v>
      </c>
    </row>
    <row r="137" spans="1:4" ht="17.25">
      <c r="A137" s="59" t="s">
        <v>218</v>
      </c>
      <c r="B137" s="101" t="s">
        <v>219</v>
      </c>
      <c r="C137" s="34">
        <f>[19]С2!F40</f>
        <v>0.97</v>
      </c>
    </row>
    <row r="138" spans="1:4" ht="15" thickBot="1">
      <c r="A138" s="72" t="s">
        <v>220</v>
      </c>
      <c r="B138" s="102" t="s">
        <v>221</v>
      </c>
      <c r="C138" s="46">
        <f>[19]С2!F42</f>
        <v>0.35</v>
      </c>
    </row>
    <row r="139" spans="1:4" s="89" customFormat="1" ht="13.5" thickBot="1">
      <c r="A139" s="47"/>
      <c r="B139" s="75"/>
      <c r="C139" s="15"/>
    </row>
    <row r="140" spans="1:4" ht="30">
      <c r="A140" s="84" t="s">
        <v>222</v>
      </c>
      <c r="B140" s="103" t="s">
        <v>223</v>
      </c>
      <c r="C140" s="104">
        <f>[19]С2!F35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[19]С2.5!$E$11</f>
        <v>-2.9000000000000026E-2</v>
      </c>
      <c r="D143" s="89"/>
    </row>
    <row r="144" spans="1:4">
      <c r="A144" s="105"/>
      <c r="B144" s="110">
        <f>B143+1</f>
        <v>2021</v>
      </c>
      <c r="C144" s="111">
        <f>[19]С2.5!$F$11</f>
        <v>0.245</v>
      </c>
      <c r="D144" s="89"/>
    </row>
    <row r="145" spans="1:4">
      <c r="A145" s="105"/>
      <c r="B145" s="110">
        <f t="shared" ref="B145:B208" si="0">B144+1</f>
        <v>2022</v>
      </c>
      <c r="C145" s="111">
        <f>[19]С2.5!$G$11</f>
        <v>0.114</v>
      </c>
      <c r="D145" s="89"/>
    </row>
    <row r="146" spans="1:4" ht="13.5" thickBot="1">
      <c r="A146" s="105"/>
      <c r="B146" s="112">
        <f t="shared" si="0"/>
        <v>2023</v>
      </c>
      <c r="C146" s="113">
        <f>[19]С2.5!$H$11</f>
        <v>0.04</v>
      </c>
      <c r="D146" s="89"/>
    </row>
    <row r="147" spans="1:4">
      <c r="A147" s="105"/>
      <c r="B147" s="114">
        <f t="shared" si="0"/>
        <v>2024</v>
      </c>
      <c r="C147" s="115">
        <f>[19]С2.5!$I$11</f>
        <v>0.11700000000000001</v>
      </c>
      <c r="D147" s="89"/>
    </row>
    <row r="148" spans="1:4">
      <c r="A148" s="105"/>
      <c r="B148" s="110">
        <f t="shared" si="0"/>
        <v>2025</v>
      </c>
      <c r="C148" s="111">
        <f>[19]С2.5!$J$11</f>
        <v>6.0999999999999999E-2</v>
      </c>
      <c r="D148" s="89"/>
    </row>
    <row r="149" spans="1:4" hidden="1">
      <c r="A149" s="105"/>
      <c r="B149" s="110">
        <f t="shared" si="0"/>
        <v>2026</v>
      </c>
      <c r="C149" s="111">
        <f>[19]С2.5!$K$11</f>
        <v>3.5813361771260002E-2</v>
      </c>
      <c r="D149" s="89"/>
    </row>
    <row r="150" spans="1:4" hidden="1">
      <c r="A150" s="105"/>
      <c r="B150" s="110">
        <f t="shared" si="0"/>
        <v>2027</v>
      </c>
      <c r="C150" s="111">
        <f>[19]С2.5!$L$11</f>
        <v>3.2682303599220003E-2</v>
      </c>
      <c r="D150" s="89"/>
    </row>
    <row r="151" spans="1:4" hidden="1">
      <c r="A151" s="105"/>
      <c r="B151" s="110">
        <f t="shared" si="0"/>
        <v>2028</v>
      </c>
      <c r="C151" s="111">
        <f>[19]С2.5!$M$11</f>
        <v>0</v>
      </c>
      <c r="D151" s="89"/>
    </row>
    <row r="152" spans="1:4" hidden="1">
      <c r="A152" s="105"/>
      <c r="B152" s="110">
        <f t="shared" si="0"/>
        <v>2029</v>
      </c>
      <c r="C152" s="111">
        <f>[19]С2.5!$N$11</f>
        <v>0</v>
      </c>
      <c r="D152" s="89"/>
    </row>
    <row r="153" spans="1:4" hidden="1">
      <c r="A153" s="105"/>
      <c r="B153" s="110">
        <f t="shared" si="0"/>
        <v>2030</v>
      </c>
      <c r="C153" s="111">
        <f>[19]С2.5!$O$11</f>
        <v>0</v>
      </c>
      <c r="D153" s="89"/>
    </row>
    <row r="154" spans="1:4" hidden="1">
      <c r="A154" s="105"/>
      <c r="B154" s="110">
        <f t="shared" si="0"/>
        <v>2031</v>
      </c>
      <c r="C154" s="111">
        <f>[19]С2.5!$P$11</f>
        <v>0</v>
      </c>
      <c r="D154" s="89"/>
    </row>
    <row r="155" spans="1:4" hidden="1">
      <c r="A155" s="89"/>
      <c r="B155" s="110">
        <f t="shared" si="0"/>
        <v>2032</v>
      </c>
      <c r="C155" s="111">
        <f>[19]С2.5!$Q$11</f>
        <v>0</v>
      </c>
      <c r="D155" s="89"/>
    </row>
    <row r="156" spans="1:4" hidden="1">
      <c r="A156" s="89"/>
      <c r="B156" s="110">
        <f t="shared" si="0"/>
        <v>2033</v>
      </c>
      <c r="C156" s="111">
        <f>[19]С2.5!$R$11</f>
        <v>0</v>
      </c>
      <c r="D156" s="89"/>
    </row>
    <row r="157" spans="1:4" hidden="1">
      <c r="B157" s="110">
        <f t="shared" si="0"/>
        <v>2034</v>
      </c>
      <c r="C157" s="111">
        <f>[19]С2.5!$S$11</f>
        <v>0</v>
      </c>
    </row>
    <row r="158" spans="1:4" hidden="1">
      <c r="B158" s="110">
        <f t="shared" si="0"/>
        <v>2035</v>
      </c>
      <c r="C158" s="111">
        <f>[19]С2.5!$T$11</f>
        <v>0</v>
      </c>
    </row>
    <row r="159" spans="1:4" hidden="1">
      <c r="B159" s="110">
        <f t="shared" si="0"/>
        <v>2036</v>
      </c>
      <c r="C159" s="111">
        <f>[19]С2.5!$U$11</f>
        <v>0</v>
      </c>
    </row>
    <row r="160" spans="1:4" hidden="1">
      <c r="B160" s="110">
        <f t="shared" si="0"/>
        <v>2037</v>
      </c>
      <c r="C160" s="111">
        <f>[19]С2.5!$V$11</f>
        <v>0</v>
      </c>
    </row>
    <row r="161" spans="2:3" hidden="1">
      <c r="B161" s="110">
        <f t="shared" si="0"/>
        <v>2038</v>
      </c>
      <c r="C161" s="111">
        <f>[19]С2.5!$W$11</f>
        <v>0</v>
      </c>
    </row>
    <row r="162" spans="2:3" hidden="1">
      <c r="B162" s="110">
        <f t="shared" si="0"/>
        <v>2039</v>
      </c>
      <c r="C162" s="111">
        <f>[19]С2.5!$X$11</f>
        <v>0</v>
      </c>
    </row>
    <row r="163" spans="2:3" hidden="1">
      <c r="B163" s="110">
        <f t="shared" si="0"/>
        <v>2040</v>
      </c>
      <c r="C163" s="111">
        <f>[19]С2.5!$Y$11</f>
        <v>0</v>
      </c>
    </row>
    <row r="164" spans="2:3" hidden="1">
      <c r="B164" s="110">
        <f t="shared" si="0"/>
        <v>2041</v>
      </c>
      <c r="C164" s="111">
        <f>[19]С2.5!$Z$11</f>
        <v>0</v>
      </c>
    </row>
    <row r="165" spans="2:3" hidden="1">
      <c r="B165" s="110">
        <f t="shared" si="0"/>
        <v>2042</v>
      </c>
      <c r="C165" s="111">
        <f>[19]С2.5!$AA$11</f>
        <v>0</v>
      </c>
    </row>
    <row r="166" spans="2:3" hidden="1">
      <c r="B166" s="110">
        <f t="shared" si="0"/>
        <v>2043</v>
      </c>
      <c r="C166" s="111">
        <f>[19]С2.5!$AB$11</f>
        <v>0</v>
      </c>
    </row>
    <row r="167" spans="2:3" hidden="1">
      <c r="B167" s="110">
        <f t="shared" si="0"/>
        <v>2044</v>
      </c>
      <c r="C167" s="111">
        <f>[19]С2.5!$AC$11</f>
        <v>0</v>
      </c>
    </row>
    <row r="168" spans="2:3" hidden="1">
      <c r="B168" s="110">
        <f t="shared" si="0"/>
        <v>2045</v>
      </c>
      <c r="C168" s="111">
        <f>[19]С2.5!$AD$11</f>
        <v>0</v>
      </c>
    </row>
    <row r="169" spans="2:3" hidden="1">
      <c r="B169" s="110">
        <f t="shared" si="0"/>
        <v>2046</v>
      </c>
      <c r="C169" s="111">
        <f>[19]С2.5!$AE$11</f>
        <v>0</v>
      </c>
    </row>
    <row r="170" spans="2:3" hidden="1">
      <c r="B170" s="110">
        <f t="shared" si="0"/>
        <v>2047</v>
      </c>
      <c r="C170" s="111">
        <f>[19]С2.5!$AF$11</f>
        <v>0</v>
      </c>
    </row>
    <row r="171" spans="2:3" hidden="1">
      <c r="B171" s="110">
        <f t="shared" si="0"/>
        <v>2048</v>
      </c>
      <c r="C171" s="111">
        <f>[19]С2.5!$AG$11</f>
        <v>0</v>
      </c>
    </row>
    <row r="172" spans="2:3" hidden="1">
      <c r="B172" s="110">
        <f t="shared" si="0"/>
        <v>2049</v>
      </c>
      <c r="C172" s="111">
        <f>[19]С2.5!$AH$11</f>
        <v>0</v>
      </c>
    </row>
    <row r="173" spans="2:3" hidden="1">
      <c r="B173" s="110">
        <f t="shared" si="0"/>
        <v>2050</v>
      </c>
      <c r="C173" s="111">
        <f>[19]С2.5!$AI$11</f>
        <v>0</v>
      </c>
    </row>
    <row r="174" spans="2:3" hidden="1">
      <c r="B174" s="110">
        <f t="shared" si="0"/>
        <v>2051</v>
      </c>
      <c r="C174" s="111">
        <f>[19]С2.5!$AJ$11</f>
        <v>0</v>
      </c>
    </row>
    <row r="175" spans="2:3" hidden="1">
      <c r="B175" s="110">
        <f t="shared" si="0"/>
        <v>2052</v>
      </c>
      <c r="C175" s="111">
        <f>[19]С2.5!$AK$11</f>
        <v>0</v>
      </c>
    </row>
    <row r="176" spans="2:3" hidden="1">
      <c r="B176" s="110">
        <f t="shared" si="0"/>
        <v>2053</v>
      </c>
      <c r="C176" s="111">
        <f>[19]С2.5!$AL$11</f>
        <v>0</v>
      </c>
    </row>
    <row r="177" spans="2:3" hidden="1">
      <c r="B177" s="110">
        <f t="shared" si="0"/>
        <v>2054</v>
      </c>
      <c r="C177" s="111">
        <f>[19]С2.5!$AM$11</f>
        <v>0</v>
      </c>
    </row>
    <row r="178" spans="2:3" hidden="1">
      <c r="B178" s="110">
        <f t="shared" si="0"/>
        <v>2055</v>
      </c>
      <c r="C178" s="111">
        <f>[19]С2.5!$AN$11</f>
        <v>0</v>
      </c>
    </row>
    <row r="179" spans="2:3" hidden="1">
      <c r="B179" s="110">
        <f t="shared" si="0"/>
        <v>2056</v>
      </c>
      <c r="C179" s="111">
        <f>[19]С2.5!$AO$11</f>
        <v>0</v>
      </c>
    </row>
    <row r="180" spans="2:3" hidden="1">
      <c r="B180" s="110">
        <f t="shared" si="0"/>
        <v>2057</v>
      </c>
      <c r="C180" s="111">
        <f>[19]С2.5!$AP$11</f>
        <v>0</v>
      </c>
    </row>
    <row r="181" spans="2:3" hidden="1">
      <c r="B181" s="110">
        <f t="shared" si="0"/>
        <v>2058</v>
      </c>
      <c r="C181" s="111">
        <f>[19]С2.5!$AQ$11</f>
        <v>0</v>
      </c>
    </row>
    <row r="182" spans="2:3" hidden="1">
      <c r="B182" s="110">
        <f t="shared" si="0"/>
        <v>2059</v>
      </c>
      <c r="C182" s="111">
        <f>[19]С2.5!$AR$11</f>
        <v>0</v>
      </c>
    </row>
    <row r="183" spans="2:3" hidden="1">
      <c r="B183" s="110">
        <f t="shared" si="0"/>
        <v>2060</v>
      </c>
      <c r="C183" s="111">
        <f>[19]С2.5!$AS$11</f>
        <v>0</v>
      </c>
    </row>
    <row r="184" spans="2:3" hidden="1">
      <c r="B184" s="110">
        <f t="shared" si="0"/>
        <v>2061</v>
      </c>
      <c r="C184" s="111">
        <f>[19]С2.5!$AT$11</f>
        <v>0</v>
      </c>
    </row>
    <row r="185" spans="2:3" hidden="1">
      <c r="B185" s="110">
        <f t="shared" si="0"/>
        <v>2062</v>
      </c>
      <c r="C185" s="111">
        <f>[19]С2.5!$AU$11</f>
        <v>0</v>
      </c>
    </row>
    <row r="186" spans="2:3" hidden="1">
      <c r="B186" s="110">
        <f t="shared" si="0"/>
        <v>2063</v>
      </c>
      <c r="C186" s="111">
        <f>[19]С2.5!$AV$11</f>
        <v>0</v>
      </c>
    </row>
    <row r="187" spans="2:3" hidden="1">
      <c r="B187" s="110">
        <f t="shared" si="0"/>
        <v>2064</v>
      </c>
      <c r="C187" s="111">
        <f>[19]С2.5!$AW$11</f>
        <v>0</v>
      </c>
    </row>
    <row r="188" spans="2:3" hidden="1">
      <c r="B188" s="110">
        <f t="shared" si="0"/>
        <v>2065</v>
      </c>
      <c r="C188" s="111">
        <f>[19]С2.5!$AX$11</f>
        <v>0</v>
      </c>
    </row>
    <row r="189" spans="2:3" hidden="1">
      <c r="B189" s="110">
        <f t="shared" si="0"/>
        <v>2066</v>
      </c>
      <c r="C189" s="111">
        <f>[19]С2.5!$AY$11</f>
        <v>0</v>
      </c>
    </row>
    <row r="190" spans="2:3" hidden="1">
      <c r="B190" s="110">
        <f t="shared" si="0"/>
        <v>2067</v>
      </c>
      <c r="C190" s="111">
        <f>[19]С2.5!$AZ$11</f>
        <v>0</v>
      </c>
    </row>
    <row r="191" spans="2:3" hidden="1">
      <c r="B191" s="110">
        <f t="shared" si="0"/>
        <v>2068</v>
      </c>
      <c r="C191" s="111">
        <f>[19]С2.5!$BA$11</f>
        <v>0</v>
      </c>
    </row>
    <row r="192" spans="2:3" hidden="1">
      <c r="B192" s="110">
        <f t="shared" si="0"/>
        <v>2069</v>
      </c>
      <c r="C192" s="111">
        <f>[19]С2.5!$BB$11</f>
        <v>0</v>
      </c>
    </row>
    <row r="193" spans="2:3" hidden="1">
      <c r="B193" s="110">
        <f t="shared" si="0"/>
        <v>2070</v>
      </c>
      <c r="C193" s="111">
        <f>[19]С2.5!$BC$11</f>
        <v>0</v>
      </c>
    </row>
    <row r="194" spans="2:3" hidden="1">
      <c r="B194" s="110">
        <f t="shared" si="0"/>
        <v>2071</v>
      </c>
      <c r="C194" s="111">
        <f>[19]С2.5!$BD$11</f>
        <v>0</v>
      </c>
    </row>
    <row r="195" spans="2:3" hidden="1">
      <c r="B195" s="110">
        <f t="shared" si="0"/>
        <v>2072</v>
      </c>
      <c r="C195" s="111">
        <f>[19]С2.5!$BE$11</f>
        <v>0</v>
      </c>
    </row>
    <row r="196" spans="2:3" hidden="1">
      <c r="B196" s="110">
        <f t="shared" si="0"/>
        <v>2073</v>
      </c>
      <c r="C196" s="111">
        <f>[19]С2.5!$BF$11</f>
        <v>0</v>
      </c>
    </row>
    <row r="197" spans="2:3" hidden="1">
      <c r="B197" s="110">
        <f t="shared" si="0"/>
        <v>2074</v>
      </c>
      <c r="C197" s="111">
        <f>[19]С2.5!$BG$11</f>
        <v>0</v>
      </c>
    </row>
    <row r="198" spans="2:3" hidden="1">
      <c r="B198" s="110">
        <f t="shared" si="0"/>
        <v>2075</v>
      </c>
      <c r="C198" s="111">
        <f>[19]С2.5!$BH$11</f>
        <v>0</v>
      </c>
    </row>
    <row r="199" spans="2:3" hidden="1">
      <c r="B199" s="110">
        <f t="shared" si="0"/>
        <v>2076</v>
      </c>
      <c r="C199" s="111">
        <f>[19]С2.5!$BI$11</f>
        <v>0</v>
      </c>
    </row>
    <row r="200" spans="2:3" hidden="1">
      <c r="B200" s="110">
        <f t="shared" si="0"/>
        <v>2077</v>
      </c>
      <c r="C200" s="111">
        <f>[19]С2.5!$BJ$11</f>
        <v>0</v>
      </c>
    </row>
    <row r="201" spans="2:3" hidden="1">
      <c r="B201" s="110">
        <f t="shared" si="0"/>
        <v>2078</v>
      </c>
      <c r="C201" s="111">
        <f>[19]С2.5!$BK$11</f>
        <v>0</v>
      </c>
    </row>
    <row r="202" spans="2:3" hidden="1">
      <c r="B202" s="110">
        <f t="shared" si="0"/>
        <v>2079</v>
      </c>
      <c r="C202" s="111">
        <f>[19]С2.5!$BL$11</f>
        <v>0</v>
      </c>
    </row>
    <row r="203" spans="2:3" hidden="1">
      <c r="B203" s="110">
        <f t="shared" si="0"/>
        <v>2080</v>
      </c>
      <c r="C203" s="111">
        <f>[19]С2.5!$BM$11</f>
        <v>0</v>
      </c>
    </row>
    <row r="204" spans="2:3" hidden="1">
      <c r="B204" s="110">
        <f t="shared" si="0"/>
        <v>2081</v>
      </c>
      <c r="C204" s="111">
        <f>[19]С2.5!$BN$11</f>
        <v>0</v>
      </c>
    </row>
    <row r="205" spans="2:3" hidden="1">
      <c r="B205" s="110">
        <f t="shared" si="0"/>
        <v>2082</v>
      </c>
      <c r="C205" s="111">
        <f>[19]С2.5!$BO$11</f>
        <v>0</v>
      </c>
    </row>
    <row r="206" spans="2:3" hidden="1">
      <c r="B206" s="110">
        <f t="shared" si="0"/>
        <v>2083</v>
      </c>
      <c r="C206" s="111">
        <f>[19]С2.5!$BP$11</f>
        <v>0</v>
      </c>
    </row>
    <row r="207" spans="2:3" hidden="1">
      <c r="B207" s="110">
        <f t="shared" si="0"/>
        <v>2084</v>
      </c>
      <c r="C207" s="111">
        <f>[19]С2.5!$BQ$11</f>
        <v>0</v>
      </c>
    </row>
    <row r="208" spans="2:3" hidden="1">
      <c r="B208" s="110">
        <f t="shared" si="0"/>
        <v>2085</v>
      </c>
      <c r="C208" s="111">
        <f>[19]С2.5!$BR$11</f>
        <v>0</v>
      </c>
    </row>
    <row r="209" spans="2:3" hidden="1">
      <c r="B209" s="110">
        <f t="shared" ref="B209:B223" si="1">B208+1</f>
        <v>2086</v>
      </c>
      <c r="C209" s="111">
        <f>[19]С2.5!$BS$11</f>
        <v>0</v>
      </c>
    </row>
    <row r="210" spans="2:3" hidden="1">
      <c r="B210" s="110">
        <f t="shared" si="1"/>
        <v>2087</v>
      </c>
      <c r="C210" s="111">
        <f>[19]С2.5!$BT$11</f>
        <v>0</v>
      </c>
    </row>
    <row r="211" spans="2:3" hidden="1">
      <c r="B211" s="110">
        <f t="shared" si="1"/>
        <v>2088</v>
      </c>
      <c r="C211" s="111">
        <f>[19]С2.5!$BU$11</f>
        <v>0</v>
      </c>
    </row>
    <row r="212" spans="2:3" hidden="1">
      <c r="B212" s="110">
        <f t="shared" si="1"/>
        <v>2089</v>
      </c>
      <c r="C212" s="111">
        <f>[19]С2.5!$BV$11</f>
        <v>0</v>
      </c>
    </row>
    <row r="213" spans="2:3" hidden="1">
      <c r="B213" s="110">
        <f t="shared" si="1"/>
        <v>2090</v>
      </c>
      <c r="C213" s="111">
        <f>[19]С2.5!$BW$11</f>
        <v>0</v>
      </c>
    </row>
    <row r="214" spans="2:3" hidden="1">
      <c r="B214" s="110">
        <f t="shared" si="1"/>
        <v>2091</v>
      </c>
      <c r="C214" s="111">
        <f>[19]С2.5!$BX$11</f>
        <v>0</v>
      </c>
    </row>
    <row r="215" spans="2:3" hidden="1">
      <c r="B215" s="110">
        <f t="shared" si="1"/>
        <v>2092</v>
      </c>
      <c r="C215" s="111">
        <f>[19]С2.5!$BY$11</f>
        <v>0</v>
      </c>
    </row>
    <row r="216" spans="2:3" hidden="1">
      <c r="B216" s="110">
        <f t="shared" si="1"/>
        <v>2093</v>
      </c>
      <c r="C216" s="111">
        <f>[19]С2.5!$BZ$11</f>
        <v>0</v>
      </c>
    </row>
    <row r="217" spans="2:3" hidden="1">
      <c r="B217" s="110">
        <f t="shared" si="1"/>
        <v>2094</v>
      </c>
      <c r="C217" s="111">
        <f>[19]С2.5!$CA$11</f>
        <v>0</v>
      </c>
    </row>
    <row r="218" spans="2:3" hidden="1">
      <c r="B218" s="110">
        <f t="shared" si="1"/>
        <v>2095</v>
      </c>
      <c r="C218" s="111">
        <f>[19]С2.5!$CB$11</f>
        <v>0</v>
      </c>
    </row>
    <row r="219" spans="2:3" hidden="1">
      <c r="B219" s="110">
        <f t="shared" si="1"/>
        <v>2096</v>
      </c>
      <c r="C219" s="111">
        <f>[19]С2.5!$CC$11</f>
        <v>0</v>
      </c>
    </row>
    <row r="220" spans="2:3" hidden="1">
      <c r="B220" s="110">
        <f t="shared" si="1"/>
        <v>2097</v>
      </c>
      <c r="C220" s="111">
        <f>[19]С2.5!$CD$11</f>
        <v>0</v>
      </c>
    </row>
    <row r="221" spans="2:3" hidden="1">
      <c r="B221" s="110">
        <f t="shared" si="1"/>
        <v>2098</v>
      </c>
      <c r="C221" s="111">
        <f>[19]С2.5!$CE$11</f>
        <v>0</v>
      </c>
    </row>
    <row r="222" spans="2:3" hidden="1">
      <c r="B222" s="110">
        <f t="shared" si="1"/>
        <v>2099</v>
      </c>
      <c r="C222" s="111">
        <f>[19]С2.5!$CF$11</f>
        <v>0</v>
      </c>
    </row>
    <row r="223" spans="2:3" ht="13.5" hidden="1" thickBot="1">
      <c r="B223" s="112">
        <f t="shared" si="1"/>
        <v>2100</v>
      </c>
      <c r="C223" s="113">
        <f>[19]С2.5!$CG$11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4" r:id="rId3" name="Button 2">
              <controlPr defaultSize="0" print="0" autoFill="0" autoPict="0" macro="[2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5" r:id="rId4" name="Button 3">
              <controlPr defaultSize="0" print="0" autoFill="0" autoPict="0" macro="[1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[21]И1!D13</f>
        <v>Субъект Российской Федерации</v>
      </c>
      <c r="C4" s="10" t="str">
        <f>[21]И1!E13</f>
        <v>Новосибирская область</v>
      </c>
    </row>
    <row r="5" spans="1:3" ht="46.9" customHeight="1">
      <c r="A5" s="8"/>
      <c r="B5" s="9" t="str">
        <f>[21]И1!D14</f>
        <v>Тип муниципального образования (выберите из списка)</v>
      </c>
      <c r="C5" s="10" t="str">
        <f>[21]И1!E14</f>
        <v>село Заречное, Тогучинский муниципальный район</v>
      </c>
    </row>
    <row r="6" spans="1:3">
      <c r="A6" s="8"/>
      <c r="B6" s="9" t="str">
        <f>IF([21]И1!E15="","",[21]И1!D15)</f>
        <v/>
      </c>
      <c r="C6" s="10" t="str">
        <f>IF([21]И1!E15="","",[21]И1!E15)</f>
        <v/>
      </c>
    </row>
    <row r="7" spans="1:3">
      <c r="A7" s="8"/>
      <c r="B7" s="9" t="str">
        <f>[21]И1!D16</f>
        <v>Код ОКТМО</v>
      </c>
      <c r="C7" s="11" t="str">
        <f>[21]И1!E16</f>
        <v>50652416101</v>
      </c>
    </row>
    <row r="8" spans="1:3">
      <c r="A8" s="8"/>
      <c r="B8" s="12" t="str">
        <f>[21]И1!D17</f>
        <v>Система теплоснабжения</v>
      </c>
      <c r="C8" s="13">
        <f>[21]И1!E17</f>
        <v>0</v>
      </c>
    </row>
    <row r="9" spans="1:3">
      <c r="A9" s="8"/>
      <c r="B9" s="9" t="str">
        <f>[21]И1!D8</f>
        <v>Период регулирования (i)-й</v>
      </c>
      <c r="C9" s="14">
        <f>[21]И1!E8</f>
        <v>2025</v>
      </c>
    </row>
    <row r="10" spans="1:3">
      <c r="A10" s="8"/>
      <c r="B10" s="9" t="str">
        <f>[21]И1!D9</f>
        <v>Период регулирования (i-1)-й</v>
      </c>
      <c r="C10" s="14">
        <f>[21]И1!E9</f>
        <v>2024</v>
      </c>
    </row>
    <row r="11" spans="1:3">
      <c r="A11" s="8"/>
      <c r="B11" s="9" t="str">
        <f>[21]И1!D10</f>
        <v>Период регулирования (i-2)-й</v>
      </c>
      <c r="C11" s="14">
        <f>[21]И1!E10</f>
        <v>2023</v>
      </c>
    </row>
    <row r="12" spans="1:3">
      <c r="A12" s="8"/>
      <c r="B12" s="9" t="str">
        <f>[21]И1!D11</f>
        <v>Базовый год (б)</v>
      </c>
      <c r="C12" s="14">
        <f>[21]И1!E11</f>
        <v>2019</v>
      </c>
    </row>
    <row r="13" spans="1:3" ht="38.25">
      <c r="A13" s="8"/>
      <c r="B13" s="9" t="str">
        <f>[21]И1!D18</f>
        <v>Вид топлива, использование которого преобладает в системе теплоснабжения</v>
      </c>
      <c r="C13" s="15" t="str">
        <f>[21]С1.1!E13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5383.3381539241273</v>
      </c>
    </row>
    <row r="18" spans="1:3" ht="42.75">
      <c r="A18" s="22" t="s">
        <v>8</v>
      </c>
      <c r="B18" s="25" t="s">
        <v>9</v>
      </c>
      <c r="C18" s="26">
        <f>[21]С1!F12</f>
        <v>795.80460480398301</v>
      </c>
    </row>
    <row r="19" spans="1:3" ht="42.75">
      <c r="A19" s="22" t="s">
        <v>10</v>
      </c>
      <c r="B19" s="25" t="s">
        <v>11</v>
      </c>
      <c r="C19" s="26">
        <f>[21]С2!F12</f>
        <v>3056.1591261705735</v>
      </c>
    </row>
    <row r="20" spans="1:3" ht="30">
      <c r="A20" s="22" t="s">
        <v>12</v>
      </c>
      <c r="B20" s="25" t="s">
        <v>13</v>
      </c>
      <c r="C20" s="26">
        <f>[21]С3!F12</f>
        <v>915.44743976410246</v>
      </c>
    </row>
    <row r="21" spans="1:3" ht="42.75">
      <c r="A21" s="22" t="s">
        <v>14</v>
      </c>
      <c r="B21" s="25" t="s">
        <v>15</v>
      </c>
      <c r="C21" s="26">
        <f>[21]С4!F12</f>
        <v>510.37133310852505</v>
      </c>
    </row>
    <row r="22" spans="1:3" ht="30">
      <c r="A22" s="22" t="s">
        <v>16</v>
      </c>
      <c r="B22" s="25" t="s">
        <v>17</v>
      </c>
      <c r="C22" s="26">
        <f>[21]С5!F12</f>
        <v>105.55565007694368</v>
      </c>
    </row>
    <row r="23" spans="1:3" ht="43.5" thickBot="1">
      <c r="A23" s="27" t="s">
        <v>18</v>
      </c>
      <c r="B23" s="140" t="s">
        <v>19</v>
      </c>
      <c r="C23" s="28" t="str">
        <f>[21]С6!F12</f>
        <v>-</v>
      </c>
    </row>
    <row r="24" spans="1:3" ht="13.5" thickBot="1">
      <c r="A24" s="3"/>
    </row>
    <row r="25" spans="1:3">
      <c r="A25" s="16" t="s">
        <v>4</v>
      </c>
      <c r="B25" s="29" t="s">
        <v>5</v>
      </c>
      <c r="C25" s="30" t="s">
        <v>6</v>
      </c>
    </row>
    <row r="26" spans="1:3">
      <c r="A26" s="19">
        <v>1</v>
      </c>
      <c r="B26" s="31">
        <v>2</v>
      </c>
      <c r="C26" s="32">
        <v>3</v>
      </c>
    </row>
    <row r="27" spans="1:3" ht="37.5" customHeight="1">
      <c r="A27" s="22">
        <v>1</v>
      </c>
      <c r="B27" s="145" t="s">
        <v>20</v>
      </c>
      <c r="C27" s="145"/>
    </row>
    <row r="28" spans="1:3">
      <c r="A28" s="22" t="s">
        <v>8</v>
      </c>
      <c r="B28" s="33" t="s">
        <v>21</v>
      </c>
      <c r="C28" s="34">
        <f>[21]С1.1!E16</f>
        <v>5100</v>
      </c>
    </row>
    <row r="29" spans="1:3" ht="42.75">
      <c r="A29" s="22" t="s">
        <v>10</v>
      </c>
      <c r="B29" s="33" t="s">
        <v>22</v>
      </c>
      <c r="C29" s="34">
        <f>[21]С1.1!E27</f>
        <v>2870.67</v>
      </c>
    </row>
    <row r="30" spans="1:3" ht="17.25">
      <c r="A30" s="22" t="s">
        <v>12</v>
      </c>
      <c r="B30" s="33" t="s">
        <v>23</v>
      </c>
      <c r="C30" s="35">
        <f>[21]С1.1!E19</f>
        <v>1.4E-2</v>
      </c>
    </row>
    <row r="31" spans="1:3" ht="17.25">
      <c r="A31" s="22" t="s">
        <v>14</v>
      </c>
      <c r="B31" s="33" t="s">
        <v>24</v>
      </c>
      <c r="C31" s="35">
        <f>[21]С1.1!E20</f>
        <v>0.04</v>
      </c>
    </row>
    <row r="32" spans="1:3" ht="30">
      <c r="A32" s="22" t="s">
        <v>16</v>
      </c>
      <c r="B32" s="36" t="s">
        <v>25</v>
      </c>
      <c r="C32" s="37">
        <f>[21]С1!F13</f>
        <v>176.4</v>
      </c>
    </row>
    <row r="33" spans="1:3">
      <c r="A33" s="22" t="s">
        <v>18</v>
      </c>
      <c r="B33" s="36" t="s">
        <v>26</v>
      </c>
      <c r="C33" s="38">
        <f>[21]С1!F16</f>
        <v>7000</v>
      </c>
    </row>
    <row r="34" spans="1:3" ht="14.25">
      <c r="A34" s="22" t="s">
        <v>27</v>
      </c>
      <c r="B34" s="39" t="s">
        <v>28</v>
      </c>
      <c r="C34" s="40">
        <f>[21]С1!F17</f>
        <v>0.72857142857142854</v>
      </c>
    </row>
    <row r="35" spans="1:3" ht="15.75">
      <c r="A35" s="41" t="s">
        <v>29</v>
      </c>
      <c r="B35" s="42" t="s">
        <v>30</v>
      </c>
      <c r="C35" s="40">
        <f>[21]С1!F20</f>
        <v>21.588411179999994</v>
      </c>
    </row>
    <row r="36" spans="1:3" ht="15.75">
      <c r="A36" s="41" t="s">
        <v>31</v>
      </c>
      <c r="B36" s="43" t="s">
        <v>32</v>
      </c>
      <c r="C36" s="40">
        <f>[21]С1!F21</f>
        <v>20.818139999999996</v>
      </c>
    </row>
    <row r="37" spans="1:3" ht="14.25">
      <c r="A37" s="41" t="s">
        <v>33</v>
      </c>
      <c r="B37" s="44" t="s">
        <v>34</v>
      </c>
      <c r="C37" s="40">
        <f>[21]С1!F22</f>
        <v>1.0369999999999999</v>
      </c>
    </row>
    <row r="38" spans="1:3" ht="53.25" thickBot="1">
      <c r="A38" s="27" t="s">
        <v>35</v>
      </c>
      <c r="B38" s="45" t="s">
        <v>36</v>
      </c>
      <c r="C38" s="46">
        <f>[21]С1!F23</f>
        <v>1.0469999999999999</v>
      </c>
    </row>
    <row r="39" spans="1:3" ht="13.5" thickBot="1">
      <c r="A39" s="47"/>
      <c r="B39" s="48"/>
      <c r="C39" s="49"/>
    </row>
    <row r="40" spans="1:3" ht="39" customHeight="1">
      <c r="A40" s="50" t="s">
        <v>37</v>
      </c>
      <c r="B40" s="146" t="s">
        <v>38</v>
      </c>
      <c r="C40" s="146"/>
    </row>
    <row r="41" spans="1:3" ht="25.5">
      <c r="A41" s="22" t="s">
        <v>39</v>
      </c>
      <c r="B41" s="36" t="s">
        <v>40</v>
      </c>
      <c r="C41" s="51" t="str">
        <f>[21]С2.1!E12</f>
        <v>V</v>
      </c>
    </row>
    <row r="42" spans="1:3" ht="25.5">
      <c r="A42" s="22" t="s">
        <v>41</v>
      </c>
      <c r="B42" s="33" t="s">
        <v>42</v>
      </c>
      <c r="C42" s="51" t="str">
        <f>[21]С2.1!E13</f>
        <v>6 и менее баллов</v>
      </c>
    </row>
    <row r="43" spans="1:3" ht="25.5">
      <c r="A43" s="22" t="s">
        <v>43</v>
      </c>
      <c r="B43" s="33" t="s">
        <v>44</v>
      </c>
      <c r="C43" s="51" t="str">
        <f>[21]С2.1!E14</f>
        <v>от 200 до 500</v>
      </c>
    </row>
    <row r="44" spans="1:3" ht="25.5">
      <c r="A44" s="22" t="s">
        <v>45</v>
      </c>
      <c r="B44" s="33" t="s">
        <v>46</v>
      </c>
      <c r="C44" s="52" t="str">
        <f>[21]С2.1!E15</f>
        <v>нет</v>
      </c>
    </row>
    <row r="45" spans="1:3" ht="30">
      <c r="A45" s="22" t="s">
        <v>47</v>
      </c>
      <c r="B45" s="33" t="s">
        <v>48</v>
      </c>
      <c r="C45" s="34">
        <f>[21]С2!F18</f>
        <v>38910.02669467502</v>
      </c>
    </row>
    <row r="46" spans="1:3" ht="30">
      <c r="A46" s="22" t="s">
        <v>49</v>
      </c>
      <c r="B46" s="53" t="s">
        <v>50</v>
      </c>
      <c r="C46" s="34">
        <f>IF([21]С2!F19&gt;0,[21]С2!F19,[21]С2!F20)</f>
        <v>23441.524932855718</v>
      </c>
    </row>
    <row r="47" spans="1:3" ht="25.5">
      <c r="A47" s="22" t="s">
        <v>51</v>
      </c>
      <c r="B47" s="54" t="s">
        <v>52</v>
      </c>
      <c r="C47" s="34">
        <f>[21]С2.1!E19</f>
        <v>-38</v>
      </c>
    </row>
    <row r="48" spans="1:3" ht="25.5">
      <c r="A48" s="22" t="s">
        <v>53</v>
      </c>
      <c r="B48" s="54" t="s">
        <v>54</v>
      </c>
      <c r="C48" s="34" t="str">
        <f>[21]С2.1!E22</f>
        <v>нет</v>
      </c>
    </row>
    <row r="49" spans="1:3" ht="38.25">
      <c r="A49" s="22" t="s">
        <v>55</v>
      </c>
      <c r="B49" s="55" t="s">
        <v>56</v>
      </c>
      <c r="C49" s="34">
        <f>[21]С2.2!E10</f>
        <v>1287</v>
      </c>
    </row>
    <row r="50" spans="1:3" ht="25.5">
      <c r="A50" s="22" t="s">
        <v>57</v>
      </c>
      <c r="B50" s="56" t="s">
        <v>58</v>
      </c>
      <c r="C50" s="34">
        <f>[21]С2.2!E12</f>
        <v>5.97</v>
      </c>
    </row>
    <row r="51" spans="1:3" ht="52.5">
      <c r="A51" s="22" t="s">
        <v>59</v>
      </c>
      <c r="B51" s="57" t="s">
        <v>60</v>
      </c>
      <c r="C51" s="34">
        <f>[21]С2.2!E13</f>
        <v>1</v>
      </c>
    </row>
    <row r="52" spans="1:3" ht="27.75">
      <c r="A52" s="22" t="s">
        <v>61</v>
      </c>
      <c r="B52" s="56" t="s">
        <v>62</v>
      </c>
      <c r="C52" s="34">
        <f>[21]С2.2!E14</f>
        <v>12104</v>
      </c>
    </row>
    <row r="53" spans="1:3" ht="25.5">
      <c r="A53" s="22" t="s">
        <v>63</v>
      </c>
      <c r="B53" s="57" t="s">
        <v>64</v>
      </c>
      <c r="C53" s="35">
        <f>[21]С2.2!E15</f>
        <v>4.8000000000000001E-2</v>
      </c>
    </row>
    <row r="54" spans="1:3">
      <c r="A54" s="22" t="s">
        <v>65</v>
      </c>
      <c r="B54" s="57" t="s">
        <v>66</v>
      </c>
      <c r="C54" s="34">
        <f>[21]С2.2!E16</f>
        <v>1</v>
      </c>
    </row>
    <row r="55" spans="1:3" ht="15.75">
      <c r="A55" s="22" t="s">
        <v>67</v>
      </c>
      <c r="B55" s="58" t="s">
        <v>68</v>
      </c>
      <c r="C55" s="34">
        <f>[21]С2!F21</f>
        <v>1</v>
      </c>
    </row>
    <row r="56" spans="1:3" ht="30">
      <c r="A56" s="59" t="s">
        <v>69</v>
      </c>
      <c r="B56" s="33" t="s">
        <v>70</v>
      </c>
      <c r="C56" s="34">
        <f>[21]С2!F13</f>
        <v>203708.97017230222</v>
      </c>
    </row>
    <row r="57" spans="1:3" ht="30">
      <c r="A57" s="59" t="s">
        <v>71</v>
      </c>
      <c r="B57" s="58" t="s">
        <v>72</v>
      </c>
      <c r="C57" s="34">
        <f>[21]С2!F14</f>
        <v>113455</v>
      </c>
    </row>
    <row r="58" spans="1:3" ht="15.75">
      <c r="A58" s="59" t="s">
        <v>73</v>
      </c>
      <c r="B58" s="60" t="s">
        <v>74</v>
      </c>
      <c r="C58" s="40">
        <f>[21]С2!F15</f>
        <v>1.071</v>
      </c>
    </row>
    <row r="59" spans="1:3" ht="15.75">
      <c r="A59" s="59" t="s">
        <v>75</v>
      </c>
      <c r="B59" s="60" t="s">
        <v>76</v>
      </c>
      <c r="C59" s="40">
        <f>[21]С2!F16</f>
        <v>1</v>
      </c>
    </row>
    <row r="60" spans="1:3" ht="17.25">
      <c r="A60" s="59" t="s">
        <v>77</v>
      </c>
      <c r="B60" s="58" t="s">
        <v>78</v>
      </c>
      <c r="C60" s="34">
        <f>[21]С2!F17</f>
        <v>1.01</v>
      </c>
    </row>
    <row r="61" spans="1:3" s="63" customFormat="1" ht="14.25">
      <c r="A61" s="59" t="s">
        <v>79</v>
      </c>
      <c r="B61" s="61" t="s">
        <v>80</v>
      </c>
      <c r="C61" s="62">
        <f>[21]С2!F33</f>
        <v>10</v>
      </c>
    </row>
    <row r="62" spans="1:3" ht="30">
      <c r="A62" s="59" t="s">
        <v>81</v>
      </c>
      <c r="B62" s="64" t="s">
        <v>82</v>
      </c>
      <c r="C62" s="34">
        <f>[21]С2!F26</f>
        <v>2416.4994928434235</v>
      </c>
    </row>
    <row r="63" spans="1:3" ht="17.25">
      <c r="A63" s="59" t="s">
        <v>83</v>
      </c>
      <c r="B63" s="53" t="s">
        <v>84</v>
      </c>
      <c r="C63" s="34">
        <f>[21]С2!F27</f>
        <v>0.34662649000000001</v>
      </c>
    </row>
    <row r="64" spans="1:3" ht="17.25">
      <c r="A64" s="59" t="s">
        <v>85</v>
      </c>
      <c r="B64" s="58" t="s">
        <v>86</v>
      </c>
      <c r="C64" s="62">
        <f>[21]С2!F28</f>
        <v>4200</v>
      </c>
    </row>
    <row r="65" spans="1:3" ht="42.75">
      <c r="A65" s="59" t="s">
        <v>87</v>
      </c>
      <c r="B65" s="33" t="s">
        <v>88</v>
      </c>
      <c r="C65" s="34">
        <f>[21]С2!F22</f>
        <v>42890.921752741691</v>
      </c>
    </row>
    <row r="66" spans="1:3" ht="30">
      <c r="A66" s="59" t="s">
        <v>89</v>
      </c>
      <c r="B66" s="60" t="s">
        <v>90</v>
      </c>
      <c r="C66" s="34">
        <f>[21]С2!F23</f>
        <v>1990</v>
      </c>
    </row>
    <row r="67" spans="1:3" ht="30">
      <c r="A67" s="59" t="s">
        <v>91</v>
      </c>
      <c r="B67" s="53" t="s">
        <v>92</v>
      </c>
      <c r="C67" s="34">
        <f>[21]С2.1!E27</f>
        <v>14307.876789999998</v>
      </c>
    </row>
    <row r="68" spans="1:3" ht="38.25">
      <c r="A68" s="59" t="s">
        <v>93</v>
      </c>
      <c r="B68" s="65" t="s">
        <v>94</v>
      </c>
      <c r="C68" s="52">
        <f>[21]С2.3!E21</f>
        <v>0</v>
      </c>
    </row>
    <row r="69" spans="1:3" ht="25.5">
      <c r="A69" s="59" t="s">
        <v>95</v>
      </c>
      <c r="B69" s="66" t="s">
        <v>96</v>
      </c>
      <c r="C69" s="67">
        <f>[21]С2.3!E11</f>
        <v>9.89</v>
      </c>
    </row>
    <row r="70" spans="1:3" ht="25.5">
      <c r="A70" s="59" t="s">
        <v>97</v>
      </c>
      <c r="B70" s="66" t="s">
        <v>98</v>
      </c>
      <c r="C70" s="62">
        <f>[21]С2.3!E13</f>
        <v>300</v>
      </c>
    </row>
    <row r="71" spans="1:3" ht="25.5">
      <c r="A71" s="59" t="s">
        <v>99</v>
      </c>
      <c r="B71" s="65" t="s">
        <v>100</v>
      </c>
      <c r="C71" s="68">
        <f>IF([21]С2.3!E22&gt;0,[21]С2.3!E22,[21]С2.3!E14)</f>
        <v>61211</v>
      </c>
    </row>
    <row r="72" spans="1:3" ht="38.25">
      <c r="A72" s="59" t="s">
        <v>101</v>
      </c>
      <c r="B72" s="65" t="s">
        <v>102</v>
      </c>
      <c r="C72" s="68">
        <f>IF([21]С2.3!E23&gt;0,[21]С2.3!E23,[21]С2.3!E15)</f>
        <v>45675</v>
      </c>
    </row>
    <row r="73" spans="1:3" ht="30">
      <c r="A73" s="59" t="s">
        <v>103</v>
      </c>
      <c r="B73" s="53" t="s">
        <v>104</v>
      </c>
      <c r="C73" s="34">
        <f>[21]С2.1!E28</f>
        <v>9541.9567200000001</v>
      </c>
    </row>
    <row r="74" spans="1:3" ht="38.25">
      <c r="A74" s="59" t="s">
        <v>105</v>
      </c>
      <c r="B74" s="65" t="s">
        <v>106</v>
      </c>
      <c r="C74" s="52">
        <f>[21]С2.3!E25</f>
        <v>0</v>
      </c>
    </row>
    <row r="75" spans="1:3" ht="25.5">
      <c r="A75" s="59" t="s">
        <v>107</v>
      </c>
      <c r="B75" s="66" t="s">
        <v>108</v>
      </c>
      <c r="C75" s="67">
        <f>[21]С2.3!E12</f>
        <v>0.56000000000000005</v>
      </c>
    </row>
    <row r="76" spans="1:3" ht="25.5">
      <c r="A76" s="59" t="s">
        <v>109</v>
      </c>
      <c r="B76" s="66" t="s">
        <v>98</v>
      </c>
      <c r="C76" s="62">
        <f>[21]С2.3!E13</f>
        <v>300</v>
      </c>
    </row>
    <row r="77" spans="1:3" ht="25.5">
      <c r="A77" s="59" t="s">
        <v>110</v>
      </c>
      <c r="B77" s="69" t="s">
        <v>111</v>
      </c>
      <c r="C77" s="68">
        <f>IF([21]С2.3!E26&gt;0,[21]С2.3!E26,[21]С2.3!E16)</f>
        <v>65637</v>
      </c>
    </row>
    <row r="78" spans="1:3" ht="38.25">
      <c r="A78" s="59" t="s">
        <v>112</v>
      </c>
      <c r="B78" s="69" t="s">
        <v>113</v>
      </c>
      <c r="C78" s="68">
        <f>IF([21]С2.3!E27&gt;0,[21]С2.3!E27,[21]С2.3!E17)</f>
        <v>31684</v>
      </c>
    </row>
    <row r="79" spans="1:3" ht="17.25">
      <c r="A79" s="59" t="s">
        <v>114</v>
      </c>
      <c r="B79" s="33" t="s">
        <v>115</v>
      </c>
      <c r="C79" s="35">
        <f>[21]С2!F29</f>
        <v>0.17804631770487722</v>
      </c>
    </row>
    <row r="80" spans="1:3" ht="30">
      <c r="A80" s="59" t="s">
        <v>116</v>
      </c>
      <c r="B80" s="53" t="s">
        <v>117</v>
      </c>
      <c r="C80" s="70">
        <f>[21]С2!F30</f>
        <v>0.1652189781021898</v>
      </c>
    </row>
    <row r="81" spans="1:3" ht="17.25">
      <c r="A81" s="59" t="s">
        <v>118</v>
      </c>
      <c r="B81" s="71" t="s">
        <v>119</v>
      </c>
      <c r="C81" s="35">
        <f>[21]С2!F31</f>
        <v>0.13880000000000001</v>
      </c>
    </row>
    <row r="82" spans="1:3" s="63" customFormat="1" ht="18" thickBot="1">
      <c r="A82" s="72" t="s">
        <v>120</v>
      </c>
      <c r="B82" s="73" t="s">
        <v>121</v>
      </c>
      <c r="C82" s="74">
        <f>[21]С2!F32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[21]С3!F14</f>
        <v>14863.184658749575</v>
      </c>
    </row>
    <row r="86" spans="1:3" s="63" customFormat="1" ht="42.75">
      <c r="A86" s="77" t="s">
        <v>126</v>
      </c>
      <c r="B86" s="53" t="s">
        <v>127</v>
      </c>
      <c r="C86" s="78">
        <f>[21]С3!F15</f>
        <v>0.25</v>
      </c>
    </row>
    <row r="87" spans="1:3" s="63" customFormat="1" ht="14.25">
      <c r="A87" s="77" t="s">
        <v>128</v>
      </c>
      <c r="B87" s="79" t="s">
        <v>129</v>
      </c>
      <c r="C87" s="62">
        <f>[21]С3!F18</f>
        <v>15</v>
      </c>
    </row>
    <row r="88" spans="1:3" s="63" customFormat="1" ht="17.25">
      <c r="A88" s="77" t="s">
        <v>130</v>
      </c>
      <c r="B88" s="33" t="s">
        <v>131</v>
      </c>
      <c r="C88" s="34">
        <f>[21]С3!F19</f>
        <v>4187.478806422544</v>
      </c>
    </row>
    <row r="89" spans="1:3" s="63" customFormat="1" ht="55.5">
      <c r="A89" s="77" t="s">
        <v>132</v>
      </c>
      <c r="B89" s="53" t="s">
        <v>133</v>
      </c>
      <c r="C89" s="80">
        <f>[21]С3!F20</f>
        <v>2.1999999999999999E-2</v>
      </c>
    </row>
    <row r="90" spans="1:3" s="63" customFormat="1" ht="14.25">
      <c r="A90" s="77" t="s">
        <v>134</v>
      </c>
      <c r="B90" s="58" t="s">
        <v>80</v>
      </c>
      <c r="C90" s="62">
        <f>[21]С3!F21</f>
        <v>10</v>
      </c>
    </row>
    <row r="91" spans="1:3" s="63" customFormat="1" ht="17.25">
      <c r="A91" s="77" t="s">
        <v>135</v>
      </c>
      <c r="B91" s="33" t="s">
        <v>136</v>
      </c>
      <c r="C91" s="34">
        <f>[21]С3!F22</f>
        <v>7.2494984785302705</v>
      </c>
    </row>
    <row r="92" spans="1:3" s="63" customFormat="1" ht="55.5">
      <c r="A92" s="77" t="s">
        <v>137</v>
      </c>
      <c r="B92" s="53" t="s">
        <v>138</v>
      </c>
      <c r="C92" s="80">
        <f>[21]С3!F23</f>
        <v>3.0000000000000001E-3</v>
      </c>
    </row>
    <row r="93" spans="1:3" s="63" customFormat="1" ht="27.75" thickBot="1">
      <c r="A93" s="81" t="s">
        <v>139</v>
      </c>
      <c r="B93" s="82" t="s">
        <v>140</v>
      </c>
      <c r="C93" s="83">
        <f>[21]С3!F24</f>
        <v>2416.4994928434235</v>
      </c>
    </row>
    <row r="94" spans="1:3" ht="13.5" thickBot="1">
      <c r="A94" s="47"/>
      <c r="B94" s="75"/>
      <c r="C94" s="15"/>
    </row>
    <row r="95" spans="1:3" ht="41.25" customHeight="1">
      <c r="A95" s="84" t="s">
        <v>141</v>
      </c>
      <c r="B95" s="146" t="s">
        <v>142</v>
      </c>
      <c r="C95" s="146"/>
    </row>
    <row r="96" spans="1:3" ht="30">
      <c r="A96" s="59" t="s">
        <v>143</v>
      </c>
      <c r="B96" s="33" t="s">
        <v>144</v>
      </c>
      <c r="C96" s="34">
        <f>[21]С4!F16</f>
        <v>1652.5</v>
      </c>
    </row>
    <row r="97" spans="1:3" ht="30">
      <c r="A97" s="59" t="s">
        <v>145</v>
      </c>
      <c r="B97" s="58" t="s">
        <v>146</v>
      </c>
      <c r="C97" s="34">
        <f>[21]С4!F17</f>
        <v>73547</v>
      </c>
    </row>
    <row r="98" spans="1:3" ht="17.25">
      <c r="A98" s="59" t="s">
        <v>147</v>
      </c>
      <c r="B98" s="58" t="s">
        <v>148</v>
      </c>
      <c r="C98" s="40">
        <f>[21]С4!F18</f>
        <v>0.02</v>
      </c>
    </row>
    <row r="99" spans="1:3" ht="30">
      <c r="A99" s="59" t="s">
        <v>149</v>
      </c>
      <c r="B99" s="58" t="s">
        <v>150</v>
      </c>
      <c r="C99" s="34">
        <f>[21]С4!F19</f>
        <v>12104</v>
      </c>
    </row>
    <row r="100" spans="1:3" ht="31.5">
      <c r="A100" s="59" t="s">
        <v>151</v>
      </c>
      <c r="B100" s="58" t="s">
        <v>152</v>
      </c>
      <c r="C100" s="40">
        <f>[21]С4!F20</f>
        <v>1.4999999999999999E-2</v>
      </c>
    </row>
    <row r="101" spans="1:3" ht="30">
      <c r="A101" s="59" t="s">
        <v>153</v>
      </c>
      <c r="B101" s="33" t="s">
        <v>154</v>
      </c>
      <c r="C101" s="34">
        <f>[21]С4!F21</f>
        <v>1933.1949342509995</v>
      </c>
    </row>
    <row r="102" spans="1:3" ht="24" customHeight="1">
      <c r="A102" s="59" t="s">
        <v>155</v>
      </c>
      <c r="B102" s="53" t="s">
        <v>156</v>
      </c>
      <c r="C102" s="85">
        <f>IF([21]С4.2!F8="да",[21]С4.2!D21,[21]С4.2!D15)</f>
        <v>0</v>
      </c>
    </row>
    <row r="103" spans="1:3" ht="68.25">
      <c r="A103" s="59" t="s">
        <v>157</v>
      </c>
      <c r="B103" s="53" t="s">
        <v>158</v>
      </c>
      <c r="C103" s="34">
        <f>[21]С4!F22</f>
        <v>3.6112641666666665</v>
      </c>
    </row>
    <row r="104" spans="1:3" ht="30">
      <c r="A104" s="59" t="s">
        <v>159</v>
      </c>
      <c r="B104" s="58" t="s">
        <v>160</v>
      </c>
      <c r="C104" s="34">
        <f>[21]С4!F23</f>
        <v>180</v>
      </c>
    </row>
    <row r="105" spans="1:3" ht="14.25">
      <c r="A105" s="59" t="s">
        <v>161</v>
      </c>
      <c r="B105" s="53" t="s">
        <v>162</v>
      </c>
      <c r="C105" s="34">
        <f>[21]С4!F24</f>
        <v>8497.1999999999989</v>
      </c>
    </row>
    <row r="106" spans="1:3" ht="14.25">
      <c r="A106" s="59" t="s">
        <v>163</v>
      </c>
      <c r="B106" s="58" t="s">
        <v>164</v>
      </c>
      <c r="C106" s="40">
        <f>[21]С4!F25</f>
        <v>0.35</v>
      </c>
    </row>
    <row r="107" spans="1:3" ht="17.25">
      <c r="A107" s="59" t="s">
        <v>165</v>
      </c>
      <c r="B107" s="33" t="s">
        <v>166</v>
      </c>
      <c r="C107" s="34">
        <f>[21]С4!F26</f>
        <v>89.417339999999996</v>
      </c>
    </row>
    <row r="108" spans="1:3" ht="25.5">
      <c r="A108" s="59" t="s">
        <v>167</v>
      </c>
      <c r="B108" s="53" t="s">
        <v>94</v>
      </c>
      <c r="C108" s="85">
        <f>[21]С4.3!E16</f>
        <v>0</v>
      </c>
    </row>
    <row r="109" spans="1:3" ht="25.5">
      <c r="A109" s="59" t="s">
        <v>168</v>
      </c>
      <c r="B109" s="53" t="s">
        <v>169</v>
      </c>
      <c r="C109" s="34">
        <f>[21]С4.3!E17</f>
        <v>24.22</v>
      </c>
    </row>
    <row r="110" spans="1:3" ht="38.25">
      <c r="A110" s="59" t="s">
        <v>170</v>
      </c>
      <c r="B110" s="53" t="s">
        <v>106</v>
      </c>
      <c r="C110" s="85">
        <f>[21]С4.3!E18</f>
        <v>0</v>
      </c>
    </row>
    <row r="111" spans="1:3">
      <c r="A111" s="59" t="s">
        <v>171</v>
      </c>
      <c r="B111" s="53" t="s">
        <v>172</v>
      </c>
      <c r="C111" s="34">
        <f>[21]С4.3!E19</f>
        <v>21.95</v>
      </c>
    </row>
    <row r="112" spans="1:3">
      <c r="A112" s="59" t="s">
        <v>173</v>
      </c>
      <c r="B112" s="58" t="s">
        <v>174</v>
      </c>
      <c r="C112" s="34">
        <f>[21]С4.3!E11</f>
        <v>1871</v>
      </c>
    </row>
    <row r="113" spans="1:3">
      <c r="A113" s="59" t="s">
        <v>175</v>
      </c>
      <c r="B113" s="58" t="s">
        <v>176</v>
      </c>
      <c r="C113" s="52">
        <f>[21]С4.3!E12</f>
        <v>1636</v>
      </c>
    </row>
    <row r="114" spans="1:3">
      <c r="A114" s="59" t="s">
        <v>177</v>
      </c>
      <c r="B114" s="58" t="s">
        <v>178</v>
      </c>
      <c r="C114" s="52">
        <f>[21]С4.3!E13</f>
        <v>204</v>
      </c>
    </row>
    <row r="115" spans="1:3" ht="30">
      <c r="A115" s="59" t="s">
        <v>179</v>
      </c>
      <c r="B115" s="33" t="s">
        <v>180</v>
      </c>
      <c r="C115" s="34">
        <f>[21]С4!F27</f>
        <v>1291.2863994686898</v>
      </c>
    </row>
    <row r="116" spans="1:3" ht="25.5">
      <c r="A116" s="59" t="s">
        <v>181</v>
      </c>
      <c r="B116" s="53" t="s">
        <v>182</v>
      </c>
      <c r="C116" s="34">
        <f>[21]С4!F28</f>
        <v>991.77142816335618</v>
      </c>
    </row>
    <row r="117" spans="1:3" ht="42.75">
      <c r="A117" s="59" t="s">
        <v>183</v>
      </c>
      <c r="B117" s="53" t="s">
        <v>184</v>
      </c>
      <c r="C117" s="34">
        <f>[21]С4!F29</f>
        <v>299.51497130533357</v>
      </c>
    </row>
    <row r="118" spans="1:3" ht="30">
      <c r="A118" s="59" t="s">
        <v>185</v>
      </c>
      <c r="B118" s="39" t="s">
        <v>186</v>
      </c>
      <c r="C118" s="34">
        <f>[21]С4!F30</f>
        <v>2381.3754642737736</v>
      </c>
    </row>
    <row r="119" spans="1:3" ht="42.75">
      <c r="A119" s="59" t="s">
        <v>187</v>
      </c>
      <c r="B119" s="86" t="s">
        <v>188</v>
      </c>
      <c r="C119" s="34">
        <f>[21]С4!F33</f>
        <v>1176.7426982817792</v>
      </c>
    </row>
    <row r="120" spans="1:3" ht="30">
      <c r="A120" s="59" t="s">
        <v>189</v>
      </c>
      <c r="B120" s="87" t="s">
        <v>190</v>
      </c>
      <c r="C120" s="34">
        <f>[21]С4!F35</f>
        <v>17.040680999999999</v>
      </c>
    </row>
    <row r="121" spans="1:3" ht="14.25">
      <c r="A121" s="59" t="s">
        <v>191</v>
      </c>
      <c r="B121" s="56" t="s">
        <v>192</v>
      </c>
      <c r="C121" s="34">
        <f>[21]С4!F36</f>
        <v>14319.9</v>
      </c>
    </row>
    <row r="122" spans="1:3" ht="28.5" thickBot="1">
      <c r="A122" s="72" t="s">
        <v>193</v>
      </c>
      <c r="B122" s="88" t="s">
        <v>194</v>
      </c>
      <c r="C122" s="83">
        <f>[21]С4!F37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[21]С5!F17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[21]С2!F37</f>
        <v>20.818139999999996</v>
      </c>
    </row>
    <row r="136" spans="1:4" ht="14.25">
      <c r="A136" s="59" t="s">
        <v>216</v>
      </c>
      <c r="B136" s="101" t="s">
        <v>217</v>
      </c>
      <c r="C136" s="34">
        <f>[21]С2!F38</f>
        <v>7</v>
      </c>
    </row>
    <row r="137" spans="1:4" ht="17.25">
      <c r="A137" s="59" t="s">
        <v>218</v>
      </c>
      <c r="B137" s="101" t="s">
        <v>219</v>
      </c>
      <c r="C137" s="34">
        <f>[21]С2!F40</f>
        <v>0.97</v>
      </c>
    </row>
    <row r="138" spans="1:4" ht="15" thickBot="1">
      <c r="A138" s="72" t="s">
        <v>220</v>
      </c>
      <c r="B138" s="102" t="s">
        <v>221</v>
      </c>
      <c r="C138" s="46">
        <f>[21]С2!F42</f>
        <v>0.35</v>
      </c>
    </row>
    <row r="139" spans="1:4" s="89" customFormat="1" ht="13.5" thickBot="1">
      <c r="A139" s="47"/>
      <c r="B139" s="75"/>
      <c r="C139" s="15"/>
    </row>
    <row r="140" spans="1:4" ht="30">
      <c r="A140" s="84" t="s">
        <v>222</v>
      </c>
      <c r="B140" s="103" t="s">
        <v>223</v>
      </c>
      <c r="C140" s="104">
        <f>[21]С2!F35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[21]С2.5!$E$11</f>
        <v>-2.9000000000000026E-2</v>
      </c>
      <c r="D143" s="89"/>
    </row>
    <row r="144" spans="1:4">
      <c r="A144" s="105"/>
      <c r="B144" s="110">
        <f>B143+1</f>
        <v>2021</v>
      </c>
      <c r="C144" s="111">
        <f>[21]С2.5!$F$11</f>
        <v>0.245</v>
      </c>
      <c r="D144" s="89"/>
    </row>
    <row r="145" spans="1:4">
      <c r="A145" s="105"/>
      <c r="B145" s="110">
        <f t="shared" ref="B145:B208" si="0">B144+1</f>
        <v>2022</v>
      </c>
      <c r="C145" s="111">
        <f>[21]С2.5!$G$11</f>
        <v>0.114</v>
      </c>
      <c r="D145" s="89"/>
    </row>
    <row r="146" spans="1:4" ht="13.5" thickBot="1">
      <c r="A146" s="105"/>
      <c r="B146" s="112">
        <f t="shared" si="0"/>
        <v>2023</v>
      </c>
      <c r="C146" s="113">
        <f>[21]С2.5!$H$11</f>
        <v>0.04</v>
      </c>
      <c r="D146" s="89"/>
    </row>
    <row r="147" spans="1:4">
      <c r="A147" s="105"/>
      <c r="B147" s="114">
        <f t="shared" si="0"/>
        <v>2024</v>
      </c>
      <c r="C147" s="115">
        <f>[21]С2.5!$I$11</f>
        <v>0.11700000000000001</v>
      </c>
      <c r="D147" s="89"/>
    </row>
    <row r="148" spans="1:4">
      <c r="A148" s="105"/>
      <c r="B148" s="110">
        <f t="shared" si="0"/>
        <v>2025</v>
      </c>
      <c r="C148" s="111">
        <f>[21]С2.5!$J$11</f>
        <v>6.0999999999999999E-2</v>
      </c>
      <c r="D148" s="89"/>
    </row>
    <row r="149" spans="1:4" hidden="1">
      <c r="A149" s="105"/>
      <c r="B149" s="110">
        <f t="shared" si="0"/>
        <v>2026</v>
      </c>
      <c r="C149" s="111">
        <f>[21]С2.5!$K$11</f>
        <v>3.5813361771260002E-2</v>
      </c>
      <c r="D149" s="89"/>
    </row>
    <row r="150" spans="1:4" hidden="1">
      <c r="A150" s="105"/>
      <c r="B150" s="110">
        <f t="shared" si="0"/>
        <v>2027</v>
      </c>
      <c r="C150" s="111">
        <f>[21]С2.5!$L$11</f>
        <v>3.2682303599220003E-2</v>
      </c>
      <c r="D150" s="89"/>
    </row>
    <row r="151" spans="1:4" hidden="1">
      <c r="A151" s="105"/>
      <c r="B151" s="110">
        <f t="shared" si="0"/>
        <v>2028</v>
      </c>
      <c r="C151" s="111">
        <f>[21]С2.5!$M$11</f>
        <v>0</v>
      </c>
      <c r="D151" s="89"/>
    </row>
    <row r="152" spans="1:4" hidden="1">
      <c r="A152" s="105"/>
      <c r="B152" s="110">
        <f t="shared" si="0"/>
        <v>2029</v>
      </c>
      <c r="C152" s="111">
        <f>[21]С2.5!$N$11</f>
        <v>0</v>
      </c>
      <c r="D152" s="89"/>
    </row>
    <row r="153" spans="1:4" hidden="1">
      <c r="A153" s="105"/>
      <c r="B153" s="110">
        <f t="shared" si="0"/>
        <v>2030</v>
      </c>
      <c r="C153" s="111">
        <f>[21]С2.5!$O$11</f>
        <v>0</v>
      </c>
      <c r="D153" s="89"/>
    </row>
    <row r="154" spans="1:4" hidden="1">
      <c r="A154" s="105"/>
      <c r="B154" s="110">
        <f t="shared" si="0"/>
        <v>2031</v>
      </c>
      <c r="C154" s="111">
        <f>[21]С2.5!$P$11</f>
        <v>0</v>
      </c>
      <c r="D154" s="89"/>
    </row>
    <row r="155" spans="1:4" hidden="1">
      <c r="A155" s="89"/>
      <c r="B155" s="110">
        <f t="shared" si="0"/>
        <v>2032</v>
      </c>
      <c r="C155" s="111">
        <f>[21]С2.5!$Q$11</f>
        <v>0</v>
      </c>
      <c r="D155" s="89"/>
    </row>
    <row r="156" spans="1:4" hidden="1">
      <c r="A156" s="89"/>
      <c r="B156" s="110">
        <f t="shared" si="0"/>
        <v>2033</v>
      </c>
      <c r="C156" s="111">
        <f>[21]С2.5!$R$11</f>
        <v>0</v>
      </c>
      <c r="D156" s="89"/>
    </row>
    <row r="157" spans="1:4" hidden="1">
      <c r="B157" s="110">
        <f t="shared" si="0"/>
        <v>2034</v>
      </c>
      <c r="C157" s="111">
        <f>[21]С2.5!$S$11</f>
        <v>0</v>
      </c>
    </row>
    <row r="158" spans="1:4" hidden="1">
      <c r="B158" s="110">
        <f t="shared" si="0"/>
        <v>2035</v>
      </c>
      <c r="C158" s="111">
        <f>[21]С2.5!$T$11</f>
        <v>0</v>
      </c>
    </row>
    <row r="159" spans="1:4" hidden="1">
      <c r="B159" s="110">
        <f t="shared" si="0"/>
        <v>2036</v>
      </c>
      <c r="C159" s="111">
        <f>[21]С2.5!$U$11</f>
        <v>0</v>
      </c>
    </row>
    <row r="160" spans="1:4" hidden="1">
      <c r="B160" s="110">
        <f t="shared" si="0"/>
        <v>2037</v>
      </c>
      <c r="C160" s="111">
        <f>[21]С2.5!$V$11</f>
        <v>0</v>
      </c>
    </row>
    <row r="161" spans="2:3" hidden="1">
      <c r="B161" s="110">
        <f t="shared" si="0"/>
        <v>2038</v>
      </c>
      <c r="C161" s="111">
        <f>[21]С2.5!$W$11</f>
        <v>0</v>
      </c>
    </row>
    <row r="162" spans="2:3" hidden="1">
      <c r="B162" s="110">
        <f t="shared" si="0"/>
        <v>2039</v>
      </c>
      <c r="C162" s="111">
        <f>[21]С2.5!$X$11</f>
        <v>0</v>
      </c>
    </row>
    <row r="163" spans="2:3" hidden="1">
      <c r="B163" s="110">
        <f t="shared" si="0"/>
        <v>2040</v>
      </c>
      <c r="C163" s="111">
        <f>[21]С2.5!$Y$11</f>
        <v>0</v>
      </c>
    </row>
    <row r="164" spans="2:3" hidden="1">
      <c r="B164" s="110">
        <f t="shared" si="0"/>
        <v>2041</v>
      </c>
      <c r="C164" s="111">
        <f>[21]С2.5!$Z$11</f>
        <v>0</v>
      </c>
    </row>
    <row r="165" spans="2:3" hidden="1">
      <c r="B165" s="110">
        <f t="shared" si="0"/>
        <v>2042</v>
      </c>
      <c r="C165" s="111">
        <f>[21]С2.5!$AA$11</f>
        <v>0</v>
      </c>
    </row>
    <row r="166" spans="2:3" hidden="1">
      <c r="B166" s="110">
        <f t="shared" si="0"/>
        <v>2043</v>
      </c>
      <c r="C166" s="111">
        <f>[21]С2.5!$AB$11</f>
        <v>0</v>
      </c>
    </row>
    <row r="167" spans="2:3" hidden="1">
      <c r="B167" s="110">
        <f t="shared" si="0"/>
        <v>2044</v>
      </c>
      <c r="C167" s="111">
        <f>[21]С2.5!$AC$11</f>
        <v>0</v>
      </c>
    </row>
    <row r="168" spans="2:3" hidden="1">
      <c r="B168" s="110">
        <f t="shared" si="0"/>
        <v>2045</v>
      </c>
      <c r="C168" s="111">
        <f>[21]С2.5!$AD$11</f>
        <v>0</v>
      </c>
    </row>
    <row r="169" spans="2:3" hidden="1">
      <c r="B169" s="110">
        <f t="shared" si="0"/>
        <v>2046</v>
      </c>
      <c r="C169" s="111">
        <f>[21]С2.5!$AE$11</f>
        <v>0</v>
      </c>
    </row>
    <row r="170" spans="2:3" hidden="1">
      <c r="B170" s="110">
        <f t="shared" si="0"/>
        <v>2047</v>
      </c>
      <c r="C170" s="111">
        <f>[21]С2.5!$AF$11</f>
        <v>0</v>
      </c>
    </row>
    <row r="171" spans="2:3" hidden="1">
      <c r="B171" s="110">
        <f t="shared" si="0"/>
        <v>2048</v>
      </c>
      <c r="C171" s="111">
        <f>[21]С2.5!$AG$11</f>
        <v>0</v>
      </c>
    </row>
    <row r="172" spans="2:3" hidden="1">
      <c r="B172" s="110">
        <f t="shared" si="0"/>
        <v>2049</v>
      </c>
      <c r="C172" s="111">
        <f>[21]С2.5!$AH$11</f>
        <v>0</v>
      </c>
    </row>
    <row r="173" spans="2:3" hidden="1">
      <c r="B173" s="110">
        <f t="shared" si="0"/>
        <v>2050</v>
      </c>
      <c r="C173" s="111">
        <f>[21]С2.5!$AI$11</f>
        <v>0</v>
      </c>
    </row>
    <row r="174" spans="2:3" hidden="1">
      <c r="B174" s="110">
        <f t="shared" si="0"/>
        <v>2051</v>
      </c>
      <c r="C174" s="111">
        <f>[21]С2.5!$AJ$11</f>
        <v>0</v>
      </c>
    </row>
    <row r="175" spans="2:3" hidden="1">
      <c r="B175" s="110">
        <f t="shared" si="0"/>
        <v>2052</v>
      </c>
      <c r="C175" s="111">
        <f>[21]С2.5!$AK$11</f>
        <v>0</v>
      </c>
    </row>
    <row r="176" spans="2:3" hidden="1">
      <c r="B176" s="110">
        <f t="shared" si="0"/>
        <v>2053</v>
      </c>
      <c r="C176" s="111">
        <f>[21]С2.5!$AL$11</f>
        <v>0</v>
      </c>
    </row>
    <row r="177" spans="2:3" hidden="1">
      <c r="B177" s="110">
        <f t="shared" si="0"/>
        <v>2054</v>
      </c>
      <c r="C177" s="111">
        <f>[21]С2.5!$AM$11</f>
        <v>0</v>
      </c>
    </row>
    <row r="178" spans="2:3" hidden="1">
      <c r="B178" s="110">
        <f t="shared" si="0"/>
        <v>2055</v>
      </c>
      <c r="C178" s="111">
        <f>[21]С2.5!$AN$11</f>
        <v>0</v>
      </c>
    </row>
    <row r="179" spans="2:3" hidden="1">
      <c r="B179" s="110">
        <f t="shared" si="0"/>
        <v>2056</v>
      </c>
      <c r="C179" s="111">
        <f>[21]С2.5!$AO$11</f>
        <v>0</v>
      </c>
    </row>
    <row r="180" spans="2:3" hidden="1">
      <c r="B180" s="110">
        <f t="shared" si="0"/>
        <v>2057</v>
      </c>
      <c r="C180" s="111">
        <f>[21]С2.5!$AP$11</f>
        <v>0</v>
      </c>
    </row>
    <row r="181" spans="2:3" hidden="1">
      <c r="B181" s="110">
        <f t="shared" si="0"/>
        <v>2058</v>
      </c>
      <c r="C181" s="111">
        <f>[21]С2.5!$AQ$11</f>
        <v>0</v>
      </c>
    </row>
    <row r="182" spans="2:3" hidden="1">
      <c r="B182" s="110">
        <f t="shared" si="0"/>
        <v>2059</v>
      </c>
      <c r="C182" s="111">
        <f>[21]С2.5!$AR$11</f>
        <v>0</v>
      </c>
    </row>
    <row r="183" spans="2:3" hidden="1">
      <c r="B183" s="110">
        <f t="shared" si="0"/>
        <v>2060</v>
      </c>
      <c r="C183" s="111">
        <f>[21]С2.5!$AS$11</f>
        <v>0</v>
      </c>
    </row>
    <row r="184" spans="2:3" hidden="1">
      <c r="B184" s="110">
        <f t="shared" si="0"/>
        <v>2061</v>
      </c>
      <c r="C184" s="111">
        <f>[21]С2.5!$AT$11</f>
        <v>0</v>
      </c>
    </row>
    <row r="185" spans="2:3" hidden="1">
      <c r="B185" s="110">
        <f t="shared" si="0"/>
        <v>2062</v>
      </c>
      <c r="C185" s="111">
        <f>[21]С2.5!$AU$11</f>
        <v>0</v>
      </c>
    </row>
    <row r="186" spans="2:3" hidden="1">
      <c r="B186" s="110">
        <f t="shared" si="0"/>
        <v>2063</v>
      </c>
      <c r="C186" s="111">
        <f>[21]С2.5!$AV$11</f>
        <v>0</v>
      </c>
    </row>
    <row r="187" spans="2:3" hidden="1">
      <c r="B187" s="110">
        <f t="shared" si="0"/>
        <v>2064</v>
      </c>
      <c r="C187" s="111">
        <f>[21]С2.5!$AW$11</f>
        <v>0</v>
      </c>
    </row>
    <row r="188" spans="2:3" hidden="1">
      <c r="B188" s="110">
        <f t="shared" si="0"/>
        <v>2065</v>
      </c>
      <c r="C188" s="111">
        <f>[21]С2.5!$AX$11</f>
        <v>0</v>
      </c>
    </row>
    <row r="189" spans="2:3" hidden="1">
      <c r="B189" s="110">
        <f t="shared" si="0"/>
        <v>2066</v>
      </c>
      <c r="C189" s="111">
        <f>[21]С2.5!$AY$11</f>
        <v>0</v>
      </c>
    </row>
    <row r="190" spans="2:3" hidden="1">
      <c r="B190" s="110">
        <f t="shared" si="0"/>
        <v>2067</v>
      </c>
      <c r="C190" s="111">
        <f>[21]С2.5!$AZ$11</f>
        <v>0</v>
      </c>
    </row>
    <row r="191" spans="2:3" hidden="1">
      <c r="B191" s="110">
        <f t="shared" si="0"/>
        <v>2068</v>
      </c>
      <c r="C191" s="111">
        <f>[21]С2.5!$BA$11</f>
        <v>0</v>
      </c>
    </row>
    <row r="192" spans="2:3" hidden="1">
      <c r="B192" s="110">
        <f t="shared" si="0"/>
        <v>2069</v>
      </c>
      <c r="C192" s="111">
        <f>[21]С2.5!$BB$11</f>
        <v>0</v>
      </c>
    </row>
    <row r="193" spans="2:3" hidden="1">
      <c r="B193" s="110">
        <f t="shared" si="0"/>
        <v>2070</v>
      </c>
      <c r="C193" s="111">
        <f>[21]С2.5!$BC$11</f>
        <v>0</v>
      </c>
    </row>
    <row r="194" spans="2:3" hidden="1">
      <c r="B194" s="110">
        <f t="shared" si="0"/>
        <v>2071</v>
      </c>
      <c r="C194" s="111">
        <f>[21]С2.5!$BD$11</f>
        <v>0</v>
      </c>
    </row>
    <row r="195" spans="2:3" hidden="1">
      <c r="B195" s="110">
        <f t="shared" si="0"/>
        <v>2072</v>
      </c>
      <c r="C195" s="111">
        <f>[21]С2.5!$BE$11</f>
        <v>0</v>
      </c>
    </row>
    <row r="196" spans="2:3" hidden="1">
      <c r="B196" s="110">
        <f t="shared" si="0"/>
        <v>2073</v>
      </c>
      <c r="C196" s="111">
        <f>[21]С2.5!$BF$11</f>
        <v>0</v>
      </c>
    </row>
    <row r="197" spans="2:3" hidden="1">
      <c r="B197" s="110">
        <f t="shared" si="0"/>
        <v>2074</v>
      </c>
      <c r="C197" s="111">
        <f>[21]С2.5!$BG$11</f>
        <v>0</v>
      </c>
    </row>
    <row r="198" spans="2:3" hidden="1">
      <c r="B198" s="110">
        <f t="shared" si="0"/>
        <v>2075</v>
      </c>
      <c r="C198" s="111">
        <f>[21]С2.5!$BH$11</f>
        <v>0</v>
      </c>
    </row>
    <row r="199" spans="2:3" hidden="1">
      <c r="B199" s="110">
        <f t="shared" si="0"/>
        <v>2076</v>
      </c>
      <c r="C199" s="111">
        <f>[21]С2.5!$BI$11</f>
        <v>0</v>
      </c>
    </row>
    <row r="200" spans="2:3" hidden="1">
      <c r="B200" s="110">
        <f t="shared" si="0"/>
        <v>2077</v>
      </c>
      <c r="C200" s="111">
        <f>[21]С2.5!$BJ$11</f>
        <v>0</v>
      </c>
    </row>
    <row r="201" spans="2:3" hidden="1">
      <c r="B201" s="110">
        <f t="shared" si="0"/>
        <v>2078</v>
      </c>
      <c r="C201" s="111">
        <f>[21]С2.5!$BK$11</f>
        <v>0</v>
      </c>
    </row>
    <row r="202" spans="2:3" hidden="1">
      <c r="B202" s="110">
        <f t="shared" si="0"/>
        <v>2079</v>
      </c>
      <c r="C202" s="111">
        <f>[21]С2.5!$BL$11</f>
        <v>0</v>
      </c>
    </row>
    <row r="203" spans="2:3" hidden="1">
      <c r="B203" s="110">
        <f t="shared" si="0"/>
        <v>2080</v>
      </c>
      <c r="C203" s="111">
        <f>[21]С2.5!$BM$11</f>
        <v>0</v>
      </c>
    </row>
    <row r="204" spans="2:3" hidden="1">
      <c r="B204" s="110">
        <f t="shared" si="0"/>
        <v>2081</v>
      </c>
      <c r="C204" s="111">
        <f>[21]С2.5!$BN$11</f>
        <v>0</v>
      </c>
    </row>
    <row r="205" spans="2:3" hidden="1">
      <c r="B205" s="110">
        <f t="shared" si="0"/>
        <v>2082</v>
      </c>
      <c r="C205" s="111">
        <f>[21]С2.5!$BO$11</f>
        <v>0</v>
      </c>
    </row>
    <row r="206" spans="2:3" hidden="1">
      <c r="B206" s="110">
        <f t="shared" si="0"/>
        <v>2083</v>
      </c>
      <c r="C206" s="111">
        <f>[21]С2.5!$BP$11</f>
        <v>0</v>
      </c>
    </row>
    <row r="207" spans="2:3" hidden="1">
      <c r="B207" s="110">
        <f t="shared" si="0"/>
        <v>2084</v>
      </c>
      <c r="C207" s="111">
        <f>[21]С2.5!$BQ$11</f>
        <v>0</v>
      </c>
    </row>
    <row r="208" spans="2:3" hidden="1">
      <c r="B208" s="110">
        <f t="shared" si="0"/>
        <v>2085</v>
      </c>
      <c r="C208" s="111">
        <f>[21]С2.5!$BR$11</f>
        <v>0</v>
      </c>
    </row>
    <row r="209" spans="2:3" hidden="1">
      <c r="B209" s="110">
        <f t="shared" ref="B209:B223" si="1">B208+1</f>
        <v>2086</v>
      </c>
      <c r="C209" s="111">
        <f>[21]С2.5!$BS$11</f>
        <v>0</v>
      </c>
    </row>
    <row r="210" spans="2:3" hidden="1">
      <c r="B210" s="110">
        <f t="shared" si="1"/>
        <v>2087</v>
      </c>
      <c r="C210" s="111">
        <f>[21]С2.5!$BT$11</f>
        <v>0</v>
      </c>
    </row>
    <row r="211" spans="2:3" hidden="1">
      <c r="B211" s="110">
        <f t="shared" si="1"/>
        <v>2088</v>
      </c>
      <c r="C211" s="111">
        <f>[21]С2.5!$BU$11</f>
        <v>0</v>
      </c>
    </row>
    <row r="212" spans="2:3" hidden="1">
      <c r="B212" s="110">
        <f t="shared" si="1"/>
        <v>2089</v>
      </c>
      <c r="C212" s="111">
        <f>[21]С2.5!$BV$11</f>
        <v>0</v>
      </c>
    </row>
    <row r="213" spans="2:3" hidden="1">
      <c r="B213" s="110">
        <f t="shared" si="1"/>
        <v>2090</v>
      </c>
      <c r="C213" s="111">
        <f>[21]С2.5!$BW$11</f>
        <v>0</v>
      </c>
    </row>
    <row r="214" spans="2:3" hidden="1">
      <c r="B214" s="110">
        <f t="shared" si="1"/>
        <v>2091</v>
      </c>
      <c r="C214" s="111">
        <f>[21]С2.5!$BX$11</f>
        <v>0</v>
      </c>
    </row>
    <row r="215" spans="2:3" hidden="1">
      <c r="B215" s="110">
        <f t="shared" si="1"/>
        <v>2092</v>
      </c>
      <c r="C215" s="111">
        <f>[21]С2.5!$BY$11</f>
        <v>0</v>
      </c>
    </row>
    <row r="216" spans="2:3" hidden="1">
      <c r="B216" s="110">
        <f t="shared" si="1"/>
        <v>2093</v>
      </c>
      <c r="C216" s="111">
        <f>[21]С2.5!$BZ$11</f>
        <v>0</v>
      </c>
    </row>
    <row r="217" spans="2:3" hidden="1">
      <c r="B217" s="110">
        <f t="shared" si="1"/>
        <v>2094</v>
      </c>
      <c r="C217" s="111">
        <f>[21]С2.5!$CA$11</f>
        <v>0</v>
      </c>
    </row>
    <row r="218" spans="2:3" hidden="1">
      <c r="B218" s="110">
        <f t="shared" si="1"/>
        <v>2095</v>
      </c>
      <c r="C218" s="111">
        <f>[21]С2.5!$CB$11</f>
        <v>0</v>
      </c>
    </row>
    <row r="219" spans="2:3" hidden="1">
      <c r="B219" s="110">
        <f t="shared" si="1"/>
        <v>2096</v>
      </c>
      <c r="C219" s="111">
        <f>[21]С2.5!$CC$11</f>
        <v>0</v>
      </c>
    </row>
    <row r="220" spans="2:3" hidden="1">
      <c r="B220" s="110">
        <f t="shared" si="1"/>
        <v>2097</v>
      </c>
      <c r="C220" s="111">
        <f>[21]С2.5!$CD$11</f>
        <v>0</v>
      </c>
    </row>
    <row r="221" spans="2:3" hidden="1">
      <c r="B221" s="110">
        <f t="shared" si="1"/>
        <v>2098</v>
      </c>
      <c r="C221" s="111">
        <f>[21]С2.5!$CE$11</f>
        <v>0</v>
      </c>
    </row>
    <row r="222" spans="2:3" hidden="1">
      <c r="B222" s="110">
        <f t="shared" si="1"/>
        <v>2099</v>
      </c>
      <c r="C222" s="111">
        <f>[21]С2.5!$CF$11</f>
        <v>0</v>
      </c>
    </row>
    <row r="223" spans="2:3" ht="13.5" hidden="1" thickBot="1">
      <c r="B223" s="112">
        <f t="shared" si="1"/>
        <v>2100</v>
      </c>
      <c r="C223" s="113">
        <f>[21]С2.5!$CG$11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Button 2">
              <controlPr defaultSize="0" print="0" autoFill="0" autoPict="0" macro="[2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9219" r:id="rId4" name="Button 3">
              <controlPr defaultSize="0" print="0" autoFill="0" autoPict="0" macro="[2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[23]И1!D13</f>
        <v>Субъект Российской Федерации</v>
      </c>
      <c r="C4" s="10" t="str">
        <f>[23]И1!E13</f>
        <v>Новосибирская область</v>
      </c>
    </row>
    <row r="5" spans="1:3" ht="46.9" customHeight="1">
      <c r="A5" s="8"/>
      <c r="B5" s="9" t="str">
        <f>[23]И1!D14</f>
        <v>Тип муниципального образования (выберите из списка)</v>
      </c>
      <c r="C5" s="10" t="str">
        <f>[23]И1!E14</f>
        <v>село Киик, Тогучинский муниципальный район</v>
      </c>
    </row>
    <row r="6" spans="1:3">
      <c r="A6" s="8"/>
      <c r="B6" s="9" t="str">
        <f>IF([23]И1!E15="","",[23]И1!D15)</f>
        <v/>
      </c>
      <c r="C6" s="10" t="str">
        <f>IF([23]И1!E15="","",[23]И1!E15)</f>
        <v/>
      </c>
    </row>
    <row r="7" spans="1:3">
      <c r="A7" s="8"/>
      <c r="B7" s="9" t="str">
        <f>[23]И1!D16</f>
        <v>Код ОКТМО</v>
      </c>
      <c r="C7" s="11" t="str">
        <f>[23]И1!E16</f>
        <v>50652422101</v>
      </c>
    </row>
    <row r="8" spans="1:3">
      <c r="A8" s="8"/>
      <c r="B8" s="12" t="str">
        <f>[23]И1!D17</f>
        <v>Система теплоснабжения</v>
      </c>
      <c r="C8" s="13">
        <f>[23]И1!E17</f>
        <v>0</v>
      </c>
    </row>
    <row r="9" spans="1:3">
      <c r="A9" s="8"/>
      <c r="B9" s="9" t="str">
        <f>[23]И1!D8</f>
        <v>Период регулирования (i)-й</v>
      </c>
      <c r="C9" s="14">
        <f>[23]И1!E8</f>
        <v>2025</v>
      </c>
    </row>
    <row r="10" spans="1:3">
      <c r="A10" s="8"/>
      <c r="B10" s="9" t="str">
        <f>[23]И1!D9</f>
        <v>Период регулирования (i-1)-й</v>
      </c>
      <c r="C10" s="14">
        <f>[23]И1!E9</f>
        <v>2024</v>
      </c>
    </row>
    <row r="11" spans="1:3">
      <c r="A11" s="8"/>
      <c r="B11" s="9" t="str">
        <f>[23]И1!D10</f>
        <v>Период регулирования (i-2)-й</v>
      </c>
      <c r="C11" s="14">
        <f>[23]И1!E10</f>
        <v>2023</v>
      </c>
    </row>
    <row r="12" spans="1:3">
      <c r="A12" s="8"/>
      <c r="B12" s="9" t="str">
        <f>[23]И1!D11</f>
        <v>Базовый год (б)</v>
      </c>
      <c r="C12" s="14">
        <f>[23]И1!E11</f>
        <v>2019</v>
      </c>
    </row>
    <row r="13" spans="1:3" ht="38.25">
      <c r="A13" s="8"/>
      <c r="B13" s="9" t="str">
        <f>[23]И1!D18</f>
        <v>Вид топлива, использование которого преобладает в системе теплоснабжения</v>
      </c>
      <c r="C13" s="15" t="str">
        <f>[23]С1.1!E13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5382.9308694182246</v>
      </c>
    </row>
    <row r="18" spans="1:3" ht="42.75">
      <c r="A18" s="22" t="s">
        <v>8</v>
      </c>
      <c r="B18" s="25" t="s">
        <v>9</v>
      </c>
      <c r="C18" s="26">
        <f>[23]С1!F12</f>
        <v>795.80460480398301</v>
      </c>
    </row>
    <row r="19" spans="1:3" ht="42.75">
      <c r="A19" s="22" t="s">
        <v>10</v>
      </c>
      <c r="B19" s="25" t="s">
        <v>11</v>
      </c>
      <c r="C19" s="26">
        <f>[23]С2!F12</f>
        <v>3056.1591261705735</v>
      </c>
    </row>
    <row r="20" spans="1:3" ht="30">
      <c r="A20" s="22" t="s">
        <v>12</v>
      </c>
      <c r="B20" s="25" t="s">
        <v>13</v>
      </c>
      <c r="C20" s="26">
        <f>[23]С3!F12</f>
        <v>915.44743976410246</v>
      </c>
    </row>
    <row r="21" spans="1:3" ht="42.75">
      <c r="A21" s="22" t="s">
        <v>14</v>
      </c>
      <c r="B21" s="25" t="s">
        <v>15</v>
      </c>
      <c r="C21" s="26">
        <f>[23]С4!F12</f>
        <v>509.97203457332591</v>
      </c>
    </row>
    <row r="22" spans="1:3" ht="30">
      <c r="A22" s="22" t="s">
        <v>16</v>
      </c>
      <c r="B22" s="25" t="s">
        <v>17</v>
      </c>
      <c r="C22" s="26">
        <f>[23]С5!F12</f>
        <v>105.54766410623971</v>
      </c>
    </row>
    <row r="23" spans="1:3" ht="43.5" thickBot="1">
      <c r="A23" s="27" t="s">
        <v>18</v>
      </c>
      <c r="B23" s="140" t="s">
        <v>19</v>
      </c>
      <c r="C23" s="28" t="str">
        <f>[23]С6!F12</f>
        <v>-</v>
      </c>
    </row>
    <row r="24" spans="1:3" ht="13.5" thickBot="1">
      <c r="A24" s="3"/>
    </row>
    <row r="25" spans="1:3">
      <c r="A25" s="16" t="s">
        <v>4</v>
      </c>
      <c r="B25" s="29" t="s">
        <v>5</v>
      </c>
      <c r="C25" s="30" t="s">
        <v>6</v>
      </c>
    </row>
    <row r="26" spans="1:3">
      <c r="A26" s="19">
        <v>1</v>
      </c>
      <c r="B26" s="31">
        <v>2</v>
      </c>
      <c r="C26" s="32">
        <v>3</v>
      </c>
    </row>
    <row r="27" spans="1:3" ht="41.25" customHeight="1">
      <c r="A27" s="22">
        <v>1</v>
      </c>
      <c r="B27" s="145" t="s">
        <v>20</v>
      </c>
      <c r="C27" s="145"/>
    </row>
    <row r="28" spans="1:3">
      <c r="A28" s="22" t="s">
        <v>8</v>
      </c>
      <c r="B28" s="33" t="s">
        <v>21</v>
      </c>
      <c r="C28" s="34">
        <f>[23]С1.1!E16</f>
        <v>5100</v>
      </c>
    </row>
    <row r="29" spans="1:3" ht="42.75">
      <c r="A29" s="22" t="s">
        <v>10</v>
      </c>
      <c r="B29" s="33" t="s">
        <v>22</v>
      </c>
      <c r="C29" s="34">
        <f>[23]С1.1!E27</f>
        <v>2870.67</v>
      </c>
    </row>
    <row r="30" spans="1:3" ht="17.25">
      <c r="A30" s="22" t="s">
        <v>12</v>
      </c>
      <c r="B30" s="33" t="s">
        <v>23</v>
      </c>
      <c r="C30" s="35">
        <f>[23]С1.1!E19</f>
        <v>1.4E-2</v>
      </c>
    </row>
    <row r="31" spans="1:3" ht="17.25">
      <c r="A31" s="22" t="s">
        <v>14</v>
      </c>
      <c r="B31" s="33" t="s">
        <v>24</v>
      </c>
      <c r="C31" s="35">
        <f>[23]С1.1!E20</f>
        <v>0.04</v>
      </c>
    </row>
    <row r="32" spans="1:3" ht="30">
      <c r="A32" s="22" t="s">
        <v>16</v>
      </c>
      <c r="B32" s="36" t="s">
        <v>25</v>
      </c>
      <c r="C32" s="37">
        <f>[23]С1!F13</f>
        <v>176.4</v>
      </c>
    </row>
    <row r="33" spans="1:3">
      <c r="A33" s="22" t="s">
        <v>18</v>
      </c>
      <c r="B33" s="36" t="s">
        <v>26</v>
      </c>
      <c r="C33" s="38">
        <f>[23]С1!F16</f>
        <v>7000</v>
      </c>
    </row>
    <row r="34" spans="1:3" ht="14.25">
      <c r="A34" s="22" t="s">
        <v>27</v>
      </c>
      <c r="B34" s="39" t="s">
        <v>28</v>
      </c>
      <c r="C34" s="40">
        <f>[23]С1!F17</f>
        <v>0.72857142857142854</v>
      </c>
    </row>
    <row r="35" spans="1:3" ht="15.75">
      <c r="A35" s="41" t="s">
        <v>29</v>
      </c>
      <c r="B35" s="42" t="s">
        <v>30</v>
      </c>
      <c r="C35" s="40">
        <f>[23]С1!F20</f>
        <v>21.588411179999994</v>
      </c>
    </row>
    <row r="36" spans="1:3" ht="15.75">
      <c r="A36" s="41" t="s">
        <v>31</v>
      </c>
      <c r="B36" s="43" t="s">
        <v>32</v>
      </c>
      <c r="C36" s="40">
        <f>[23]С1!F21</f>
        <v>20.818139999999996</v>
      </c>
    </row>
    <row r="37" spans="1:3" ht="14.25">
      <c r="A37" s="41" t="s">
        <v>33</v>
      </c>
      <c r="B37" s="44" t="s">
        <v>34</v>
      </c>
      <c r="C37" s="40">
        <f>[23]С1!F22</f>
        <v>1.0369999999999999</v>
      </c>
    </row>
    <row r="38" spans="1:3" ht="53.25" thickBot="1">
      <c r="A38" s="27" t="s">
        <v>35</v>
      </c>
      <c r="B38" s="45" t="s">
        <v>36</v>
      </c>
      <c r="C38" s="46">
        <f>[23]С1!F23</f>
        <v>1.0469999999999999</v>
      </c>
    </row>
    <row r="39" spans="1:3" ht="13.5" thickBot="1">
      <c r="A39" s="47"/>
      <c r="B39" s="48"/>
      <c r="C39" s="49"/>
    </row>
    <row r="40" spans="1:3" ht="45" customHeight="1">
      <c r="A40" s="50" t="s">
        <v>37</v>
      </c>
      <c r="B40" s="146" t="s">
        <v>38</v>
      </c>
      <c r="C40" s="146"/>
    </row>
    <row r="41" spans="1:3" ht="25.5">
      <c r="A41" s="22" t="s">
        <v>39</v>
      </c>
      <c r="B41" s="36" t="s">
        <v>40</v>
      </c>
      <c r="C41" s="51" t="str">
        <f>[23]С2.1!E12</f>
        <v>V</v>
      </c>
    </row>
    <row r="42" spans="1:3" ht="25.5">
      <c r="A42" s="22" t="s">
        <v>41</v>
      </c>
      <c r="B42" s="33" t="s">
        <v>42</v>
      </c>
      <c r="C42" s="51" t="str">
        <f>[23]С2.1!E13</f>
        <v>6 и менее баллов</v>
      </c>
    </row>
    <row r="43" spans="1:3" ht="25.5">
      <c r="A43" s="22" t="s">
        <v>43</v>
      </c>
      <c r="B43" s="33" t="s">
        <v>44</v>
      </c>
      <c r="C43" s="51" t="str">
        <f>[23]С2.1!E14</f>
        <v>от 200 до 500</v>
      </c>
    </row>
    <row r="44" spans="1:3" ht="25.5">
      <c r="A44" s="22" t="s">
        <v>45</v>
      </c>
      <c r="B44" s="33" t="s">
        <v>46</v>
      </c>
      <c r="C44" s="52" t="str">
        <f>[23]С2.1!E15</f>
        <v>нет</v>
      </c>
    </row>
    <row r="45" spans="1:3" ht="30">
      <c r="A45" s="22" t="s">
        <v>47</v>
      </c>
      <c r="B45" s="33" t="s">
        <v>48</v>
      </c>
      <c r="C45" s="34">
        <f>[23]С2!F18</f>
        <v>38910.02669467502</v>
      </c>
    </row>
    <row r="46" spans="1:3" ht="30">
      <c r="A46" s="22" t="s">
        <v>49</v>
      </c>
      <c r="B46" s="53" t="s">
        <v>50</v>
      </c>
      <c r="C46" s="34">
        <f>IF([23]С2!F19&gt;0,[23]С2!F19,[23]С2!F20)</f>
        <v>23441.524932855718</v>
      </c>
    </row>
    <row r="47" spans="1:3" ht="25.5">
      <c r="A47" s="22" t="s">
        <v>51</v>
      </c>
      <c r="B47" s="54" t="s">
        <v>52</v>
      </c>
      <c r="C47" s="34">
        <f>[23]С2.1!E19</f>
        <v>-38</v>
      </c>
    </row>
    <row r="48" spans="1:3" ht="25.5">
      <c r="A48" s="22" t="s">
        <v>53</v>
      </c>
      <c r="B48" s="54" t="s">
        <v>54</v>
      </c>
      <c r="C48" s="34" t="str">
        <f>[23]С2.1!E22</f>
        <v>нет</v>
      </c>
    </row>
    <row r="49" spans="1:3" ht="38.25">
      <c r="A49" s="22" t="s">
        <v>55</v>
      </c>
      <c r="B49" s="55" t="s">
        <v>56</v>
      </c>
      <c r="C49" s="34">
        <f>[23]С2.2!E10</f>
        <v>1287</v>
      </c>
    </row>
    <row r="50" spans="1:3" ht="25.5">
      <c r="A50" s="22" t="s">
        <v>57</v>
      </c>
      <c r="B50" s="56" t="s">
        <v>58</v>
      </c>
      <c r="C50" s="34">
        <f>[23]С2.2!E12</f>
        <v>5.97</v>
      </c>
    </row>
    <row r="51" spans="1:3" ht="52.5">
      <c r="A51" s="22" t="s">
        <v>59</v>
      </c>
      <c r="B51" s="57" t="s">
        <v>60</v>
      </c>
      <c r="C51" s="34">
        <f>[23]С2.2!E13</f>
        <v>1</v>
      </c>
    </row>
    <row r="52" spans="1:3" ht="27.75">
      <c r="A52" s="22" t="s">
        <v>61</v>
      </c>
      <c r="B52" s="56" t="s">
        <v>62</v>
      </c>
      <c r="C52" s="34">
        <f>[23]С2.2!E14</f>
        <v>12104</v>
      </c>
    </row>
    <row r="53" spans="1:3" ht="25.5">
      <c r="A53" s="22" t="s">
        <v>63</v>
      </c>
      <c r="B53" s="57" t="s">
        <v>64</v>
      </c>
      <c r="C53" s="35">
        <f>[23]С2.2!E15</f>
        <v>4.8000000000000001E-2</v>
      </c>
    </row>
    <row r="54" spans="1:3">
      <c r="A54" s="22" t="s">
        <v>65</v>
      </c>
      <c r="B54" s="57" t="s">
        <v>66</v>
      </c>
      <c r="C54" s="34">
        <f>[23]С2.2!E16</f>
        <v>1</v>
      </c>
    </row>
    <row r="55" spans="1:3" ht="15.75">
      <c r="A55" s="22" t="s">
        <v>67</v>
      </c>
      <c r="B55" s="58" t="s">
        <v>68</v>
      </c>
      <c r="C55" s="34">
        <f>[23]С2!F21</f>
        <v>1</v>
      </c>
    </row>
    <row r="56" spans="1:3" ht="30">
      <c r="A56" s="59" t="s">
        <v>69</v>
      </c>
      <c r="B56" s="33" t="s">
        <v>70</v>
      </c>
      <c r="C56" s="34">
        <f>[23]С2!F13</f>
        <v>203708.97017230222</v>
      </c>
    </row>
    <row r="57" spans="1:3" ht="30">
      <c r="A57" s="59" t="s">
        <v>71</v>
      </c>
      <c r="B57" s="58" t="s">
        <v>72</v>
      </c>
      <c r="C57" s="34">
        <f>[23]С2!F14</f>
        <v>113455</v>
      </c>
    </row>
    <row r="58" spans="1:3" ht="15.75">
      <c r="A58" s="59" t="s">
        <v>73</v>
      </c>
      <c r="B58" s="60" t="s">
        <v>74</v>
      </c>
      <c r="C58" s="40">
        <f>[23]С2!F15</f>
        <v>1.071</v>
      </c>
    </row>
    <row r="59" spans="1:3" ht="15.75">
      <c r="A59" s="59" t="s">
        <v>75</v>
      </c>
      <c r="B59" s="60" t="s">
        <v>76</v>
      </c>
      <c r="C59" s="40">
        <f>[23]С2!F16</f>
        <v>1</v>
      </c>
    </row>
    <row r="60" spans="1:3" ht="17.25">
      <c r="A60" s="59" t="s">
        <v>77</v>
      </c>
      <c r="B60" s="58" t="s">
        <v>78</v>
      </c>
      <c r="C60" s="34">
        <f>[23]С2!F17</f>
        <v>1.01</v>
      </c>
    </row>
    <row r="61" spans="1:3" s="63" customFormat="1" ht="14.25">
      <c r="A61" s="59" t="s">
        <v>79</v>
      </c>
      <c r="B61" s="61" t="s">
        <v>80</v>
      </c>
      <c r="C61" s="62">
        <f>[23]С2!F33</f>
        <v>10</v>
      </c>
    </row>
    <row r="62" spans="1:3" ht="30">
      <c r="A62" s="59" t="s">
        <v>81</v>
      </c>
      <c r="B62" s="64" t="s">
        <v>82</v>
      </c>
      <c r="C62" s="34">
        <f>[23]С2!F26</f>
        <v>2416.4994928434235</v>
      </c>
    </row>
    <row r="63" spans="1:3" ht="17.25">
      <c r="A63" s="59" t="s">
        <v>83</v>
      </c>
      <c r="B63" s="53" t="s">
        <v>84</v>
      </c>
      <c r="C63" s="34">
        <f>[23]С2!F27</f>
        <v>0.34662649000000001</v>
      </c>
    </row>
    <row r="64" spans="1:3" ht="17.25">
      <c r="A64" s="59" t="s">
        <v>85</v>
      </c>
      <c r="B64" s="58" t="s">
        <v>86</v>
      </c>
      <c r="C64" s="62">
        <f>[23]С2!F28</f>
        <v>4200</v>
      </c>
    </row>
    <row r="65" spans="1:3" ht="42.75">
      <c r="A65" s="59" t="s">
        <v>87</v>
      </c>
      <c r="B65" s="33" t="s">
        <v>88</v>
      </c>
      <c r="C65" s="34">
        <f>[23]С2!F22</f>
        <v>42890.921752741691</v>
      </c>
    </row>
    <row r="66" spans="1:3" ht="30">
      <c r="A66" s="59" t="s">
        <v>89</v>
      </c>
      <c r="B66" s="60" t="s">
        <v>90</v>
      </c>
      <c r="C66" s="34">
        <f>[23]С2!F23</f>
        <v>1990</v>
      </c>
    </row>
    <row r="67" spans="1:3" ht="30">
      <c r="A67" s="59" t="s">
        <v>91</v>
      </c>
      <c r="B67" s="53" t="s">
        <v>92</v>
      </c>
      <c r="C67" s="34">
        <f>[23]С2.1!E27</f>
        <v>14307.876789999998</v>
      </c>
    </row>
    <row r="68" spans="1:3" ht="38.25">
      <c r="A68" s="59" t="s">
        <v>93</v>
      </c>
      <c r="B68" s="65" t="s">
        <v>94</v>
      </c>
      <c r="C68" s="52">
        <f>[23]С2.3!E21</f>
        <v>0</v>
      </c>
    </row>
    <row r="69" spans="1:3" ht="25.5">
      <c r="A69" s="59" t="s">
        <v>95</v>
      </c>
      <c r="B69" s="66" t="s">
        <v>96</v>
      </c>
      <c r="C69" s="67">
        <f>[23]С2.3!E11</f>
        <v>9.89</v>
      </c>
    </row>
    <row r="70" spans="1:3" ht="25.5">
      <c r="A70" s="59" t="s">
        <v>97</v>
      </c>
      <c r="B70" s="66" t="s">
        <v>98</v>
      </c>
      <c r="C70" s="62">
        <f>[23]С2.3!E13</f>
        <v>300</v>
      </c>
    </row>
    <row r="71" spans="1:3" ht="25.5">
      <c r="A71" s="59" t="s">
        <v>99</v>
      </c>
      <c r="B71" s="65" t="s">
        <v>100</v>
      </c>
      <c r="C71" s="68">
        <f>IF([23]С2.3!E22&gt;0,[23]С2.3!E22,[23]С2.3!E14)</f>
        <v>61211</v>
      </c>
    </row>
    <row r="72" spans="1:3" ht="38.25">
      <c r="A72" s="59" t="s">
        <v>101</v>
      </c>
      <c r="B72" s="65" t="s">
        <v>102</v>
      </c>
      <c r="C72" s="68">
        <f>IF([23]С2.3!E23&gt;0,[23]С2.3!E23,[23]С2.3!E15)</f>
        <v>45675</v>
      </c>
    </row>
    <row r="73" spans="1:3" ht="30">
      <c r="A73" s="59" t="s">
        <v>103</v>
      </c>
      <c r="B73" s="53" t="s">
        <v>104</v>
      </c>
      <c r="C73" s="34">
        <f>[23]С2.1!E28</f>
        <v>9541.9567200000001</v>
      </c>
    </row>
    <row r="74" spans="1:3" ht="38.25">
      <c r="A74" s="59" t="s">
        <v>105</v>
      </c>
      <c r="B74" s="65" t="s">
        <v>106</v>
      </c>
      <c r="C74" s="52">
        <f>[23]С2.3!E25</f>
        <v>0</v>
      </c>
    </row>
    <row r="75" spans="1:3" ht="25.5">
      <c r="A75" s="59" t="s">
        <v>107</v>
      </c>
      <c r="B75" s="66" t="s">
        <v>108</v>
      </c>
      <c r="C75" s="67">
        <f>[23]С2.3!E12</f>
        <v>0.56000000000000005</v>
      </c>
    </row>
    <row r="76" spans="1:3" ht="25.5">
      <c r="A76" s="59" t="s">
        <v>109</v>
      </c>
      <c r="B76" s="66" t="s">
        <v>98</v>
      </c>
      <c r="C76" s="62">
        <f>[23]С2.3!E13</f>
        <v>300</v>
      </c>
    </row>
    <row r="77" spans="1:3" ht="25.5">
      <c r="A77" s="59" t="s">
        <v>110</v>
      </c>
      <c r="B77" s="69" t="s">
        <v>111</v>
      </c>
      <c r="C77" s="68">
        <f>IF([23]С2.3!E26&gt;0,[23]С2.3!E26,[23]С2.3!E16)</f>
        <v>65637</v>
      </c>
    </row>
    <row r="78" spans="1:3" ht="38.25">
      <c r="A78" s="59" t="s">
        <v>112</v>
      </c>
      <c r="B78" s="69" t="s">
        <v>113</v>
      </c>
      <c r="C78" s="68">
        <f>IF([23]С2.3!E27&gt;0,[23]С2.3!E27,[23]С2.3!E17)</f>
        <v>31684</v>
      </c>
    </row>
    <row r="79" spans="1:3" ht="17.25">
      <c r="A79" s="59" t="s">
        <v>114</v>
      </c>
      <c r="B79" s="33" t="s">
        <v>115</v>
      </c>
      <c r="C79" s="35">
        <f>[23]С2!F29</f>
        <v>0.17804631770487722</v>
      </c>
    </row>
    <row r="80" spans="1:3" ht="30">
      <c r="A80" s="59" t="s">
        <v>116</v>
      </c>
      <c r="B80" s="53" t="s">
        <v>117</v>
      </c>
      <c r="C80" s="70">
        <f>[23]С2!F30</f>
        <v>0.1652189781021898</v>
      </c>
    </row>
    <row r="81" spans="1:3" ht="17.25">
      <c r="A81" s="59" t="s">
        <v>118</v>
      </c>
      <c r="B81" s="71" t="s">
        <v>119</v>
      </c>
      <c r="C81" s="35">
        <f>[23]С2!F31</f>
        <v>0.13880000000000001</v>
      </c>
    </row>
    <row r="82" spans="1:3" s="63" customFormat="1" ht="18" thickBot="1">
      <c r="A82" s="72" t="s">
        <v>120</v>
      </c>
      <c r="B82" s="73" t="s">
        <v>121</v>
      </c>
      <c r="C82" s="74">
        <f>[23]С2!F32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[23]С3!F14</f>
        <v>14863.184658749575</v>
      </c>
    </row>
    <row r="86" spans="1:3" s="63" customFormat="1" ht="42.75">
      <c r="A86" s="77" t="s">
        <v>126</v>
      </c>
      <c r="B86" s="53" t="s">
        <v>127</v>
      </c>
      <c r="C86" s="78">
        <f>[23]С3!F15</f>
        <v>0.25</v>
      </c>
    </row>
    <row r="87" spans="1:3" s="63" customFormat="1" ht="14.25">
      <c r="A87" s="77" t="s">
        <v>128</v>
      </c>
      <c r="B87" s="79" t="s">
        <v>129</v>
      </c>
      <c r="C87" s="62">
        <f>[23]С3!F18</f>
        <v>15</v>
      </c>
    </row>
    <row r="88" spans="1:3" s="63" customFormat="1" ht="17.25">
      <c r="A88" s="77" t="s">
        <v>130</v>
      </c>
      <c r="B88" s="33" t="s">
        <v>131</v>
      </c>
      <c r="C88" s="34">
        <f>[23]С3!F19</f>
        <v>4187.478806422544</v>
      </c>
    </row>
    <row r="89" spans="1:3" s="63" customFormat="1" ht="55.5">
      <c r="A89" s="77" t="s">
        <v>132</v>
      </c>
      <c r="B89" s="53" t="s">
        <v>133</v>
      </c>
      <c r="C89" s="80">
        <f>[23]С3!F20</f>
        <v>2.1999999999999999E-2</v>
      </c>
    </row>
    <row r="90" spans="1:3" s="63" customFormat="1" ht="14.25">
      <c r="A90" s="77" t="s">
        <v>134</v>
      </c>
      <c r="B90" s="58" t="s">
        <v>80</v>
      </c>
      <c r="C90" s="62">
        <f>[23]С3!F21</f>
        <v>10</v>
      </c>
    </row>
    <row r="91" spans="1:3" s="63" customFormat="1" ht="17.25">
      <c r="A91" s="77" t="s">
        <v>135</v>
      </c>
      <c r="B91" s="33" t="s">
        <v>136</v>
      </c>
      <c r="C91" s="34">
        <f>[23]С3!F22</f>
        <v>7.2494984785302705</v>
      </c>
    </row>
    <row r="92" spans="1:3" s="63" customFormat="1" ht="55.5">
      <c r="A92" s="77" t="s">
        <v>137</v>
      </c>
      <c r="B92" s="53" t="s">
        <v>138</v>
      </c>
      <c r="C92" s="80">
        <f>[23]С3!F23</f>
        <v>3.0000000000000001E-3</v>
      </c>
    </row>
    <row r="93" spans="1:3" s="63" customFormat="1" ht="27.75" thickBot="1">
      <c r="A93" s="81" t="s">
        <v>139</v>
      </c>
      <c r="B93" s="82" t="s">
        <v>140</v>
      </c>
      <c r="C93" s="83">
        <f>[23]С3!F24</f>
        <v>2416.4994928434235</v>
      </c>
    </row>
    <row r="94" spans="1:3" ht="13.5" thickBot="1">
      <c r="A94" s="47"/>
      <c r="B94" s="75"/>
      <c r="C94" s="15"/>
    </row>
    <row r="95" spans="1:3" ht="40.5" customHeight="1">
      <c r="A95" s="84" t="s">
        <v>141</v>
      </c>
      <c r="B95" s="146" t="s">
        <v>142</v>
      </c>
      <c r="C95" s="146"/>
    </row>
    <row r="96" spans="1:3" ht="30">
      <c r="A96" s="59" t="s">
        <v>143</v>
      </c>
      <c r="B96" s="33" t="s">
        <v>144</v>
      </c>
      <c r="C96" s="34">
        <f>[23]С4!F16</f>
        <v>1652.5</v>
      </c>
    </row>
    <row r="97" spans="1:3" ht="30">
      <c r="A97" s="59" t="s">
        <v>145</v>
      </c>
      <c r="B97" s="58" t="s">
        <v>146</v>
      </c>
      <c r="C97" s="34">
        <f>[23]С4!F17</f>
        <v>73547</v>
      </c>
    </row>
    <row r="98" spans="1:3" ht="17.25">
      <c r="A98" s="59" t="s">
        <v>147</v>
      </c>
      <c r="B98" s="58" t="s">
        <v>148</v>
      </c>
      <c r="C98" s="40">
        <f>[23]С4!F18</f>
        <v>0.02</v>
      </c>
    </row>
    <row r="99" spans="1:3" ht="30">
      <c r="A99" s="59" t="s">
        <v>149</v>
      </c>
      <c r="B99" s="58" t="s">
        <v>150</v>
      </c>
      <c r="C99" s="34">
        <f>[23]С4!F19</f>
        <v>12104</v>
      </c>
    </row>
    <row r="100" spans="1:3" ht="31.5">
      <c r="A100" s="59" t="s">
        <v>151</v>
      </c>
      <c r="B100" s="58" t="s">
        <v>152</v>
      </c>
      <c r="C100" s="40">
        <f>[23]С4!F20</f>
        <v>1.4999999999999999E-2</v>
      </c>
    </row>
    <row r="101" spans="1:3" ht="30">
      <c r="A101" s="59" t="s">
        <v>153</v>
      </c>
      <c r="B101" s="33" t="s">
        <v>154</v>
      </c>
      <c r="C101" s="34">
        <f>[23]С4!F21</f>
        <v>1933.1949342509995</v>
      </c>
    </row>
    <row r="102" spans="1:3" ht="24" customHeight="1">
      <c r="A102" s="59" t="s">
        <v>155</v>
      </c>
      <c r="B102" s="53" t="s">
        <v>156</v>
      </c>
      <c r="C102" s="85">
        <f>IF([23]С4.2!F8="да",[23]С4.2!D21,[23]С4.2!D15)</f>
        <v>0</v>
      </c>
    </row>
    <row r="103" spans="1:3" ht="68.25">
      <c r="A103" s="59" t="s">
        <v>157</v>
      </c>
      <c r="B103" s="53" t="s">
        <v>158</v>
      </c>
      <c r="C103" s="34">
        <f>[23]С4!F22</f>
        <v>3.6112641666666665</v>
      </c>
    </row>
    <row r="104" spans="1:3" ht="30">
      <c r="A104" s="59" t="s">
        <v>159</v>
      </c>
      <c r="B104" s="58" t="s">
        <v>160</v>
      </c>
      <c r="C104" s="34">
        <f>[23]С4!F23</f>
        <v>180</v>
      </c>
    </row>
    <row r="105" spans="1:3" ht="14.25">
      <c r="A105" s="59" t="s">
        <v>161</v>
      </c>
      <c r="B105" s="53" t="s">
        <v>162</v>
      </c>
      <c r="C105" s="34">
        <f>[23]С4!F24</f>
        <v>8497.1999999999989</v>
      </c>
    </row>
    <row r="106" spans="1:3" ht="14.25">
      <c r="A106" s="59" t="s">
        <v>163</v>
      </c>
      <c r="B106" s="58" t="s">
        <v>164</v>
      </c>
      <c r="C106" s="40">
        <f>[23]С4!F25</f>
        <v>0.35</v>
      </c>
    </row>
    <row r="107" spans="1:3" ht="17.25">
      <c r="A107" s="59" t="s">
        <v>165</v>
      </c>
      <c r="B107" s="33" t="s">
        <v>166</v>
      </c>
      <c r="C107" s="34">
        <f>[23]С4!F26</f>
        <v>84.64782000000001</v>
      </c>
    </row>
    <row r="108" spans="1:3" ht="25.5">
      <c r="A108" s="59" t="s">
        <v>167</v>
      </c>
      <c r="B108" s="53" t="s">
        <v>94</v>
      </c>
      <c r="C108" s="85">
        <f>[23]С4.3!E16</f>
        <v>0</v>
      </c>
    </row>
    <row r="109" spans="1:3" ht="25.5">
      <c r="A109" s="59" t="s">
        <v>168</v>
      </c>
      <c r="B109" s="53" t="s">
        <v>169</v>
      </c>
      <c r="C109" s="34">
        <f>[23]С4.3!E17</f>
        <v>22.86</v>
      </c>
    </row>
    <row r="110" spans="1:3" ht="38.25">
      <c r="A110" s="59" t="s">
        <v>170</v>
      </c>
      <c r="B110" s="53" t="s">
        <v>106</v>
      </c>
      <c r="C110" s="85">
        <f>[23]С4.3!E18</f>
        <v>0</v>
      </c>
    </row>
    <row r="111" spans="1:3">
      <c r="A111" s="59" t="s">
        <v>171</v>
      </c>
      <c r="B111" s="53" t="s">
        <v>172</v>
      </c>
      <c r="C111" s="34">
        <f>[23]С4.3!E19</f>
        <v>21.95</v>
      </c>
    </row>
    <row r="112" spans="1:3">
      <c r="A112" s="59" t="s">
        <v>173</v>
      </c>
      <c r="B112" s="58" t="s">
        <v>174</v>
      </c>
      <c r="C112" s="34">
        <f>[23]С4.3!E11</f>
        <v>1871</v>
      </c>
    </row>
    <row r="113" spans="1:3">
      <c r="A113" s="59" t="s">
        <v>175</v>
      </c>
      <c r="B113" s="58" t="s">
        <v>176</v>
      </c>
      <c r="C113" s="52">
        <f>[23]С4.3!E12</f>
        <v>1636</v>
      </c>
    </row>
    <row r="114" spans="1:3">
      <c r="A114" s="59" t="s">
        <v>177</v>
      </c>
      <c r="B114" s="58" t="s">
        <v>178</v>
      </c>
      <c r="C114" s="52">
        <f>[23]С4.3!E13</f>
        <v>204</v>
      </c>
    </row>
    <row r="115" spans="1:3" ht="30">
      <c r="A115" s="59" t="s">
        <v>179</v>
      </c>
      <c r="B115" s="33" t="s">
        <v>180</v>
      </c>
      <c r="C115" s="34">
        <f>[23]С4!F27</f>
        <v>1291.2863994686898</v>
      </c>
    </row>
    <row r="116" spans="1:3" ht="25.5">
      <c r="A116" s="59" t="s">
        <v>181</v>
      </c>
      <c r="B116" s="53" t="s">
        <v>182</v>
      </c>
      <c r="C116" s="34">
        <f>[23]С4!F28</f>
        <v>991.77142816335618</v>
      </c>
    </row>
    <row r="117" spans="1:3" ht="42.75">
      <c r="A117" s="59" t="s">
        <v>183</v>
      </c>
      <c r="B117" s="53" t="s">
        <v>184</v>
      </c>
      <c r="C117" s="34">
        <f>[23]С4!F29</f>
        <v>299.51497130533357</v>
      </c>
    </row>
    <row r="118" spans="1:3" ht="30">
      <c r="A118" s="59" t="s">
        <v>185</v>
      </c>
      <c r="B118" s="39" t="s">
        <v>186</v>
      </c>
      <c r="C118" s="34">
        <f>[23]С4!F30</f>
        <v>2380.9796236638895</v>
      </c>
    </row>
    <row r="119" spans="1:3" ht="42.75">
      <c r="A119" s="59" t="s">
        <v>187</v>
      </c>
      <c r="B119" s="86" t="s">
        <v>188</v>
      </c>
      <c r="C119" s="34">
        <f>[23]С4!F33</f>
        <v>1176.7426982817792</v>
      </c>
    </row>
    <row r="120" spans="1:3" ht="30">
      <c r="A120" s="59" t="s">
        <v>189</v>
      </c>
      <c r="B120" s="87" t="s">
        <v>190</v>
      </c>
      <c r="C120" s="34">
        <f>[23]С4!F35</f>
        <v>17.040680999999999</v>
      </c>
    </row>
    <row r="121" spans="1:3" ht="14.25">
      <c r="A121" s="59" t="s">
        <v>191</v>
      </c>
      <c r="B121" s="56" t="s">
        <v>192</v>
      </c>
      <c r="C121" s="34">
        <f>[23]С4!F36</f>
        <v>14319.9</v>
      </c>
    </row>
    <row r="122" spans="1:3" ht="28.5" thickBot="1">
      <c r="A122" s="72" t="s">
        <v>193</v>
      </c>
      <c r="B122" s="88" t="s">
        <v>194</v>
      </c>
      <c r="C122" s="83">
        <f>[23]С4!F37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[23]С5!F17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[23]С2!F37</f>
        <v>20.818139999999996</v>
      </c>
    </row>
    <row r="136" spans="1:4" ht="14.25">
      <c r="A136" s="59" t="s">
        <v>216</v>
      </c>
      <c r="B136" s="101" t="s">
        <v>217</v>
      </c>
      <c r="C136" s="34">
        <f>[23]С2!F38</f>
        <v>7</v>
      </c>
    </row>
    <row r="137" spans="1:4" ht="17.25">
      <c r="A137" s="59" t="s">
        <v>218</v>
      </c>
      <c r="B137" s="101" t="s">
        <v>219</v>
      </c>
      <c r="C137" s="34">
        <f>[23]С2!F40</f>
        <v>0.97</v>
      </c>
    </row>
    <row r="138" spans="1:4" ht="15" thickBot="1">
      <c r="A138" s="72" t="s">
        <v>220</v>
      </c>
      <c r="B138" s="102" t="s">
        <v>221</v>
      </c>
      <c r="C138" s="46">
        <f>[23]С2!F42</f>
        <v>0.35</v>
      </c>
    </row>
    <row r="139" spans="1:4" s="89" customFormat="1" ht="13.5" thickBot="1">
      <c r="A139" s="47"/>
      <c r="B139" s="75"/>
      <c r="C139" s="15"/>
    </row>
    <row r="140" spans="1:4" ht="30">
      <c r="A140" s="84" t="s">
        <v>222</v>
      </c>
      <c r="B140" s="103" t="s">
        <v>223</v>
      </c>
      <c r="C140" s="104">
        <f>[23]С2!F35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[23]С2.5!$E$11</f>
        <v>-2.9000000000000026E-2</v>
      </c>
      <c r="D143" s="89"/>
    </row>
    <row r="144" spans="1:4">
      <c r="A144" s="105"/>
      <c r="B144" s="110">
        <f>B143+1</f>
        <v>2021</v>
      </c>
      <c r="C144" s="111">
        <f>[23]С2.5!$F$11</f>
        <v>0.245</v>
      </c>
      <c r="D144" s="89"/>
    </row>
    <row r="145" spans="1:4">
      <c r="A145" s="105"/>
      <c r="B145" s="110">
        <f t="shared" ref="B145:B208" si="0">B144+1</f>
        <v>2022</v>
      </c>
      <c r="C145" s="111">
        <f>[23]С2.5!$G$11</f>
        <v>0.114</v>
      </c>
      <c r="D145" s="89"/>
    </row>
    <row r="146" spans="1:4" ht="13.5" thickBot="1">
      <c r="A146" s="105"/>
      <c r="B146" s="112">
        <f t="shared" si="0"/>
        <v>2023</v>
      </c>
      <c r="C146" s="113">
        <f>[23]С2.5!$H$11</f>
        <v>0.04</v>
      </c>
      <c r="D146" s="89"/>
    </row>
    <row r="147" spans="1:4">
      <c r="A147" s="105"/>
      <c r="B147" s="114">
        <f t="shared" si="0"/>
        <v>2024</v>
      </c>
      <c r="C147" s="115">
        <f>[23]С2.5!$I$11</f>
        <v>0.11700000000000001</v>
      </c>
      <c r="D147" s="89"/>
    </row>
    <row r="148" spans="1:4">
      <c r="A148" s="105"/>
      <c r="B148" s="110">
        <f t="shared" si="0"/>
        <v>2025</v>
      </c>
      <c r="C148" s="111">
        <f>[23]С2.5!$J$11</f>
        <v>6.0999999999999999E-2</v>
      </c>
      <c r="D148" s="89"/>
    </row>
    <row r="149" spans="1:4" hidden="1">
      <c r="A149" s="105"/>
      <c r="B149" s="110">
        <f t="shared" si="0"/>
        <v>2026</v>
      </c>
      <c r="C149" s="111">
        <f>[23]С2.5!$K$11</f>
        <v>3.5813361771260002E-2</v>
      </c>
      <c r="D149" s="89"/>
    </row>
    <row r="150" spans="1:4" hidden="1">
      <c r="A150" s="105"/>
      <c r="B150" s="110">
        <f t="shared" si="0"/>
        <v>2027</v>
      </c>
      <c r="C150" s="111">
        <f>[23]С2.5!$L$11</f>
        <v>3.2682303599220003E-2</v>
      </c>
      <c r="D150" s="89"/>
    </row>
    <row r="151" spans="1:4" hidden="1">
      <c r="A151" s="105"/>
      <c r="B151" s="110">
        <f t="shared" si="0"/>
        <v>2028</v>
      </c>
      <c r="C151" s="111">
        <f>[23]С2.5!$M$11</f>
        <v>0</v>
      </c>
      <c r="D151" s="89"/>
    </row>
    <row r="152" spans="1:4" hidden="1">
      <c r="A152" s="105"/>
      <c r="B152" s="110">
        <f t="shared" si="0"/>
        <v>2029</v>
      </c>
      <c r="C152" s="111">
        <f>[23]С2.5!$N$11</f>
        <v>0</v>
      </c>
      <c r="D152" s="89"/>
    </row>
    <row r="153" spans="1:4" hidden="1">
      <c r="A153" s="105"/>
      <c r="B153" s="110">
        <f t="shared" si="0"/>
        <v>2030</v>
      </c>
      <c r="C153" s="111">
        <f>[23]С2.5!$O$11</f>
        <v>0</v>
      </c>
      <c r="D153" s="89"/>
    </row>
    <row r="154" spans="1:4" hidden="1">
      <c r="A154" s="105"/>
      <c r="B154" s="110">
        <f t="shared" si="0"/>
        <v>2031</v>
      </c>
      <c r="C154" s="111">
        <f>[23]С2.5!$P$11</f>
        <v>0</v>
      </c>
      <c r="D154" s="89"/>
    </row>
    <row r="155" spans="1:4" hidden="1">
      <c r="A155" s="89"/>
      <c r="B155" s="110">
        <f t="shared" si="0"/>
        <v>2032</v>
      </c>
      <c r="C155" s="111">
        <f>[23]С2.5!$Q$11</f>
        <v>0</v>
      </c>
      <c r="D155" s="89"/>
    </row>
    <row r="156" spans="1:4" hidden="1">
      <c r="A156" s="89"/>
      <c r="B156" s="110">
        <f t="shared" si="0"/>
        <v>2033</v>
      </c>
      <c r="C156" s="111">
        <f>[23]С2.5!$R$11</f>
        <v>0</v>
      </c>
      <c r="D156" s="89"/>
    </row>
    <row r="157" spans="1:4" hidden="1">
      <c r="B157" s="110">
        <f t="shared" si="0"/>
        <v>2034</v>
      </c>
      <c r="C157" s="111">
        <f>[23]С2.5!$S$11</f>
        <v>0</v>
      </c>
    </row>
    <row r="158" spans="1:4" hidden="1">
      <c r="B158" s="110">
        <f t="shared" si="0"/>
        <v>2035</v>
      </c>
      <c r="C158" s="111">
        <f>[23]С2.5!$T$11</f>
        <v>0</v>
      </c>
    </row>
    <row r="159" spans="1:4" hidden="1">
      <c r="B159" s="110">
        <f t="shared" si="0"/>
        <v>2036</v>
      </c>
      <c r="C159" s="111">
        <f>[23]С2.5!$U$11</f>
        <v>0</v>
      </c>
    </row>
    <row r="160" spans="1:4" hidden="1">
      <c r="B160" s="110">
        <f t="shared" si="0"/>
        <v>2037</v>
      </c>
      <c r="C160" s="111">
        <f>[23]С2.5!$V$11</f>
        <v>0</v>
      </c>
    </row>
    <row r="161" spans="2:3" hidden="1">
      <c r="B161" s="110">
        <f t="shared" si="0"/>
        <v>2038</v>
      </c>
      <c r="C161" s="111">
        <f>[23]С2.5!$W$11</f>
        <v>0</v>
      </c>
    </row>
    <row r="162" spans="2:3" hidden="1">
      <c r="B162" s="110">
        <f t="shared" si="0"/>
        <v>2039</v>
      </c>
      <c r="C162" s="111">
        <f>[23]С2.5!$X$11</f>
        <v>0</v>
      </c>
    </row>
    <row r="163" spans="2:3" hidden="1">
      <c r="B163" s="110">
        <f t="shared" si="0"/>
        <v>2040</v>
      </c>
      <c r="C163" s="111">
        <f>[23]С2.5!$Y$11</f>
        <v>0</v>
      </c>
    </row>
    <row r="164" spans="2:3" hidden="1">
      <c r="B164" s="110">
        <f t="shared" si="0"/>
        <v>2041</v>
      </c>
      <c r="C164" s="111">
        <f>[23]С2.5!$Z$11</f>
        <v>0</v>
      </c>
    </row>
    <row r="165" spans="2:3" hidden="1">
      <c r="B165" s="110">
        <f t="shared" si="0"/>
        <v>2042</v>
      </c>
      <c r="C165" s="111">
        <f>[23]С2.5!$AA$11</f>
        <v>0</v>
      </c>
    </row>
    <row r="166" spans="2:3" hidden="1">
      <c r="B166" s="110">
        <f t="shared" si="0"/>
        <v>2043</v>
      </c>
      <c r="C166" s="111">
        <f>[23]С2.5!$AB$11</f>
        <v>0</v>
      </c>
    </row>
    <row r="167" spans="2:3" hidden="1">
      <c r="B167" s="110">
        <f t="shared" si="0"/>
        <v>2044</v>
      </c>
      <c r="C167" s="111">
        <f>[23]С2.5!$AC$11</f>
        <v>0</v>
      </c>
    </row>
    <row r="168" spans="2:3" hidden="1">
      <c r="B168" s="110">
        <f t="shared" si="0"/>
        <v>2045</v>
      </c>
      <c r="C168" s="111">
        <f>[23]С2.5!$AD$11</f>
        <v>0</v>
      </c>
    </row>
    <row r="169" spans="2:3" hidden="1">
      <c r="B169" s="110">
        <f t="shared" si="0"/>
        <v>2046</v>
      </c>
      <c r="C169" s="111">
        <f>[23]С2.5!$AE$11</f>
        <v>0</v>
      </c>
    </row>
    <row r="170" spans="2:3" hidden="1">
      <c r="B170" s="110">
        <f t="shared" si="0"/>
        <v>2047</v>
      </c>
      <c r="C170" s="111">
        <f>[23]С2.5!$AF$11</f>
        <v>0</v>
      </c>
    </row>
    <row r="171" spans="2:3" hidden="1">
      <c r="B171" s="110">
        <f t="shared" si="0"/>
        <v>2048</v>
      </c>
      <c r="C171" s="111">
        <f>[23]С2.5!$AG$11</f>
        <v>0</v>
      </c>
    </row>
    <row r="172" spans="2:3" hidden="1">
      <c r="B172" s="110">
        <f t="shared" si="0"/>
        <v>2049</v>
      </c>
      <c r="C172" s="111">
        <f>[23]С2.5!$AH$11</f>
        <v>0</v>
      </c>
    </row>
    <row r="173" spans="2:3" hidden="1">
      <c r="B173" s="110">
        <f t="shared" si="0"/>
        <v>2050</v>
      </c>
      <c r="C173" s="111">
        <f>[23]С2.5!$AI$11</f>
        <v>0</v>
      </c>
    </row>
    <row r="174" spans="2:3" hidden="1">
      <c r="B174" s="110">
        <f t="shared" si="0"/>
        <v>2051</v>
      </c>
      <c r="C174" s="111">
        <f>[23]С2.5!$AJ$11</f>
        <v>0</v>
      </c>
    </row>
    <row r="175" spans="2:3" hidden="1">
      <c r="B175" s="110">
        <f t="shared" si="0"/>
        <v>2052</v>
      </c>
      <c r="C175" s="111">
        <f>[23]С2.5!$AK$11</f>
        <v>0</v>
      </c>
    </row>
    <row r="176" spans="2:3" hidden="1">
      <c r="B176" s="110">
        <f t="shared" si="0"/>
        <v>2053</v>
      </c>
      <c r="C176" s="111">
        <f>[23]С2.5!$AL$11</f>
        <v>0</v>
      </c>
    </row>
    <row r="177" spans="2:3" hidden="1">
      <c r="B177" s="110">
        <f t="shared" si="0"/>
        <v>2054</v>
      </c>
      <c r="C177" s="111">
        <f>[23]С2.5!$AM$11</f>
        <v>0</v>
      </c>
    </row>
    <row r="178" spans="2:3" hidden="1">
      <c r="B178" s="110">
        <f t="shared" si="0"/>
        <v>2055</v>
      </c>
      <c r="C178" s="111">
        <f>[23]С2.5!$AN$11</f>
        <v>0</v>
      </c>
    </row>
    <row r="179" spans="2:3" hidden="1">
      <c r="B179" s="110">
        <f t="shared" si="0"/>
        <v>2056</v>
      </c>
      <c r="C179" s="111">
        <f>[23]С2.5!$AO$11</f>
        <v>0</v>
      </c>
    </row>
    <row r="180" spans="2:3" hidden="1">
      <c r="B180" s="110">
        <f t="shared" si="0"/>
        <v>2057</v>
      </c>
      <c r="C180" s="111">
        <f>[23]С2.5!$AP$11</f>
        <v>0</v>
      </c>
    </row>
    <row r="181" spans="2:3" hidden="1">
      <c r="B181" s="110">
        <f t="shared" si="0"/>
        <v>2058</v>
      </c>
      <c r="C181" s="111">
        <f>[23]С2.5!$AQ$11</f>
        <v>0</v>
      </c>
    </row>
    <row r="182" spans="2:3" hidden="1">
      <c r="B182" s="110">
        <f t="shared" si="0"/>
        <v>2059</v>
      </c>
      <c r="C182" s="111">
        <f>[23]С2.5!$AR$11</f>
        <v>0</v>
      </c>
    </row>
    <row r="183" spans="2:3" hidden="1">
      <c r="B183" s="110">
        <f t="shared" si="0"/>
        <v>2060</v>
      </c>
      <c r="C183" s="111">
        <f>[23]С2.5!$AS$11</f>
        <v>0</v>
      </c>
    </row>
    <row r="184" spans="2:3" hidden="1">
      <c r="B184" s="110">
        <f t="shared" si="0"/>
        <v>2061</v>
      </c>
      <c r="C184" s="111">
        <f>[23]С2.5!$AT$11</f>
        <v>0</v>
      </c>
    </row>
    <row r="185" spans="2:3" hidden="1">
      <c r="B185" s="110">
        <f t="shared" si="0"/>
        <v>2062</v>
      </c>
      <c r="C185" s="111">
        <f>[23]С2.5!$AU$11</f>
        <v>0</v>
      </c>
    </row>
    <row r="186" spans="2:3" hidden="1">
      <c r="B186" s="110">
        <f t="shared" si="0"/>
        <v>2063</v>
      </c>
      <c r="C186" s="111">
        <f>[23]С2.5!$AV$11</f>
        <v>0</v>
      </c>
    </row>
    <row r="187" spans="2:3" hidden="1">
      <c r="B187" s="110">
        <f t="shared" si="0"/>
        <v>2064</v>
      </c>
      <c r="C187" s="111">
        <f>[23]С2.5!$AW$11</f>
        <v>0</v>
      </c>
    </row>
    <row r="188" spans="2:3" hidden="1">
      <c r="B188" s="110">
        <f t="shared" si="0"/>
        <v>2065</v>
      </c>
      <c r="C188" s="111">
        <f>[23]С2.5!$AX$11</f>
        <v>0</v>
      </c>
    </row>
    <row r="189" spans="2:3" hidden="1">
      <c r="B189" s="110">
        <f t="shared" si="0"/>
        <v>2066</v>
      </c>
      <c r="C189" s="111">
        <f>[23]С2.5!$AY$11</f>
        <v>0</v>
      </c>
    </row>
    <row r="190" spans="2:3" hidden="1">
      <c r="B190" s="110">
        <f t="shared" si="0"/>
        <v>2067</v>
      </c>
      <c r="C190" s="111">
        <f>[23]С2.5!$AZ$11</f>
        <v>0</v>
      </c>
    </row>
    <row r="191" spans="2:3" hidden="1">
      <c r="B191" s="110">
        <f t="shared" si="0"/>
        <v>2068</v>
      </c>
      <c r="C191" s="111">
        <f>[23]С2.5!$BA$11</f>
        <v>0</v>
      </c>
    </row>
    <row r="192" spans="2:3" hidden="1">
      <c r="B192" s="110">
        <f t="shared" si="0"/>
        <v>2069</v>
      </c>
      <c r="C192" s="111">
        <f>[23]С2.5!$BB$11</f>
        <v>0</v>
      </c>
    </row>
    <row r="193" spans="2:3" hidden="1">
      <c r="B193" s="110">
        <f t="shared" si="0"/>
        <v>2070</v>
      </c>
      <c r="C193" s="111">
        <f>[23]С2.5!$BC$11</f>
        <v>0</v>
      </c>
    </row>
    <row r="194" spans="2:3" hidden="1">
      <c r="B194" s="110">
        <f t="shared" si="0"/>
        <v>2071</v>
      </c>
      <c r="C194" s="111">
        <f>[23]С2.5!$BD$11</f>
        <v>0</v>
      </c>
    </row>
    <row r="195" spans="2:3" hidden="1">
      <c r="B195" s="110">
        <f t="shared" si="0"/>
        <v>2072</v>
      </c>
      <c r="C195" s="111">
        <f>[23]С2.5!$BE$11</f>
        <v>0</v>
      </c>
    </row>
    <row r="196" spans="2:3" hidden="1">
      <c r="B196" s="110">
        <f t="shared" si="0"/>
        <v>2073</v>
      </c>
      <c r="C196" s="111">
        <f>[23]С2.5!$BF$11</f>
        <v>0</v>
      </c>
    </row>
    <row r="197" spans="2:3" hidden="1">
      <c r="B197" s="110">
        <f t="shared" si="0"/>
        <v>2074</v>
      </c>
      <c r="C197" s="111">
        <f>[23]С2.5!$BG$11</f>
        <v>0</v>
      </c>
    </row>
    <row r="198" spans="2:3" hidden="1">
      <c r="B198" s="110">
        <f t="shared" si="0"/>
        <v>2075</v>
      </c>
      <c r="C198" s="111">
        <f>[23]С2.5!$BH$11</f>
        <v>0</v>
      </c>
    </row>
    <row r="199" spans="2:3" hidden="1">
      <c r="B199" s="110">
        <f t="shared" si="0"/>
        <v>2076</v>
      </c>
      <c r="C199" s="111">
        <f>[23]С2.5!$BI$11</f>
        <v>0</v>
      </c>
    </row>
    <row r="200" spans="2:3" hidden="1">
      <c r="B200" s="110">
        <f t="shared" si="0"/>
        <v>2077</v>
      </c>
      <c r="C200" s="111">
        <f>[23]С2.5!$BJ$11</f>
        <v>0</v>
      </c>
    </row>
    <row r="201" spans="2:3" hidden="1">
      <c r="B201" s="110">
        <f t="shared" si="0"/>
        <v>2078</v>
      </c>
      <c r="C201" s="111">
        <f>[23]С2.5!$BK$11</f>
        <v>0</v>
      </c>
    </row>
    <row r="202" spans="2:3" hidden="1">
      <c r="B202" s="110">
        <f t="shared" si="0"/>
        <v>2079</v>
      </c>
      <c r="C202" s="111">
        <f>[23]С2.5!$BL$11</f>
        <v>0</v>
      </c>
    </row>
    <row r="203" spans="2:3" hidden="1">
      <c r="B203" s="110">
        <f t="shared" si="0"/>
        <v>2080</v>
      </c>
      <c r="C203" s="111">
        <f>[23]С2.5!$BM$11</f>
        <v>0</v>
      </c>
    </row>
    <row r="204" spans="2:3" hidden="1">
      <c r="B204" s="110">
        <f t="shared" si="0"/>
        <v>2081</v>
      </c>
      <c r="C204" s="111">
        <f>[23]С2.5!$BN$11</f>
        <v>0</v>
      </c>
    </row>
    <row r="205" spans="2:3" hidden="1">
      <c r="B205" s="110">
        <f t="shared" si="0"/>
        <v>2082</v>
      </c>
      <c r="C205" s="111">
        <f>[23]С2.5!$BO$11</f>
        <v>0</v>
      </c>
    </row>
    <row r="206" spans="2:3" hidden="1">
      <c r="B206" s="110">
        <f t="shared" si="0"/>
        <v>2083</v>
      </c>
      <c r="C206" s="111">
        <f>[23]С2.5!$BP$11</f>
        <v>0</v>
      </c>
    </row>
    <row r="207" spans="2:3" hidden="1">
      <c r="B207" s="110">
        <f t="shared" si="0"/>
        <v>2084</v>
      </c>
      <c r="C207" s="111">
        <f>[23]С2.5!$BQ$11</f>
        <v>0</v>
      </c>
    </row>
    <row r="208" spans="2:3" hidden="1">
      <c r="B208" s="110">
        <f t="shared" si="0"/>
        <v>2085</v>
      </c>
      <c r="C208" s="111">
        <f>[23]С2.5!$BR$11</f>
        <v>0</v>
      </c>
    </row>
    <row r="209" spans="2:3" hidden="1">
      <c r="B209" s="110">
        <f t="shared" ref="B209:B223" si="1">B208+1</f>
        <v>2086</v>
      </c>
      <c r="C209" s="111">
        <f>[23]С2.5!$BS$11</f>
        <v>0</v>
      </c>
    </row>
    <row r="210" spans="2:3" hidden="1">
      <c r="B210" s="110">
        <f t="shared" si="1"/>
        <v>2087</v>
      </c>
      <c r="C210" s="111">
        <f>[23]С2.5!$BT$11</f>
        <v>0</v>
      </c>
    </row>
    <row r="211" spans="2:3" hidden="1">
      <c r="B211" s="110">
        <f t="shared" si="1"/>
        <v>2088</v>
      </c>
      <c r="C211" s="111">
        <f>[23]С2.5!$BU$11</f>
        <v>0</v>
      </c>
    </row>
    <row r="212" spans="2:3" hidden="1">
      <c r="B212" s="110">
        <f t="shared" si="1"/>
        <v>2089</v>
      </c>
      <c r="C212" s="111">
        <f>[23]С2.5!$BV$11</f>
        <v>0</v>
      </c>
    </row>
    <row r="213" spans="2:3" hidden="1">
      <c r="B213" s="110">
        <f t="shared" si="1"/>
        <v>2090</v>
      </c>
      <c r="C213" s="111">
        <f>[23]С2.5!$BW$11</f>
        <v>0</v>
      </c>
    </row>
    <row r="214" spans="2:3" hidden="1">
      <c r="B214" s="110">
        <f t="shared" si="1"/>
        <v>2091</v>
      </c>
      <c r="C214" s="111">
        <f>[23]С2.5!$BX$11</f>
        <v>0</v>
      </c>
    </row>
    <row r="215" spans="2:3" hidden="1">
      <c r="B215" s="110">
        <f t="shared" si="1"/>
        <v>2092</v>
      </c>
      <c r="C215" s="111">
        <f>[23]С2.5!$BY$11</f>
        <v>0</v>
      </c>
    </row>
    <row r="216" spans="2:3" hidden="1">
      <c r="B216" s="110">
        <f t="shared" si="1"/>
        <v>2093</v>
      </c>
      <c r="C216" s="111">
        <f>[23]С2.5!$BZ$11</f>
        <v>0</v>
      </c>
    </row>
    <row r="217" spans="2:3" hidden="1">
      <c r="B217" s="110">
        <f t="shared" si="1"/>
        <v>2094</v>
      </c>
      <c r="C217" s="111">
        <f>[23]С2.5!$CA$11</f>
        <v>0</v>
      </c>
    </row>
    <row r="218" spans="2:3" hidden="1">
      <c r="B218" s="110">
        <f t="shared" si="1"/>
        <v>2095</v>
      </c>
      <c r="C218" s="111">
        <f>[23]С2.5!$CB$11</f>
        <v>0</v>
      </c>
    </row>
    <row r="219" spans="2:3" hidden="1">
      <c r="B219" s="110">
        <f t="shared" si="1"/>
        <v>2096</v>
      </c>
      <c r="C219" s="111">
        <f>[23]С2.5!$CC$11</f>
        <v>0</v>
      </c>
    </row>
    <row r="220" spans="2:3" hidden="1">
      <c r="B220" s="110">
        <f t="shared" si="1"/>
        <v>2097</v>
      </c>
      <c r="C220" s="111">
        <f>[23]С2.5!$CD$11</f>
        <v>0</v>
      </c>
    </row>
    <row r="221" spans="2:3" hidden="1">
      <c r="B221" s="110">
        <f t="shared" si="1"/>
        <v>2098</v>
      </c>
      <c r="C221" s="111">
        <f>[23]С2.5!$CE$11</f>
        <v>0</v>
      </c>
    </row>
    <row r="222" spans="2:3" hidden="1">
      <c r="B222" s="110">
        <f t="shared" si="1"/>
        <v>2099</v>
      </c>
      <c r="C222" s="111">
        <f>[23]С2.5!$CF$11</f>
        <v>0</v>
      </c>
    </row>
    <row r="223" spans="2:3" ht="13.5" hidden="1" thickBot="1">
      <c r="B223" s="112">
        <f t="shared" si="1"/>
        <v>2100</v>
      </c>
      <c r="C223" s="113">
        <f>[23]С2.5!$CG$11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2" r:id="rId3" name="Button 2">
              <controlPr defaultSize="0" print="0" autoFill="0" autoPict="0" macro="[2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43" r:id="rId4" name="Button 3">
              <controlPr defaultSize="0" print="0" autoFill="0" autoPict="0" macro="[2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[25]И1!D13</f>
        <v>Субъект Российской Федерации</v>
      </c>
      <c r="C4" s="10" t="str">
        <f>[25]И1!E13</f>
        <v>Новосибирская область</v>
      </c>
    </row>
    <row r="5" spans="1:3" ht="46.9" customHeight="1">
      <c r="A5" s="8"/>
      <c r="B5" s="9" t="str">
        <f>[25]И1!D14</f>
        <v>Тип муниципального образования (выберите из списка)</v>
      </c>
      <c r="C5" s="10" t="str">
        <f>[25]И1!E14</f>
        <v>село Березиково, Тогучинский муниципальный район</v>
      </c>
    </row>
    <row r="6" spans="1:3">
      <c r="A6" s="8"/>
      <c r="B6" s="9" t="str">
        <f>IF([25]И1!E15="","",[25]И1!D15)</f>
        <v/>
      </c>
      <c r="C6" s="10" t="str">
        <f>IF([25]И1!E15="","",[25]И1!E15)</f>
        <v/>
      </c>
    </row>
    <row r="7" spans="1:3" ht="38.25">
      <c r="A7" s="8"/>
      <c r="B7" s="9" t="str">
        <f>[25]И1!D16</f>
        <v>Код ОКТМО</v>
      </c>
      <c r="C7" s="11" t="str">
        <f>[25]И1!E16</f>
        <v xml:space="preserve">50652425101
</v>
      </c>
    </row>
    <row r="8" spans="1:3">
      <c r="A8" s="8"/>
      <c r="B8" s="12" t="str">
        <f>[25]И1!D17</f>
        <v>Система теплоснабжения</v>
      </c>
      <c r="C8" s="13">
        <f>[25]И1!E17</f>
        <v>0</v>
      </c>
    </row>
    <row r="9" spans="1:3">
      <c r="A9" s="8"/>
      <c r="B9" s="9" t="str">
        <f>[25]И1!D8</f>
        <v>Период регулирования (i)-й</v>
      </c>
      <c r="C9" s="14">
        <f>[25]И1!E8</f>
        <v>2025</v>
      </c>
    </row>
    <row r="10" spans="1:3">
      <c r="A10" s="8"/>
      <c r="B10" s="9" t="str">
        <f>[25]И1!D9</f>
        <v>Период регулирования (i-1)-й</v>
      </c>
      <c r="C10" s="14">
        <f>[25]И1!E9</f>
        <v>2024</v>
      </c>
    </row>
    <row r="11" spans="1:3">
      <c r="A11" s="8"/>
      <c r="B11" s="9" t="str">
        <f>[25]И1!D10</f>
        <v>Период регулирования (i-2)-й</v>
      </c>
      <c r="C11" s="14">
        <f>[25]И1!E10</f>
        <v>2023</v>
      </c>
    </row>
    <row r="12" spans="1:3">
      <c r="A12" s="8"/>
      <c r="B12" s="9" t="str">
        <f>[25]И1!D11</f>
        <v>Базовый год (б)</v>
      </c>
      <c r="C12" s="14">
        <f>[25]И1!E11</f>
        <v>2019</v>
      </c>
    </row>
    <row r="13" spans="1:3" ht="38.25">
      <c r="A13" s="8"/>
      <c r="B13" s="9" t="str">
        <f>[25]И1!D18</f>
        <v>Вид топлива, использование которого преобладает в системе теплоснабжения</v>
      </c>
      <c r="C13" s="15" t="str">
        <f>[25]С1.1!E13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5383.4968750918697</v>
      </c>
    </row>
    <row r="18" spans="1:3" ht="42.75">
      <c r="A18" s="22" t="s">
        <v>8</v>
      </c>
      <c r="B18" s="25" t="s">
        <v>9</v>
      </c>
      <c r="C18" s="26">
        <f>[25]С1!F12</f>
        <v>795.80460480398301</v>
      </c>
    </row>
    <row r="19" spans="1:3" ht="42.75">
      <c r="A19" s="22" t="s">
        <v>10</v>
      </c>
      <c r="B19" s="25" t="s">
        <v>11</v>
      </c>
      <c r="C19" s="26">
        <f>[25]С2!F12</f>
        <v>3056.1591261705735</v>
      </c>
    </row>
    <row r="20" spans="1:3" ht="30">
      <c r="A20" s="22" t="s">
        <v>12</v>
      </c>
      <c r="B20" s="25" t="s">
        <v>13</v>
      </c>
      <c r="C20" s="26">
        <f>[25]С3!F12</f>
        <v>915.44743976410246</v>
      </c>
    </row>
    <row r="21" spans="1:3" ht="42.75">
      <c r="A21" s="22" t="s">
        <v>14</v>
      </c>
      <c r="B21" s="25" t="s">
        <v>15</v>
      </c>
      <c r="C21" s="26">
        <f>[25]С4!F12</f>
        <v>510.52694209650707</v>
      </c>
    </row>
    <row r="22" spans="1:3" ht="30">
      <c r="A22" s="22" t="s">
        <v>16</v>
      </c>
      <c r="B22" s="25" t="s">
        <v>17</v>
      </c>
      <c r="C22" s="26">
        <f>[25]С5!F12</f>
        <v>105.55876225670332</v>
      </c>
    </row>
    <row r="23" spans="1:3" ht="43.5" thickBot="1">
      <c r="A23" s="27" t="s">
        <v>18</v>
      </c>
      <c r="B23" s="140" t="s">
        <v>19</v>
      </c>
      <c r="C23" s="28" t="str">
        <f>[25]С6!F12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[25]С1.1!E16</f>
        <v>5100</v>
      </c>
    </row>
    <row r="29" spans="1:3" ht="42.75">
      <c r="A29" s="22" t="s">
        <v>10</v>
      </c>
      <c r="B29" s="33" t="s">
        <v>22</v>
      </c>
      <c r="C29" s="34">
        <f>[25]С1.1!E27</f>
        <v>2870.67</v>
      </c>
    </row>
    <row r="30" spans="1:3" ht="17.25">
      <c r="A30" s="22" t="s">
        <v>12</v>
      </c>
      <c r="B30" s="33" t="s">
        <v>23</v>
      </c>
      <c r="C30" s="35">
        <f>[25]С1.1!E19</f>
        <v>1.4E-2</v>
      </c>
    </row>
    <row r="31" spans="1:3" ht="17.25">
      <c r="A31" s="22" t="s">
        <v>14</v>
      </c>
      <c r="B31" s="33" t="s">
        <v>24</v>
      </c>
      <c r="C31" s="35">
        <f>[25]С1.1!E20</f>
        <v>0.04</v>
      </c>
    </row>
    <row r="32" spans="1:3" ht="30">
      <c r="A32" s="22" t="s">
        <v>16</v>
      </c>
      <c r="B32" s="36" t="s">
        <v>25</v>
      </c>
      <c r="C32" s="37">
        <f>[25]С1!F13</f>
        <v>176.4</v>
      </c>
    </row>
    <row r="33" spans="1:3">
      <c r="A33" s="22" t="s">
        <v>18</v>
      </c>
      <c r="B33" s="36" t="s">
        <v>26</v>
      </c>
      <c r="C33" s="38">
        <f>[25]С1!F16</f>
        <v>7000</v>
      </c>
    </row>
    <row r="34" spans="1:3" ht="14.25">
      <c r="A34" s="22" t="s">
        <v>27</v>
      </c>
      <c r="B34" s="39" t="s">
        <v>28</v>
      </c>
      <c r="C34" s="40">
        <f>[25]С1!F17</f>
        <v>0.72857142857142854</v>
      </c>
    </row>
    <row r="35" spans="1:3" ht="15.75">
      <c r="A35" s="41" t="s">
        <v>29</v>
      </c>
      <c r="B35" s="42" t="s">
        <v>30</v>
      </c>
      <c r="C35" s="40">
        <f>[25]С1!F20</f>
        <v>21.588411179999994</v>
      </c>
    </row>
    <row r="36" spans="1:3" ht="15.75">
      <c r="A36" s="41" t="s">
        <v>31</v>
      </c>
      <c r="B36" s="43" t="s">
        <v>32</v>
      </c>
      <c r="C36" s="40">
        <f>[25]С1!F21</f>
        <v>20.818139999999996</v>
      </c>
    </row>
    <row r="37" spans="1:3" ht="14.25">
      <c r="A37" s="41" t="s">
        <v>33</v>
      </c>
      <c r="B37" s="44" t="s">
        <v>34</v>
      </c>
      <c r="C37" s="40">
        <f>[25]С1!F22</f>
        <v>1.0369999999999999</v>
      </c>
    </row>
    <row r="38" spans="1:3" ht="53.25" thickBot="1">
      <c r="A38" s="27" t="s">
        <v>35</v>
      </c>
      <c r="B38" s="45" t="s">
        <v>36</v>
      </c>
      <c r="C38" s="46">
        <f>[25]С1!F23</f>
        <v>1.0469999999999999</v>
      </c>
    </row>
    <row r="39" spans="1:3" ht="13.5" thickBot="1">
      <c r="A39" s="47"/>
      <c r="B39" s="48"/>
      <c r="C39" s="49"/>
    </row>
    <row r="40" spans="1:3" ht="39" customHeight="1">
      <c r="A40" s="50" t="s">
        <v>37</v>
      </c>
      <c r="B40" s="146" t="s">
        <v>38</v>
      </c>
      <c r="C40" s="146"/>
    </row>
    <row r="41" spans="1:3" ht="25.5">
      <c r="A41" s="22" t="s">
        <v>39</v>
      </c>
      <c r="B41" s="36" t="s">
        <v>40</v>
      </c>
      <c r="C41" s="51" t="str">
        <f>[25]С2.1!E12</f>
        <v>V</v>
      </c>
    </row>
    <row r="42" spans="1:3" ht="25.5">
      <c r="A42" s="22" t="s">
        <v>41</v>
      </c>
      <c r="B42" s="33" t="s">
        <v>42</v>
      </c>
      <c r="C42" s="51" t="str">
        <f>[25]С2.1!E13</f>
        <v>6 и менее баллов</v>
      </c>
    </row>
    <row r="43" spans="1:3" ht="25.5">
      <c r="A43" s="22" t="s">
        <v>43</v>
      </c>
      <c r="B43" s="33" t="s">
        <v>44</v>
      </c>
      <c r="C43" s="51" t="str">
        <f>[25]С2.1!E14</f>
        <v>от 200 до 500</v>
      </c>
    </row>
    <row r="44" spans="1:3" ht="25.5">
      <c r="A44" s="22" t="s">
        <v>45</v>
      </c>
      <c r="B44" s="33" t="s">
        <v>46</v>
      </c>
      <c r="C44" s="52" t="str">
        <f>[25]С2.1!E15</f>
        <v>нет</v>
      </c>
    </row>
    <row r="45" spans="1:3" ht="30">
      <c r="A45" s="22" t="s">
        <v>47</v>
      </c>
      <c r="B45" s="33" t="s">
        <v>48</v>
      </c>
      <c r="C45" s="34">
        <f>[25]С2!F18</f>
        <v>38910.02669467502</v>
      </c>
    </row>
    <row r="46" spans="1:3" ht="30">
      <c r="A46" s="22" t="s">
        <v>49</v>
      </c>
      <c r="B46" s="53" t="s">
        <v>50</v>
      </c>
      <c r="C46" s="34">
        <f>IF([25]С2!F19&gt;0,[25]С2!F19,[25]С2!F20)</f>
        <v>23441.524932855718</v>
      </c>
    </row>
    <row r="47" spans="1:3" ht="25.5">
      <c r="A47" s="22" t="s">
        <v>51</v>
      </c>
      <c r="B47" s="54" t="s">
        <v>52</v>
      </c>
      <c r="C47" s="34">
        <f>[25]С2.1!E19</f>
        <v>-38</v>
      </c>
    </row>
    <row r="48" spans="1:3" ht="25.5">
      <c r="A48" s="22" t="s">
        <v>53</v>
      </c>
      <c r="B48" s="54" t="s">
        <v>54</v>
      </c>
      <c r="C48" s="34" t="str">
        <f>[25]С2.1!E22</f>
        <v>нет</v>
      </c>
    </row>
    <row r="49" spans="1:3" ht="38.25">
      <c r="A49" s="22" t="s">
        <v>55</v>
      </c>
      <c r="B49" s="55" t="s">
        <v>56</v>
      </c>
      <c r="C49" s="34">
        <f>[25]С2.2!E10</f>
        <v>1287</v>
      </c>
    </row>
    <row r="50" spans="1:3" ht="25.5">
      <c r="A50" s="22" t="s">
        <v>57</v>
      </c>
      <c r="B50" s="56" t="s">
        <v>58</v>
      </c>
      <c r="C50" s="34">
        <f>[25]С2.2!E12</f>
        <v>5.97</v>
      </c>
    </row>
    <row r="51" spans="1:3" ht="52.5">
      <c r="A51" s="22" t="s">
        <v>59</v>
      </c>
      <c r="B51" s="57" t="s">
        <v>60</v>
      </c>
      <c r="C51" s="34">
        <f>[25]С2.2!E13</f>
        <v>1</v>
      </c>
    </row>
    <row r="52" spans="1:3" ht="27.75">
      <c r="A52" s="22" t="s">
        <v>61</v>
      </c>
      <c r="B52" s="56" t="s">
        <v>62</v>
      </c>
      <c r="C52" s="34">
        <f>[25]С2.2!E14</f>
        <v>12104</v>
      </c>
    </row>
    <row r="53" spans="1:3" ht="25.5">
      <c r="A53" s="22" t="s">
        <v>63</v>
      </c>
      <c r="B53" s="57" t="s">
        <v>64</v>
      </c>
      <c r="C53" s="35">
        <f>[25]С2.2!E15</f>
        <v>4.8000000000000001E-2</v>
      </c>
    </row>
    <row r="54" spans="1:3">
      <c r="A54" s="22" t="s">
        <v>65</v>
      </c>
      <c r="B54" s="57" t="s">
        <v>66</v>
      </c>
      <c r="C54" s="34">
        <f>[25]С2.2!E16</f>
        <v>1</v>
      </c>
    </row>
    <row r="55" spans="1:3" ht="15.75">
      <c r="A55" s="22" t="s">
        <v>67</v>
      </c>
      <c r="B55" s="58" t="s">
        <v>68</v>
      </c>
      <c r="C55" s="34">
        <f>[25]С2!F21</f>
        <v>1</v>
      </c>
    </row>
    <row r="56" spans="1:3" ht="30">
      <c r="A56" s="59" t="s">
        <v>69</v>
      </c>
      <c r="B56" s="33" t="s">
        <v>70</v>
      </c>
      <c r="C56" s="34">
        <f>[25]С2!F13</f>
        <v>203708.97017230222</v>
      </c>
    </row>
    <row r="57" spans="1:3" ht="30">
      <c r="A57" s="59" t="s">
        <v>71</v>
      </c>
      <c r="B57" s="58" t="s">
        <v>72</v>
      </c>
      <c r="C57" s="34">
        <f>[25]С2!F14</f>
        <v>113455</v>
      </c>
    </row>
    <row r="58" spans="1:3" ht="15.75">
      <c r="A58" s="59" t="s">
        <v>73</v>
      </c>
      <c r="B58" s="60" t="s">
        <v>74</v>
      </c>
      <c r="C58" s="40">
        <f>[25]С2!F15</f>
        <v>1.071</v>
      </c>
    </row>
    <row r="59" spans="1:3" ht="15.75">
      <c r="A59" s="59" t="s">
        <v>75</v>
      </c>
      <c r="B59" s="60" t="s">
        <v>76</v>
      </c>
      <c r="C59" s="40">
        <f>[25]С2!F16</f>
        <v>1</v>
      </c>
    </row>
    <row r="60" spans="1:3" ht="17.25">
      <c r="A60" s="59" t="s">
        <v>77</v>
      </c>
      <c r="B60" s="58" t="s">
        <v>78</v>
      </c>
      <c r="C60" s="34">
        <f>[25]С2!F17</f>
        <v>1.01</v>
      </c>
    </row>
    <row r="61" spans="1:3" s="63" customFormat="1" ht="14.25">
      <c r="A61" s="59" t="s">
        <v>79</v>
      </c>
      <c r="B61" s="61" t="s">
        <v>80</v>
      </c>
      <c r="C61" s="62">
        <f>[25]С2!F33</f>
        <v>10</v>
      </c>
    </row>
    <row r="62" spans="1:3" ht="30">
      <c r="A62" s="59" t="s">
        <v>81</v>
      </c>
      <c r="B62" s="64" t="s">
        <v>82</v>
      </c>
      <c r="C62" s="34">
        <f>[25]С2!F26</f>
        <v>2416.4994928434235</v>
      </c>
    </row>
    <row r="63" spans="1:3" ht="17.25">
      <c r="A63" s="59" t="s">
        <v>83</v>
      </c>
      <c r="B63" s="53" t="s">
        <v>84</v>
      </c>
      <c r="C63" s="34">
        <f>[25]С2!F27</f>
        <v>0.34662649000000001</v>
      </c>
    </row>
    <row r="64" spans="1:3" ht="17.25">
      <c r="A64" s="59" t="s">
        <v>85</v>
      </c>
      <c r="B64" s="58" t="s">
        <v>86</v>
      </c>
      <c r="C64" s="62">
        <f>[25]С2!F28</f>
        <v>4200</v>
      </c>
    </row>
    <row r="65" spans="1:3" ht="42.75">
      <c r="A65" s="59" t="s">
        <v>87</v>
      </c>
      <c r="B65" s="33" t="s">
        <v>88</v>
      </c>
      <c r="C65" s="34">
        <f>[25]С2!F22</f>
        <v>42890.921752741691</v>
      </c>
    </row>
    <row r="66" spans="1:3" ht="30">
      <c r="A66" s="59" t="s">
        <v>89</v>
      </c>
      <c r="B66" s="60" t="s">
        <v>90</v>
      </c>
      <c r="C66" s="34">
        <f>[25]С2!F23</f>
        <v>1990</v>
      </c>
    </row>
    <row r="67" spans="1:3" ht="30">
      <c r="A67" s="59" t="s">
        <v>91</v>
      </c>
      <c r="B67" s="53" t="s">
        <v>92</v>
      </c>
      <c r="C67" s="34">
        <f>[25]С2.1!E27</f>
        <v>14307.876789999998</v>
      </c>
    </row>
    <row r="68" spans="1:3" ht="38.25">
      <c r="A68" s="59" t="s">
        <v>93</v>
      </c>
      <c r="B68" s="65" t="s">
        <v>94</v>
      </c>
      <c r="C68" s="52">
        <f>[25]С2.3!E21</f>
        <v>0</v>
      </c>
    </row>
    <row r="69" spans="1:3" ht="25.5">
      <c r="A69" s="59" t="s">
        <v>95</v>
      </c>
      <c r="B69" s="66" t="s">
        <v>96</v>
      </c>
      <c r="C69" s="67">
        <f>[25]С2.3!E11</f>
        <v>9.89</v>
      </c>
    </row>
    <row r="70" spans="1:3" ht="25.5">
      <c r="A70" s="59" t="s">
        <v>97</v>
      </c>
      <c r="B70" s="66" t="s">
        <v>98</v>
      </c>
      <c r="C70" s="62">
        <f>[25]С2.3!E13</f>
        <v>300</v>
      </c>
    </row>
    <row r="71" spans="1:3" ht="25.5">
      <c r="A71" s="59" t="s">
        <v>99</v>
      </c>
      <c r="B71" s="65" t="s">
        <v>100</v>
      </c>
      <c r="C71" s="68">
        <f>IF([25]С2.3!E22&gt;0,[25]С2.3!E22,[25]С2.3!E14)</f>
        <v>61211</v>
      </c>
    </row>
    <row r="72" spans="1:3" ht="38.25">
      <c r="A72" s="59" t="s">
        <v>101</v>
      </c>
      <c r="B72" s="65" t="s">
        <v>102</v>
      </c>
      <c r="C72" s="68">
        <f>IF([25]С2.3!E23&gt;0,[25]С2.3!E23,[25]С2.3!E15)</f>
        <v>45675</v>
      </c>
    </row>
    <row r="73" spans="1:3" ht="30">
      <c r="A73" s="59" t="s">
        <v>103</v>
      </c>
      <c r="B73" s="53" t="s">
        <v>104</v>
      </c>
      <c r="C73" s="34">
        <f>[25]С2.1!E28</f>
        <v>9541.9567200000001</v>
      </c>
    </row>
    <row r="74" spans="1:3" ht="38.25">
      <c r="A74" s="59" t="s">
        <v>105</v>
      </c>
      <c r="B74" s="65" t="s">
        <v>106</v>
      </c>
      <c r="C74" s="52">
        <f>[25]С2.3!E25</f>
        <v>0</v>
      </c>
    </row>
    <row r="75" spans="1:3" ht="25.5">
      <c r="A75" s="59" t="s">
        <v>107</v>
      </c>
      <c r="B75" s="66" t="s">
        <v>108</v>
      </c>
      <c r="C75" s="67">
        <f>[25]С2.3!E12</f>
        <v>0.56000000000000005</v>
      </c>
    </row>
    <row r="76" spans="1:3" ht="25.5">
      <c r="A76" s="59" t="s">
        <v>109</v>
      </c>
      <c r="B76" s="66" t="s">
        <v>98</v>
      </c>
      <c r="C76" s="62">
        <f>[25]С2.3!E13</f>
        <v>300</v>
      </c>
    </row>
    <row r="77" spans="1:3" ht="25.5">
      <c r="A77" s="59" t="s">
        <v>110</v>
      </c>
      <c r="B77" s="69" t="s">
        <v>111</v>
      </c>
      <c r="C77" s="68">
        <f>IF([25]С2.3!E26&gt;0,[25]С2.3!E26,[25]С2.3!E16)</f>
        <v>65637</v>
      </c>
    </row>
    <row r="78" spans="1:3" ht="38.25">
      <c r="A78" s="59" t="s">
        <v>112</v>
      </c>
      <c r="B78" s="69" t="s">
        <v>113</v>
      </c>
      <c r="C78" s="68">
        <f>IF([25]С2.3!E27&gt;0,[25]С2.3!E27,[25]С2.3!E17)</f>
        <v>31684</v>
      </c>
    </row>
    <row r="79" spans="1:3" ht="17.25">
      <c r="A79" s="59" t="s">
        <v>114</v>
      </c>
      <c r="B79" s="33" t="s">
        <v>115</v>
      </c>
      <c r="C79" s="35">
        <f>[25]С2!F29</f>
        <v>0.17804631770487722</v>
      </c>
    </row>
    <row r="80" spans="1:3" ht="30">
      <c r="A80" s="59" t="s">
        <v>116</v>
      </c>
      <c r="B80" s="53" t="s">
        <v>117</v>
      </c>
      <c r="C80" s="70">
        <f>[25]С2!F30</f>
        <v>0.1652189781021898</v>
      </c>
    </row>
    <row r="81" spans="1:3" ht="17.25">
      <c r="A81" s="59" t="s">
        <v>118</v>
      </c>
      <c r="B81" s="71" t="s">
        <v>119</v>
      </c>
      <c r="C81" s="35">
        <f>[25]С2!F31</f>
        <v>0.13880000000000001</v>
      </c>
    </row>
    <row r="82" spans="1:3" s="63" customFormat="1" ht="18" thickBot="1">
      <c r="A82" s="72" t="s">
        <v>120</v>
      </c>
      <c r="B82" s="73" t="s">
        <v>121</v>
      </c>
      <c r="C82" s="74">
        <f>[25]С2!F32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[25]С3!F14</f>
        <v>14863.184658749575</v>
      </c>
    </row>
    <row r="86" spans="1:3" s="63" customFormat="1" ht="42.75">
      <c r="A86" s="77" t="s">
        <v>126</v>
      </c>
      <c r="B86" s="53" t="s">
        <v>127</v>
      </c>
      <c r="C86" s="78">
        <f>[25]С3!F15</f>
        <v>0.25</v>
      </c>
    </row>
    <row r="87" spans="1:3" s="63" customFormat="1" ht="14.25">
      <c r="A87" s="77" t="s">
        <v>128</v>
      </c>
      <c r="B87" s="79" t="s">
        <v>129</v>
      </c>
      <c r="C87" s="62">
        <f>[25]С3!F18</f>
        <v>15</v>
      </c>
    </row>
    <row r="88" spans="1:3" s="63" customFormat="1" ht="17.25">
      <c r="A88" s="77" t="s">
        <v>130</v>
      </c>
      <c r="B88" s="33" t="s">
        <v>131</v>
      </c>
      <c r="C88" s="34">
        <f>[25]С3!F19</f>
        <v>4187.478806422544</v>
      </c>
    </row>
    <row r="89" spans="1:3" s="63" customFormat="1" ht="55.5">
      <c r="A89" s="77" t="s">
        <v>132</v>
      </c>
      <c r="B89" s="53" t="s">
        <v>133</v>
      </c>
      <c r="C89" s="80">
        <f>[25]С3!F20</f>
        <v>2.1999999999999999E-2</v>
      </c>
    </row>
    <row r="90" spans="1:3" s="63" customFormat="1" ht="14.25">
      <c r="A90" s="77" t="s">
        <v>134</v>
      </c>
      <c r="B90" s="58" t="s">
        <v>80</v>
      </c>
      <c r="C90" s="62">
        <f>[25]С3!F21</f>
        <v>10</v>
      </c>
    </row>
    <row r="91" spans="1:3" s="63" customFormat="1" ht="17.25">
      <c r="A91" s="77" t="s">
        <v>135</v>
      </c>
      <c r="B91" s="33" t="s">
        <v>136</v>
      </c>
      <c r="C91" s="34">
        <f>[25]С3!F22</f>
        <v>7.2494984785302705</v>
      </c>
    </row>
    <row r="92" spans="1:3" s="63" customFormat="1" ht="55.5">
      <c r="A92" s="77" t="s">
        <v>137</v>
      </c>
      <c r="B92" s="53" t="s">
        <v>138</v>
      </c>
      <c r="C92" s="80">
        <f>[25]С3!F23</f>
        <v>3.0000000000000001E-3</v>
      </c>
    </row>
    <row r="93" spans="1:3" s="63" customFormat="1" ht="27.75" thickBot="1">
      <c r="A93" s="81" t="s">
        <v>139</v>
      </c>
      <c r="B93" s="82" t="s">
        <v>140</v>
      </c>
      <c r="C93" s="83">
        <f>[25]С3!F24</f>
        <v>2416.4994928434235</v>
      </c>
    </row>
    <row r="94" spans="1:3" ht="13.5" thickBot="1">
      <c r="A94" s="47"/>
      <c r="B94" s="75"/>
      <c r="C94" s="15"/>
    </row>
    <row r="95" spans="1:3" ht="45" customHeight="1">
      <c r="A95" s="84" t="s">
        <v>141</v>
      </c>
      <c r="B95" s="146" t="s">
        <v>142</v>
      </c>
      <c r="C95" s="146"/>
    </row>
    <row r="96" spans="1:3" ht="30">
      <c r="A96" s="59" t="s">
        <v>143</v>
      </c>
      <c r="B96" s="33" t="s">
        <v>144</v>
      </c>
      <c r="C96" s="34">
        <f>[25]С4!F16</f>
        <v>1652.5</v>
      </c>
    </row>
    <row r="97" spans="1:3" ht="30">
      <c r="A97" s="59" t="s">
        <v>145</v>
      </c>
      <c r="B97" s="58" t="s">
        <v>146</v>
      </c>
      <c r="C97" s="34">
        <f>[25]С4!F17</f>
        <v>73547</v>
      </c>
    </row>
    <row r="98" spans="1:3" ht="17.25">
      <c r="A98" s="59" t="s">
        <v>147</v>
      </c>
      <c r="B98" s="58" t="s">
        <v>148</v>
      </c>
      <c r="C98" s="40">
        <f>[25]С4!F18</f>
        <v>0.02</v>
      </c>
    </row>
    <row r="99" spans="1:3" ht="30">
      <c r="A99" s="59" t="s">
        <v>149</v>
      </c>
      <c r="B99" s="58" t="s">
        <v>150</v>
      </c>
      <c r="C99" s="34">
        <f>[25]С4!F19</f>
        <v>12104</v>
      </c>
    </row>
    <row r="100" spans="1:3" ht="31.5">
      <c r="A100" s="59" t="s">
        <v>151</v>
      </c>
      <c r="B100" s="58" t="s">
        <v>152</v>
      </c>
      <c r="C100" s="40">
        <f>[25]С4!F20</f>
        <v>1.4999999999999999E-2</v>
      </c>
    </row>
    <row r="101" spans="1:3" ht="30">
      <c r="A101" s="59" t="s">
        <v>153</v>
      </c>
      <c r="B101" s="33" t="s">
        <v>154</v>
      </c>
      <c r="C101" s="34">
        <f>[25]С4!F21</f>
        <v>1933.1949342509995</v>
      </c>
    </row>
    <row r="102" spans="1:3" ht="24" customHeight="1">
      <c r="A102" s="59" t="s">
        <v>155</v>
      </c>
      <c r="B102" s="53" t="s">
        <v>156</v>
      </c>
      <c r="C102" s="85">
        <f>IF([25]С4.2!F8="да",[25]С4.2!D21,[25]С4.2!D15)</f>
        <v>0</v>
      </c>
    </row>
    <row r="103" spans="1:3" ht="68.25">
      <c r="A103" s="59" t="s">
        <v>157</v>
      </c>
      <c r="B103" s="53" t="s">
        <v>158</v>
      </c>
      <c r="C103" s="34">
        <f>[25]С4!F22</f>
        <v>3.6112641666666665</v>
      </c>
    </row>
    <row r="104" spans="1:3" ht="30">
      <c r="A104" s="59" t="s">
        <v>159</v>
      </c>
      <c r="B104" s="58" t="s">
        <v>160</v>
      </c>
      <c r="C104" s="34">
        <f>[25]С4!F23</f>
        <v>180</v>
      </c>
    </row>
    <row r="105" spans="1:3" ht="14.25">
      <c r="A105" s="59" t="s">
        <v>161</v>
      </c>
      <c r="B105" s="53" t="s">
        <v>162</v>
      </c>
      <c r="C105" s="34">
        <f>[25]С4!F24</f>
        <v>8497.1999999999989</v>
      </c>
    </row>
    <row r="106" spans="1:3" ht="14.25">
      <c r="A106" s="59" t="s">
        <v>163</v>
      </c>
      <c r="B106" s="58" t="s">
        <v>164</v>
      </c>
      <c r="C106" s="40">
        <f>[25]С4!F25</f>
        <v>0.35</v>
      </c>
    </row>
    <row r="107" spans="1:3" ht="17.25">
      <c r="A107" s="59" t="s">
        <v>165</v>
      </c>
      <c r="B107" s="33" t="s">
        <v>166</v>
      </c>
      <c r="C107" s="34">
        <f>[25]С4!F26</f>
        <v>91.276049999999998</v>
      </c>
    </row>
    <row r="108" spans="1:3" ht="25.5">
      <c r="A108" s="59" t="s">
        <v>167</v>
      </c>
      <c r="B108" s="53" t="s">
        <v>94</v>
      </c>
      <c r="C108" s="85">
        <f>[25]С4.3!E16</f>
        <v>0</v>
      </c>
    </row>
    <row r="109" spans="1:3" ht="25.5">
      <c r="A109" s="59" t="s">
        <v>168</v>
      </c>
      <c r="B109" s="53" t="s">
        <v>169</v>
      </c>
      <c r="C109" s="34">
        <f>[25]С4.3!E17</f>
        <v>24.75</v>
      </c>
    </row>
    <row r="110" spans="1:3" ht="38.25">
      <c r="A110" s="59" t="s">
        <v>170</v>
      </c>
      <c r="B110" s="53" t="s">
        <v>106</v>
      </c>
      <c r="C110" s="85">
        <f>[25]С4.3!E18</f>
        <v>0</v>
      </c>
    </row>
    <row r="111" spans="1:3">
      <c r="A111" s="59" t="s">
        <v>171</v>
      </c>
      <c r="B111" s="53" t="s">
        <v>172</v>
      </c>
      <c r="C111" s="34">
        <f>[25]С4.3!E19</f>
        <v>21.95</v>
      </c>
    </row>
    <row r="112" spans="1:3">
      <c r="A112" s="59" t="s">
        <v>173</v>
      </c>
      <c r="B112" s="58" t="s">
        <v>174</v>
      </c>
      <c r="C112" s="34">
        <f>[25]С4.3!E11</f>
        <v>1871</v>
      </c>
    </row>
    <row r="113" spans="1:3">
      <c r="A113" s="59" t="s">
        <v>175</v>
      </c>
      <c r="B113" s="58" t="s">
        <v>176</v>
      </c>
      <c r="C113" s="52">
        <f>[25]С4.3!E12</f>
        <v>1636</v>
      </c>
    </row>
    <row r="114" spans="1:3">
      <c r="A114" s="59" t="s">
        <v>177</v>
      </c>
      <c r="B114" s="58" t="s">
        <v>178</v>
      </c>
      <c r="C114" s="52">
        <f>[25]С4.3!E13</f>
        <v>204</v>
      </c>
    </row>
    <row r="115" spans="1:3" ht="30">
      <c r="A115" s="59" t="s">
        <v>179</v>
      </c>
      <c r="B115" s="33" t="s">
        <v>180</v>
      </c>
      <c r="C115" s="34">
        <f>[25]С4!F27</f>
        <v>1291.2863994686898</v>
      </c>
    </row>
    <row r="116" spans="1:3" ht="25.5">
      <c r="A116" s="59" t="s">
        <v>181</v>
      </c>
      <c r="B116" s="53" t="s">
        <v>182</v>
      </c>
      <c r="C116" s="34">
        <f>[25]С4!F28</f>
        <v>991.77142816335618</v>
      </c>
    </row>
    <row r="117" spans="1:3" ht="42.75">
      <c r="A117" s="59" t="s">
        <v>183</v>
      </c>
      <c r="B117" s="53" t="s">
        <v>184</v>
      </c>
      <c r="C117" s="34">
        <f>[25]С4!F29</f>
        <v>299.51497130533357</v>
      </c>
    </row>
    <row r="118" spans="1:3" ht="30">
      <c r="A118" s="59" t="s">
        <v>185</v>
      </c>
      <c r="B118" s="39" t="s">
        <v>186</v>
      </c>
      <c r="C118" s="34">
        <f>[25]С4!F30</f>
        <v>2381.5297256879194</v>
      </c>
    </row>
    <row r="119" spans="1:3" ht="42.75">
      <c r="A119" s="59" t="s">
        <v>187</v>
      </c>
      <c r="B119" s="86" t="s">
        <v>188</v>
      </c>
      <c r="C119" s="34">
        <f>[25]С4!F33</f>
        <v>1176.7426982817792</v>
      </c>
    </row>
    <row r="120" spans="1:3" ht="30">
      <c r="A120" s="59" t="s">
        <v>189</v>
      </c>
      <c r="B120" s="87" t="s">
        <v>190</v>
      </c>
      <c r="C120" s="34">
        <f>[25]С4!F35</f>
        <v>17.040680999999999</v>
      </c>
    </row>
    <row r="121" spans="1:3" ht="14.25">
      <c r="A121" s="59" t="s">
        <v>191</v>
      </c>
      <c r="B121" s="56" t="s">
        <v>192</v>
      </c>
      <c r="C121" s="34">
        <f>[25]С4!F36</f>
        <v>14319.9</v>
      </c>
    </row>
    <row r="122" spans="1:3" ht="28.5" thickBot="1">
      <c r="A122" s="72" t="s">
        <v>193</v>
      </c>
      <c r="B122" s="88" t="s">
        <v>194</v>
      </c>
      <c r="C122" s="83">
        <f>[25]С4!F37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[25]С5!F17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[25]С2!F37</f>
        <v>20.818139999999996</v>
      </c>
    </row>
    <row r="136" spans="1:4" ht="14.25">
      <c r="A136" s="59" t="s">
        <v>216</v>
      </c>
      <c r="B136" s="101" t="s">
        <v>217</v>
      </c>
      <c r="C136" s="34">
        <f>[25]С2!F38</f>
        <v>7</v>
      </c>
    </row>
    <row r="137" spans="1:4" ht="17.25">
      <c r="A137" s="59" t="s">
        <v>218</v>
      </c>
      <c r="B137" s="101" t="s">
        <v>219</v>
      </c>
      <c r="C137" s="34">
        <f>[25]С2!F40</f>
        <v>0.97</v>
      </c>
    </row>
    <row r="138" spans="1:4" ht="15" thickBot="1">
      <c r="A138" s="72" t="s">
        <v>220</v>
      </c>
      <c r="B138" s="102" t="s">
        <v>221</v>
      </c>
      <c r="C138" s="46">
        <f>[25]С2!F42</f>
        <v>0.35</v>
      </c>
    </row>
    <row r="139" spans="1:4" s="89" customFormat="1" ht="13.5" thickBot="1">
      <c r="A139" s="47"/>
      <c r="B139" s="75"/>
      <c r="C139" s="15"/>
    </row>
    <row r="140" spans="1:4" ht="30">
      <c r="A140" s="84" t="s">
        <v>222</v>
      </c>
      <c r="B140" s="103" t="s">
        <v>223</v>
      </c>
      <c r="C140" s="104">
        <f>[25]С2!F35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[25]С2.5!$E$11</f>
        <v>-2.9000000000000026E-2</v>
      </c>
      <c r="D143" s="89"/>
    </row>
    <row r="144" spans="1:4">
      <c r="A144" s="105"/>
      <c r="B144" s="110">
        <f>B143+1</f>
        <v>2021</v>
      </c>
      <c r="C144" s="111">
        <f>[25]С2.5!$F$11</f>
        <v>0.245</v>
      </c>
      <c r="D144" s="89"/>
    </row>
    <row r="145" spans="1:4">
      <c r="A145" s="105"/>
      <c r="B145" s="110">
        <f t="shared" ref="B145:B208" si="0">B144+1</f>
        <v>2022</v>
      </c>
      <c r="C145" s="111">
        <f>[25]С2.5!$G$11</f>
        <v>0.114</v>
      </c>
      <c r="D145" s="89"/>
    </row>
    <row r="146" spans="1:4" ht="13.5" thickBot="1">
      <c r="A146" s="105"/>
      <c r="B146" s="112">
        <f t="shared" si="0"/>
        <v>2023</v>
      </c>
      <c r="C146" s="113">
        <f>[25]С2.5!$H$11</f>
        <v>0.04</v>
      </c>
      <c r="D146" s="89"/>
    </row>
    <row r="147" spans="1:4">
      <c r="A147" s="105"/>
      <c r="B147" s="114">
        <f t="shared" si="0"/>
        <v>2024</v>
      </c>
      <c r="C147" s="115">
        <f>[25]С2.5!$I$11</f>
        <v>0.11700000000000001</v>
      </c>
      <c r="D147" s="89"/>
    </row>
    <row r="148" spans="1:4">
      <c r="A148" s="105"/>
      <c r="B148" s="110">
        <f t="shared" si="0"/>
        <v>2025</v>
      </c>
      <c r="C148" s="111">
        <f>[25]С2.5!$J$11</f>
        <v>6.0999999999999999E-2</v>
      </c>
      <c r="D148" s="89"/>
    </row>
    <row r="149" spans="1:4" hidden="1">
      <c r="A149" s="105"/>
      <c r="B149" s="110">
        <f t="shared" si="0"/>
        <v>2026</v>
      </c>
      <c r="C149" s="111">
        <f>[25]С2.5!$K$11</f>
        <v>3.5813361771260002E-2</v>
      </c>
      <c r="D149" s="89"/>
    </row>
    <row r="150" spans="1:4" hidden="1">
      <c r="A150" s="105"/>
      <c r="B150" s="110">
        <f t="shared" si="0"/>
        <v>2027</v>
      </c>
      <c r="C150" s="111">
        <f>[25]С2.5!$L$11</f>
        <v>3.2682303599220003E-2</v>
      </c>
      <c r="D150" s="89"/>
    </row>
    <row r="151" spans="1:4" hidden="1">
      <c r="A151" s="105"/>
      <c r="B151" s="110">
        <f t="shared" si="0"/>
        <v>2028</v>
      </c>
      <c r="C151" s="111">
        <f>[25]С2.5!$M$11</f>
        <v>0</v>
      </c>
      <c r="D151" s="89"/>
    </row>
    <row r="152" spans="1:4" hidden="1">
      <c r="A152" s="105"/>
      <c r="B152" s="110">
        <f t="shared" si="0"/>
        <v>2029</v>
      </c>
      <c r="C152" s="111">
        <f>[25]С2.5!$N$11</f>
        <v>0</v>
      </c>
      <c r="D152" s="89"/>
    </row>
    <row r="153" spans="1:4" hidden="1">
      <c r="A153" s="105"/>
      <c r="B153" s="110">
        <f t="shared" si="0"/>
        <v>2030</v>
      </c>
      <c r="C153" s="111">
        <f>[25]С2.5!$O$11</f>
        <v>0</v>
      </c>
      <c r="D153" s="89"/>
    </row>
    <row r="154" spans="1:4" hidden="1">
      <c r="A154" s="105"/>
      <c r="B154" s="110">
        <f t="shared" si="0"/>
        <v>2031</v>
      </c>
      <c r="C154" s="111">
        <f>[25]С2.5!$P$11</f>
        <v>0</v>
      </c>
      <c r="D154" s="89"/>
    </row>
    <row r="155" spans="1:4" hidden="1">
      <c r="A155" s="89"/>
      <c r="B155" s="110">
        <f t="shared" si="0"/>
        <v>2032</v>
      </c>
      <c r="C155" s="111">
        <f>[25]С2.5!$Q$11</f>
        <v>0</v>
      </c>
      <c r="D155" s="89"/>
    </row>
    <row r="156" spans="1:4" hidden="1">
      <c r="A156" s="89"/>
      <c r="B156" s="110">
        <f t="shared" si="0"/>
        <v>2033</v>
      </c>
      <c r="C156" s="111">
        <f>[25]С2.5!$R$11</f>
        <v>0</v>
      </c>
      <c r="D156" s="89"/>
    </row>
    <row r="157" spans="1:4" hidden="1">
      <c r="B157" s="110">
        <f t="shared" si="0"/>
        <v>2034</v>
      </c>
      <c r="C157" s="111">
        <f>[25]С2.5!$S$11</f>
        <v>0</v>
      </c>
    </row>
    <row r="158" spans="1:4" hidden="1">
      <c r="B158" s="110">
        <f t="shared" si="0"/>
        <v>2035</v>
      </c>
      <c r="C158" s="111">
        <f>[25]С2.5!$T$11</f>
        <v>0</v>
      </c>
    </row>
    <row r="159" spans="1:4" hidden="1">
      <c r="B159" s="110">
        <f t="shared" si="0"/>
        <v>2036</v>
      </c>
      <c r="C159" s="111">
        <f>[25]С2.5!$U$11</f>
        <v>0</v>
      </c>
    </row>
    <row r="160" spans="1:4" hidden="1">
      <c r="B160" s="110">
        <f t="shared" si="0"/>
        <v>2037</v>
      </c>
      <c r="C160" s="111">
        <f>[25]С2.5!$V$11</f>
        <v>0</v>
      </c>
    </row>
    <row r="161" spans="2:3" hidden="1">
      <c r="B161" s="110">
        <f t="shared" si="0"/>
        <v>2038</v>
      </c>
      <c r="C161" s="111">
        <f>[25]С2.5!$W$11</f>
        <v>0</v>
      </c>
    </row>
    <row r="162" spans="2:3" hidden="1">
      <c r="B162" s="110">
        <f t="shared" si="0"/>
        <v>2039</v>
      </c>
      <c r="C162" s="111">
        <f>[25]С2.5!$X$11</f>
        <v>0</v>
      </c>
    </row>
    <row r="163" spans="2:3" hidden="1">
      <c r="B163" s="110">
        <f t="shared" si="0"/>
        <v>2040</v>
      </c>
      <c r="C163" s="111">
        <f>[25]С2.5!$Y$11</f>
        <v>0</v>
      </c>
    </row>
    <row r="164" spans="2:3" hidden="1">
      <c r="B164" s="110">
        <f t="shared" si="0"/>
        <v>2041</v>
      </c>
      <c r="C164" s="111">
        <f>[25]С2.5!$Z$11</f>
        <v>0</v>
      </c>
    </row>
    <row r="165" spans="2:3" hidden="1">
      <c r="B165" s="110">
        <f t="shared" si="0"/>
        <v>2042</v>
      </c>
      <c r="C165" s="111">
        <f>[25]С2.5!$AA$11</f>
        <v>0</v>
      </c>
    </row>
    <row r="166" spans="2:3" hidden="1">
      <c r="B166" s="110">
        <f t="shared" si="0"/>
        <v>2043</v>
      </c>
      <c r="C166" s="111">
        <f>[25]С2.5!$AB$11</f>
        <v>0</v>
      </c>
    </row>
    <row r="167" spans="2:3" hidden="1">
      <c r="B167" s="110">
        <f t="shared" si="0"/>
        <v>2044</v>
      </c>
      <c r="C167" s="111">
        <f>[25]С2.5!$AC$11</f>
        <v>0</v>
      </c>
    </row>
    <row r="168" spans="2:3" hidden="1">
      <c r="B168" s="110">
        <f t="shared" si="0"/>
        <v>2045</v>
      </c>
      <c r="C168" s="111">
        <f>[25]С2.5!$AD$11</f>
        <v>0</v>
      </c>
    </row>
    <row r="169" spans="2:3" hidden="1">
      <c r="B169" s="110">
        <f t="shared" si="0"/>
        <v>2046</v>
      </c>
      <c r="C169" s="111">
        <f>[25]С2.5!$AE$11</f>
        <v>0</v>
      </c>
    </row>
    <row r="170" spans="2:3" hidden="1">
      <c r="B170" s="110">
        <f t="shared" si="0"/>
        <v>2047</v>
      </c>
      <c r="C170" s="111">
        <f>[25]С2.5!$AF$11</f>
        <v>0</v>
      </c>
    </row>
    <row r="171" spans="2:3" hidden="1">
      <c r="B171" s="110">
        <f t="shared" si="0"/>
        <v>2048</v>
      </c>
      <c r="C171" s="111">
        <f>[25]С2.5!$AG$11</f>
        <v>0</v>
      </c>
    </row>
    <row r="172" spans="2:3" hidden="1">
      <c r="B172" s="110">
        <f t="shared" si="0"/>
        <v>2049</v>
      </c>
      <c r="C172" s="111">
        <f>[25]С2.5!$AH$11</f>
        <v>0</v>
      </c>
    </row>
    <row r="173" spans="2:3" hidden="1">
      <c r="B173" s="110">
        <f t="shared" si="0"/>
        <v>2050</v>
      </c>
      <c r="C173" s="111">
        <f>[25]С2.5!$AI$11</f>
        <v>0</v>
      </c>
    </row>
    <row r="174" spans="2:3" hidden="1">
      <c r="B174" s="110">
        <f t="shared" si="0"/>
        <v>2051</v>
      </c>
      <c r="C174" s="111">
        <f>[25]С2.5!$AJ$11</f>
        <v>0</v>
      </c>
    </row>
    <row r="175" spans="2:3" hidden="1">
      <c r="B175" s="110">
        <f t="shared" si="0"/>
        <v>2052</v>
      </c>
      <c r="C175" s="111">
        <f>[25]С2.5!$AK$11</f>
        <v>0</v>
      </c>
    </row>
    <row r="176" spans="2:3" hidden="1">
      <c r="B176" s="110">
        <f t="shared" si="0"/>
        <v>2053</v>
      </c>
      <c r="C176" s="111">
        <f>[25]С2.5!$AL$11</f>
        <v>0</v>
      </c>
    </row>
    <row r="177" spans="2:3" hidden="1">
      <c r="B177" s="110">
        <f t="shared" si="0"/>
        <v>2054</v>
      </c>
      <c r="C177" s="111">
        <f>[25]С2.5!$AM$11</f>
        <v>0</v>
      </c>
    </row>
    <row r="178" spans="2:3" hidden="1">
      <c r="B178" s="110">
        <f t="shared" si="0"/>
        <v>2055</v>
      </c>
      <c r="C178" s="111">
        <f>[25]С2.5!$AN$11</f>
        <v>0</v>
      </c>
    </row>
    <row r="179" spans="2:3" hidden="1">
      <c r="B179" s="110">
        <f t="shared" si="0"/>
        <v>2056</v>
      </c>
      <c r="C179" s="111">
        <f>[25]С2.5!$AO$11</f>
        <v>0</v>
      </c>
    </row>
    <row r="180" spans="2:3" hidden="1">
      <c r="B180" s="110">
        <f t="shared" si="0"/>
        <v>2057</v>
      </c>
      <c r="C180" s="111">
        <f>[25]С2.5!$AP$11</f>
        <v>0</v>
      </c>
    </row>
    <row r="181" spans="2:3" hidden="1">
      <c r="B181" s="110">
        <f t="shared" si="0"/>
        <v>2058</v>
      </c>
      <c r="C181" s="111">
        <f>[25]С2.5!$AQ$11</f>
        <v>0</v>
      </c>
    </row>
    <row r="182" spans="2:3" hidden="1">
      <c r="B182" s="110">
        <f t="shared" si="0"/>
        <v>2059</v>
      </c>
      <c r="C182" s="111">
        <f>[25]С2.5!$AR$11</f>
        <v>0</v>
      </c>
    </row>
    <row r="183" spans="2:3" hidden="1">
      <c r="B183" s="110">
        <f t="shared" si="0"/>
        <v>2060</v>
      </c>
      <c r="C183" s="111">
        <f>[25]С2.5!$AS$11</f>
        <v>0</v>
      </c>
    </row>
    <row r="184" spans="2:3" hidden="1">
      <c r="B184" s="110">
        <f t="shared" si="0"/>
        <v>2061</v>
      </c>
      <c r="C184" s="111">
        <f>[25]С2.5!$AT$11</f>
        <v>0</v>
      </c>
    </row>
    <row r="185" spans="2:3" hidden="1">
      <c r="B185" s="110">
        <f t="shared" si="0"/>
        <v>2062</v>
      </c>
      <c r="C185" s="111">
        <f>[25]С2.5!$AU$11</f>
        <v>0</v>
      </c>
    </row>
    <row r="186" spans="2:3" hidden="1">
      <c r="B186" s="110">
        <f t="shared" si="0"/>
        <v>2063</v>
      </c>
      <c r="C186" s="111">
        <f>[25]С2.5!$AV$11</f>
        <v>0</v>
      </c>
    </row>
    <row r="187" spans="2:3" hidden="1">
      <c r="B187" s="110">
        <f t="shared" si="0"/>
        <v>2064</v>
      </c>
      <c r="C187" s="111">
        <f>[25]С2.5!$AW$11</f>
        <v>0</v>
      </c>
    </row>
    <row r="188" spans="2:3" hidden="1">
      <c r="B188" s="110">
        <f t="shared" si="0"/>
        <v>2065</v>
      </c>
      <c r="C188" s="111">
        <f>[25]С2.5!$AX$11</f>
        <v>0</v>
      </c>
    </row>
    <row r="189" spans="2:3" hidden="1">
      <c r="B189" s="110">
        <f t="shared" si="0"/>
        <v>2066</v>
      </c>
      <c r="C189" s="111">
        <f>[25]С2.5!$AY$11</f>
        <v>0</v>
      </c>
    </row>
    <row r="190" spans="2:3" hidden="1">
      <c r="B190" s="110">
        <f t="shared" si="0"/>
        <v>2067</v>
      </c>
      <c r="C190" s="111">
        <f>[25]С2.5!$AZ$11</f>
        <v>0</v>
      </c>
    </row>
    <row r="191" spans="2:3" hidden="1">
      <c r="B191" s="110">
        <f t="shared" si="0"/>
        <v>2068</v>
      </c>
      <c r="C191" s="111">
        <f>[25]С2.5!$BA$11</f>
        <v>0</v>
      </c>
    </row>
    <row r="192" spans="2:3" hidden="1">
      <c r="B192" s="110">
        <f t="shared" si="0"/>
        <v>2069</v>
      </c>
      <c r="C192" s="111">
        <f>[25]С2.5!$BB$11</f>
        <v>0</v>
      </c>
    </row>
    <row r="193" spans="2:3" hidden="1">
      <c r="B193" s="110">
        <f t="shared" si="0"/>
        <v>2070</v>
      </c>
      <c r="C193" s="111">
        <f>[25]С2.5!$BC$11</f>
        <v>0</v>
      </c>
    </row>
    <row r="194" spans="2:3" hidden="1">
      <c r="B194" s="110">
        <f t="shared" si="0"/>
        <v>2071</v>
      </c>
      <c r="C194" s="111">
        <f>[25]С2.5!$BD$11</f>
        <v>0</v>
      </c>
    </row>
    <row r="195" spans="2:3" hidden="1">
      <c r="B195" s="110">
        <f t="shared" si="0"/>
        <v>2072</v>
      </c>
      <c r="C195" s="111">
        <f>[25]С2.5!$BE$11</f>
        <v>0</v>
      </c>
    </row>
    <row r="196" spans="2:3" hidden="1">
      <c r="B196" s="110">
        <f t="shared" si="0"/>
        <v>2073</v>
      </c>
      <c r="C196" s="111">
        <f>[25]С2.5!$BF$11</f>
        <v>0</v>
      </c>
    </row>
    <row r="197" spans="2:3" hidden="1">
      <c r="B197" s="110">
        <f t="shared" si="0"/>
        <v>2074</v>
      </c>
      <c r="C197" s="111">
        <f>[25]С2.5!$BG$11</f>
        <v>0</v>
      </c>
    </row>
    <row r="198" spans="2:3" hidden="1">
      <c r="B198" s="110">
        <f t="shared" si="0"/>
        <v>2075</v>
      </c>
      <c r="C198" s="111">
        <f>[25]С2.5!$BH$11</f>
        <v>0</v>
      </c>
    </row>
    <row r="199" spans="2:3" hidden="1">
      <c r="B199" s="110">
        <f t="shared" si="0"/>
        <v>2076</v>
      </c>
      <c r="C199" s="111">
        <f>[25]С2.5!$BI$11</f>
        <v>0</v>
      </c>
    </row>
    <row r="200" spans="2:3" hidden="1">
      <c r="B200" s="110">
        <f t="shared" si="0"/>
        <v>2077</v>
      </c>
      <c r="C200" s="111">
        <f>[25]С2.5!$BJ$11</f>
        <v>0</v>
      </c>
    </row>
    <row r="201" spans="2:3" hidden="1">
      <c r="B201" s="110">
        <f t="shared" si="0"/>
        <v>2078</v>
      </c>
      <c r="C201" s="111">
        <f>[25]С2.5!$BK$11</f>
        <v>0</v>
      </c>
    </row>
    <row r="202" spans="2:3" hidden="1">
      <c r="B202" s="110">
        <f t="shared" si="0"/>
        <v>2079</v>
      </c>
      <c r="C202" s="111">
        <f>[25]С2.5!$BL$11</f>
        <v>0</v>
      </c>
    </row>
    <row r="203" spans="2:3" hidden="1">
      <c r="B203" s="110">
        <f t="shared" si="0"/>
        <v>2080</v>
      </c>
      <c r="C203" s="111">
        <f>[25]С2.5!$BM$11</f>
        <v>0</v>
      </c>
    </row>
    <row r="204" spans="2:3" hidden="1">
      <c r="B204" s="110">
        <f t="shared" si="0"/>
        <v>2081</v>
      </c>
      <c r="C204" s="111">
        <f>[25]С2.5!$BN$11</f>
        <v>0</v>
      </c>
    </row>
    <row r="205" spans="2:3" hidden="1">
      <c r="B205" s="110">
        <f t="shared" si="0"/>
        <v>2082</v>
      </c>
      <c r="C205" s="111">
        <f>[25]С2.5!$BO$11</f>
        <v>0</v>
      </c>
    </row>
    <row r="206" spans="2:3" hidden="1">
      <c r="B206" s="110">
        <f t="shared" si="0"/>
        <v>2083</v>
      </c>
      <c r="C206" s="111">
        <f>[25]С2.5!$BP$11</f>
        <v>0</v>
      </c>
    </row>
    <row r="207" spans="2:3" hidden="1">
      <c r="B207" s="110">
        <f t="shared" si="0"/>
        <v>2084</v>
      </c>
      <c r="C207" s="111">
        <f>[25]С2.5!$BQ$11</f>
        <v>0</v>
      </c>
    </row>
    <row r="208" spans="2:3" hidden="1">
      <c r="B208" s="110">
        <f t="shared" si="0"/>
        <v>2085</v>
      </c>
      <c r="C208" s="111">
        <f>[25]С2.5!$BR$11</f>
        <v>0</v>
      </c>
    </row>
    <row r="209" spans="2:3" hidden="1">
      <c r="B209" s="110">
        <f t="shared" ref="B209:B223" si="1">B208+1</f>
        <v>2086</v>
      </c>
      <c r="C209" s="111">
        <f>[25]С2.5!$BS$11</f>
        <v>0</v>
      </c>
    </row>
    <row r="210" spans="2:3" hidden="1">
      <c r="B210" s="110">
        <f t="shared" si="1"/>
        <v>2087</v>
      </c>
      <c r="C210" s="111">
        <f>[25]С2.5!$BT$11</f>
        <v>0</v>
      </c>
    </row>
    <row r="211" spans="2:3" hidden="1">
      <c r="B211" s="110">
        <f t="shared" si="1"/>
        <v>2088</v>
      </c>
      <c r="C211" s="111">
        <f>[25]С2.5!$BU$11</f>
        <v>0</v>
      </c>
    </row>
    <row r="212" spans="2:3" hidden="1">
      <c r="B212" s="110">
        <f t="shared" si="1"/>
        <v>2089</v>
      </c>
      <c r="C212" s="111">
        <f>[25]С2.5!$BV$11</f>
        <v>0</v>
      </c>
    </row>
    <row r="213" spans="2:3" hidden="1">
      <c r="B213" s="110">
        <f t="shared" si="1"/>
        <v>2090</v>
      </c>
      <c r="C213" s="111">
        <f>[25]С2.5!$BW$11</f>
        <v>0</v>
      </c>
    </row>
    <row r="214" spans="2:3" hidden="1">
      <c r="B214" s="110">
        <f t="shared" si="1"/>
        <v>2091</v>
      </c>
      <c r="C214" s="111">
        <f>[25]С2.5!$BX$11</f>
        <v>0</v>
      </c>
    </row>
    <row r="215" spans="2:3" hidden="1">
      <c r="B215" s="110">
        <f t="shared" si="1"/>
        <v>2092</v>
      </c>
      <c r="C215" s="111">
        <f>[25]С2.5!$BY$11</f>
        <v>0</v>
      </c>
    </row>
    <row r="216" spans="2:3" hidden="1">
      <c r="B216" s="110">
        <f t="shared" si="1"/>
        <v>2093</v>
      </c>
      <c r="C216" s="111">
        <f>[25]С2.5!$BZ$11</f>
        <v>0</v>
      </c>
    </row>
    <row r="217" spans="2:3" hidden="1">
      <c r="B217" s="110">
        <f t="shared" si="1"/>
        <v>2094</v>
      </c>
      <c r="C217" s="111">
        <f>[25]С2.5!$CA$11</f>
        <v>0</v>
      </c>
    </row>
    <row r="218" spans="2:3" hidden="1">
      <c r="B218" s="110">
        <f t="shared" si="1"/>
        <v>2095</v>
      </c>
      <c r="C218" s="111">
        <f>[25]С2.5!$CB$11</f>
        <v>0</v>
      </c>
    </row>
    <row r="219" spans="2:3" hidden="1">
      <c r="B219" s="110">
        <f t="shared" si="1"/>
        <v>2096</v>
      </c>
      <c r="C219" s="111">
        <f>[25]С2.5!$CC$11</f>
        <v>0</v>
      </c>
    </row>
    <row r="220" spans="2:3" hidden="1">
      <c r="B220" s="110">
        <f t="shared" si="1"/>
        <v>2097</v>
      </c>
      <c r="C220" s="111">
        <f>[25]С2.5!$CD$11</f>
        <v>0</v>
      </c>
    </row>
    <row r="221" spans="2:3" hidden="1">
      <c r="B221" s="110">
        <f t="shared" si="1"/>
        <v>2098</v>
      </c>
      <c r="C221" s="111">
        <f>[25]С2.5!$CE$11</f>
        <v>0</v>
      </c>
    </row>
    <row r="222" spans="2:3" hidden="1">
      <c r="B222" s="110">
        <f t="shared" si="1"/>
        <v>2099</v>
      </c>
      <c r="C222" s="111">
        <f>[25]С2.5!$CF$11</f>
        <v>0</v>
      </c>
    </row>
    <row r="223" spans="2:3" ht="13.5" hidden="1" thickBot="1">
      <c r="B223" s="112">
        <f t="shared" si="1"/>
        <v>2100</v>
      </c>
      <c r="C223" s="113">
        <f>[25]С2.5!$CG$11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Button 2">
              <controlPr defaultSize="0" print="0" autoFill="0" autoPict="0" macro="[2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1267" r:id="rId4" name="Button 3">
              <controlPr defaultSize="0" print="0" autoFill="0" autoPict="0" macro="[2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[27]И1!D13</f>
        <v>Субъект Российской Федерации</v>
      </c>
      <c r="C4" s="10" t="str">
        <f>[27]И1!E13</f>
        <v>Новосибирская область</v>
      </c>
    </row>
    <row r="5" spans="1:3" ht="46.9" customHeight="1">
      <c r="A5" s="8"/>
      <c r="B5" s="9" t="str">
        <f>[27]И1!D14</f>
        <v>Тип муниципального образования (выберите из списка)</v>
      </c>
      <c r="C5" s="10" t="str">
        <f>[27]И1!E14</f>
        <v>село Коурак, Тогучинский муниципальный район</v>
      </c>
    </row>
    <row r="6" spans="1:3">
      <c r="A6" s="8"/>
      <c r="B6" s="9" t="str">
        <f>IF([27]И1!E15="","",[27]И1!D15)</f>
        <v/>
      </c>
      <c r="C6" s="10" t="str">
        <f>IF([27]И1!E15="","",[27]И1!E15)</f>
        <v/>
      </c>
    </row>
    <row r="7" spans="1:3">
      <c r="A7" s="8"/>
      <c r="B7" s="9" t="str">
        <f>[27]И1!D16</f>
        <v>Код ОКТМО</v>
      </c>
      <c r="C7" s="11" t="str">
        <f>[27]И1!E16</f>
        <v>50652428101</v>
      </c>
    </row>
    <row r="8" spans="1:3">
      <c r="A8" s="8"/>
      <c r="B8" s="12" t="str">
        <f>[27]И1!D17</f>
        <v>Система теплоснабжения</v>
      </c>
      <c r="C8" s="13">
        <f>[27]И1!E17</f>
        <v>0</v>
      </c>
    </row>
    <row r="9" spans="1:3">
      <c r="A9" s="8"/>
      <c r="B9" s="9" t="str">
        <f>[27]И1!D8</f>
        <v>Период регулирования (i)-й</v>
      </c>
      <c r="C9" s="14">
        <f>[27]И1!E8</f>
        <v>2025</v>
      </c>
    </row>
    <row r="10" spans="1:3">
      <c r="A10" s="8"/>
      <c r="B10" s="9" t="str">
        <f>[27]И1!D9</f>
        <v>Период регулирования (i-1)-й</v>
      </c>
      <c r="C10" s="14">
        <f>[27]И1!E9</f>
        <v>2024</v>
      </c>
    </row>
    <row r="11" spans="1:3">
      <c r="A11" s="8"/>
      <c r="B11" s="9" t="str">
        <f>[27]И1!D10</f>
        <v>Период регулирования (i-2)-й</v>
      </c>
      <c r="C11" s="14">
        <f>[27]И1!E10</f>
        <v>2023</v>
      </c>
    </row>
    <row r="12" spans="1:3">
      <c r="A12" s="8"/>
      <c r="B12" s="9" t="str">
        <f>[27]И1!D11</f>
        <v>Базовый год (б)</v>
      </c>
      <c r="C12" s="14">
        <f>[27]И1!E11</f>
        <v>2019</v>
      </c>
    </row>
    <row r="13" spans="1:3" ht="38.25">
      <c r="A13" s="8"/>
      <c r="B13" s="9" t="str">
        <f>[27]И1!D18</f>
        <v>Вид топлива, использование которого преобладает в системе теплоснабжения</v>
      </c>
      <c r="C13" s="15" t="str">
        <f>[27]С1.1!E13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5384.0449123314302</v>
      </c>
    </row>
    <row r="18" spans="1:3" ht="42.75">
      <c r="A18" s="22" t="s">
        <v>8</v>
      </c>
      <c r="B18" s="25" t="s">
        <v>9</v>
      </c>
      <c r="C18" s="26">
        <f>[27]С1!F12</f>
        <v>795.80460480398301</v>
      </c>
    </row>
    <row r="19" spans="1:3" ht="42.75">
      <c r="A19" s="22" t="s">
        <v>10</v>
      </c>
      <c r="B19" s="25" t="s">
        <v>11</v>
      </c>
      <c r="C19" s="26">
        <f>[27]С2!F12</f>
        <v>3056.1591261705735</v>
      </c>
    </row>
    <row r="20" spans="1:3" ht="30">
      <c r="A20" s="22" t="s">
        <v>12</v>
      </c>
      <c r="B20" s="25" t="s">
        <v>13</v>
      </c>
      <c r="C20" s="26">
        <f>[27]С3!F12</f>
        <v>915.44743976410246</v>
      </c>
    </row>
    <row r="21" spans="1:3" ht="42.75">
      <c r="A21" s="22" t="s">
        <v>14</v>
      </c>
      <c r="B21" s="25" t="s">
        <v>15</v>
      </c>
      <c r="C21" s="26">
        <f>[27]С4!F12</f>
        <v>511.06423350784121</v>
      </c>
    </row>
    <row r="22" spans="1:3" ht="30">
      <c r="A22" s="22" t="s">
        <v>16</v>
      </c>
      <c r="B22" s="25" t="s">
        <v>17</v>
      </c>
      <c r="C22" s="26">
        <f>[27]С5!F12</f>
        <v>105.56950808493001</v>
      </c>
    </row>
    <row r="23" spans="1:3" ht="43.5" thickBot="1">
      <c r="A23" s="27" t="s">
        <v>18</v>
      </c>
      <c r="B23" s="140" t="s">
        <v>19</v>
      </c>
      <c r="C23" s="28" t="str">
        <f>[27]С6!F12</f>
        <v>-</v>
      </c>
    </row>
    <row r="24" spans="1:3" ht="13.5" thickBot="1">
      <c r="A24" s="3"/>
    </row>
    <row r="25" spans="1:3">
      <c r="A25" s="16" t="s">
        <v>4</v>
      </c>
      <c r="B25" s="29" t="s">
        <v>5</v>
      </c>
      <c r="C25" s="30" t="s">
        <v>6</v>
      </c>
    </row>
    <row r="26" spans="1:3">
      <c r="A26" s="19">
        <v>1</v>
      </c>
      <c r="B26" s="31">
        <v>2</v>
      </c>
      <c r="C26" s="32">
        <v>3</v>
      </c>
    </row>
    <row r="27" spans="1:3" ht="40.5" customHeight="1">
      <c r="A27" s="22">
        <v>1</v>
      </c>
      <c r="B27" s="145" t="s">
        <v>20</v>
      </c>
      <c r="C27" s="145"/>
    </row>
    <row r="28" spans="1:3">
      <c r="A28" s="22" t="s">
        <v>8</v>
      </c>
      <c r="B28" s="33" t="s">
        <v>21</v>
      </c>
      <c r="C28" s="34">
        <f>[27]С1.1!E16</f>
        <v>5100</v>
      </c>
    </row>
    <row r="29" spans="1:3" ht="42.75">
      <c r="A29" s="22" t="s">
        <v>10</v>
      </c>
      <c r="B29" s="33" t="s">
        <v>22</v>
      </c>
      <c r="C29" s="34">
        <f>[27]С1.1!E27</f>
        <v>2870.67</v>
      </c>
    </row>
    <row r="30" spans="1:3" ht="17.25">
      <c r="A30" s="22" t="s">
        <v>12</v>
      </c>
      <c r="B30" s="33" t="s">
        <v>23</v>
      </c>
      <c r="C30" s="35">
        <f>[27]С1.1!E19</f>
        <v>1.4E-2</v>
      </c>
    </row>
    <row r="31" spans="1:3" ht="17.25">
      <c r="A31" s="22" t="s">
        <v>14</v>
      </c>
      <c r="B31" s="33" t="s">
        <v>24</v>
      </c>
      <c r="C31" s="35">
        <f>[27]С1.1!E20</f>
        <v>0.04</v>
      </c>
    </row>
    <row r="32" spans="1:3" ht="30">
      <c r="A32" s="22" t="s">
        <v>16</v>
      </c>
      <c r="B32" s="36" t="s">
        <v>25</v>
      </c>
      <c r="C32" s="37">
        <f>[27]С1!F13</f>
        <v>176.4</v>
      </c>
    </row>
    <row r="33" spans="1:3">
      <c r="A33" s="22" t="s">
        <v>18</v>
      </c>
      <c r="B33" s="36" t="s">
        <v>26</v>
      </c>
      <c r="C33" s="38">
        <f>[27]С1!F16</f>
        <v>7000</v>
      </c>
    </row>
    <row r="34" spans="1:3" ht="14.25">
      <c r="A34" s="22" t="s">
        <v>27</v>
      </c>
      <c r="B34" s="39" t="s">
        <v>28</v>
      </c>
      <c r="C34" s="40">
        <f>[27]С1!F17</f>
        <v>0.72857142857142854</v>
      </c>
    </row>
    <row r="35" spans="1:3" ht="15.75">
      <c r="A35" s="41" t="s">
        <v>29</v>
      </c>
      <c r="B35" s="42" t="s">
        <v>30</v>
      </c>
      <c r="C35" s="40">
        <f>[27]С1!F20</f>
        <v>21.588411179999994</v>
      </c>
    </row>
    <row r="36" spans="1:3" ht="15.75">
      <c r="A36" s="41" t="s">
        <v>31</v>
      </c>
      <c r="B36" s="43" t="s">
        <v>32</v>
      </c>
      <c r="C36" s="40">
        <f>[27]С1!F21</f>
        <v>20.818139999999996</v>
      </c>
    </row>
    <row r="37" spans="1:3" ht="14.25">
      <c r="A37" s="41" t="s">
        <v>33</v>
      </c>
      <c r="B37" s="44" t="s">
        <v>34</v>
      </c>
      <c r="C37" s="40">
        <f>[27]С1!F22</f>
        <v>1.0369999999999999</v>
      </c>
    </row>
    <row r="38" spans="1:3" ht="53.25" thickBot="1">
      <c r="A38" s="27" t="s">
        <v>35</v>
      </c>
      <c r="B38" s="45" t="s">
        <v>36</v>
      </c>
      <c r="C38" s="46">
        <f>[27]С1!F23</f>
        <v>1.0469999999999999</v>
      </c>
    </row>
    <row r="39" spans="1:3" ht="13.5" thickBot="1">
      <c r="A39" s="47"/>
      <c r="B39" s="48"/>
      <c r="C39" s="49"/>
    </row>
    <row r="40" spans="1:3" ht="45" customHeight="1">
      <c r="A40" s="50" t="s">
        <v>37</v>
      </c>
      <c r="B40" s="146" t="s">
        <v>38</v>
      </c>
      <c r="C40" s="146"/>
    </row>
    <row r="41" spans="1:3" ht="25.5">
      <c r="A41" s="22" t="s">
        <v>39</v>
      </c>
      <c r="B41" s="36" t="s">
        <v>40</v>
      </c>
      <c r="C41" s="51" t="str">
        <f>[27]С2.1!E12</f>
        <v>V</v>
      </c>
    </row>
    <row r="42" spans="1:3" ht="25.5">
      <c r="A42" s="22" t="s">
        <v>41</v>
      </c>
      <c r="B42" s="33" t="s">
        <v>42</v>
      </c>
      <c r="C42" s="51" t="str">
        <f>[27]С2.1!E13</f>
        <v>6 и менее баллов</v>
      </c>
    </row>
    <row r="43" spans="1:3" ht="25.5">
      <c r="A43" s="22" t="s">
        <v>43</v>
      </c>
      <c r="B43" s="33" t="s">
        <v>44</v>
      </c>
      <c r="C43" s="51" t="str">
        <f>[27]С2.1!E14</f>
        <v>от 200 до 500</v>
      </c>
    </row>
    <row r="44" spans="1:3" ht="25.5">
      <c r="A44" s="22" t="s">
        <v>45</v>
      </c>
      <c r="B44" s="33" t="s">
        <v>46</v>
      </c>
      <c r="C44" s="52" t="str">
        <f>[27]С2.1!E15</f>
        <v>нет</v>
      </c>
    </row>
    <row r="45" spans="1:3" ht="30">
      <c r="A45" s="22" t="s">
        <v>47</v>
      </c>
      <c r="B45" s="33" t="s">
        <v>48</v>
      </c>
      <c r="C45" s="34">
        <f>[27]С2!F18</f>
        <v>38910.02669467502</v>
      </c>
    </row>
    <row r="46" spans="1:3" ht="30">
      <c r="A46" s="22" t="s">
        <v>49</v>
      </c>
      <c r="B46" s="53" t="s">
        <v>50</v>
      </c>
      <c r="C46" s="34">
        <f>IF([27]С2!F19&gt;0,[27]С2!F19,[27]С2!F20)</f>
        <v>23441.524932855718</v>
      </c>
    </row>
    <row r="47" spans="1:3" ht="25.5">
      <c r="A47" s="22" t="s">
        <v>51</v>
      </c>
      <c r="B47" s="54" t="s">
        <v>52</v>
      </c>
      <c r="C47" s="34">
        <f>[27]С2.1!E19</f>
        <v>-38</v>
      </c>
    </row>
    <row r="48" spans="1:3" ht="25.5">
      <c r="A48" s="22" t="s">
        <v>53</v>
      </c>
      <c r="B48" s="54" t="s">
        <v>54</v>
      </c>
      <c r="C48" s="34" t="str">
        <f>[27]С2.1!E22</f>
        <v>нет</v>
      </c>
    </row>
    <row r="49" spans="1:3" ht="38.25">
      <c r="A49" s="22" t="s">
        <v>55</v>
      </c>
      <c r="B49" s="55" t="s">
        <v>56</v>
      </c>
      <c r="C49" s="34">
        <f>[27]С2.2!E10</f>
        <v>1287</v>
      </c>
    </row>
    <row r="50" spans="1:3" ht="25.5">
      <c r="A50" s="22" t="s">
        <v>57</v>
      </c>
      <c r="B50" s="56" t="s">
        <v>58</v>
      </c>
      <c r="C50" s="34">
        <f>[27]С2.2!E12</f>
        <v>5.97</v>
      </c>
    </row>
    <row r="51" spans="1:3" ht="52.5">
      <c r="A51" s="22" t="s">
        <v>59</v>
      </c>
      <c r="B51" s="57" t="s">
        <v>60</v>
      </c>
      <c r="C51" s="34">
        <f>[27]С2.2!E13</f>
        <v>1</v>
      </c>
    </row>
    <row r="52" spans="1:3" ht="27.75">
      <c r="A52" s="22" t="s">
        <v>61</v>
      </c>
      <c r="B52" s="56" t="s">
        <v>62</v>
      </c>
      <c r="C52" s="34">
        <f>[27]С2.2!E14</f>
        <v>12104</v>
      </c>
    </row>
    <row r="53" spans="1:3" ht="25.5">
      <c r="A53" s="22" t="s">
        <v>63</v>
      </c>
      <c r="B53" s="57" t="s">
        <v>64</v>
      </c>
      <c r="C53" s="35">
        <f>[27]С2.2!E15</f>
        <v>4.8000000000000001E-2</v>
      </c>
    </row>
    <row r="54" spans="1:3">
      <c r="A54" s="22" t="s">
        <v>65</v>
      </c>
      <c r="B54" s="57" t="s">
        <v>66</v>
      </c>
      <c r="C54" s="34">
        <f>[27]С2.2!E16</f>
        <v>1</v>
      </c>
    </row>
    <row r="55" spans="1:3" ht="15.75">
      <c r="A55" s="22" t="s">
        <v>67</v>
      </c>
      <c r="B55" s="58" t="s">
        <v>68</v>
      </c>
      <c r="C55" s="34">
        <f>[27]С2!F21</f>
        <v>1</v>
      </c>
    </row>
    <row r="56" spans="1:3" ht="30">
      <c r="A56" s="59" t="s">
        <v>69</v>
      </c>
      <c r="B56" s="33" t="s">
        <v>70</v>
      </c>
      <c r="C56" s="34">
        <f>[27]С2!F13</f>
        <v>203708.97017230222</v>
      </c>
    </row>
    <row r="57" spans="1:3" ht="30">
      <c r="A57" s="59" t="s">
        <v>71</v>
      </c>
      <c r="B57" s="58" t="s">
        <v>72</v>
      </c>
      <c r="C57" s="34">
        <f>[27]С2!F14</f>
        <v>113455</v>
      </c>
    </row>
    <row r="58" spans="1:3" ht="15.75">
      <c r="A58" s="59" t="s">
        <v>73</v>
      </c>
      <c r="B58" s="60" t="s">
        <v>74</v>
      </c>
      <c r="C58" s="40">
        <f>[27]С2!F15</f>
        <v>1.071</v>
      </c>
    </row>
    <row r="59" spans="1:3" ht="15.75">
      <c r="A59" s="59" t="s">
        <v>75</v>
      </c>
      <c r="B59" s="60" t="s">
        <v>76</v>
      </c>
      <c r="C59" s="40">
        <f>[27]С2!F16</f>
        <v>1</v>
      </c>
    </row>
    <row r="60" spans="1:3" ht="17.25">
      <c r="A60" s="59" t="s">
        <v>77</v>
      </c>
      <c r="B60" s="58" t="s">
        <v>78</v>
      </c>
      <c r="C60" s="34">
        <f>[27]С2!F17</f>
        <v>1.01</v>
      </c>
    </row>
    <row r="61" spans="1:3" s="63" customFormat="1" ht="14.25">
      <c r="A61" s="59" t="s">
        <v>79</v>
      </c>
      <c r="B61" s="61" t="s">
        <v>80</v>
      </c>
      <c r="C61" s="62">
        <f>[27]С2!F33</f>
        <v>10</v>
      </c>
    </row>
    <row r="62" spans="1:3" ht="30">
      <c r="A62" s="59" t="s">
        <v>81</v>
      </c>
      <c r="B62" s="64" t="s">
        <v>82</v>
      </c>
      <c r="C62" s="34">
        <f>[27]С2!F26</f>
        <v>2416.4994928434235</v>
      </c>
    </row>
    <row r="63" spans="1:3" ht="17.25">
      <c r="A63" s="59" t="s">
        <v>83</v>
      </c>
      <c r="B63" s="53" t="s">
        <v>84</v>
      </c>
      <c r="C63" s="34">
        <f>[27]С2!F27</f>
        <v>0.34662649000000001</v>
      </c>
    </row>
    <row r="64" spans="1:3" ht="17.25">
      <c r="A64" s="59" t="s">
        <v>85</v>
      </c>
      <c r="B64" s="58" t="s">
        <v>86</v>
      </c>
      <c r="C64" s="62">
        <f>[27]С2!F28</f>
        <v>4200</v>
      </c>
    </row>
    <row r="65" spans="1:3" ht="42.75">
      <c r="A65" s="59" t="s">
        <v>87</v>
      </c>
      <c r="B65" s="33" t="s">
        <v>88</v>
      </c>
      <c r="C65" s="34">
        <f>[27]С2!F22</f>
        <v>42890.921752741691</v>
      </c>
    </row>
    <row r="66" spans="1:3" ht="30">
      <c r="A66" s="59" t="s">
        <v>89</v>
      </c>
      <c r="B66" s="60" t="s">
        <v>90</v>
      </c>
      <c r="C66" s="34">
        <f>[27]С2!F23</f>
        <v>1990</v>
      </c>
    </row>
    <row r="67" spans="1:3" ht="30">
      <c r="A67" s="59" t="s">
        <v>91</v>
      </c>
      <c r="B67" s="53" t="s">
        <v>92</v>
      </c>
      <c r="C67" s="34">
        <f>[27]С2.1!E27</f>
        <v>14307.876789999998</v>
      </c>
    </row>
    <row r="68" spans="1:3" ht="38.25">
      <c r="A68" s="59" t="s">
        <v>93</v>
      </c>
      <c r="B68" s="65" t="s">
        <v>94</v>
      </c>
      <c r="C68" s="52">
        <f>[27]С2.3!E21</f>
        <v>0</v>
      </c>
    </row>
    <row r="69" spans="1:3" ht="25.5">
      <c r="A69" s="59" t="s">
        <v>95</v>
      </c>
      <c r="B69" s="66" t="s">
        <v>96</v>
      </c>
      <c r="C69" s="67">
        <f>[27]С2.3!E11</f>
        <v>9.89</v>
      </c>
    </row>
    <row r="70" spans="1:3" ht="25.5">
      <c r="A70" s="59" t="s">
        <v>97</v>
      </c>
      <c r="B70" s="66" t="s">
        <v>98</v>
      </c>
      <c r="C70" s="62">
        <f>[27]С2.3!E13</f>
        <v>300</v>
      </c>
    </row>
    <row r="71" spans="1:3" ht="25.5">
      <c r="A71" s="59" t="s">
        <v>99</v>
      </c>
      <c r="B71" s="65" t="s">
        <v>100</v>
      </c>
      <c r="C71" s="68">
        <f>IF([27]С2.3!E22&gt;0,[27]С2.3!E22,[27]С2.3!E14)</f>
        <v>61211</v>
      </c>
    </row>
    <row r="72" spans="1:3" ht="38.25">
      <c r="A72" s="59" t="s">
        <v>101</v>
      </c>
      <c r="B72" s="65" t="s">
        <v>102</v>
      </c>
      <c r="C72" s="68">
        <f>IF([27]С2.3!E23&gt;0,[27]С2.3!E23,[27]С2.3!E15)</f>
        <v>45675</v>
      </c>
    </row>
    <row r="73" spans="1:3" ht="30">
      <c r="A73" s="59" t="s">
        <v>103</v>
      </c>
      <c r="B73" s="53" t="s">
        <v>104</v>
      </c>
      <c r="C73" s="34">
        <f>[27]С2.1!E28</f>
        <v>9541.9567200000001</v>
      </c>
    </row>
    <row r="74" spans="1:3" ht="38.25">
      <c r="A74" s="59" t="s">
        <v>105</v>
      </c>
      <c r="B74" s="65" t="s">
        <v>106</v>
      </c>
      <c r="C74" s="52">
        <f>[27]С2.3!E25</f>
        <v>0</v>
      </c>
    </row>
    <row r="75" spans="1:3" ht="25.5">
      <c r="A75" s="59" t="s">
        <v>107</v>
      </c>
      <c r="B75" s="66" t="s">
        <v>108</v>
      </c>
      <c r="C75" s="67">
        <f>[27]С2.3!E12</f>
        <v>0.56000000000000005</v>
      </c>
    </row>
    <row r="76" spans="1:3" ht="25.5">
      <c r="A76" s="59" t="s">
        <v>109</v>
      </c>
      <c r="B76" s="66" t="s">
        <v>98</v>
      </c>
      <c r="C76" s="62">
        <f>[27]С2.3!E13</f>
        <v>300</v>
      </c>
    </row>
    <row r="77" spans="1:3" ht="25.5">
      <c r="A77" s="59" t="s">
        <v>110</v>
      </c>
      <c r="B77" s="69" t="s">
        <v>111</v>
      </c>
      <c r="C77" s="68">
        <f>IF([27]С2.3!E26&gt;0,[27]С2.3!E26,[27]С2.3!E16)</f>
        <v>65637</v>
      </c>
    </row>
    <row r="78" spans="1:3" ht="38.25">
      <c r="A78" s="59" t="s">
        <v>112</v>
      </c>
      <c r="B78" s="69" t="s">
        <v>113</v>
      </c>
      <c r="C78" s="68">
        <f>IF([27]С2.3!E27&gt;0,[27]С2.3!E27,[27]С2.3!E17)</f>
        <v>31684</v>
      </c>
    </row>
    <row r="79" spans="1:3" ht="17.25">
      <c r="A79" s="59" t="s">
        <v>114</v>
      </c>
      <c r="B79" s="33" t="s">
        <v>115</v>
      </c>
      <c r="C79" s="35">
        <f>[27]С2!F29</f>
        <v>0.17804631770487722</v>
      </c>
    </row>
    <row r="80" spans="1:3" ht="30">
      <c r="A80" s="59" t="s">
        <v>116</v>
      </c>
      <c r="B80" s="53" t="s">
        <v>117</v>
      </c>
      <c r="C80" s="70">
        <f>[27]С2!F30</f>
        <v>0.1652189781021898</v>
      </c>
    </row>
    <row r="81" spans="1:3" ht="17.25">
      <c r="A81" s="59" t="s">
        <v>118</v>
      </c>
      <c r="B81" s="71" t="s">
        <v>119</v>
      </c>
      <c r="C81" s="35">
        <f>[27]С2!F31</f>
        <v>0.13880000000000001</v>
      </c>
    </row>
    <row r="82" spans="1:3" s="63" customFormat="1" ht="18" thickBot="1">
      <c r="A82" s="72" t="s">
        <v>120</v>
      </c>
      <c r="B82" s="73" t="s">
        <v>121</v>
      </c>
      <c r="C82" s="74">
        <f>[27]С2!F32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[27]С3!F14</f>
        <v>14863.184658749575</v>
      </c>
    </row>
    <row r="86" spans="1:3" s="63" customFormat="1" ht="42.75">
      <c r="A86" s="77" t="s">
        <v>126</v>
      </c>
      <c r="B86" s="53" t="s">
        <v>127</v>
      </c>
      <c r="C86" s="78">
        <f>[27]С3!F15</f>
        <v>0.25</v>
      </c>
    </row>
    <row r="87" spans="1:3" s="63" customFormat="1" ht="14.25">
      <c r="A87" s="77" t="s">
        <v>128</v>
      </c>
      <c r="B87" s="79" t="s">
        <v>129</v>
      </c>
      <c r="C87" s="62">
        <f>[27]С3!F18</f>
        <v>15</v>
      </c>
    </row>
    <row r="88" spans="1:3" s="63" customFormat="1" ht="17.25">
      <c r="A88" s="77" t="s">
        <v>130</v>
      </c>
      <c r="B88" s="33" t="s">
        <v>131</v>
      </c>
      <c r="C88" s="34">
        <f>[27]С3!F19</f>
        <v>4187.478806422544</v>
      </c>
    </row>
    <row r="89" spans="1:3" s="63" customFormat="1" ht="55.5">
      <c r="A89" s="77" t="s">
        <v>132</v>
      </c>
      <c r="B89" s="53" t="s">
        <v>133</v>
      </c>
      <c r="C89" s="80">
        <f>[27]С3!F20</f>
        <v>2.1999999999999999E-2</v>
      </c>
    </row>
    <row r="90" spans="1:3" s="63" customFormat="1" ht="14.25">
      <c r="A90" s="77" t="s">
        <v>134</v>
      </c>
      <c r="B90" s="58" t="s">
        <v>80</v>
      </c>
      <c r="C90" s="62">
        <f>[27]С3!F21</f>
        <v>10</v>
      </c>
    </row>
    <row r="91" spans="1:3" s="63" customFormat="1" ht="17.25">
      <c r="A91" s="77" t="s">
        <v>135</v>
      </c>
      <c r="B91" s="33" t="s">
        <v>136</v>
      </c>
      <c r="C91" s="34">
        <f>[27]С3!F22</f>
        <v>7.2494984785302705</v>
      </c>
    </row>
    <row r="92" spans="1:3" s="63" customFormat="1" ht="55.5">
      <c r="A92" s="77" t="s">
        <v>137</v>
      </c>
      <c r="B92" s="53" t="s">
        <v>138</v>
      </c>
      <c r="C92" s="80">
        <f>[27]С3!F23</f>
        <v>3.0000000000000001E-3</v>
      </c>
    </row>
    <row r="93" spans="1:3" s="63" customFormat="1" ht="27.75" thickBot="1">
      <c r="A93" s="81" t="s">
        <v>139</v>
      </c>
      <c r="B93" s="82" t="s">
        <v>140</v>
      </c>
      <c r="C93" s="83">
        <f>[27]С3!F24</f>
        <v>2416.4994928434235</v>
      </c>
    </row>
    <row r="94" spans="1:3" ht="13.5" thickBot="1">
      <c r="A94" s="47"/>
      <c r="B94" s="75"/>
      <c r="C94" s="15"/>
    </row>
    <row r="95" spans="1:3" ht="39.75" customHeight="1">
      <c r="A95" s="84" t="s">
        <v>141</v>
      </c>
      <c r="B95" s="146" t="s">
        <v>142</v>
      </c>
      <c r="C95" s="146"/>
    </row>
    <row r="96" spans="1:3" ht="30">
      <c r="A96" s="59" t="s">
        <v>143</v>
      </c>
      <c r="B96" s="33" t="s">
        <v>144</v>
      </c>
      <c r="C96" s="34">
        <f>[27]С4!F16</f>
        <v>1652.5</v>
      </c>
    </row>
    <row r="97" spans="1:3" ht="30">
      <c r="A97" s="59" t="s">
        <v>145</v>
      </c>
      <c r="B97" s="58" t="s">
        <v>146</v>
      </c>
      <c r="C97" s="34">
        <f>[27]С4!F17</f>
        <v>73547</v>
      </c>
    </row>
    <row r="98" spans="1:3" ht="17.25">
      <c r="A98" s="59" t="s">
        <v>147</v>
      </c>
      <c r="B98" s="58" t="s">
        <v>148</v>
      </c>
      <c r="C98" s="40">
        <f>[27]С4!F18</f>
        <v>0.02</v>
      </c>
    </row>
    <row r="99" spans="1:3" ht="30">
      <c r="A99" s="59" t="s">
        <v>149</v>
      </c>
      <c r="B99" s="58" t="s">
        <v>150</v>
      </c>
      <c r="C99" s="34">
        <f>[27]С4!F19</f>
        <v>12104</v>
      </c>
    </row>
    <row r="100" spans="1:3" ht="31.5">
      <c r="A100" s="59" t="s">
        <v>151</v>
      </c>
      <c r="B100" s="58" t="s">
        <v>152</v>
      </c>
      <c r="C100" s="40">
        <f>[27]С4!F20</f>
        <v>1.4999999999999999E-2</v>
      </c>
    </row>
    <row r="101" spans="1:3" ht="30">
      <c r="A101" s="59" t="s">
        <v>153</v>
      </c>
      <c r="B101" s="33" t="s">
        <v>154</v>
      </c>
      <c r="C101" s="34">
        <f>[27]С4!F21</f>
        <v>1933.1949342509995</v>
      </c>
    </row>
    <row r="102" spans="1:3" ht="24" customHeight="1">
      <c r="A102" s="59" t="s">
        <v>155</v>
      </c>
      <c r="B102" s="53" t="s">
        <v>156</v>
      </c>
      <c r="C102" s="85">
        <f>IF([27]С4.2!F8="да",[27]С4.2!D21,[27]С4.2!D15)</f>
        <v>0</v>
      </c>
    </row>
    <row r="103" spans="1:3" ht="68.25">
      <c r="A103" s="59" t="s">
        <v>157</v>
      </c>
      <c r="B103" s="53" t="s">
        <v>158</v>
      </c>
      <c r="C103" s="34">
        <f>[27]С4!F22</f>
        <v>3.6112641666666665</v>
      </c>
    </row>
    <row r="104" spans="1:3" ht="30">
      <c r="A104" s="59" t="s">
        <v>159</v>
      </c>
      <c r="B104" s="58" t="s">
        <v>160</v>
      </c>
      <c r="C104" s="34">
        <f>[27]С4!F23</f>
        <v>180</v>
      </c>
    </row>
    <row r="105" spans="1:3" ht="14.25">
      <c r="A105" s="59" t="s">
        <v>161</v>
      </c>
      <c r="B105" s="53" t="s">
        <v>162</v>
      </c>
      <c r="C105" s="34">
        <f>[27]С4!F24</f>
        <v>8497.1999999999989</v>
      </c>
    </row>
    <row r="106" spans="1:3" ht="14.25">
      <c r="A106" s="59" t="s">
        <v>163</v>
      </c>
      <c r="B106" s="58" t="s">
        <v>164</v>
      </c>
      <c r="C106" s="40">
        <f>[27]С4!F25</f>
        <v>0.35</v>
      </c>
    </row>
    <row r="107" spans="1:3" ht="17.25">
      <c r="A107" s="59" t="s">
        <v>165</v>
      </c>
      <c r="B107" s="33" t="s">
        <v>166</v>
      </c>
      <c r="C107" s="34">
        <f>[27]С4!F26</f>
        <v>97.693860000000001</v>
      </c>
    </row>
    <row r="108" spans="1:3" ht="25.5">
      <c r="A108" s="59" t="s">
        <v>167</v>
      </c>
      <c r="B108" s="53" t="s">
        <v>94</v>
      </c>
      <c r="C108" s="85">
        <f>[27]С4.3!E16</f>
        <v>0</v>
      </c>
    </row>
    <row r="109" spans="1:3" ht="25.5">
      <c r="A109" s="59" t="s">
        <v>168</v>
      </c>
      <c r="B109" s="53" t="s">
        <v>169</v>
      </c>
      <c r="C109" s="34">
        <f>[27]С4.3!E17</f>
        <v>26.58</v>
      </c>
    </row>
    <row r="110" spans="1:3" ht="38.25">
      <c r="A110" s="59" t="s">
        <v>170</v>
      </c>
      <c r="B110" s="53" t="s">
        <v>106</v>
      </c>
      <c r="C110" s="85">
        <f>[27]С4.3!E18</f>
        <v>0</v>
      </c>
    </row>
    <row r="111" spans="1:3">
      <c r="A111" s="59" t="s">
        <v>171</v>
      </c>
      <c r="B111" s="53" t="s">
        <v>172</v>
      </c>
      <c r="C111" s="34">
        <f>[27]С4.3!E19</f>
        <v>21.95</v>
      </c>
    </row>
    <row r="112" spans="1:3">
      <c r="A112" s="59" t="s">
        <v>173</v>
      </c>
      <c r="B112" s="58" t="s">
        <v>174</v>
      </c>
      <c r="C112" s="34">
        <f>[27]С4.3!E11</f>
        <v>1871</v>
      </c>
    </row>
    <row r="113" spans="1:3">
      <c r="A113" s="59" t="s">
        <v>175</v>
      </c>
      <c r="B113" s="58" t="s">
        <v>176</v>
      </c>
      <c r="C113" s="52">
        <f>[27]С4.3!E12</f>
        <v>1636</v>
      </c>
    </row>
    <row r="114" spans="1:3">
      <c r="A114" s="59" t="s">
        <v>177</v>
      </c>
      <c r="B114" s="58" t="s">
        <v>178</v>
      </c>
      <c r="C114" s="52">
        <f>[27]С4.3!E13</f>
        <v>204</v>
      </c>
    </row>
    <row r="115" spans="1:3" ht="30">
      <c r="A115" s="59" t="s">
        <v>179</v>
      </c>
      <c r="B115" s="33" t="s">
        <v>180</v>
      </c>
      <c r="C115" s="34">
        <f>[27]С4!F27</f>
        <v>1291.2863994686898</v>
      </c>
    </row>
    <row r="116" spans="1:3" ht="25.5">
      <c r="A116" s="59" t="s">
        <v>181</v>
      </c>
      <c r="B116" s="53" t="s">
        <v>182</v>
      </c>
      <c r="C116" s="34">
        <f>[27]С4!F28</f>
        <v>991.77142816335618</v>
      </c>
    </row>
    <row r="117" spans="1:3" ht="42.75">
      <c r="A117" s="59" t="s">
        <v>183</v>
      </c>
      <c r="B117" s="53" t="s">
        <v>184</v>
      </c>
      <c r="C117" s="34">
        <f>[27]С4!F29</f>
        <v>299.51497130533357</v>
      </c>
    </row>
    <row r="118" spans="1:3" ht="30">
      <c r="A118" s="59" t="s">
        <v>185</v>
      </c>
      <c r="B118" s="39" t="s">
        <v>186</v>
      </c>
      <c r="C118" s="34">
        <f>[27]С4!F30</f>
        <v>2382.0623641556317</v>
      </c>
    </row>
    <row r="119" spans="1:3" ht="42.75">
      <c r="A119" s="59" t="s">
        <v>187</v>
      </c>
      <c r="B119" s="86" t="s">
        <v>188</v>
      </c>
      <c r="C119" s="34">
        <f>[27]С4!F33</f>
        <v>1176.7426982817792</v>
      </c>
    </row>
    <row r="120" spans="1:3" ht="30">
      <c r="A120" s="59" t="s">
        <v>189</v>
      </c>
      <c r="B120" s="87" t="s">
        <v>190</v>
      </c>
      <c r="C120" s="34">
        <f>[27]С4!F35</f>
        <v>17.040680999999999</v>
      </c>
    </row>
    <row r="121" spans="1:3" ht="14.25">
      <c r="A121" s="59" t="s">
        <v>191</v>
      </c>
      <c r="B121" s="56" t="s">
        <v>192</v>
      </c>
      <c r="C121" s="34">
        <f>[27]С4!F36</f>
        <v>14319.9</v>
      </c>
    </row>
    <row r="122" spans="1:3" ht="28.5" thickBot="1">
      <c r="A122" s="72" t="s">
        <v>193</v>
      </c>
      <c r="B122" s="88" t="s">
        <v>194</v>
      </c>
      <c r="C122" s="83">
        <f>[27]С4!F37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[27]С5!F17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[27]С2!F37</f>
        <v>20.818139999999996</v>
      </c>
    </row>
    <row r="136" spans="1:4" ht="14.25">
      <c r="A136" s="59" t="s">
        <v>216</v>
      </c>
      <c r="B136" s="101" t="s">
        <v>217</v>
      </c>
      <c r="C136" s="34">
        <f>[27]С2!F38</f>
        <v>7</v>
      </c>
    </row>
    <row r="137" spans="1:4" ht="17.25">
      <c r="A137" s="59" t="s">
        <v>218</v>
      </c>
      <c r="B137" s="101" t="s">
        <v>219</v>
      </c>
      <c r="C137" s="34">
        <f>[27]С2!F40</f>
        <v>0.97</v>
      </c>
    </row>
    <row r="138" spans="1:4" ht="15" thickBot="1">
      <c r="A138" s="72" t="s">
        <v>220</v>
      </c>
      <c r="B138" s="102" t="s">
        <v>221</v>
      </c>
      <c r="C138" s="46">
        <f>[27]С2!F42</f>
        <v>0.35</v>
      </c>
    </row>
    <row r="139" spans="1:4" s="89" customFormat="1" ht="13.5" thickBot="1">
      <c r="A139" s="47"/>
      <c r="B139" s="75"/>
      <c r="C139" s="15"/>
    </row>
    <row r="140" spans="1:4" ht="30">
      <c r="A140" s="84" t="s">
        <v>222</v>
      </c>
      <c r="B140" s="103" t="s">
        <v>223</v>
      </c>
      <c r="C140" s="104">
        <f>[27]С2!F35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[27]С2.5!$E$11</f>
        <v>-2.9000000000000026E-2</v>
      </c>
      <c r="D143" s="89"/>
    </row>
    <row r="144" spans="1:4">
      <c r="A144" s="105"/>
      <c r="B144" s="110">
        <f>B143+1</f>
        <v>2021</v>
      </c>
      <c r="C144" s="111">
        <f>[27]С2.5!$F$11</f>
        <v>0.245</v>
      </c>
      <c r="D144" s="89"/>
    </row>
    <row r="145" spans="1:4">
      <c r="A145" s="105"/>
      <c r="B145" s="110">
        <f t="shared" ref="B145:B208" si="0">B144+1</f>
        <v>2022</v>
      </c>
      <c r="C145" s="111">
        <f>[27]С2.5!$G$11</f>
        <v>0.114</v>
      </c>
      <c r="D145" s="89"/>
    </row>
    <row r="146" spans="1:4" ht="13.5" thickBot="1">
      <c r="A146" s="105"/>
      <c r="B146" s="112">
        <f t="shared" si="0"/>
        <v>2023</v>
      </c>
      <c r="C146" s="113">
        <f>[27]С2.5!$H$11</f>
        <v>0.04</v>
      </c>
      <c r="D146" s="89"/>
    </row>
    <row r="147" spans="1:4">
      <c r="A147" s="105"/>
      <c r="B147" s="114">
        <f t="shared" si="0"/>
        <v>2024</v>
      </c>
      <c r="C147" s="115">
        <f>[27]С2.5!$I$11</f>
        <v>0.11700000000000001</v>
      </c>
      <c r="D147" s="89"/>
    </row>
    <row r="148" spans="1:4">
      <c r="A148" s="105"/>
      <c r="B148" s="110">
        <f t="shared" si="0"/>
        <v>2025</v>
      </c>
      <c r="C148" s="111">
        <f>[27]С2.5!$J$11</f>
        <v>6.0999999999999999E-2</v>
      </c>
      <c r="D148" s="89"/>
    </row>
    <row r="149" spans="1:4" hidden="1">
      <c r="A149" s="105"/>
      <c r="B149" s="110">
        <f t="shared" si="0"/>
        <v>2026</v>
      </c>
      <c r="C149" s="111">
        <f>[27]С2.5!$K$11</f>
        <v>3.5813361771260002E-2</v>
      </c>
      <c r="D149" s="89"/>
    </row>
    <row r="150" spans="1:4" hidden="1">
      <c r="A150" s="105"/>
      <c r="B150" s="110">
        <f t="shared" si="0"/>
        <v>2027</v>
      </c>
      <c r="C150" s="111">
        <f>[27]С2.5!$L$11</f>
        <v>3.2682303599220003E-2</v>
      </c>
      <c r="D150" s="89"/>
    </row>
    <row r="151" spans="1:4" hidden="1">
      <c r="A151" s="105"/>
      <c r="B151" s="110">
        <f t="shared" si="0"/>
        <v>2028</v>
      </c>
      <c r="C151" s="111">
        <f>[27]С2.5!$M$11</f>
        <v>0</v>
      </c>
      <c r="D151" s="89"/>
    </row>
    <row r="152" spans="1:4" hidden="1">
      <c r="A152" s="105"/>
      <c r="B152" s="110">
        <f t="shared" si="0"/>
        <v>2029</v>
      </c>
      <c r="C152" s="111">
        <f>[27]С2.5!$N$11</f>
        <v>0</v>
      </c>
      <c r="D152" s="89"/>
    </row>
    <row r="153" spans="1:4" hidden="1">
      <c r="A153" s="105"/>
      <c r="B153" s="110">
        <f t="shared" si="0"/>
        <v>2030</v>
      </c>
      <c r="C153" s="111">
        <f>[27]С2.5!$O$11</f>
        <v>0</v>
      </c>
      <c r="D153" s="89"/>
    </row>
    <row r="154" spans="1:4" hidden="1">
      <c r="A154" s="105"/>
      <c r="B154" s="110">
        <f t="shared" si="0"/>
        <v>2031</v>
      </c>
      <c r="C154" s="111">
        <f>[27]С2.5!$P$11</f>
        <v>0</v>
      </c>
      <c r="D154" s="89"/>
    </row>
    <row r="155" spans="1:4" hidden="1">
      <c r="A155" s="89"/>
      <c r="B155" s="110">
        <f t="shared" si="0"/>
        <v>2032</v>
      </c>
      <c r="C155" s="111">
        <f>[27]С2.5!$Q$11</f>
        <v>0</v>
      </c>
      <c r="D155" s="89"/>
    </row>
    <row r="156" spans="1:4" hidden="1">
      <c r="A156" s="89"/>
      <c r="B156" s="110">
        <f t="shared" si="0"/>
        <v>2033</v>
      </c>
      <c r="C156" s="111">
        <f>[27]С2.5!$R$11</f>
        <v>0</v>
      </c>
      <c r="D156" s="89"/>
    </row>
    <row r="157" spans="1:4" hidden="1">
      <c r="B157" s="110">
        <f t="shared" si="0"/>
        <v>2034</v>
      </c>
      <c r="C157" s="111">
        <f>[27]С2.5!$S$11</f>
        <v>0</v>
      </c>
    </row>
    <row r="158" spans="1:4" hidden="1">
      <c r="B158" s="110">
        <f t="shared" si="0"/>
        <v>2035</v>
      </c>
      <c r="C158" s="111">
        <f>[27]С2.5!$T$11</f>
        <v>0</v>
      </c>
    </row>
    <row r="159" spans="1:4" hidden="1">
      <c r="B159" s="110">
        <f t="shared" si="0"/>
        <v>2036</v>
      </c>
      <c r="C159" s="111">
        <f>[27]С2.5!$U$11</f>
        <v>0</v>
      </c>
    </row>
    <row r="160" spans="1:4" hidden="1">
      <c r="B160" s="110">
        <f t="shared" si="0"/>
        <v>2037</v>
      </c>
      <c r="C160" s="111">
        <f>[27]С2.5!$V$11</f>
        <v>0</v>
      </c>
    </row>
    <row r="161" spans="2:3" hidden="1">
      <c r="B161" s="110">
        <f t="shared" si="0"/>
        <v>2038</v>
      </c>
      <c r="C161" s="111">
        <f>[27]С2.5!$W$11</f>
        <v>0</v>
      </c>
    </row>
    <row r="162" spans="2:3" hidden="1">
      <c r="B162" s="110">
        <f t="shared" si="0"/>
        <v>2039</v>
      </c>
      <c r="C162" s="111">
        <f>[27]С2.5!$X$11</f>
        <v>0</v>
      </c>
    </row>
    <row r="163" spans="2:3" hidden="1">
      <c r="B163" s="110">
        <f t="shared" si="0"/>
        <v>2040</v>
      </c>
      <c r="C163" s="111">
        <f>[27]С2.5!$Y$11</f>
        <v>0</v>
      </c>
    </row>
    <row r="164" spans="2:3" hidden="1">
      <c r="B164" s="110">
        <f t="shared" si="0"/>
        <v>2041</v>
      </c>
      <c r="C164" s="111">
        <f>[27]С2.5!$Z$11</f>
        <v>0</v>
      </c>
    </row>
    <row r="165" spans="2:3" hidden="1">
      <c r="B165" s="110">
        <f t="shared" si="0"/>
        <v>2042</v>
      </c>
      <c r="C165" s="111">
        <f>[27]С2.5!$AA$11</f>
        <v>0</v>
      </c>
    </row>
    <row r="166" spans="2:3" hidden="1">
      <c r="B166" s="110">
        <f t="shared" si="0"/>
        <v>2043</v>
      </c>
      <c r="C166" s="111">
        <f>[27]С2.5!$AB$11</f>
        <v>0</v>
      </c>
    </row>
    <row r="167" spans="2:3" hidden="1">
      <c r="B167" s="110">
        <f t="shared" si="0"/>
        <v>2044</v>
      </c>
      <c r="C167" s="111">
        <f>[27]С2.5!$AC$11</f>
        <v>0</v>
      </c>
    </row>
    <row r="168" spans="2:3" hidden="1">
      <c r="B168" s="110">
        <f t="shared" si="0"/>
        <v>2045</v>
      </c>
      <c r="C168" s="111">
        <f>[27]С2.5!$AD$11</f>
        <v>0</v>
      </c>
    </row>
    <row r="169" spans="2:3" hidden="1">
      <c r="B169" s="110">
        <f t="shared" si="0"/>
        <v>2046</v>
      </c>
      <c r="C169" s="111">
        <f>[27]С2.5!$AE$11</f>
        <v>0</v>
      </c>
    </row>
    <row r="170" spans="2:3" hidden="1">
      <c r="B170" s="110">
        <f t="shared" si="0"/>
        <v>2047</v>
      </c>
      <c r="C170" s="111">
        <f>[27]С2.5!$AF$11</f>
        <v>0</v>
      </c>
    </row>
    <row r="171" spans="2:3" hidden="1">
      <c r="B171" s="110">
        <f t="shared" si="0"/>
        <v>2048</v>
      </c>
      <c r="C171" s="111">
        <f>[27]С2.5!$AG$11</f>
        <v>0</v>
      </c>
    </row>
    <row r="172" spans="2:3" hidden="1">
      <c r="B172" s="110">
        <f t="shared" si="0"/>
        <v>2049</v>
      </c>
      <c r="C172" s="111">
        <f>[27]С2.5!$AH$11</f>
        <v>0</v>
      </c>
    </row>
    <row r="173" spans="2:3" hidden="1">
      <c r="B173" s="110">
        <f t="shared" si="0"/>
        <v>2050</v>
      </c>
      <c r="C173" s="111">
        <f>[27]С2.5!$AI$11</f>
        <v>0</v>
      </c>
    </row>
    <row r="174" spans="2:3" hidden="1">
      <c r="B174" s="110">
        <f t="shared" si="0"/>
        <v>2051</v>
      </c>
      <c r="C174" s="111">
        <f>[27]С2.5!$AJ$11</f>
        <v>0</v>
      </c>
    </row>
    <row r="175" spans="2:3" hidden="1">
      <c r="B175" s="110">
        <f t="shared" si="0"/>
        <v>2052</v>
      </c>
      <c r="C175" s="111">
        <f>[27]С2.5!$AK$11</f>
        <v>0</v>
      </c>
    </row>
    <row r="176" spans="2:3" hidden="1">
      <c r="B176" s="110">
        <f t="shared" si="0"/>
        <v>2053</v>
      </c>
      <c r="C176" s="111">
        <f>[27]С2.5!$AL$11</f>
        <v>0</v>
      </c>
    </row>
    <row r="177" spans="2:3" hidden="1">
      <c r="B177" s="110">
        <f t="shared" si="0"/>
        <v>2054</v>
      </c>
      <c r="C177" s="111">
        <f>[27]С2.5!$AM$11</f>
        <v>0</v>
      </c>
    </row>
    <row r="178" spans="2:3" hidden="1">
      <c r="B178" s="110">
        <f t="shared" si="0"/>
        <v>2055</v>
      </c>
      <c r="C178" s="111">
        <f>[27]С2.5!$AN$11</f>
        <v>0</v>
      </c>
    </row>
    <row r="179" spans="2:3" hidden="1">
      <c r="B179" s="110">
        <f t="shared" si="0"/>
        <v>2056</v>
      </c>
      <c r="C179" s="111">
        <f>[27]С2.5!$AO$11</f>
        <v>0</v>
      </c>
    </row>
    <row r="180" spans="2:3" hidden="1">
      <c r="B180" s="110">
        <f t="shared" si="0"/>
        <v>2057</v>
      </c>
      <c r="C180" s="111">
        <f>[27]С2.5!$AP$11</f>
        <v>0</v>
      </c>
    </row>
    <row r="181" spans="2:3" hidden="1">
      <c r="B181" s="110">
        <f t="shared" si="0"/>
        <v>2058</v>
      </c>
      <c r="C181" s="111">
        <f>[27]С2.5!$AQ$11</f>
        <v>0</v>
      </c>
    </row>
    <row r="182" spans="2:3" hidden="1">
      <c r="B182" s="110">
        <f t="shared" si="0"/>
        <v>2059</v>
      </c>
      <c r="C182" s="111">
        <f>[27]С2.5!$AR$11</f>
        <v>0</v>
      </c>
    </row>
    <row r="183" spans="2:3" hidden="1">
      <c r="B183" s="110">
        <f t="shared" si="0"/>
        <v>2060</v>
      </c>
      <c r="C183" s="111">
        <f>[27]С2.5!$AS$11</f>
        <v>0</v>
      </c>
    </row>
    <row r="184" spans="2:3" hidden="1">
      <c r="B184" s="110">
        <f t="shared" si="0"/>
        <v>2061</v>
      </c>
      <c r="C184" s="111">
        <f>[27]С2.5!$AT$11</f>
        <v>0</v>
      </c>
    </row>
    <row r="185" spans="2:3" hidden="1">
      <c r="B185" s="110">
        <f t="shared" si="0"/>
        <v>2062</v>
      </c>
      <c r="C185" s="111">
        <f>[27]С2.5!$AU$11</f>
        <v>0</v>
      </c>
    </row>
    <row r="186" spans="2:3" hidden="1">
      <c r="B186" s="110">
        <f t="shared" si="0"/>
        <v>2063</v>
      </c>
      <c r="C186" s="111">
        <f>[27]С2.5!$AV$11</f>
        <v>0</v>
      </c>
    </row>
    <row r="187" spans="2:3" hidden="1">
      <c r="B187" s="110">
        <f t="shared" si="0"/>
        <v>2064</v>
      </c>
      <c r="C187" s="111">
        <f>[27]С2.5!$AW$11</f>
        <v>0</v>
      </c>
    </row>
    <row r="188" spans="2:3" hidden="1">
      <c r="B188" s="110">
        <f t="shared" si="0"/>
        <v>2065</v>
      </c>
      <c r="C188" s="111">
        <f>[27]С2.5!$AX$11</f>
        <v>0</v>
      </c>
    </row>
    <row r="189" spans="2:3" hidden="1">
      <c r="B189" s="110">
        <f t="shared" si="0"/>
        <v>2066</v>
      </c>
      <c r="C189" s="111">
        <f>[27]С2.5!$AY$11</f>
        <v>0</v>
      </c>
    </row>
    <row r="190" spans="2:3" hidden="1">
      <c r="B190" s="110">
        <f t="shared" si="0"/>
        <v>2067</v>
      </c>
      <c r="C190" s="111">
        <f>[27]С2.5!$AZ$11</f>
        <v>0</v>
      </c>
    </row>
    <row r="191" spans="2:3" hidden="1">
      <c r="B191" s="110">
        <f t="shared" si="0"/>
        <v>2068</v>
      </c>
      <c r="C191" s="111">
        <f>[27]С2.5!$BA$11</f>
        <v>0</v>
      </c>
    </row>
    <row r="192" spans="2:3" hidden="1">
      <c r="B192" s="110">
        <f t="shared" si="0"/>
        <v>2069</v>
      </c>
      <c r="C192" s="111">
        <f>[27]С2.5!$BB$11</f>
        <v>0</v>
      </c>
    </row>
    <row r="193" spans="2:3" hidden="1">
      <c r="B193" s="110">
        <f t="shared" si="0"/>
        <v>2070</v>
      </c>
      <c r="C193" s="111">
        <f>[27]С2.5!$BC$11</f>
        <v>0</v>
      </c>
    </row>
    <row r="194" spans="2:3" hidden="1">
      <c r="B194" s="110">
        <f t="shared" si="0"/>
        <v>2071</v>
      </c>
      <c r="C194" s="111">
        <f>[27]С2.5!$BD$11</f>
        <v>0</v>
      </c>
    </row>
    <row r="195" spans="2:3" hidden="1">
      <c r="B195" s="110">
        <f t="shared" si="0"/>
        <v>2072</v>
      </c>
      <c r="C195" s="111">
        <f>[27]С2.5!$BE$11</f>
        <v>0</v>
      </c>
    </row>
    <row r="196" spans="2:3" hidden="1">
      <c r="B196" s="110">
        <f t="shared" si="0"/>
        <v>2073</v>
      </c>
      <c r="C196" s="111">
        <f>[27]С2.5!$BF$11</f>
        <v>0</v>
      </c>
    </row>
    <row r="197" spans="2:3" hidden="1">
      <c r="B197" s="110">
        <f t="shared" si="0"/>
        <v>2074</v>
      </c>
      <c r="C197" s="111">
        <f>[27]С2.5!$BG$11</f>
        <v>0</v>
      </c>
    </row>
    <row r="198" spans="2:3" hidden="1">
      <c r="B198" s="110">
        <f t="shared" si="0"/>
        <v>2075</v>
      </c>
      <c r="C198" s="111">
        <f>[27]С2.5!$BH$11</f>
        <v>0</v>
      </c>
    </row>
    <row r="199" spans="2:3" hidden="1">
      <c r="B199" s="110">
        <f t="shared" si="0"/>
        <v>2076</v>
      </c>
      <c r="C199" s="111">
        <f>[27]С2.5!$BI$11</f>
        <v>0</v>
      </c>
    </row>
    <row r="200" spans="2:3" hidden="1">
      <c r="B200" s="110">
        <f t="shared" si="0"/>
        <v>2077</v>
      </c>
      <c r="C200" s="111">
        <f>[27]С2.5!$BJ$11</f>
        <v>0</v>
      </c>
    </row>
    <row r="201" spans="2:3" hidden="1">
      <c r="B201" s="110">
        <f t="shared" si="0"/>
        <v>2078</v>
      </c>
      <c r="C201" s="111">
        <f>[27]С2.5!$BK$11</f>
        <v>0</v>
      </c>
    </row>
    <row r="202" spans="2:3" hidden="1">
      <c r="B202" s="110">
        <f t="shared" si="0"/>
        <v>2079</v>
      </c>
      <c r="C202" s="111">
        <f>[27]С2.5!$BL$11</f>
        <v>0</v>
      </c>
    </row>
    <row r="203" spans="2:3" hidden="1">
      <c r="B203" s="110">
        <f t="shared" si="0"/>
        <v>2080</v>
      </c>
      <c r="C203" s="111">
        <f>[27]С2.5!$BM$11</f>
        <v>0</v>
      </c>
    </row>
    <row r="204" spans="2:3" hidden="1">
      <c r="B204" s="110">
        <f t="shared" si="0"/>
        <v>2081</v>
      </c>
      <c r="C204" s="111">
        <f>[27]С2.5!$BN$11</f>
        <v>0</v>
      </c>
    </row>
    <row r="205" spans="2:3" hidden="1">
      <c r="B205" s="110">
        <f t="shared" si="0"/>
        <v>2082</v>
      </c>
      <c r="C205" s="111">
        <f>[27]С2.5!$BO$11</f>
        <v>0</v>
      </c>
    </row>
    <row r="206" spans="2:3" hidden="1">
      <c r="B206" s="110">
        <f t="shared" si="0"/>
        <v>2083</v>
      </c>
      <c r="C206" s="111">
        <f>[27]С2.5!$BP$11</f>
        <v>0</v>
      </c>
    </row>
    <row r="207" spans="2:3" hidden="1">
      <c r="B207" s="110">
        <f t="shared" si="0"/>
        <v>2084</v>
      </c>
      <c r="C207" s="111">
        <f>[27]С2.5!$BQ$11</f>
        <v>0</v>
      </c>
    </row>
    <row r="208" spans="2:3" hidden="1">
      <c r="B208" s="110">
        <f t="shared" si="0"/>
        <v>2085</v>
      </c>
      <c r="C208" s="111">
        <f>[27]С2.5!$BR$11</f>
        <v>0</v>
      </c>
    </row>
    <row r="209" spans="2:3" hidden="1">
      <c r="B209" s="110">
        <f t="shared" ref="B209:B223" si="1">B208+1</f>
        <v>2086</v>
      </c>
      <c r="C209" s="111">
        <f>[27]С2.5!$BS$11</f>
        <v>0</v>
      </c>
    </row>
    <row r="210" spans="2:3" hidden="1">
      <c r="B210" s="110">
        <f t="shared" si="1"/>
        <v>2087</v>
      </c>
      <c r="C210" s="111">
        <f>[27]С2.5!$BT$11</f>
        <v>0</v>
      </c>
    </row>
    <row r="211" spans="2:3" hidden="1">
      <c r="B211" s="110">
        <f t="shared" si="1"/>
        <v>2088</v>
      </c>
      <c r="C211" s="111">
        <f>[27]С2.5!$BU$11</f>
        <v>0</v>
      </c>
    </row>
    <row r="212" spans="2:3" hidden="1">
      <c r="B212" s="110">
        <f t="shared" si="1"/>
        <v>2089</v>
      </c>
      <c r="C212" s="111">
        <f>[27]С2.5!$BV$11</f>
        <v>0</v>
      </c>
    </row>
    <row r="213" spans="2:3" hidden="1">
      <c r="B213" s="110">
        <f t="shared" si="1"/>
        <v>2090</v>
      </c>
      <c r="C213" s="111">
        <f>[27]С2.5!$BW$11</f>
        <v>0</v>
      </c>
    </row>
    <row r="214" spans="2:3" hidden="1">
      <c r="B214" s="110">
        <f t="shared" si="1"/>
        <v>2091</v>
      </c>
      <c r="C214" s="111">
        <f>[27]С2.5!$BX$11</f>
        <v>0</v>
      </c>
    </row>
    <row r="215" spans="2:3" hidden="1">
      <c r="B215" s="110">
        <f t="shared" si="1"/>
        <v>2092</v>
      </c>
      <c r="C215" s="111">
        <f>[27]С2.5!$BY$11</f>
        <v>0</v>
      </c>
    </row>
    <row r="216" spans="2:3" hidden="1">
      <c r="B216" s="110">
        <f t="shared" si="1"/>
        <v>2093</v>
      </c>
      <c r="C216" s="111">
        <f>[27]С2.5!$BZ$11</f>
        <v>0</v>
      </c>
    </row>
    <row r="217" spans="2:3" hidden="1">
      <c r="B217" s="110">
        <f t="shared" si="1"/>
        <v>2094</v>
      </c>
      <c r="C217" s="111">
        <f>[27]С2.5!$CA$11</f>
        <v>0</v>
      </c>
    </row>
    <row r="218" spans="2:3" hidden="1">
      <c r="B218" s="110">
        <f t="shared" si="1"/>
        <v>2095</v>
      </c>
      <c r="C218" s="111">
        <f>[27]С2.5!$CB$11</f>
        <v>0</v>
      </c>
    </row>
    <row r="219" spans="2:3" hidden="1">
      <c r="B219" s="110">
        <f t="shared" si="1"/>
        <v>2096</v>
      </c>
      <c r="C219" s="111">
        <f>[27]С2.5!$CC$11</f>
        <v>0</v>
      </c>
    </row>
    <row r="220" spans="2:3" hidden="1">
      <c r="B220" s="110">
        <f t="shared" si="1"/>
        <v>2097</v>
      </c>
      <c r="C220" s="111">
        <f>[27]С2.5!$CD$11</f>
        <v>0</v>
      </c>
    </row>
    <row r="221" spans="2:3" hidden="1">
      <c r="B221" s="110">
        <f t="shared" si="1"/>
        <v>2098</v>
      </c>
      <c r="C221" s="111">
        <f>[27]С2.5!$CE$11</f>
        <v>0</v>
      </c>
    </row>
    <row r="222" spans="2:3" hidden="1">
      <c r="B222" s="110">
        <f t="shared" si="1"/>
        <v>2099</v>
      </c>
      <c r="C222" s="111">
        <f>[27]С2.5!$CF$11</f>
        <v>0</v>
      </c>
    </row>
    <row r="223" spans="2:3" ht="13.5" hidden="1" thickBot="1">
      <c r="B223" s="112">
        <f t="shared" si="1"/>
        <v>2100</v>
      </c>
      <c r="C223" s="113">
        <f>[27]С2.5!$CG$11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0" r:id="rId3" name="Button 2">
              <controlPr defaultSize="0" print="0" autoFill="0" autoPict="0" macro="[2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2291" r:id="rId4" name="Button 3">
              <controlPr defaultSize="0" print="0" autoFill="0" autoPict="0" macro="[2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[29]И1!D13</f>
        <v>Субъект Российской Федерации</v>
      </c>
      <c r="C4" s="10" t="str">
        <f>[29]И1!E13</f>
        <v>Новосибирская область</v>
      </c>
    </row>
    <row r="5" spans="1:3" ht="46.9" customHeight="1">
      <c r="A5" s="8"/>
      <c r="B5" s="9" t="str">
        <f>[29]И1!D14</f>
        <v>Тип муниципального образования (выберите из списка)</v>
      </c>
      <c r="C5" s="10" t="str">
        <f>[29]И1!E14</f>
        <v xml:space="preserve">село Кудельный Ключ, Тогучинский муниципальный район </v>
      </c>
    </row>
    <row r="6" spans="1:3">
      <c r="A6" s="8"/>
      <c r="B6" s="9" t="str">
        <f>IF([29]И1!E15="","",[29]И1!D15)</f>
        <v/>
      </c>
      <c r="C6" s="10" t="str">
        <f>IF([29]И1!E15="","",[29]И1!E15)</f>
        <v/>
      </c>
    </row>
    <row r="7" spans="1:3">
      <c r="A7" s="8"/>
      <c r="B7" s="9" t="str">
        <f>[29]И1!D16</f>
        <v>Код ОКТМО</v>
      </c>
      <c r="C7" s="11" t="str">
        <f>[29]И1!E16</f>
        <v>50652431101</v>
      </c>
    </row>
    <row r="8" spans="1:3">
      <c r="A8" s="8"/>
      <c r="B8" s="12" t="str">
        <f>[29]И1!D17</f>
        <v>Система теплоснабжения</v>
      </c>
      <c r="C8" s="13">
        <f>[29]И1!E17</f>
        <v>0</v>
      </c>
    </row>
    <row r="9" spans="1:3">
      <c r="A9" s="8"/>
      <c r="B9" s="9" t="str">
        <f>[29]И1!D8</f>
        <v>Период регулирования (i)-й</v>
      </c>
      <c r="C9" s="14">
        <f>[29]И1!E8</f>
        <v>2025</v>
      </c>
    </row>
    <row r="10" spans="1:3">
      <c r="A10" s="8"/>
      <c r="B10" s="9" t="str">
        <f>[29]И1!D9</f>
        <v>Период регулирования (i-1)-й</v>
      </c>
      <c r="C10" s="14">
        <f>[29]И1!E9</f>
        <v>2024</v>
      </c>
    </row>
    <row r="11" spans="1:3">
      <c r="A11" s="8"/>
      <c r="B11" s="9" t="str">
        <f>[29]И1!D10</f>
        <v>Период регулирования (i-2)-й</v>
      </c>
      <c r="C11" s="14">
        <f>[29]И1!E10</f>
        <v>2023</v>
      </c>
    </row>
    <row r="12" spans="1:3">
      <c r="A12" s="8"/>
      <c r="B12" s="9" t="str">
        <f>[29]И1!D11</f>
        <v>Базовый год (б)</v>
      </c>
      <c r="C12" s="14">
        <f>[29]И1!E11</f>
        <v>2019</v>
      </c>
    </row>
    <row r="13" spans="1:3" ht="38.25">
      <c r="A13" s="8"/>
      <c r="B13" s="9" t="str">
        <f>[29]И1!D18</f>
        <v>Вид топлива, использование которого преобладает в системе теплоснабжения</v>
      </c>
      <c r="C13" s="15" t="str">
        <f>[29]С1.1!E13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5383.5986962183451</v>
      </c>
    </row>
    <row r="18" spans="1:3" ht="42.75">
      <c r="A18" s="22" t="s">
        <v>8</v>
      </c>
      <c r="B18" s="25" t="s">
        <v>9</v>
      </c>
      <c r="C18" s="26">
        <f>[29]С1!F12</f>
        <v>795.80460480398301</v>
      </c>
    </row>
    <row r="19" spans="1:3" ht="42.75">
      <c r="A19" s="22" t="s">
        <v>10</v>
      </c>
      <c r="B19" s="25" t="s">
        <v>11</v>
      </c>
      <c r="C19" s="26">
        <f>[29]С2!F12</f>
        <v>3056.1591261705735</v>
      </c>
    </row>
    <row r="20" spans="1:3" ht="30">
      <c r="A20" s="22" t="s">
        <v>12</v>
      </c>
      <c r="B20" s="25" t="s">
        <v>13</v>
      </c>
      <c r="C20" s="26">
        <f>[29]С3!F12</f>
        <v>915.44743976410246</v>
      </c>
    </row>
    <row r="21" spans="1:3" ht="42.75">
      <c r="A21" s="22" t="s">
        <v>14</v>
      </c>
      <c r="B21" s="25" t="s">
        <v>15</v>
      </c>
      <c r="C21" s="26">
        <f>[29]С4!F12</f>
        <v>510.62676673030683</v>
      </c>
    </row>
    <row r="22" spans="1:3" ht="30">
      <c r="A22" s="22" t="s">
        <v>16</v>
      </c>
      <c r="B22" s="25" t="s">
        <v>17</v>
      </c>
      <c r="C22" s="26">
        <f>[29]С5!F12</f>
        <v>105.56075874937932</v>
      </c>
    </row>
    <row r="23" spans="1:3" ht="43.5" thickBot="1">
      <c r="A23" s="27" t="s">
        <v>18</v>
      </c>
      <c r="B23" s="140" t="s">
        <v>19</v>
      </c>
      <c r="C23" s="28" t="str">
        <f>[29]С6!F12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[29]С1.1!E16</f>
        <v>5100</v>
      </c>
    </row>
    <row r="29" spans="1:3" ht="42.75">
      <c r="A29" s="22" t="s">
        <v>10</v>
      </c>
      <c r="B29" s="33" t="s">
        <v>22</v>
      </c>
      <c r="C29" s="34">
        <f>[29]С1.1!E27</f>
        <v>2870.67</v>
      </c>
    </row>
    <row r="30" spans="1:3" ht="17.25">
      <c r="A30" s="22" t="s">
        <v>12</v>
      </c>
      <c r="B30" s="33" t="s">
        <v>23</v>
      </c>
      <c r="C30" s="35">
        <f>[29]С1.1!E19</f>
        <v>1.4E-2</v>
      </c>
    </row>
    <row r="31" spans="1:3" ht="17.25">
      <c r="A31" s="22" t="s">
        <v>14</v>
      </c>
      <c r="B31" s="33" t="s">
        <v>24</v>
      </c>
      <c r="C31" s="35">
        <f>[29]С1.1!E20</f>
        <v>0.04</v>
      </c>
    </row>
    <row r="32" spans="1:3" ht="30">
      <c r="A32" s="22" t="s">
        <v>16</v>
      </c>
      <c r="B32" s="36" t="s">
        <v>25</v>
      </c>
      <c r="C32" s="37">
        <f>[29]С1!F13</f>
        <v>176.4</v>
      </c>
    </row>
    <row r="33" spans="1:3">
      <c r="A33" s="22" t="s">
        <v>18</v>
      </c>
      <c r="B33" s="36" t="s">
        <v>26</v>
      </c>
      <c r="C33" s="38">
        <f>[29]С1!F16</f>
        <v>7000</v>
      </c>
    </row>
    <row r="34" spans="1:3" ht="14.25">
      <c r="A34" s="22" t="s">
        <v>27</v>
      </c>
      <c r="B34" s="39" t="s">
        <v>28</v>
      </c>
      <c r="C34" s="40">
        <f>[29]С1!F17</f>
        <v>0.72857142857142854</v>
      </c>
    </row>
    <row r="35" spans="1:3" ht="15.75">
      <c r="A35" s="41" t="s">
        <v>29</v>
      </c>
      <c r="B35" s="42" t="s">
        <v>30</v>
      </c>
      <c r="C35" s="40">
        <f>[29]С1!F20</f>
        <v>21.588411179999994</v>
      </c>
    </row>
    <row r="36" spans="1:3" ht="15.75">
      <c r="A36" s="41" t="s">
        <v>31</v>
      </c>
      <c r="B36" s="43" t="s">
        <v>32</v>
      </c>
      <c r="C36" s="40">
        <f>[29]С1!F21</f>
        <v>20.818139999999996</v>
      </c>
    </row>
    <row r="37" spans="1:3" ht="14.25">
      <c r="A37" s="41" t="s">
        <v>33</v>
      </c>
      <c r="B37" s="44" t="s">
        <v>34</v>
      </c>
      <c r="C37" s="40">
        <f>[29]С1!F22</f>
        <v>1.0369999999999999</v>
      </c>
    </row>
    <row r="38" spans="1:3" ht="53.25" thickBot="1">
      <c r="A38" s="27" t="s">
        <v>35</v>
      </c>
      <c r="B38" s="45" t="s">
        <v>36</v>
      </c>
      <c r="C38" s="46">
        <f>[29]С1!F23</f>
        <v>1.0469999999999999</v>
      </c>
    </row>
    <row r="39" spans="1:3" ht="13.5" thickBot="1">
      <c r="A39" s="47"/>
      <c r="B39" s="48"/>
      <c r="C39" s="49"/>
    </row>
    <row r="40" spans="1:3" ht="42.75" customHeight="1">
      <c r="A40" s="50" t="s">
        <v>37</v>
      </c>
      <c r="B40" s="146" t="s">
        <v>38</v>
      </c>
      <c r="C40" s="146"/>
    </row>
    <row r="41" spans="1:3" ht="25.5">
      <c r="A41" s="22" t="s">
        <v>39</v>
      </c>
      <c r="B41" s="36" t="s">
        <v>40</v>
      </c>
      <c r="C41" s="51" t="str">
        <f>[29]С2.1!E12</f>
        <v>V</v>
      </c>
    </row>
    <row r="42" spans="1:3" ht="25.5">
      <c r="A42" s="22" t="s">
        <v>41</v>
      </c>
      <c r="B42" s="33" t="s">
        <v>42</v>
      </c>
      <c r="C42" s="51" t="str">
        <f>[29]С2.1!E13</f>
        <v>6 и менее баллов</v>
      </c>
    </row>
    <row r="43" spans="1:3" ht="25.5">
      <c r="A43" s="22" t="s">
        <v>43</v>
      </c>
      <c r="B43" s="33" t="s">
        <v>44</v>
      </c>
      <c r="C43" s="51" t="str">
        <f>[29]С2.1!E14</f>
        <v>от 200 до 500</v>
      </c>
    </row>
    <row r="44" spans="1:3" ht="25.5">
      <c r="A44" s="22" t="s">
        <v>45</v>
      </c>
      <c r="B44" s="33" t="s">
        <v>46</v>
      </c>
      <c r="C44" s="52" t="str">
        <f>[29]С2.1!E15</f>
        <v>нет</v>
      </c>
    </row>
    <row r="45" spans="1:3" ht="30">
      <c r="A45" s="22" t="s">
        <v>47</v>
      </c>
      <c r="B45" s="33" t="s">
        <v>48</v>
      </c>
      <c r="C45" s="34">
        <f>[29]С2!F18</f>
        <v>38910.02669467502</v>
      </c>
    </row>
    <row r="46" spans="1:3" ht="30">
      <c r="A46" s="22" t="s">
        <v>49</v>
      </c>
      <c r="B46" s="53" t="s">
        <v>50</v>
      </c>
      <c r="C46" s="34">
        <f>IF([29]С2!F19&gt;0,[29]С2!F19,[29]С2!F20)</f>
        <v>23441.524932855718</v>
      </c>
    </row>
    <row r="47" spans="1:3" ht="25.5">
      <c r="A47" s="22" t="s">
        <v>51</v>
      </c>
      <c r="B47" s="54" t="s">
        <v>52</v>
      </c>
      <c r="C47" s="34">
        <f>[29]С2.1!E19</f>
        <v>-38</v>
      </c>
    </row>
    <row r="48" spans="1:3" ht="25.5">
      <c r="A48" s="22" t="s">
        <v>53</v>
      </c>
      <c r="B48" s="54" t="s">
        <v>54</v>
      </c>
      <c r="C48" s="34" t="str">
        <f>[29]С2.1!E22</f>
        <v>нет</v>
      </c>
    </row>
    <row r="49" spans="1:3" ht="38.25">
      <c r="A49" s="22" t="s">
        <v>55</v>
      </c>
      <c r="B49" s="55" t="s">
        <v>56</v>
      </c>
      <c r="C49" s="34">
        <f>[29]С2.2!E10</f>
        <v>1287</v>
      </c>
    </row>
    <row r="50" spans="1:3" ht="25.5">
      <c r="A50" s="22" t="s">
        <v>57</v>
      </c>
      <c r="B50" s="56" t="s">
        <v>58</v>
      </c>
      <c r="C50" s="34">
        <f>[29]С2.2!E12</f>
        <v>5.97</v>
      </c>
    </row>
    <row r="51" spans="1:3" ht="52.5">
      <c r="A51" s="22" t="s">
        <v>59</v>
      </c>
      <c r="B51" s="57" t="s">
        <v>60</v>
      </c>
      <c r="C51" s="34">
        <f>[29]С2.2!E13</f>
        <v>1</v>
      </c>
    </row>
    <row r="52" spans="1:3" ht="27.75">
      <c r="A52" s="22" t="s">
        <v>61</v>
      </c>
      <c r="B52" s="56" t="s">
        <v>62</v>
      </c>
      <c r="C52" s="34">
        <f>[29]С2.2!E14</f>
        <v>12104</v>
      </c>
    </row>
    <row r="53" spans="1:3" ht="25.5">
      <c r="A53" s="22" t="s">
        <v>63</v>
      </c>
      <c r="B53" s="57" t="s">
        <v>64</v>
      </c>
      <c r="C53" s="35">
        <f>[29]С2.2!E15</f>
        <v>4.8000000000000001E-2</v>
      </c>
    </row>
    <row r="54" spans="1:3">
      <c r="A54" s="22" t="s">
        <v>65</v>
      </c>
      <c r="B54" s="57" t="s">
        <v>66</v>
      </c>
      <c r="C54" s="34">
        <f>[29]С2.2!E16</f>
        <v>1</v>
      </c>
    </row>
    <row r="55" spans="1:3" ht="15.75">
      <c r="A55" s="22" t="s">
        <v>67</v>
      </c>
      <c r="B55" s="58" t="s">
        <v>68</v>
      </c>
      <c r="C55" s="34">
        <f>[29]С2!F21</f>
        <v>1</v>
      </c>
    </row>
    <row r="56" spans="1:3" ht="30">
      <c r="A56" s="59" t="s">
        <v>69</v>
      </c>
      <c r="B56" s="33" t="s">
        <v>70</v>
      </c>
      <c r="C56" s="34">
        <f>[29]С2!F13</f>
        <v>203708.97017230222</v>
      </c>
    </row>
    <row r="57" spans="1:3" ht="30">
      <c r="A57" s="59" t="s">
        <v>71</v>
      </c>
      <c r="B57" s="58" t="s">
        <v>72</v>
      </c>
      <c r="C57" s="34">
        <f>[29]С2!F14</f>
        <v>113455</v>
      </c>
    </row>
    <row r="58" spans="1:3" ht="15.75">
      <c r="A58" s="59" t="s">
        <v>73</v>
      </c>
      <c r="B58" s="60" t="s">
        <v>74</v>
      </c>
      <c r="C58" s="40">
        <f>[29]С2!F15</f>
        <v>1.071</v>
      </c>
    </row>
    <row r="59" spans="1:3" ht="15.75">
      <c r="A59" s="59" t="s">
        <v>75</v>
      </c>
      <c r="B59" s="60" t="s">
        <v>76</v>
      </c>
      <c r="C59" s="40">
        <f>[29]С2!F16</f>
        <v>1</v>
      </c>
    </row>
    <row r="60" spans="1:3" ht="17.25">
      <c r="A60" s="59" t="s">
        <v>77</v>
      </c>
      <c r="B60" s="58" t="s">
        <v>78</v>
      </c>
      <c r="C60" s="34">
        <f>[29]С2!F17</f>
        <v>1.01</v>
      </c>
    </row>
    <row r="61" spans="1:3" s="63" customFormat="1" ht="14.25">
      <c r="A61" s="59" t="s">
        <v>79</v>
      </c>
      <c r="B61" s="61" t="s">
        <v>80</v>
      </c>
      <c r="C61" s="62">
        <f>[29]С2!F33</f>
        <v>10</v>
      </c>
    </row>
    <row r="62" spans="1:3" ht="30">
      <c r="A62" s="59" t="s">
        <v>81</v>
      </c>
      <c r="B62" s="64" t="s">
        <v>82</v>
      </c>
      <c r="C62" s="34">
        <f>[29]С2!F26</f>
        <v>2416.4994928434235</v>
      </c>
    </row>
    <row r="63" spans="1:3" ht="17.25">
      <c r="A63" s="59" t="s">
        <v>83</v>
      </c>
      <c r="B63" s="53" t="s">
        <v>84</v>
      </c>
      <c r="C63" s="34">
        <f>[29]С2!F27</f>
        <v>0.34662649000000001</v>
      </c>
    </row>
    <row r="64" spans="1:3" ht="17.25">
      <c r="A64" s="59" t="s">
        <v>85</v>
      </c>
      <c r="B64" s="58" t="s">
        <v>86</v>
      </c>
      <c r="C64" s="62">
        <f>[29]С2!F28</f>
        <v>4200</v>
      </c>
    </row>
    <row r="65" spans="1:3" ht="42.75">
      <c r="A65" s="59" t="s">
        <v>87</v>
      </c>
      <c r="B65" s="33" t="s">
        <v>88</v>
      </c>
      <c r="C65" s="34">
        <f>[29]С2!F22</f>
        <v>42890.921752741691</v>
      </c>
    </row>
    <row r="66" spans="1:3" ht="30">
      <c r="A66" s="59" t="s">
        <v>89</v>
      </c>
      <c r="B66" s="60" t="s">
        <v>90</v>
      </c>
      <c r="C66" s="34">
        <f>[29]С2!F23</f>
        <v>1990</v>
      </c>
    </row>
    <row r="67" spans="1:3" ht="30">
      <c r="A67" s="59" t="s">
        <v>91</v>
      </c>
      <c r="B67" s="53" t="s">
        <v>92</v>
      </c>
      <c r="C67" s="34">
        <f>[29]С2.1!E27</f>
        <v>14307.876789999998</v>
      </c>
    </row>
    <row r="68" spans="1:3" ht="38.25">
      <c r="A68" s="59" t="s">
        <v>93</v>
      </c>
      <c r="B68" s="65" t="s">
        <v>94</v>
      </c>
      <c r="C68" s="52">
        <f>[29]С2.3!E21</f>
        <v>0</v>
      </c>
    </row>
    <row r="69" spans="1:3" ht="25.5">
      <c r="A69" s="59" t="s">
        <v>95</v>
      </c>
      <c r="B69" s="66" t="s">
        <v>96</v>
      </c>
      <c r="C69" s="67">
        <f>[29]С2.3!E11</f>
        <v>9.89</v>
      </c>
    </row>
    <row r="70" spans="1:3" ht="25.5">
      <c r="A70" s="59" t="s">
        <v>97</v>
      </c>
      <c r="B70" s="66" t="s">
        <v>98</v>
      </c>
      <c r="C70" s="62">
        <f>[29]С2.3!E13</f>
        <v>300</v>
      </c>
    </row>
    <row r="71" spans="1:3" ht="25.5">
      <c r="A71" s="59" t="s">
        <v>99</v>
      </c>
      <c r="B71" s="65" t="s">
        <v>100</v>
      </c>
      <c r="C71" s="68">
        <f>IF([29]С2.3!E22&gt;0,[29]С2.3!E22,[29]С2.3!E14)</f>
        <v>61211</v>
      </c>
    </row>
    <row r="72" spans="1:3" ht="38.25">
      <c r="A72" s="59" t="s">
        <v>101</v>
      </c>
      <c r="B72" s="65" t="s">
        <v>102</v>
      </c>
      <c r="C72" s="68">
        <f>IF([29]С2.3!E23&gt;0,[29]С2.3!E23,[29]С2.3!E15)</f>
        <v>45675</v>
      </c>
    </row>
    <row r="73" spans="1:3" ht="30">
      <c r="A73" s="59" t="s">
        <v>103</v>
      </c>
      <c r="B73" s="53" t="s">
        <v>104</v>
      </c>
      <c r="C73" s="34">
        <f>[29]С2.1!E28</f>
        <v>9541.9567200000001</v>
      </c>
    </row>
    <row r="74" spans="1:3" ht="38.25">
      <c r="A74" s="59" t="s">
        <v>105</v>
      </c>
      <c r="B74" s="65" t="s">
        <v>106</v>
      </c>
      <c r="C74" s="52">
        <f>[29]С2.3!E25</f>
        <v>0</v>
      </c>
    </row>
    <row r="75" spans="1:3" ht="25.5">
      <c r="A75" s="59" t="s">
        <v>107</v>
      </c>
      <c r="B75" s="66" t="s">
        <v>108</v>
      </c>
      <c r="C75" s="67">
        <f>[29]С2.3!E12</f>
        <v>0.56000000000000005</v>
      </c>
    </row>
    <row r="76" spans="1:3" ht="25.5">
      <c r="A76" s="59" t="s">
        <v>109</v>
      </c>
      <c r="B76" s="66" t="s">
        <v>98</v>
      </c>
      <c r="C76" s="62">
        <f>[29]С2.3!E13</f>
        <v>300</v>
      </c>
    </row>
    <row r="77" spans="1:3" ht="25.5">
      <c r="A77" s="59" t="s">
        <v>110</v>
      </c>
      <c r="B77" s="69" t="s">
        <v>111</v>
      </c>
      <c r="C77" s="68">
        <f>IF([29]С2.3!E26&gt;0,[29]С2.3!E26,[29]С2.3!E16)</f>
        <v>65637</v>
      </c>
    </row>
    <row r="78" spans="1:3" ht="38.25">
      <c r="A78" s="59" t="s">
        <v>112</v>
      </c>
      <c r="B78" s="69" t="s">
        <v>113</v>
      </c>
      <c r="C78" s="68">
        <f>IF([29]С2.3!E27&gt;0,[29]С2.3!E27,[29]С2.3!E17)</f>
        <v>31684</v>
      </c>
    </row>
    <row r="79" spans="1:3" ht="17.25">
      <c r="A79" s="59" t="s">
        <v>114</v>
      </c>
      <c r="B79" s="33" t="s">
        <v>115</v>
      </c>
      <c r="C79" s="35">
        <f>[29]С2!F29</f>
        <v>0.17804631770487722</v>
      </c>
    </row>
    <row r="80" spans="1:3" ht="30">
      <c r="A80" s="59" t="s">
        <v>116</v>
      </c>
      <c r="B80" s="53" t="s">
        <v>117</v>
      </c>
      <c r="C80" s="70">
        <f>[29]С2!F30</f>
        <v>0.1652189781021898</v>
      </c>
    </row>
    <row r="81" spans="1:3" ht="17.25">
      <c r="A81" s="59" t="s">
        <v>118</v>
      </c>
      <c r="B81" s="71" t="s">
        <v>119</v>
      </c>
      <c r="C81" s="35">
        <f>[29]С2!F31</f>
        <v>0.13880000000000001</v>
      </c>
    </row>
    <row r="82" spans="1:3" s="63" customFormat="1" ht="18" thickBot="1">
      <c r="A82" s="72" t="s">
        <v>120</v>
      </c>
      <c r="B82" s="73" t="s">
        <v>121</v>
      </c>
      <c r="C82" s="74">
        <f>[29]С2!F32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[29]С3!F14</f>
        <v>14863.184658749575</v>
      </c>
    </row>
    <row r="86" spans="1:3" s="63" customFormat="1" ht="42.75">
      <c r="A86" s="77" t="s">
        <v>126</v>
      </c>
      <c r="B86" s="53" t="s">
        <v>127</v>
      </c>
      <c r="C86" s="78">
        <f>[29]С3!F15</f>
        <v>0.25</v>
      </c>
    </row>
    <row r="87" spans="1:3" s="63" customFormat="1" ht="14.25">
      <c r="A87" s="77" t="s">
        <v>128</v>
      </c>
      <c r="B87" s="79" t="s">
        <v>129</v>
      </c>
      <c r="C87" s="62">
        <f>[29]С3!F18</f>
        <v>15</v>
      </c>
    </row>
    <row r="88" spans="1:3" s="63" customFormat="1" ht="17.25">
      <c r="A88" s="77" t="s">
        <v>130</v>
      </c>
      <c r="B88" s="33" t="s">
        <v>131</v>
      </c>
      <c r="C88" s="34">
        <f>[29]С3!F19</f>
        <v>4187.478806422544</v>
      </c>
    </row>
    <row r="89" spans="1:3" s="63" customFormat="1" ht="55.5">
      <c r="A89" s="77" t="s">
        <v>132</v>
      </c>
      <c r="B89" s="53" t="s">
        <v>133</v>
      </c>
      <c r="C89" s="80">
        <f>[29]С3!F20</f>
        <v>2.1999999999999999E-2</v>
      </c>
    </row>
    <row r="90" spans="1:3" s="63" customFormat="1" ht="14.25">
      <c r="A90" s="77" t="s">
        <v>134</v>
      </c>
      <c r="B90" s="58" t="s">
        <v>80</v>
      </c>
      <c r="C90" s="62">
        <f>[29]С3!F21</f>
        <v>10</v>
      </c>
    </row>
    <row r="91" spans="1:3" s="63" customFormat="1" ht="17.25">
      <c r="A91" s="77" t="s">
        <v>135</v>
      </c>
      <c r="B91" s="33" t="s">
        <v>136</v>
      </c>
      <c r="C91" s="34">
        <f>[29]С3!F22</f>
        <v>7.2494984785302705</v>
      </c>
    </row>
    <row r="92" spans="1:3" s="63" customFormat="1" ht="55.5">
      <c r="A92" s="77" t="s">
        <v>137</v>
      </c>
      <c r="B92" s="53" t="s">
        <v>138</v>
      </c>
      <c r="C92" s="80">
        <f>[29]С3!F23</f>
        <v>3.0000000000000001E-3</v>
      </c>
    </row>
    <row r="93" spans="1:3" s="63" customFormat="1" ht="27.75" thickBot="1">
      <c r="A93" s="81" t="s">
        <v>139</v>
      </c>
      <c r="B93" s="82" t="s">
        <v>140</v>
      </c>
      <c r="C93" s="83">
        <f>[29]С3!F24</f>
        <v>2416.4994928434235</v>
      </c>
    </row>
    <row r="94" spans="1:3" ht="13.5" thickBot="1">
      <c r="A94" s="47"/>
      <c r="B94" s="75"/>
      <c r="C94" s="15"/>
    </row>
    <row r="95" spans="1:3" ht="37.5" customHeight="1">
      <c r="A95" s="84" t="s">
        <v>141</v>
      </c>
      <c r="B95" s="146" t="s">
        <v>142</v>
      </c>
      <c r="C95" s="146"/>
    </row>
    <row r="96" spans="1:3" ht="30">
      <c r="A96" s="59" t="s">
        <v>143</v>
      </c>
      <c r="B96" s="33" t="s">
        <v>144</v>
      </c>
      <c r="C96" s="34">
        <f>[29]С4!F16</f>
        <v>1652.5</v>
      </c>
    </row>
    <row r="97" spans="1:3" ht="30">
      <c r="A97" s="59" t="s">
        <v>145</v>
      </c>
      <c r="B97" s="58" t="s">
        <v>146</v>
      </c>
      <c r="C97" s="34">
        <f>[29]С4!F17</f>
        <v>73547</v>
      </c>
    </row>
    <row r="98" spans="1:3" ht="17.25">
      <c r="A98" s="59" t="s">
        <v>147</v>
      </c>
      <c r="B98" s="58" t="s">
        <v>148</v>
      </c>
      <c r="C98" s="40">
        <f>[29]С4!F18</f>
        <v>0.02</v>
      </c>
    </row>
    <row r="99" spans="1:3" ht="30">
      <c r="A99" s="59" t="s">
        <v>149</v>
      </c>
      <c r="B99" s="58" t="s">
        <v>150</v>
      </c>
      <c r="C99" s="34">
        <f>[29]С4!F19</f>
        <v>12104</v>
      </c>
    </row>
    <row r="100" spans="1:3" ht="31.5">
      <c r="A100" s="59" t="s">
        <v>151</v>
      </c>
      <c r="B100" s="58" t="s">
        <v>152</v>
      </c>
      <c r="C100" s="40">
        <f>[29]С4!F20</f>
        <v>1.4999999999999999E-2</v>
      </c>
    </row>
    <row r="101" spans="1:3" ht="30">
      <c r="A101" s="59" t="s">
        <v>153</v>
      </c>
      <c r="B101" s="33" t="s">
        <v>154</v>
      </c>
      <c r="C101" s="34">
        <f>[29]С4!F21</f>
        <v>1933.1949342509995</v>
      </c>
    </row>
    <row r="102" spans="1:3" ht="24" customHeight="1">
      <c r="A102" s="59" t="s">
        <v>155</v>
      </c>
      <c r="B102" s="53" t="s">
        <v>156</v>
      </c>
      <c r="C102" s="85">
        <f>IF([29]С4.2!F8="да",[29]С4.2!D21,[29]С4.2!D15)</f>
        <v>0</v>
      </c>
    </row>
    <row r="103" spans="1:3" ht="68.25">
      <c r="A103" s="59" t="s">
        <v>157</v>
      </c>
      <c r="B103" s="53" t="s">
        <v>158</v>
      </c>
      <c r="C103" s="34">
        <f>[29]С4!F22</f>
        <v>3.6112641666666665</v>
      </c>
    </row>
    <row r="104" spans="1:3" ht="30">
      <c r="A104" s="59" t="s">
        <v>159</v>
      </c>
      <c r="B104" s="58" t="s">
        <v>160</v>
      </c>
      <c r="C104" s="34">
        <f>[29]С4!F23</f>
        <v>180</v>
      </c>
    </row>
    <row r="105" spans="1:3" ht="14.25">
      <c r="A105" s="59" t="s">
        <v>161</v>
      </c>
      <c r="B105" s="53" t="s">
        <v>162</v>
      </c>
      <c r="C105" s="34">
        <f>[29]С4!F24</f>
        <v>8497.1999999999989</v>
      </c>
    </row>
    <row r="106" spans="1:3" ht="14.25">
      <c r="A106" s="59" t="s">
        <v>163</v>
      </c>
      <c r="B106" s="58" t="s">
        <v>164</v>
      </c>
      <c r="C106" s="40">
        <f>[29]С4!F25</f>
        <v>0.35</v>
      </c>
    </row>
    <row r="107" spans="1:3" ht="17.25">
      <c r="A107" s="59" t="s">
        <v>165</v>
      </c>
      <c r="B107" s="33" t="s">
        <v>166</v>
      </c>
      <c r="C107" s="34">
        <f>[29]С4!F26</f>
        <v>92.468430000000012</v>
      </c>
    </row>
    <row r="108" spans="1:3" ht="25.5">
      <c r="A108" s="59" t="s">
        <v>167</v>
      </c>
      <c r="B108" s="53" t="s">
        <v>94</v>
      </c>
      <c r="C108" s="85">
        <f>[29]С4.3!E16</f>
        <v>0</v>
      </c>
    </row>
    <row r="109" spans="1:3" ht="25.5">
      <c r="A109" s="59" t="s">
        <v>168</v>
      </c>
      <c r="B109" s="53" t="s">
        <v>169</v>
      </c>
      <c r="C109" s="34">
        <f>[29]С4.3!E17</f>
        <v>25.09</v>
      </c>
    </row>
    <row r="110" spans="1:3" ht="38.25">
      <c r="A110" s="59" t="s">
        <v>170</v>
      </c>
      <c r="B110" s="53" t="s">
        <v>106</v>
      </c>
      <c r="C110" s="85">
        <f>[29]С4.3!E18</f>
        <v>0</v>
      </c>
    </row>
    <row r="111" spans="1:3">
      <c r="A111" s="59" t="s">
        <v>171</v>
      </c>
      <c r="B111" s="53" t="s">
        <v>172</v>
      </c>
      <c r="C111" s="34">
        <f>[29]С4.3!E19</f>
        <v>21.95</v>
      </c>
    </row>
    <row r="112" spans="1:3">
      <c r="A112" s="59" t="s">
        <v>173</v>
      </c>
      <c r="B112" s="58" t="s">
        <v>174</v>
      </c>
      <c r="C112" s="34">
        <f>[29]С4.3!E11</f>
        <v>1871</v>
      </c>
    </row>
    <row r="113" spans="1:3">
      <c r="A113" s="59" t="s">
        <v>175</v>
      </c>
      <c r="B113" s="58" t="s">
        <v>176</v>
      </c>
      <c r="C113" s="52">
        <f>[29]С4.3!E12</f>
        <v>1636</v>
      </c>
    </row>
    <row r="114" spans="1:3">
      <c r="A114" s="59" t="s">
        <v>177</v>
      </c>
      <c r="B114" s="58" t="s">
        <v>178</v>
      </c>
      <c r="C114" s="52">
        <f>[29]С4.3!E13</f>
        <v>204</v>
      </c>
    </row>
    <row r="115" spans="1:3" ht="30">
      <c r="A115" s="59" t="s">
        <v>179</v>
      </c>
      <c r="B115" s="33" t="s">
        <v>180</v>
      </c>
      <c r="C115" s="34">
        <f>[29]С4!F27</f>
        <v>1291.2863994686898</v>
      </c>
    </row>
    <row r="116" spans="1:3" ht="25.5">
      <c r="A116" s="59" t="s">
        <v>181</v>
      </c>
      <c r="B116" s="53" t="s">
        <v>182</v>
      </c>
      <c r="C116" s="34">
        <f>[29]С4!F28</f>
        <v>991.77142816335618</v>
      </c>
    </row>
    <row r="117" spans="1:3" ht="42.75">
      <c r="A117" s="59" t="s">
        <v>183</v>
      </c>
      <c r="B117" s="53" t="s">
        <v>184</v>
      </c>
      <c r="C117" s="34">
        <f>[29]С4!F29</f>
        <v>299.51497130533357</v>
      </c>
    </row>
    <row r="118" spans="1:3" ht="30">
      <c r="A118" s="59" t="s">
        <v>185</v>
      </c>
      <c r="B118" s="39" t="s">
        <v>186</v>
      </c>
      <c r="C118" s="34">
        <f>[29]С4!F30</f>
        <v>2381.628685840391</v>
      </c>
    </row>
    <row r="119" spans="1:3" ht="42.75">
      <c r="A119" s="59" t="s">
        <v>187</v>
      </c>
      <c r="B119" s="86" t="s">
        <v>188</v>
      </c>
      <c r="C119" s="34">
        <f>[29]С4!F33</f>
        <v>1176.7426982817792</v>
      </c>
    </row>
    <row r="120" spans="1:3" ht="30">
      <c r="A120" s="59" t="s">
        <v>189</v>
      </c>
      <c r="B120" s="87" t="s">
        <v>190</v>
      </c>
      <c r="C120" s="34">
        <f>[29]С4!F35</f>
        <v>17.040680999999999</v>
      </c>
    </row>
    <row r="121" spans="1:3" ht="14.25">
      <c r="A121" s="59" t="s">
        <v>191</v>
      </c>
      <c r="B121" s="56" t="s">
        <v>192</v>
      </c>
      <c r="C121" s="34">
        <f>[29]С4!F36</f>
        <v>14319.9</v>
      </c>
    </row>
    <row r="122" spans="1:3" ht="28.5" thickBot="1">
      <c r="A122" s="72" t="s">
        <v>193</v>
      </c>
      <c r="B122" s="88" t="s">
        <v>194</v>
      </c>
      <c r="C122" s="83">
        <f>[29]С4!F37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[29]С5!F17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[29]С2!F37</f>
        <v>20.818139999999996</v>
      </c>
    </row>
    <row r="136" spans="1:4" ht="14.25">
      <c r="A136" s="59" t="s">
        <v>216</v>
      </c>
      <c r="B136" s="101" t="s">
        <v>217</v>
      </c>
      <c r="C136" s="34">
        <f>[29]С2!F38</f>
        <v>7</v>
      </c>
    </row>
    <row r="137" spans="1:4" ht="17.25">
      <c r="A137" s="59" t="s">
        <v>218</v>
      </c>
      <c r="B137" s="101" t="s">
        <v>219</v>
      </c>
      <c r="C137" s="34">
        <f>[29]С2!F40</f>
        <v>0.97</v>
      </c>
    </row>
    <row r="138" spans="1:4" ht="15" thickBot="1">
      <c r="A138" s="72" t="s">
        <v>220</v>
      </c>
      <c r="B138" s="102" t="s">
        <v>221</v>
      </c>
      <c r="C138" s="46">
        <f>[29]С2!F42</f>
        <v>0.35</v>
      </c>
    </row>
    <row r="139" spans="1:4" s="89" customFormat="1" ht="13.5" thickBot="1">
      <c r="A139" s="47"/>
      <c r="B139" s="75"/>
      <c r="C139" s="15"/>
    </row>
    <row r="140" spans="1:4" ht="30">
      <c r="A140" s="84" t="s">
        <v>222</v>
      </c>
      <c r="B140" s="103" t="s">
        <v>223</v>
      </c>
      <c r="C140" s="104">
        <f>[29]С2!F35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[29]С2.5!$E$11</f>
        <v>-2.9000000000000026E-2</v>
      </c>
      <c r="D143" s="89"/>
    </row>
    <row r="144" spans="1:4">
      <c r="A144" s="105"/>
      <c r="B144" s="110">
        <f>B143+1</f>
        <v>2021</v>
      </c>
      <c r="C144" s="111">
        <f>[29]С2.5!$F$11</f>
        <v>0.245</v>
      </c>
      <c r="D144" s="89"/>
    </row>
    <row r="145" spans="1:4">
      <c r="A145" s="105"/>
      <c r="B145" s="110">
        <f t="shared" ref="B145:B208" si="0">B144+1</f>
        <v>2022</v>
      </c>
      <c r="C145" s="111">
        <f>[29]С2.5!$G$11</f>
        <v>0.114</v>
      </c>
      <c r="D145" s="89"/>
    </row>
    <row r="146" spans="1:4" ht="13.5" thickBot="1">
      <c r="A146" s="105"/>
      <c r="B146" s="112">
        <f t="shared" si="0"/>
        <v>2023</v>
      </c>
      <c r="C146" s="113">
        <f>[29]С2.5!$H$11</f>
        <v>0.04</v>
      </c>
      <c r="D146" s="89"/>
    </row>
    <row r="147" spans="1:4">
      <c r="A147" s="105"/>
      <c r="B147" s="114">
        <f t="shared" si="0"/>
        <v>2024</v>
      </c>
      <c r="C147" s="115">
        <f>[29]С2.5!$I$11</f>
        <v>0.11700000000000001</v>
      </c>
      <c r="D147" s="89"/>
    </row>
    <row r="148" spans="1:4">
      <c r="A148" s="105"/>
      <c r="B148" s="110">
        <f t="shared" si="0"/>
        <v>2025</v>
      </c>
      <c r="C148" s="111">
        <f>[29]С2.5!$J$11</f>
        <v>6.0999999999999999E-2</v>
      </c>
      <c r="D148" s="89"/>
    </row>
    <row r="149" spans="1:4" hidden="1">
      <c r="A149" s="105"/>
      <c r="B149" s="110">
        <f t="shared" si="0"/>
        <v>2026</v>
      </c>
      <c r="C149" s="111">
        <f>[29]С2.5!$K$11</f>
        <v>3.5813361771260002E-2</v>
      </c>
      <c r="D149" s="89"/>
    </row>
    <row r="150" spans="1:4" hidden="1">
      <c r="A150" s="105"/>
      <c r="B150" s="110">
        <f t="shared" si="0"/>
        <v>2027</v>
      </c>
      <c r="C150" s="111">
        <f>[29]С2.5!$L$11</f>
        <v>3.2682303599220003E-2</v>
      </c>
      <c r="D150" s="89"/>
    </row>
    <row r="151" spans="1:4" hidden="1">
      <c r="A151" s="105"/>
      <c r="B151" s="110">
        <f t="shared" si="0"/>
        <v>2028</v>
      </c>
      <c r="C151" s="111">
        <f>[29]С2.5!$M$11</f>
        <v>0</v>
      </c>
      <c r="D151" s="89"/>
    </row>
    <row r="152" spans="1:4" hidden="1">
      <c r="A152" s="105"/>
      <c r="B152" s="110">
        <f t="shared" si="0"/>
        <v>2029</v>
      </c>
      <c r="C152" s="111">
        <f>[29]С2.5!$N$11</f>
        <v>0</v>
      </c>
      <c r="D152" s="89"/>
    </row>
    <row r="153" spans="1:4" hidden="1">
      <c r="A153" s="105"/>
      <c r="B153" s="110">
        <f t="shared" si="0"/>
        <v>2030</v>
      </c>
      <c r="C153" s="111">
        <f>[29]С2.5!$O$11</f>
        <v>0</v>
      </c>
      <c r="D153" s="89"/>
    </row>
    <row r="154" spans="1:4" hidden="1">
      <c r="A154" s="105"/>
      <c r="B154" s="110">
        <f t="shared" si="0"/>
        <v>2031</v>
      </c>
      <c r="C154" s="111">
        <f>[29]С2.5!$P$11</f>
        <v>0</v>
      </c>
      <c r="D154" s="89"/>
    </row>
    <row r="155" spans="1:4" hidden="1">
      <c r="A155" s="89"/>
      <c r="B155" s="110">
        <f t="shared" si="0"/>
        <v>2032</v>
      </c>
      <c r="C155" s="111">
        <f>[29]С2.5!$Q$11</f>
        <v>0</v>
      </c>
      <c r="D155" s="89"/>
    </row>
    <row r="156" spans="1:4" hidden="1">
      <c r="A156" s="89"/>
      <c r="B156" s="110">
        <f t="shared" si="0"/>
        <v>2033</v>
      </c>
      <c r="C156" s="111">
        <f>[29]С2.5!$R$11</f>
        <v>0</v>
      </c>
      <c r="D156" s="89"/>
    </row>
    <row r="157" spans="1:4" hidden="1">
      <c r="B157" s="110">
        <f t="shared" si="0"/>
        <v>2034</v>
      </c>
      <c r="C157" s="111">
        <f>[29]С2.5!$S$11</f>
        <v>0</v>
      </c>
    </row>
    <row r="158" spans="1:4" hidden="1">
      <c r="B158" s="110">
        <f t="shared" si="0"/>
        <v>2035</v>
      </c>
      <c r="C158" s="111">
        <f>[29]С2.5!$T$11</f>
        <v>0</v>
      </c>
    </row>
    <row r="159" spans="1:4" hidden="1">
      <c r="B159" s="110">
        <f t="shared" si="0"/>
        <v>2036</v>
      </c>
      <c r="C159" s="111">
        <f>[29]С2.5!$U$11</f>
        <v>0</v>
      </c>
    </row>
    <row r="160" spans="1:4" hidden="1">
      <c r="B160" s="110">
        <f t="shared" si="0"/>
        <v>2037</v>
      </c>
      <c r="C160" s="111">
        <f>[29]С2.5!$V$11</f>
        <v>0</v>
      </c>
    </row>
    <row r="161" spans="2:3" hidden="1">
      <c r="B161" s="110">
        <f t="shared" si="0"/>
        <v>2038</v>
      </c>
      <c r="C161" s="111">
        <f>[29]С2.5!$W$11</f>
        <v>0</v>
      </c>
    </row>
    <row r="162" spans="2:3" hidden="1">
      <c r="B162" s="110">
        <f t="shared" si="0"/>
        <v>2039</v>
      </c>
      <c r="C162" s="111">
        <f>[29]С2.5!$X$11</f>
        <v>0</v>
      </c>
    </row>
    <row r="163" spans="2:3" hidden="1">
      <c r="B163" s="110">
        <f t="shared" si="0"/>
        <v>2040</v>
      </c>
      <c r="C163" s="111">
        <f>[29]С2.5!$Y$11</f>
        <v>0</v>
      </c>
    </row>
    <row r="164" spans="2:3" hidden="1">
      <c r="B164" s="110">
        <f t="shared" si="0"/>
        <v>2041</v>
      </c>
      <c r="C164" s="111">
        <f>[29]С2.5!$Z$11</f>
        <v>0</v>
      </c>
    </row>
    <row r="165" spans="2:3" hidden="1">
      <c r="B165" s="110">
        <f t="shared" si="0"/>
        <v>2042</v>
      </c>
      <c r="C165" s="111">
        <f>[29]С2.5!$AA$11</f>
        <v>0</v>
      </c>
    </row>
    <row r="166" spans="2:3" hidden="1">
      <c r="B166" s="110">
        <f t="shared" si="0"/>
        <v>2043</v>
      </c>
      <c r="C166" s="111">
        <f>[29]С2.5!$AB$11</f>
        <v>0</v>
      </c>
    </row>
    <row r="167" spans="2:3" hidden="1">
      <c r="B167" s="110">
        <f t="shared" si="0"/>
        <v>2044</v>
      </c>
      <c r="C167" s="111">
        <f>[29]С2.5!$AC$11</f>
        <v>0</v>
      </c>
    </row>
    <row r="168" spans="2:3" hidden="1">
      <c r="B168" s="110">
        <f t="shared" si="0"/>
        <v>2045</v>
      </c>
      <c r="C168" s="111">
        <f>[29]С2.5!$AD$11</f>
        <v>0</v>
      </c>
    </row>
    <row r="169" spans="2:3" hidden="1">
      <c r="B169" s="110">
        <f t="shared" si="0"/>
        <v>2046</v>
      </c>
      <c r="C169" s="111">
        <f>[29]С2.5!$AE$11</f>
        <v>0</v>
      </c>
    </row>
    <row r="170" spans="2:3" hidden="1">
      <c r="B170" s="110">
        <f t="shared" si="0"/>
        <v>2047</v>
      </c>
      <c r="C170" s="111">
        <f>[29]С2.5!$AF$11</f>
        <v>0</v>
      </c>
    </row>
    <row r="171" spans="2:3" hidden="1">
      <c r="B171" s="110">
        <f t="shared" si="0"/>
        <v>2048</v>
      </c>
      <c r="C171" s="111">
        <f>[29]С2.5!$AG$11</f>
        <v>0</v>
      </c>
    </row>
    <row r="172" spans="2:3" hidden="1">
      <c r="B172" s="110">
        <f t="shared" si="0"/>
        <v>2049</v>
      </c>
      <c r="C172" s="111">
        <f>[29]С2.5!$AH$11</f>
        <v>0</v>
      </c>
    </row>
    <row r="173" spans="2:3" hidden="1">
      <c r="B173" s="110">
        <f t="shared" si="0"/>
        <v>2050</v>
      </c>
      <c r="C173" s="111">
        <f>[29]С2.5!$AI$11</f>
        <v>0</v>
      </c>
    </row>
    <row r="174" spans="2:3" hidden="1">
      <c r="B174" s="110">
        <f t="shared" si="0"/>
        <v>2051</v>
      </c>
      <c r="C174" s="111">
        <f>[29]С2.5!$AJ$11</f>
        <v>0</v>
      </c>
    </row>
    <row r="175" spans="2:3" hidden="1">
      <c r="B175" s="110">
        <f t="shared" si="0"/>
        <v>2052</v>
      </c>
      <c r="C175" s="111">
        <f>[29]С2.5!$AK$11</f>
        <v>0</v>
      </c>
    </row>
    <row r="176" spans="2:3" hidden="1">
      <c r="B176" s="110">
        <f t="shared" si="0"/>
        <v>2053</v>
      </c>
      <c r="C176" s="111">
        <f>[29]С2.5!$AL$11</f>
        <v>0</v>
      </c>
    </row>
    <row r="177" spans="2:3" hidden="1">
      <c r="B177" s="110">
        <f t="shared" si="0"/>
        <v>2054</v>
      </c>
      <c r="C177" s="111">
        <f>[29]С2.5!$AM$11</f>
        <v>0</v>
      </c>
    </row>
    <row r="178" spans="2:3" hidden="1">
      <c r="B178" s="110">
        <f t="shared" si="0"/>
        <v>2055</v>
      </c>
      <c r="C178" s="111">
        <f>[29]С2.5!$AN$11</f>
        <v>0</v>
      </c>
    </row>
    <row r="179" spans="2:3" hidden="1">
      <c r="B179" s="110">
        <f t="shared" si="0"/>
        <v>2056</v>
      </c>
      <c r="C179" s="111">
        <f>[29]С2.5!$AO$11</f>
        <v>0</v>
      </c>
    </row>
    <row r="180" spans="2:3" hidden="1">
      <c r="B180" s="110">
        <f t="shared" si="0"/>
        <v>2057</v>
      </c>
      <c r="C180" s="111">
        <f>[29]С2.5!$AP$11</f>
        <v>0</v>
      </c>
    </row>
    <row r="181" spans="2:3" hidden="1">
      <c r="B181" s="110">
        <f t="shared" si="0"/>
        <v>2058</v>
      </c>
      <c r="C181" s="111">
        <f>[29]С2.5!$AQ$11</f>
        <v>0</v>
      </c>
    </row>
    <row r="182" spans="2:3" hidden="1">
      <c r="B182" s="110">
        <f t="shared" si="0"/>
        <v>2059</v>
      </c>
      <c r="C182" s="111">
        <f>[29]С2.5!$AR$11</f>
        <v>0</v>
      </c>
    </row>
    <row r="183" spans="2:3" hidden="1">
      <c r="B183" s="110">
        <f t="shared" si="0"/>
        <v>2060</v>
      </c>
      <c r="C183" s="111">
        <f>[29]С2.5!$AS$11</f>
        <v>0</v>
      </c>
    </row>
    <row r="184" spans="2:3" hidden="1">
      <c r="B184" s="110">
        <f t="shared" si="0"/>
        <v>2061</v>
      </c>
      <c r="C184" s="111">
        <f>[29]С2.5!$AT$11</f>
        <v>0</v>
      </c>
    </row>
    <row r="185" spans="2:3" hidden="1">
      <c r="B185" s="110">
        <f t="shared" si="0"/>
        <v>2062</v>
      </c>
      <c r="C185" s="111">
        <f>[29]С2.5!$AU$11</f>
        <v>0</v>
      </c>
    </row>
    <row r="186" spans="2:3" hidden="1">
      <c r="B186" s="110">
        <f t="shared" si="0"/>
        <v>2063</v>
      </c>
      <c r="C186" s="111">
        <f>[29]С2.5!$AV$11</f>
        <v>0</v>
      </c>
    </row>
    <row r="187" spans="2:3" hidden="1">
      <c r="B187" s="110">
        <f t="shared" si="0"/>
        <v>2064</v>
      </c>
      <c r="C187" s="111">
        <f>[29]С2.5!$AW$11</f>
        <v>0</v>
      </c>
    </row>
    <row r="188" spans="2:3" hidden="1">
      <c r="B188" s="110">
        <f t="shared" si="0"/>
        <v>2065</v>
      </c>
      <c r="C188" s="111">
        <f>[29]С2.5!$AX$11</f>
        <v>0</v>
      </c>
    </row>
    <row r="189" spans="2:3" hidden="1">
      <c r="B189" s="110">
        <f t="shared" si="0"/>
        <v>2066</v>
      </c>
      <c r="C189" s="111">
        <f>[29]С2.5!$AY$11</f>
        <v>0</v>
      </c>
    </row>
    <row r="190" spans="2:3" hidden="1">
      <c r="B190" s="110">
        <f t="shared" si="0"/>
        <v>2067</v>
      </c>
      <c r="C190" s="111">
        <f>[29]С2.5!$AZ$11</f>
        <v>0</v>
      </c>
    </row>
    <row r="191" spans="2:3" hidden="1">
      <c r="B191" s="110">
        <f t="shared" si="0"/>
        <v>2068</v>
      </c>
      <c r="C191" s="111">
        <f>[29]С2.5!$BA$11</f>
        <v>0</v>
      </c>
    </row>
    <row r="192" spans="2:3" hidden="1">
      <c r="B192" s="110">
        <f t="shared" si="0"/>
        <v>2069</v>
      </c>
      <c r="C192" s="111">
        <f>[29]С2.5!$BB$11</f>
        <v>0</v>
      </c>
    </row>
    <row r="193" spans="2:3" hidden="1">
      <c r="B193" s="110">
        <f t="shared" si="0"/>
        <v>2070</v>
      </c>
      <c r="C193" s="111">
        <f>[29]С2.5!$BC$11</f>
        <v>0</v>
      </c>
    </row>
    <row r="194" spans="2:3" hidden="1">
      <c r="B194" s="110">
        <f t="shared" si="0"/>
        <v>2071</v>
      </c>
      <c r="C194" s="111">
        <f>[29]С2.5!$BD$11</f>
        <v>0</v>
      </c>
    </row>
    <row r="195" spans="2:3" hidden="1">
      <c r="B195" s="110">
        <f t="shared" si="0"/>
        <v>2072</v>
      </c>
      <c r="C195" s="111">
        <f>[29]С2.5!$BE$11</f>
        <v>0</v>
      </c>
    </row>
    <row r="196" spans="2:3" hidden="1">
      <c r="B196" s="110">
        <f t="shared" si="0"/>
        <v>2073</v>
      </c>
      <c r="C196" s="111">
        <f>[29]С2.5!$BF$11</f>
        <v>0</v>
      </c>
    </row>
    <row r="197" spans="2:3" hidden="1">
      <c r="B197" s="110">
        <f t="shared" si="0"/>
        <v>2074</v>
      </c>
      <c r="C197" s="111">
        <f>[29]С2.5!$BG$11</f>
        <v>0</v>
      </c>
    </row>
    <row r="198" spans="2:3" hidden="1">
      <c r="B198" s="110">
        <f t="shared" si="0"/>
        <v>2075</v>
      </c>
      <c r="C198" s="111">
        <f>[29]С2.5!$BH$11</f>
        <v>0</v>
      </c>
    </row>
    <row r="199" spans="2:3" hidden="1">
      <c r="B199" s="110">
        <f t="shared" si="0"/>
        <v>2076</v>
      </c>
      <c r="C199" s="111">
        <f>[29]С2.5!$BI$11</f>
        <v>0</v>
      </c>
    </row>
    <row r="200" spans="2:3" hidden="1">
      <c r="B200" s="110">
        <f t="shared" si="0"/>
        <v>2077</v>
      </c>
      <c r="C200" s="111">
        <f>[29]С2.5!$BJ$11</f>
        <v>0</v>
      </c>
    </row>
    <row r="201" spans="2:3" hidden="1">
      <c r="B201" s="110">
        <f t="shared" si="0"/>
        <v>2078</v>
      </c>
      <c r="C201" s="111">
        <f>[29]С2.5!$BK$11</f>
        <v>0</v>
      </c>
    </row>
    <row r="202" spans="2:3" hidden="1">
      <c r="B202" s="110">
        <f t="shared" si="0"/>
        <v>2079</v>
      </c>
      <c r="C202" s="111">
        <f>[29]С2.5!$BL$11</f>
        <v>0</v>
      </c>
    </row>
    <row r="203" spans="2:3" hidden="1">
      <c r="B203" s="110">
        <f t="shared" si="0"/>
        <v>2080</v>
      </c>
      <c r="C203" s="111">
        <f>[29]С2.5!$BM$11</f>
        <v>0</v>
      </c>
    </row>
    <row r="204" spans="2:3" hidden="1">
      <c r="B204" s="110">
        <f t="shared" si="0"/>
        <v>2081</v>
      </c>
      <c r="C204" s="111">
        <f>[29]С2.5!$BN$11</f>
        <v>0</v>
      </c>
    </row>
    <row r="205" spans="2:3" hidden="1">
      <c r="B205" s="110">
        <f t="shared" si="0"/>
        <v>2082</v>
      </c>
      <c r="C205" s="111">
        <f>[29]С2.5!$BO$11</f>
        <v>0</v>
      </c>
    </row>
    <row r="206" spans="2:3" hidden="1">
      <c r="B206" s="110">
        <f t="shared" si="0"/>
        <v>2083</v>
      </c>
      <c r="C206" s="111">
        <f>[29]С2.5!$BP$11</f>
        <v>0</v>
      </c>
    </row>
    <row r="207" spans="2:3" hidden="1">
      <c r="B207" s="110">
        <f t="shared" si="0"/>
        <v>2084</v>
      </c>
      <c r="C207" s="111">
        <f>[29]С2.5!$BQ$11</f>
        <v>0</v>
      </c>
    </row>
    <row r="208" spans="2:3" hidden="1">
      <c r="B208" s="110">
        <f t="shared" si="0"/>
        <v>2085</v>
      </c>
      <c r="C208" s="111">
        <f>[29]С2.5!$BR$11</f>
        <v>0</v>
      </c>
    </row>
    <row r="209" spans="2:3" hidden="1">
      <c r="B209" s="110">
        <f t="shared" ref="B209:B223" si="1">B208+1</f>
        <v>2086</v>
      </c>
      <c r="C209" s="111">
        <f>[29]С2.5!$BS$11</f>
        <v>0</v>
      </c>
    </row>
    <row r="210" spans="2:3" hidden="1">
      <c r="B210" s="110">
        <f t="shared" si="1"/>
        <v>2087</v>
      </c>
      <c r="C210" s="111">
        <f>[29]С2.5!$BT$11</f>
        <v>0</v>
      </c>
    </row>
    <row r="211" spans="2:3" hidden="1">
      <c r="B211" s="110">
        <f t="shared" si="1"/>
        <v>2088</v>
      </c>
      <c r="C211" s="111">
        <f>[29]С2.5!$BU$11</f>
        <v>0</v>
      </c>
    </row>
    <row r="212" spans="2:3" hidden="1">
      <c r="B212" s="110">
        <f t="shared" si="1"/>
        <v>2089</v>
      </c>
      <c r="C212" s="111">
        <f>[29]С2.5!$BV$11</f>
        <v>0</v>
      </c>
    </row>
    <row r="213" spans="2:3" hidden="1">
      <c r="B213" s="110">
        <f t="shared" si="1"/>
        <v>2090</v>
      </c>
      <c r="C213" s="111">
        <f>[29]С2.5!$BW$11</f>
        <v>0</v>
      </c>
    </row>
    <row r="214" spans="2:3" hidden="1">
      <c r="B214" s="110">
        <f t="shared" si="1"/>
        <v>2091</v>
      </c>
      <c r="C214" s="111">
        <f>[29]С2.5!$BX$11</f>
        <v>0</v>
      </c>
    </row>
    <row r="215" spans="2:3" hidden="1">
      <c r="B215" s="110">
        <f t="shared" si="1"/>
        <v>2092</v>
      </c>
      <c r="C215" s="111">
        <f>[29]С2.5!$BY$11</f>
        <v>0</v>
      </c>
    </row>
    <row r="216" spans="2:3" hidden="1">
      <c r="B216" s="110">
        <f t="shared" si="1"/>
        <v>2093</v>
      </c>
      <c r="C216" s="111">
        <f>[29]С2.5!$BZ$11</f>
        <v>0</v>
      </c>
    </row>
    <row r="217" spans="2:3" hidden="1">
      <c r="B217" s="110">
        <f t="shared" si="1"/>
        <v>2094</v>
      </c>
      <c r="C217" s="111">
        <f>[29]С2.5!$CA$11</f>
        <v>0</v>
      </c>
    </row>
    <row r="218" spans="2:3" hidden="1">
      <c r="B218" s="110">
        <f t="shared" si="1"/>
        <v>2095</v>
      </c>
      <c r="C218" s="111">
        <f>[29]С2.5!$CB$11</f>
        <v>0</v>
      </c>
    </row>
    <row r="219" spans="2:3" hidden="1">
      <c r="B219" s="110">
        <f t="shared" si="1"/>
        <v>2096</v>
      </c>
      <c r="C219" s="111">
        <f>[29]С2.5!$CC$11</f>
        <v>0</v>
      </c>
    </row>
    <row r="220" spans="2:3" hidden="1">
      <c r="B220" s="110">
        <f t="shared" si="1"/>
        <v>2097</v>
      </c>
      <c r="C220" s="111">
        <f>[29]С2.5!$CD$11</f>
        <v>0</v>
      </c>
    </row>
    <row r="221" spans="2:3" hidden="1">
      <c r="B221" s="110">
        <f t="shared" si="1"/>
        <v>2098</v>
      </c>
      <c r="C221" s="111">
        <f>[29]С2.5!$CE$11</f>
        <v>0</v>
      </c>
    </row>
    <row r="222" spans="2:3" hidden="1">
      <c r="B222" s="110">
        <f t="shared" si="1"/>
        <v>2099</v>
      </c>
      <c r="C222" s="111">
        <f>[29]С2.5!$CF$11</f>
        <v>0</v>
      </c>
    </row>
    <row r="223" spans="2:3" ht="13.5" hidden="1" thickBot="1">
      <c r="B223" s="112">
        <f t="shared" si="1"/>
        <v>2100</v>
      </c>
      <c r="C223" s="113">
        <f>[29]С2.5!$CG$11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4" r:id="rId3" name="Button 2">
              <controlPr defaultSize="0" print="0" autoFill="0" autoPict="0" macro="[3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3315" r:id="rId4" name="Button 3">
              <controlPr defaultSize="0" print="0" autoFill="0" autoPict="0" macro="[2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[31]И1!D13</f>
        <v>Субъект Российской Федерации</v>
      </c>
      <c r="C4" s="10" t="str">
        <f>[31]И1!E13</f>
        <v>Новосибирская область</v>
      </c>
    </row>
    <row r="5" spans="1:3" ht="46.9" customHeight="1">
      <c r="A5" s="8"/>
      <c r="B5" s="9" t="str">
        <f>[31]И1!D14</f>
        <v>Тип муниципального образования (выберите из списка)</v>
      </c>
      <c r="C5" s="10" t="str">
        <f>[31]И1!E14</f>
        <v>деревня Кудрино, Тогучинский муниципальный район</v>
      </c>
    </row>
    <row r="6" spans="1:3">
      <c r="A6" s="8"/>
      <c r="B6" s="9" t="str">
        <f>IF([31]И1!E15="","",[31]И1!D15)</f>
        <v/>
      </c>
      <c r="C6" s="10" t="str">
        <f>IF([31]И1!E15="","",[31]И1!E15)</f>
        <v/>
      </c>
    </row>
    <row r="7" spans="1:3" ht="25.5">
      <c r="A7" s="8"/>
      <c r="B7" s="9" t="str">
        <f>[31]И1!D16</f>
        <v>Код ОКТМО</v>
      </c>
      <c r="C7" s="11" t="str">
        <f>[31]И1!E16</f>
        <v xml:space="preserve">50652433101
</v>
      </c>
    </row>
    <row r="8" spans="1:3">
      <c r="A8" s="8"/>
      <c r="B8" s="12" t="str">
        <f>[31]И1!D17</f>
        <v>Система теплоснабжения</v>
      </c>
      <c r="C8" s="13">
        <f>[31]И1!E17</f>
        <v>0</v>
      </c>
    </row>
    <row r="9" spans="1:3">
      <c r="A9" s="8"/>
      <c r="B9" s="9" t="str">
        <f>[31]И1!D8</f>
        <v>Период регулирования (i)-й</v>
      </c>
      <c r="C9" s="14">
        <f>[31]И1!E8</f>
        <v>2025</v>
      </c>
    </row>
    <row r="10" spans="1:3">
      <c r="A10" s="8"/>
      <c r="B10" s="9" t="str">
        <f>[31]И1!D9</f>
        <v>Период регулирования (i-1)-й</v>
      </c>
      <c r="C10" s="14">
        <f>[31]И1!E9</f>
        <v>2024</v>
      </c>
    </row>
    <row r="11" spans="1:3">
      <c r="A11" s="8"/>
      <c r="B11" s="9" t="str">
        <f>[31]И1!D10</f>
        <v>Период регулирования (i-2)-й</v>
      </c>
      <c r="C11" s="14">
        <f>[31]И1!E10</f>
        <v>2023</v>
      </c>
    </row>
    <row r="12" spans="1:3">
      <c r="A12" s="8"/>
      <c r="B12" s="9" t="str">
        <f>[31]И1!D11</f>
        <v>Базовый год (б)</v>
      </c>
      <c r="C12" s="14">
        <f>[31]И1!E11</f>
        <v>2019</v>
      </c>
    </row>
    <row r="13" spans="1:3" ht="38.25">
      <c r="A13" s="8"/>
      <c r="B13" s="9" t="str">
        <f>[31]И1!D18</f>
        <v>Вид топлива, использование которого преобладает в системе теплоснабжения</v>
      </c>
      <c r="C13" s="15" t="str">
        <f>[31]С1.1!E13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5383.7693963421425</v>
      </c>
    </row>
    <row r="18" spans="1:3" ht="42.75">
      <c r="A18" s="22" t="s">
        <v>8</v>
      </c>
      <c r="B18" s="25" t="s">
        <v>9</v>
      </c>
      <c r="C18" s="26">
        <f>[31]С1!F12</f>
        <v>795.80460480398301</v>
      </c>
    </row>
    <row r="19" spans="1:3" ht="42.75">
      <c r="A19" s="22" t="s">
        <v>10</v>
      </c>
      <c r="B19" s="25" t="s">
        <v>11</v>
      </c>
      <c r="C19" s="26">
        <f>[31]С2!F12</f>
        <v>3056.1591261705735</v>
      </c>
    </row>
    <row r="20" spans="1:3" ht="30">
      <c r="A20" s="22" t="s">
        <v>12</v>
      </c>
      <c r="B20" s="25" t="s">
        <v>13</v>
      </c>
      <c r="C20" s="26">
        <f>[31]С3!F12</f>
        <v>915.44743976410246</v>
      </c>
    </row>
    <row r="21" spans="1:3" ht="42.75">
      <c r="A21" s="22" t="s">
        <v>14</v>
      </c>
      <c r="B21" s="25" t="s">
        <v>15</v>
      </c>
      <c r="C21" s="26">
        <f>[31]С4!F12</f>
        <v>510.79411979285351</v>
      </c>
    </row>
    <row r="22" spans="1:3" ht="30">
      <c r="A22" s="22" t="s">
        <v>16</v>
      </c>
      <c r="B22" s="25" t="s">
        <v>17</v>
      </c>
      <c r="C22" s="26">
        <f>[31]С5!F12</f>
        <v>105.56410581063025</v>
      </c>
    </row>
    <row r="23" spans="1:3" ht="43.5" thickBot="1">
      <c r="A23" s="27" t="s">
        <v>18</v>
      </c>
      <c r="B23" s="140" t="s">
        <v>19</v>
      </c>
      <c r="C23" s="28" t="str">
        <f>[31]С6!F12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[31]С1.1!E16</f>
        <v>5100</v>
      </c>
    </row>
    <row r="29" spans="1:3" ht="42.75">
      <c r="A29" s="22" t="s">
        <v>10</v>
      </c>
      <c r="B29" s="33" t="s">
        <v>22</v>
      </c>
      <c r="C29" s="34">
        <f>[31]С1.1!E27</f>
        <v>2870.67</v>
      </c>
    </row>
    <row r="30" spans="1:3" ht="17.25">
      <c r="A30" s="22" t="s">
        <v>12</v>
      </c>
      <c r="B30" s="33" t="s">
        <v>23</v>
      </c>
      <c r="C30" s="35">
        <f>[31]С1.1!E19</f>
        <v>1.4E-2</v>
      </c>
    </row>
    <row r="31" spans="1:3" ht="17.25">
      <c r="A31" s="22" t="s">
        <v>14</v>
      </c>
      <c r="B31" s="33" t="s">
        <v>24</v>
      </c>
      <c r="C31" s="35">
        <f>[31]С1.1!E20</f>
        <v>0.04</v>
      </c>
    </row>
    <row r="32" spans="1:3" ht="30">
      <c r="A32" s="22" t="s">
        <v>16</v>
      </c>
      <c r="B32" s="36" t="s">
        <v>25</v>
      </c>
      <c r="C32" s="37">
        <f>[31]С1!F13</f>
        <v>176.4</v>
      </c>
    </row>
    <row r="33" spans="1:3">
      <c r="A33" s="22" t="s">
        <v>18</v>
      </c>
      <c r="B33" s="36" t="s">
        <v>26</v>
      </c>
      <c r="C33" s="38">
        <f>[31]С1!F16</f>
        <v>7000</v>
      </c>
    </row>
    <row r="34" spans="1:3" ht="14.25">
      <c r="A34" s="22" t="s">
        <v>27</v>
      </c>
      <c r="B34" s="39" t="s">
        <v>28</v>
      </c>
      <c r="C34" s="40">
        <f>[31]С1!F17</f>
        <v>0.72857142857142854</v>
      </c>
    </row>
    <row r="35" spans="1:3" ht="15.75">
      <c r="A35" s="41" t="s">
        <v>29</v>
      </c>
      <c r="B35" s="42" t="s">
        <v>30</v>
      </c>
      <c r="C35" s="40">
        <f>[31]С1!F20</f>
        <v>21.588411179999994</v>
      </c>
    </row>
    <row r="36" spans="1:3" ht="15.75">
      <c r="A36" s="41" t="s">
        <v>31</v>
      </c>
      <c r="B36" s="43" t="s">
        <v>32</v>
      </c>
      <c r="C36" s="40">
        <f>[31]С1!F21</f>
        <v>20.818139999999996</v>
      </c>
    </row>
    <row r="37" spans="1:3" ht="14.25">
      <c r="A37" s="41" t="s">
        <v>33</v>
      </c>
      <c r="B37" s="44" t="s">
        <v>34</v>
      </c>
      <c r="C37" s="40">
        <f>[31]С1!F22</f>
        <v>1.0369999999999999</v>
      </c>
    </row>
    <row r="38" spans="1:3" ht="53.25" thickBot="1">
      <c r="A38" s="27" t="s">
        <v>35</v>
      </c>
      <c r="B38" s="45" t="s">
        <v>36</v>
      </c>
      <c r="C38" s="46">
        <f>[31]С1!F23</f>
        <v>1.0469999999999999</v>
      </c>
    </row>
    <row r="39" spans="1:3" ht="13.5" thickBot="1">
      <c r="A39" s="47"/>
      <c r="B39" s="48"/>
      <c r="C39" s="49"/>
    </row>
    <row r="40" spans="1:3" ht="36.75" customHeight="1">
      <c r="A40" s="50" t="s">
        <v>37</v>
      </c>
      <c r="B40" s="146" t="s">
        <v>38</v>
      </c>
      <c r="C40" s="146"/>
    </row>
    <row r="41" spans="1:3" ht="25.5">
      <c r="A41" s="22" t="s">
        <v>39</v>
      </c>
      <c r="B41" s="36" t="s">
        <v>40</v>
      </c>
      <c r="C41" s="51" t="str">
        <f>[31]С2.1!E12</f>
        <v>V</v>
      </c>
    </row>
    <row r="42" spans="1:3" ht="25.5">
      <c r="A42" s="22" t="s">
        <v>41</v>
      </c>
      <c r="B42" s="33" t="s">
        <v>42</v>
      </c>
      <c r="C42" s="51" t="str">
        <f>[31]С2.1!E13</f>
        <v>6 и менее баллов</v>
      </c>
    </row>
    <row r="43" spans="1:3" ht="25.5">
      <c r="A43" s="22" t="s">
        <v>43</v>
      </c>
      <c r="B43" s="33" t="s">
        <v>44</v>
      </c>
      <c r="C43" s="51" t="str">
        <f>[31]С2.1!E14</f>
        <v>от 200 до 500</v>
      </c>
    </row>
    <row r="44" spans="1:3" ht="25.5">
      <c r="A44" s="22" t="s">
        <v>45</v>
      </c>
      <c r="B44" s="33" t="s">
        <v>46</v>
      </c>
      <c r="C44" s="52" t="str">
        <f>[31]С2.1!E15</f>
        <v>нет</v>
      </c>
    </row>
    <row r="45" spans="1:3" ht="30">
      <c r="A45" s="22" t="s">
        <v>47</v>
      </c>
      <c r="B45" s="33" t="s">
        <v>48</v>
      </c>
      <c r="C45" s="34">
        <f>[31]С2!F18</f>
        <v>38910.02669467502</v>
      </c>
    </row>
    <row r="46" spans="1:3" ht="30">
      <c r="A46" s="22" t="s">
        <v>49</v>
      </c>
      <c r="B46" s="53" t="s">
        <v>50</v>
      </c>
      <c r="C46" s="34">
        <f>IF([31]С2!F19&gt;0,[31]С2!F19,[31]С2!F20)</f>
        <v>23441.524932855718</v>
      </c>
    </row>
    <row r="47" spans="1:3" ht="25.5">
      <c r="A47" s="22" t="s">
        <v>51</v>
      </c>
      <c r="B47" s="54" t="s">
        <v>52</v>
      </c>
      <c r="C47" s="34">
        <f>[31]С2.1!E19</f>
        <v>-38</v>
      </c>
    </row>
    <row r="48" spans="1:3" ht="25.5">
      <c r="A48" s="22" t="s">
        <v>53</v>
      </c>
      <c r="B48" s="54" t="s">
        <v>54</v>
      </c>
      <c r="C48" s="34" t="str">
        <f>[31]С2.1!E22</f>
        <v>нет</v>
      </c>
    </row>
    <row r="49" spans="1:3" ht="38.25">
      <c r="A49" s="22" t="s">
        <v>55</v>
      </c>
      <c r="B49" s="55" t="s">
        <v>56</v>
      </c>
      <c r="C49" s="34">
        <f>[31]С2.2!E10</f>
        <v>1287</v>
      </c>
    </row>
    <row r="50" spans="1:3" ht="25.5">
      <c r="A50" s="22" t="s">
        <v>57</v>
      </c>
      <c r="B50" s="56" t="s">
        <v>58</v>
      </c>
      <c r="C50" s="34">
        <f>[31]С2.2!E12</f>
        <v>5.97</v>
      </c>
    </row>
    <row r="51" spans="1:3" ht="52.5">
      <c r="A51" s="22" t="s">
        <v>59</v>
      </c>
      <c r="B51" s="57" t="s">
        <v>60</v>
      </c>
      <c r="C51" s="34">
        <f>[31]С2.2!E13</f>
        <v>1</v>
      </c>
    </row>
    <row r="52" spans="1:3" ht="27.75">
      <c r="A52" s="22" t="s">
        <v>61</v>
      </c>
      <c r="B52" s="56" t="s">
        <v>62</v>
      </c>
      <c r="C52" s="34">
        <f>[31]С2.2!E14</f>
        <v>12104</v>
      </c>
    </row>
    <row r="53" spans="1:3" ht="25.5">
      <c r="A53" s="22" t="s">
        <v>63</v>
      </c>
      <c r="B53" s="57" t="s">
        <v>64</v>
      </c>
      <c r="C53" s="35">
        <f>[31]С2.2!E15</f>
        <v>4.8000000000000001E-2</v>
      </c>
    </row>
    <row r="54" spans="1:3">
      <c r="A54" s="22" t="s">
        <v>65</v>
      </c>
      <c r="B54" s="57" t="s">
        <v>66</v>
      </c>
      <c r="C54" s="34">
        <f>[31]С2.2!E16</f>
        <v>1</v>
      </c>
    </row>
    <row r="55" spans="1:3" ht="15.75">
      <c r="A55" s="22" t="s">
        <v>67</v>
      </c>
      <c r="B55" s="58" t="s">
        <v>68</v>
      </c>
      <c r="C55" s="34">
        <f>[31]С2!F21</f>
        <v>1</v>
      </c>
    </row>
    <row r="56" spans="1:3" ht="30">
      <c r="A56" s="59" t="s">
        <v>69</v>
      </c>
      <c r="B56" s="33" t="s">
        <v>70</v>
      </c>
      <c r="C56" s="34">
        <f>[31]С2!F13</f>
        <v>203708.97017230222</v>
      </c>
    </row>
    <row r="57" spans="1:3" ht="30">
      <c r="A57" s="59" t="s">
        <v>71</v>
      </c>
      <c r="B57" s="58" t="s">
        <v>72</v>
      </c>
      <c r="C57" s="34">
        <f>[31]С2!F14</f>
        <v>113455</v>
      </c>
    </row>
    <row r="58" spans="1:3" ht="15.75">
      <c r="A58" s="59" t="s">
        <v>73</v>
      </c>
      <c r="B58" s="60" t="s">
        <v>74</v>
      </c>
      <c r="C58" s="40">
        <f>[31]С2!F15</f>
        <v>1.071</v>
      </c>
    </row>
    <row r="59" spans="1:3" ht="15.75">
      <c r="A59" s="59" t="s">
        <v>75</v>
      </c>
      <c r="B59" s="60" t="s">
        <v>76</v>
      </c>
      <c r="C59" s="40">
        <f>[31]С2!F16</f>
        <v>1</v>
      </c>
    </row>
    <row r="60" spans="1:3" ht="17.25">
      <c r="A60" s="59" t="s">
        <v>77</v>
      </c>
      <c r="B60" s="58" t="s">
        <v>78</v>
      </c>
      <c r="C60" s="34">
        <f>[31]С2!F17</f>
        <v>1.01</v>
      </c>
    </row>
    <row r="61" spans="1:3" s="63" customFormat="1" ht="14.25">
      <c r="A61" s="59" t="s">
        <v>79</v>
      </c>
      <c r="B61" s="61" t="s">
        <v>80</v>
      </c>
      <c r="C61" s="62">
        <f>[31]С2!F33</f>
        <v>10</v>
      </c>
    </row>
    <row r="62" spans="1:3" ht="30">
      <c r="A62" s="59" t="s">
        <v>81</v>
      </c>
      <c r="B62" s="64" t="s">
        <v>82</v>
      </c>
      <c r="C62" s="34">
        <f>[31]С2!F26</f>
        <v>2416.4994928434235</v>
      </c>
    </row>
    <row r="63" spans="1:3" ht="17.25">
      <c r="A63" s="59" t="s">
        <v>83</v>
      </c>
      <c r="B63" s="53" t="s">
        <v>84</v>
      </c>
      <c r="C63" s="34">
        <f>[31]С2!F27</f>
        <v>0.34662649000000001</v>
      </c>
    </row>
    <row r="64" spans="1:3" ht="17.25">
      <c r="A64" s="59" t="s">
        <v>85</v>
      </c>
      <c r="B64" s="58" t="s">
        <v>86</v>
      </c>
      <c r="C64" s="62">
        <f>[31]С2!F28</f>
        <v>4200</v>
      </c>
    </row>
    <row r="65" spans="1:3" ht="42.75">
      <c r="A65" s="59" t="s">
        <v>87</v>
      </c>
      <c r="B65" s="33" t="s">
        <v>88</v>
      </c>
      <c r="C65" s="34">
        <f>[31]С2!F22</f>
        <v>42890.921752741691</v>
      </c>
    </row>
    <row r="66" spans="1:3" ht="30">
      <c r="A66" s="59" t="s">
        <v>89</v>
      </c>
      <c r="B66" s="60" t="s">
        <v>90</v>
      </c>
      <c r="C66" s="34">
        <f>[31]С2!F23</f>
        <v>1990</v>
      </c>
    </row>
    <row r="67" spans="1:3" ht="30">
      <c r="A67" s="59" t="s">
        <v>91</v>
      </c>
      <c r="B67" s="53" t="s">
        <v>92</v>
      </c>
      <c r="C67" s="34">
        <f>[31]С2.1!E27</f>
        <v>14307.876789999998</v>
      </c>
    </row>
    <row r="68" spans="1:3" ht="38.25">
      <c r="A68" s="59" t="s">
        <v>93</v>
      </c>
      <c r="B68" s="65" t="s">
        <v>94</v>
      </c>
      <c r="C68" s="52">
        <f>[31]С2.3!E21</f>
        <v>0</v>
      </c>
    </row>
    <row r="69" spans="1:3" ht="25.5">
      <c r="A69" s="59" t="s">
        <v>95</v>
      </c>
      <c r="B69" s="66" t="s">
        <v>96</v>
      </c>
      <c r="C69" s="67">
        <f>[31]С2.3!E11</f>
        <v>9.89</v>
      </c>
    </row>
    <row r="70" spans="1:3" ht="25.5">
      <c r="A70" s="59" t="s">
        <v>97</v>
      </c>
      <c r="B70" s="66" t="s">
        <v>98</v>
      </c>
      <c r="C70" s="62">
        <f>[31]С2.3!E13</f>
        <v>300</v>
      </c>
    </row>
    <row r="71" spans="1:3" ht="25.5">
      <c r="A71" s="59" t="s">
        <v>99</v>
      </c>
      <c r="B71" s="65" t="s">
        <v>100</v>
      </c>
      <c r="C71" s="68">
        <f>IF([31]С2.3!E22&gt;0,[31]С2.3!E22,[31]С2.3!E14)</f>
        <v>61211</v>
      </c>
    </row>
    <row r="72" spans="1:3" ht="38.25">
      <c r="A72" s="59" t="s">
        <v>101</v>
      </c>
      <c r="B72" s="65" t="s">
        <v>102</v>
      </c>
      <c r="C72" s="68">
        <f>IF([31]С2.3!E23&gt;0,[31]С2.3!E23,[31]С2.3!E15)</f>
        <v>45675</v>
      </c>
    </row>
    <row r="73" spans="1:3" ht="30">
      <c r="A73" s="59" t="s">
        <v>103</v>
      </c>
      <c r="B73" s="53" t="s">
        <v>104</v>
      </c>
      <c r="C73" s="34">
        <f>[31]С2.1!E28</f>
        <v>9541.9567200000001</v>
      </c>
    </row>
    <row r="74" spans="1:3" ht="38.25">
      <c r="A74" s="59" t="s">
        <v>105</v>
      </c>
      <c r="B74" s="65" t="s">
        <v>106</v>
      </c>
      <c r="C74" s="52">
        <f>[31]С2.3!E25</f>
        <v>0</v>
      </c>
    </row>
    <row r="75" spans="1:3" ht="25.5">
      <c r="A75" s="59" t="s">
        <v>107</v>
      </c>
      <c r="B75" s="66" t="s">
        <v>108</v>
      </c>
      <c r="C75" s="67">
        <f>[31]С2.3!E12</f>
        <v>0.56000000000000005</v>
      </c>
    </row>
    <row r="76" spans="1:3" ht="25.5">
      <c r="A76" s="59" t="s">
        <v>109</v>
      </c>
      <c r="B76" s="66" t="s">
        <v>98</v>
      </c>
      <c r="C76" s="62">
        <f>[31]С2.3!E13</f>
        <v>300</v>
      </c>
    </row>
    <row r="77" spans="1:3" ht="25.5">
      <c r="A77" s="59" t="s">
        <v>110</v>
      </c>
      <c r="B77" s="69" t="s">
        <v>111</v>
      </c>
      <c r="C77" s="68">
        <f>IF([31]С2.3!E26&gt;0,[31]С2.3!E26,[31]С2.3!E16)</f>
        <v>65637</v>
      </c>
    </row>
    <row r="78" spans="1:3" ht="38.25">
      <c r="A78" s="59" t="s">
        <v>112</v>
      </c>
      <c r="B78" s="69" t="s">
        <v>113</v>
      </c>
      <c r="C78" s="68">
        <f>IF([31]С2.3!E27&gt;0,[31]С2.3!E27,[31]С2.3!E17)</f>
        <v>31684</v>
      </c>
    </row>
    <row r="79" spans="1:3" ht="17.25">
      <c r="A79" s="59" t="s">
        <v>114</v>
      </c>
      <c r="B79" s="33" t="s">
        <v>115</v>
      </c>
      <c r="C79" s="35">
        <f>[31]С2!F29</f>
        <v>0.17804631770487722</v>
      </c>
    </row>
    <row r="80" spans="1:3" ht="30">
      <c r="A80" s="59" t="s">
        <v>116</v>
      </c>
      <c r="B80" s="53" t="s">
        <v>117</v>
      </c>
      <c r="C80" s="70">
        <f>[31]С2!F30</f>
        <v>0.1652189781021898</v>
      </c>
    </row>
    <row r="81" spans="1:3" ht="17.25">
      <c r="A81" s="59" t="s">
        <v>118</v>
      </c>
      <c r="B81" s="71" t="s">
        <v>119</v>
      </c>
      <c r="C81" s="35">
        <f>[31]С2!F31</f>
        <v>0.13880000000000001</v>
      </c>
    </row>
    <row r="82" spans="1:3" s="63" customFormat="1" ht="18" thickBot="1">
      <c r="A82" s="72" t="s">
        <v>120</v>
      </c>
      <c r="B82" s="73" t="s">
        <v>121</v>
      </c>
      <c r="C82" s="74">
        <f>[31]С2!F32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[31]С3!F14</f>
        <v>14863.184658749575</v>
      </c>
    </row>
    <row r="86" spans="1:3" s="63" customFormat="1" ht="42.75">
      <c r="A86" s="77" t="s">
        <v>126</v>
      </c>
      <c r="B86" s="53" t="s">
        <v>127</v>
      </c>
      <c r="C86" s="78">
        <f>[31]С3!F15</f>
        <v>0.25</v>
      </c>
    </row>
    <row r="87" spans="1:3" s="63" customFormat="1" ht="14.25">
      <c r="A87" s="77" t="s">
        <v>128</v>
      </c>
      <c r="B87" s="79" t="s">
        <v>129</v>
      </c>
      <c r="C87" s="62">
        <f>[31]С3!F18</f>
        <v>15</v>
      </c>
    </row>
    <row r="88" spans="1:3" s="63" customFormat="1" ht="17.25">
      <c r="A88" s="77" t="s">
        <v>130</v>
      </c>
      <c r="B88" s="33" t="s">
        <v>131</v>
      </c>
      <c r="C88" s="34">
        <f>[31]С3!F19</f>
        <v>4187.478806422544</v>
      </c>
    </row>
    <row r="89" spans="1:3" s="63" customFormat="1" ht="55.5">
      <c r="A89" s="77" t="s">
        <v>132</v>
      </c>
      <c r="B89" s="53" t="s">
        <v>133</v>
      </c>
      <c r="C89" s="80">
        <f>[31]С3!F20</f>
        <v>2.1999999999999999E-2</v>
      </c>
    </row>
    <row r="90" spans="1:3" s="63" customFormat="1" ht="14.25">
      <c r="A90" s="77" t="s">
        <v>134</v>
      </c>
      <c r="B90" s="58" t="s">
        <v>80</v>
      </c>
      <c r="C90" s="62">
        <f>[31]С3!F21</f>
        <v>10</v>
      </c>
    </row>
    <row r="91" spans="1:3" s="63" customFormat="1" ht="17.25">
      <c r="A91" s="77" t="s">
        <v>135</v>
      </c>
      <c r="B91" s="33" t="s">
        <v>136</v>
      </c>
      <c r="C91" s="34">
        <f>[31]С3!F22</f>
        <v>7.2494984785302705</v>
      </c>
    </row>
    <row r="92" spans="1:3" s="63" customFormat="1" ht="55.5">
      <c r="A92" s="77" t="s">
        <v>137</v>
      </c>
      <c r="B92" s="53" t="s">
        <v>138</v>
      </c>
      <c r="C92" s="80">
        <f>[31]С3!F23</f>
        <v>3.0000000000000001E-3</v>
      </c>
    </row>
    <row r="93" spans="1:3" s="63" customFormat="1" ht="27.75" thickBot="1">
      <c r="A93" s="81" t="s">
        <v>139</v>
      </c>
      <c r="B93" s="82" t="s">
        <v>140</v>
      </c>
      <c r="C93" s="83">
        <f>[31]С3!F24</f>
        <v>2416.4994928434235</v>
      </c>
    </row>
    <row r="94" spans="1:3" ht="13.5" thickBot="1">
      <c r="A94" s="47"/>
      <c r="B94" s="75"/>
      <c r="C94" s="15"/>
    </row>
    <row r="95" spans="1:3" ht="38.25" customHeight="1">
      <c r="A95" s="84" t="s">
        <v>141</v>
      </c>
      <c r="B95" s="146" t="s">
        <v>142</v>
      </c>
      <c r="C95" s="146"/>
    </row>
    <row r="96" spans="1:3" ht="30">
      <c r="A96" s="59" t="s">
        <v>143</v>
      </c>
      <c r="B96" s="33" t="s">
        <v>144</v>
      </c>
      <c r="C96" s="34">
        <f>[31]С4!F16</f>
        <v>1652.5</v>
      </c>
    </row>
    <row r="97" spans="1:3" ht="30">
      <c r="A97" s="59" t="s">
        <v>145</v>
      </c>
      <c r="B97" s="58" t="s">
        <v>146</v>
      </c>
      <c r="C97" s="34">
        <f>[31]С4!F17</f>
        <v>73547</v>
      </c>
    </row>
    <row r="98" spans="1:3" ht="17.25">
      <c r="A98" s="59" t="s">
        <v>147</v>
      </c>
      <c r="B98" s="58" t="s">
        <v>148</v>
      </c>
      <c r="C98" s="40">
        <f>[31]С4!F18</f>
        <v>0.02</v>
      </c>
    </row>
    <row r="99" spans="1:3" ht="30">
      <c r="A99" s="59" t="s">
        <v>149</v>
      </c>
      <c r="B99" s="58" t="s">
        <v>150</v>
      </c>
      <c r="C99" s="34">
        <f>[31]С4!F19</f>
        <v>12104</v>
      </c>
    </row>
    <row r="100" spans="1:3" ht="31.5">
      <c r="A100" s="59" t="s">
        <v>151</v>
      </c>
      <c r="B100" s="58" t="s">
        <v>152</v>
      </c>
      <c r="C100" s="40">
        <f>[31]С4!F20</f>
        <v>1.4999999999999999E-2</v>
      </c>
    </row>
    <row r="101" spans="1:3" ht="30">
      <c r="A101" s="59" t="s">
        <v>153</v>
      </c>
      <c r="B101" s="33" t="s">
        <v>154</v>
      </c>
      <c r="C101" s="34">
        <f>[31]С4!F21</f>
        <v>1933.1949342509995</v>
      </c>
    </row>
    <row r="102" spans="1:3" ht="24" customHeight="1">
      <c r="A102" s="59" t="s">
        <v>155</v>
      </c>
      <c r="B102" s="53" t="s">
        <v>156</v>
      </c>
      <c r="C102" s="85">
        <f>IF([31]С4.2!F8="да",[31]С4.2!D21,[31]С4.2!D15)</f>
        <v>0</v>
      </c>
    </row>
    <row r="103" spans="1:3" ht="68.25">
      <c r="A103" s="59" t="s">
        <v>157</v>
      </c>
      <c r="B103" s="53" t="s">
        <v>158</v>
      </c>
      <c r="C103" s="34">
        <f>[31]С4!F22</f>
        <v>3.6112641666666665</v>
      </c>
    </row>
    <row r="104" spans="1:3" ht="30">
      <c r="A104" s="59" t="s">
        <v>159</v>
      </c>
      <c r="B104" s="58" t="s">
        <v>160</v>
      </c>
      <c r="C104" s="34">
        <f>[31]С4!F23</f>
        <v>180</v>
      </c>
    </row>
    <row r="105" spans="1:3" ht="14.25">
      <c r="A105" s="59" t="s">
        <v>161</v>
      </c>
      <c r="B105" s="53" t="s">
        <v>162</v>
      </c>
      <c r="C105" s="34">
        <f>[31]С4!F24</f>
        <v>8497.1999999999989</v>
      </c>
    </row>
    <row r="106" spans="1:3" ht="14.25">
      <c r="A106" s="59" t="s">
        <v>163</v>
      </c>
      <c r="B106" s="58" t="s">
        <v>164</v>
      </c>
      <c r="C106" s="40">
        <f>[31]С4!F25</f>
        <v>0.35</v>
      </c>
    </row>
    <row r="107" spans="1:3" ht="17.25">
      <c r="A107" s="59" t="s">
        <v>165</v>
      </c>
      <c r="B107" s="33" t="s">
        <v>166</v>
      </c>
      <c r="C107" s="34">
        <f>[31]С4!F26</f>
        <v>94.467420000000004</v>
      </c>
    </row>
    <row r="108" spans="1:3" ht="25.5">
      <c r="A108" s="59" t="s">
        <v>167</v>
      </c>
      <c r="B108" s="53" t="s">
        <v>94</v>
      </c>
      <c r="C108" s="85">
        <f>[31]С4.3!E16</f>
        <v>0</v>
      </c>
    </row>
    <row r="109" spans="1:3" ht="25.5">
      <c r="A109" s="59" t="s">
        <v>168</v>
      </c>
      <c r="B109" s="53" t="s">
        <v>169</v>
      </c>
      <c r="C109" s="34">
        <f>[31]С4.3!E17</f>
        <v>25.66</v>
      </c>
    </row>
    <row r="110" spans="1:3" ht="38.25">
      <c r="A110" s="59" t="s">
        <v>170</v>
      </c>
      <c r="B110" s="53" t="s">
        <v>106</v>
      </c>
      <c r="C110" s="85">
        <f>[31]С4.3!E18</f>
        <v>0</v>
      </c>
    </row>
    <row r="111" spans="1:3">
      <c r="A111" s="59" t="s">
        <v>171</v>
      </c>
      <c r="B111" s="53" t="s">
        <v>172</v>
      </c>
      <c r="C111" s="34">
        <f>[31]С4.3!E19</f>
        <v>21.95</v>
      </c>
    </row>
    <row r="112" spans="1:3">
      <c r="A112" s="59" t="s">
        <v>173</v>
      </c>
      <c r="B112" s="58" t="s">
        <v>174</v>
      </c>
      <c r="C112" s="34">
        <f>[31]С4.3!E11</f>
        <v>1871</v>
      </c>
    </row>
    <row r="113" spans="1:3">
      <c r="A113" s="59" t="s">
        <v>175</v>
      </c>
      <c r="B113" s="58" t="s">
        <v>176</v>
      </c>
      <c r="C113" s="52">
        <f>[31]С4.3!E12</f>
        <v>1636</v>
      </c>
    </row>
    <row r="114" spans="1:3">
      <c r="A114" s="59" t="s">
        <v>177</v>
      </c>
      <c r="B114" s="58" t="s">
        <v>178</v>
      </c>
      <c r="C114" s="52">
        <f>[31]С4.3!E13</f>
        <v>204</v>
      </c>
    </row>
    <row r="115" spans="1:3" ht="30">
      <c r="A115" s="59" t="s">
        <v>179</v>
      </c>
      <c r="B115" s="33" t="s">
        <v>180</v>
      </c>
      <c r="C115" s="34">
        <f>[31]С4!F27</f>
        <v>1291.2863994686898</v>
      </c>
    </row>
    <row r="116" spans="1:3" ht="25.5">
      <c r="A116" s="59" t="s">
        <v>181</v>
      </c>
      <c r="B116" s="53" t="s">
        <v>182</v>
      </c>
      <c r="C116" s="34">
        <f>[31]С4!F28</f>
        <v>991.77142816335618</v>
      </c>
    </row>
    <row r="117" spans="1:3" ht="42.75">
      <c r="A117" s="59" t="s">
        <v>183</v>
      </c>
      <c r="B117" s="53" t="s">
        <v>184</v>
      </c>
      <c r="C117" s="34">
        <f>[31]С4!F29</f>
        <v>299.51497130533357</v>
      </c>
    </row>
    <row r="118" spans="1:3" ht="30">
      <c r="A118" s="59" t="s">
        <v>185</v>
      </c>
      <c r="B118" s="39" t="s">
        <v>186</v>
      </c>
      <c r="C118" s="34">
        <f>[31]С4!F30</f>
        <v>2381.7945896254159</v>
      </c>
    </row>
    <row r="119" spans="1:3" ht="42.75">
      <c r="A119" s="59" t="s">
        <v>187</v>
      </c>
      <c r="B119" s="86" t="s">
        <v>188</v>
      </c>
      <c r="C119" s="34">
        <f>[31]С4!F33</f>
        <v>1176.7426982817792</v>
      </c>
    </row>
    <row r="120" spans="1:3" ht="30">
      <c r="A120" s="59" t="s">
        <v>189</v>
      </c>
      <c r="B120" s="87" t="s">
        <v>190</v>
      </c>
      <c r="C120" s="34">
        <f>[31]С4!F35</f>
        <v>17.040680999999999</v>
      </c>
    </row>
    <row r="121" spans="1:3" ht="14.25">
      <c r="A121" s="59" t="s">
        <v>191</v>
      </c>
      <c r="B121" s="56" t="s">
        <v>192</v>
      </c>
      <c r="C121" s="34">
        <f>[31]С4!F36</f>
        <v>14319.9</v>
      </c>
    </row>
    <row r="122" spans="1:3" ht="28.5" thickBot="1">
      <c r="A122" s="72" t="s">
        <v>193</v>
      </c>
      <c r="B122" s="88" t="s">
        <v>194</v>
      </c>
      <c r="C122" s="83">
        <f>[31]С4!F37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[31]С5!F17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[31]С2!F37</f>
        <v>20.818139999999996</v>
      </c>
    </row>
    <row r="136" spans="1:4" ht="14.25">
      <c r="A136" s="59" t="s">
        <v>216</v>
      </c>
      <c r="B136" s="101" t="s">
        <v>217</v>
      </c>
      <c r="C136" s="34">
        <f>[31]С2!F38</f>
        <v>7</v>
      </c>
    </row>
    <row r="137" spans="1:4" ht="17.25">
      <c r="A137" s="59" t="s">
        <v>218</v>
      </c>
      <c r="B137" s="101" t="s">
        <v>219</v>
      </c>
      <c r="C137" s="34">
        <f>[31]С2!F40</f>
        <v>0.97</v>
      </c>
    </row>
    <row r="138" spans="1:4" ht="15" thickBot="1">
      <c r="A138" s="72" t="s">
        <v>220</v>
      </c>
      <c r="B138" s="102" t="s">
        <v>221</v>
      </c>
      <c r="C138" s="46">
        <f>[31]С2!F42</f>
        <v>0.35</v>
      </c>
    </row>
    <row r="139" spans="1:4" s="89" customFormat="1" ht="13.5" thickBot="1">
      <c r="A139" s="47"/>
      <c r="B139" s="75"/>
      <c r="C139" s="15"/>
    </row>
    <row r="140" spans="1:4" ht="30">
      <c r="A140" s="84" t="s">
        <v>222</v>
      </c>
      <c r="B140" s="103" t="s">
        <v>223</v>
      </c>
      <c r="C140" s="104">
        <f>[31]С2!F35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[31]С2.5!$E$11</f>
        <v>-2.9000000000000026E-2</v>
      </c>
      <c r="D143" s="89"/>
    </row>
    <row r="144" spans="1:4">
      <c r="A144" s="105"/>
      <c r="B144" s="110">
        <f>B143+1</f>
        <v>2021</v>
      </c>
      <c r="C144" s="111">
        <f>[31]С2.5!$F$11</f>
        <v>0.245</v>
      </c>
      <c r="D144" s="89"/>
    </row>
    <row r="145" spans="1:4">
      <c r="A145" s="105"/>
      <c r="B145" s="110">
        <f t="shared" ref="B145:B208" si="0">B144+1</f>
        <v>2022</v>
      </c>
      <c r="C145" s="111">
        <f>[31]С2.5!$G$11</f>
        <v>0.114</v>
      </c>
      <c r="D145" s="89"/>
    </row>
    <row r="146" spans="1:4" ht="13.5" thickBot="1">
      <c r="A146" s="105"/>
      <c r="B146" s="112">
        <f t="shared" si="0"/>
        <v>2023</v>
      </c>
      <c r="C146" s="113">
        <f>[31]С2.5!$H$11</f>
        <v>0.04</v>
      </c>
      <c r="D146" s="89"/>
    </row>
    <row r="147" spans="1:4">
      <c r="A147" s="105"/>
      <c r="B147" s="114">
        <f t="shared" si="0"/>
        <v>2024</v>
      </c>
      <c r="C147" s="115">
        <f>[31]С2.5!$I$11</f>
        <v>0.11700000000000001</v>
      </c>
      <c r="D147" s="89"/>
    </row>
    <row r="148" spans="1:4">
      <c r="A148" s="105"/>
      <c r="B148" s="110">
        <f t="shared" si="0"/>
        <v>2025</v>
      </c>
      <c r="C148" s="111">
        <f>[31]С2.5!$J$11</f>
        <v>6.0999999999999999E-2</v>
      </c>
      <c r="D148" s="89"/>
    </row>
    <row r="149" spans="1:4" hidden="1">
      <c r="A149" s="105"/>
      <c r="B149" s="110">
        <f t="shared" si="0"/>
        <v>2026</v>
      </c>
      <c r="C149" s="111">
        <f>[31]С2.5!$K$11</f>
        <v>3.5813361771260002E-2</v>
      </c>
      <c r="D149" s="89"/>
    </row>
    <row r="150" spans="1:4" hidden="1">
      <c r="A150" s="105"/>
      <c r="B150" s="110">
        <f t="shared" si="0"/>
        <v>2027</v>
      </c>
      <c r="C150" s="111">
        <f>[31]С2.5!$L$11</f>
        <v>3.2682303599220003E-2</v>
      </c>
      <c r="D150" s="89"/>
    </row>
    <row r="151" spans="1:4" hidden="1">
      <c r="A151" s="105"/>
      <c r="B151" s="110">
        <f t="shared" si="0"/>
        <v>2028</v>
      </c>
      <c r="C151" s="111">
        <f>[31]С2.5!$M$11</f>
        <v>0</v>
      </c>
      <c r="D151" s="89"/>
    </row>
    <row r="152" spans="1:4" hidden="1">
      <c r="A152" s="105"/>
      <c r="B152" s="110">
        <f t="shared" si="0"/>
        <v>2029</v>
      </c>
      <c r="C152" s="111">
        <f>[31]С2.5!$N$11</f>
        <v>0</v>
      </c>
      <c r="D152" s="89"/>
    </row>
    <row r="153" spans="1:4" hidden="1">
      <c r="A153" s="105"/>
      <c r="B153" s="110">
        <f t="shared" si="0"/>
        <v>2030</v>
      </c>
      <c r="C153" s="111">
        <f>[31]С2.5!$O$11</f>
        <v>0</v>
      </c>
      <c r="D153" s="89"/>
    </row>
    <row r="154" spans="1:4" hidden="1">
      <c r="A154" s="105"/>
      <c r="B154" s="110">
        <f t="shared" si="0"/>
        <v>2031</v>
      </c>
      <c r="C154" s="111">
        <f>[31]С2.5!$P$11</f>
        <v>0</v>
      </c>
      <c r="D154" s="89"/>
    </row>
    <row r="155" spans="1:4" hidden="1">
      <c r="A155" s="89"/>
      <c r="B155" s="110">
        <f t="shared" si="0"/>
        <v>2032</v>
      </c>
      <c r="C155" s="111">
        <f>[31]С2.5!$Q$11</f>
        <v>0</v>
      </c>
      <c r="D155" s="89"/>
    </row>
    <row r="156" spans="1:4" hidden="1">
      <c r="A156" s="89"/>
      <c r="B156" s="110">
        <f t="shared" si="0"/>
        <v>2033</v>
      </c>
      <c r="C156" s="111">
        <f>[31]С2.5!$R$11</f>
        <v>0</v>
      </c>
      <c r="D156" s="89"/>
    </row>
    <row r="157" spans="1:4" hidden="1">
      <c r="B157" s="110">
        <f t="shared" si="0"/>
        <v>2034</v>
      </c>
      <c r="C157" s="111">
        <f>[31]С2.5!$S$11</f>
        <v>0</v>
      </c>
    </row>
    <row r="158" spans="1:4" hidden="1">
      <c r="B158" s="110">
        <f t="shared" si="0"/>
        <v>2035</v>
      </c>
      <c r="C158" s="111">
        <f>[31]С2.5!$T$11</f>
        <v>0</v>
      </c>
    </row>
    <row r="159" spans="1:4" hidden="1">
      <c r="B159" s="110">
        <f t="shared" si="0"/>
        <v>2036</v>
      </c>
      <c r="C159" s="111">
        <f>[31]С2.5!$U$11</f>
        <v>0</v>
      </c>
    </row>
    <row r="160" spans="1:4" hidden="1">
      <c r="B160" s="110">
        <f t="shared" si="0"/>
        <v>2037</v>
      </c>
      <c r="C160" s="111">
        <f>[31]С2.5!$V$11</f>
        <v>0</v>
      </c>
    </row>
    <row r="161" spans="2:3" hidden="1">
      <c r="B161" s="110">
        <f t="shared" si="0"/>
        <v>2038</v>
      </c>
      <c r="C161" s="111">
        <f>[31]С2.5!$W$11</f>
        <v>0</v>
      </c>
    </row>
    <row r="162" spans="2:3" hidden="1">
      <c r="B162" s="110">
        <f t="shared" si="0"/>
        <v>2039</v>
      </c>
      <c r="C162" s="111">
        <f>[31]С2.5!$X$11</f>
        <v>0</v>
      </c>
    </row>
    <row r="163" spans="2:3" hidden="1">
      <c r="B163" s="110">
        <f t="shared" si="0"/>
        <v>2040</v>
      </c>
      <c r="C163" s="111">
        <f>[31]С2.5!$Y$11</f>
        <v>0</v>
      </c>
    </row>
    <row r="164" spans="2:3" hidden="1">
      <c r="B164" s="110">
        <f t="shared" si="0"/>
        <v>2041</v>
      </c>
      <c r="C164" s="111">
        <f>[31]С2.5!$Z$11</f>
        <v>0</v>
      </c>
    </row>
    <row r="165" spans="2:3" hidden="1">
      <c r="B165" s="110">
        <f t="shared" si="0"/>
        <v>2042</v>
      </c>
      <c r="C165" s="111">
        <f>[31]С2.5!$AA$11</f>
        <v>0</v>
      </c>
    </row>
    <row r="166" spans="2:3" hidden="1">
      <c r="B166" s="110">
        <f t="shared" si="0"/>
        <v>2043</v>
      </c>
      <c r="C166" s="111">
        <f>[31]С2.5!$AB$11</f>
        <v>0</v>
      </c>
    </row>
    <row r="167" spans="2:3" hidden="1">
      <c r="B167" s="110">
        <f t="shared" si="0"/>
        <v>2044</v>
      </c>
      <c r="C167" s="111">
        <f>[31]С2.5!$AC$11</f>
        <v>0</v>
      </c>
    </row>
    <row r="168" spans="2:3" hidden="1">
      <c r="B168" s="110">
        <f t="shared" si="0"/>
        <v>2045</v>
      </c>
      <c r="C168" s="111">
        <f>[31]С2.5!$AD$11</f>
        <v>0</v>
      </c>
    </row>
    <row r="169" spans="2:3" hidden="1">
      <c r="B169" s="110">
        <f t="shared" si="0"/>
        <v>2046</v>
      </c>
      <c r="C169" s="111">
        <f>[31]С2.5!$AE$11</f>
        <v>0</v>
      </c>
    </row>
    <row r="170" spans="2:3" hidden="1">
      <c r="B170" s="110">
        <f t="shared" si="0"/>
        <v>2047</v>
      </c>
      <c r="C170" s="111">
        <f>[31]С2.5!$AF$11</f>
        <v>0</v>
      </c>
    </row>
    <row r="171" spans="2:3" hidden="1">
      <c r="B171" s="110">
        <f t="shared" si="0"/>
        <v>2048</v>
      </c>
      <c r="C171" s="111">
        <f>[31]С2.5!$AG$11</f>
        <v>0</v>
      </c>
    </row>
    <row r="172" spans="2:3" hidden="1">
      <c r="B172" s="110">
        <f t="shared" si="0"/>
        <v>2049</v>
      </c>
      <c r="C172" s="111">
        <f>[31]С2.5!$AH$11</f>
        <v>0</v>
      </c>
    </row>
    <row r="173" spans="2:3" hidden="1">
      <c r="B173" s="110">
        <f t="shared" si="0"/>
        <v>2050</v>
      </c>
      <c r="C173" s="111">
        <f>[31]С2.5!$AI$11</f>
        <v>0</v>
      </c>
    </row>
    <row r="174" spans="2:3" hidden="1">
      <c r="B174" s="110">
        <f t="shared" si="0"/>
        <v>2051</v>
      </c>
      <c r="C174" s="111">
        <f>[31]С2.5!$AJ$11</f>
        <v>0</v>
      </c>
    </row>
    <row r="175" spans="2:3" hidden="1">
      <c r="B175" s="110">
        <f t="shared" si="0"/>
        <v>2052</v>
      </c>
      <c r="C175" s="111">
        <f>[31]С2.5!$AK$11</f>
        <v>0</v>
      </c>
    </row>
    <row r="176" spans="2:3" hidden="1">
      <c r="B176" s="110">
        <f t="shared" si="0"/>
        <v>2053</v>
      </c>
      <c r="C176" s="111">
        <f>[31]С2.5!$AL$11</f>
        <v>0</v>
      </c>
    </row>
    <row r="177" spans="2:3" hidden="1">
      <c r="B177" s="110">
        <f t="shared" si="0"/>
        <v>2054</v>
      </c>
      <c r="C177" s="111">
        <f>[31]С2.5!$AM$11</f>
        <v>0</v>
      </c>
    </row>
    <row r="178" spans="2:3" hidden="1">
      <c r="B178" s="110">
        <f t="shared" si="0"/>
        <v>2055</v>
      </c>
      <c r="C178" s="111">
        <f>[31]С2.5!$AN$11</f>
        <v>0</v>
      </c>
    </row>
    <row r="179" spans="2:3" hidden="1">
      <c r="B179" s="110">
        <f t="shared" si="0"/>
        <v>2056</v>
      </c>
      <c r="C179" s="111">
        <f>[31]С2.5!$AO$11</f>
        <v>0</v>
      </c>
    </row>
    <row r="180" spans="2:3" hidden="1">
      <c r="B180" s="110">
        <f t="shared" si="0"/>
        <v>2057</v>
      </c>
      <c r="C180" s="111">
        <f>[31]С2.5!$AP$11</f>
        <v>0</v>
      </c>
    </row>
    <row r="181" spans="2:3" hidden="1">
      <c r="B181" s="110">
        <f t="shared" si="0"/>
        <v>2058</v>
      </c>
      <c r="C181" s="111">
        <f>[31]С2.5!$AQ$11</f>
        <v>0</v>
      </c>
    </row>
    <row r="182" spans="2:3" hidden="1">
      <c r="B182" s="110">
        <f t="shared" si="0"/>
        <v>2059</v>
      </c>
      <c r="C182" s="111">
        <f>[31]С2.5!$AR$11</f>
        <v>0</v>
      </c>
    </row>
    <row r="183" spans="2:3" hidden="1">
      <c r="B183" s="110">
        <f t="shared" si="0"/>
        <v>2060</v>
      </c>
      <c r="C183" s="111">
        <f>[31]С2.5!$AS$11</f>
        <v>0</v>
      </c>
    </row>
    <row r="184" spans="2:3" hidden="1">
      <c r="B184" s="110">
        <f t="shared" si="0"/>
        <v>2061</v>
      </c>
      <c r="C184" s="111">
        <f>[31]С2.5!$AT$11</f>
        <v>0</v>
      </c>
    </row>
    <row r="185" spans="2:3" hidden="1">
      <c r="B185" s="110">
        <f t="shared" si="0"/>
        <v>2062</v>
      </c>
      <c r="C185" s="111">
        <f>[31]С2.5!$AU$11</f>
        <v>0</v>
      </c>
    </row>
    <row r="186" spans="2:3" hidden="1">
      <c r="B186" s="110">
        <f t="shared" si="0"/>
        <v>2063</v>
      </c>
      <c r="C186" s="111">
        <f>[31]С2.5!$AV$11</f>
        <v>0</v>
      </c>
    </row>
    <row r="187" spans="2:3" hidden="1">
      <c r="B187" s="110">
        <f t="shared" si="0"/>
        <v>2064</v>
      </c>
      <c r="C187" s="111">
        <f>[31]С2.5!$AW$11</f>
        <v>0</v>
      </c>
    </row>
    <row r="188" spans="2:3" hidden="1">
      <c r="B188" s="110">
        <f t="shared" si="0"/>
        <v>2065</v>
      </c>
      <c r="C188" s="111">
        <f>[31]С2.5!$AX$11</f>
        <v>0</v>
      </c>
    </row>
    <row r="189" spans="2:3" hidden="1">
      <c r="B189" s="110">
        <f t="shared" si="0"/>
        <v>2066</v>
      </c>
      <c r="C189" s="111">
        <f>[31]С2.5!$AY$11</f>
        <v>0</v>
      </c>
    </row>
    <row r="190" spans="2:3" hidden="1">
      <c r="B190" s="110">
        <f t="shared" si="0"/>
        <v>2067</v>
      </c>
      <c r="C190" s="111">
        <f>[31]С2.5!$AZ$11</f>
        <v>0</v>
      </c>
    </row>
    <row r="191" spans="2:3" hidden="1">
      <c r="B191" s="110">
        <f t="shared" si="0"/>
        <v>2068</v>
      </c>
      <c r="C191" s="111">
        <f>[31]С2.5!$BA$11</f>
        <v>0</v>
      </c>
    </row>
    <row r="192" spans="2:3" hidden="1">
      <c r="B192" s="110">
        <f t="shared" si="0"/>
        <v>2069</v>
      </c>
      <c r="C192" s="111">
        <f>[31]С2.5!$BB$11</f>
        <v>0</v>
      </c>
    </row>
    <row r="193" spans="2:3" hidden="1">
      <c r="B193" s="110">
        <f t="shared" si="0"/>
        <v>2070</v>
      </c>
      <c r="C193" s="111">
        <f>[31]С2.5!$BC$11</f>
        <v>0</v>
      </c>
    </row>
    <row r="194" spans="2:3" hidden="1">
      <c r="B194" s="110">
        <f t="shared" si="0"/>
        <v>2071</v>
      </c>
      <c r="C194" s="111">
        <f>[31]С2.5!$BD$11</f>
        <v>0</v>
      </c>
    </row>
    <row r="195" spans="2:3" hidden="1">
      <c r="B195" s="110">
        <f t="shared" si="0"/>
        <v>2072</v>
      </c>
      <c r="C195" s="111">
        <f>[31]С2.5!$BE$11</f>
        <v>0</v>
      </c>
    </row>
    <row r="196" spans="2:3" hidden="1">
      <c r="B196" s="110">
        <f t="shared" si="0"/>
        <v>2073</v>
      </c>
      <c r="C196" s="111">
        <f>[31]С2.5!$BF$11</f>
        <v>0</v>
      </c>
    </row>
    <row r="197" spans="2:3" hidden="1">
      <c r="B197" s="110">
        <f t="shared" si="0"/>
        <v>2074</v>
      </c>
      <c r="C197" s="111">
        <f>[31]С2.5!$BG$11</f>
        <v>0</v>
      </c>
    </row>
    <row r="198" spans="2:3" hidden="1">
      <c r="B198" s="110">
        <f t="shared" si="0"/>
        <v>2075</v>
      </c>
      <c r="C198" s="111">
        <f>[31]С2.5!$BH$11</f>
        <v>0</v>
      </c>
    </row>
    <row r="199" spans="2:3" hidden="1">
      <c r="B199" s="110">
        <f t="shared" si="0"/>
        <v>2076</v>
      </c>
      <c r="C199" s="111">
        <f>[31]С2.5!$BI$11</f>
        <v>0</v>
      </c>
    </row>
    <row r="200" spans="2:3" hidden="1">
      <c r="B200" s="110">
        <f t="shared" si="0"/>
        <v>2077</v>
      </c>
      <c r="C200" s="111">
        <f>[31]С2.5!$BJ$11</f>
        <v>0</v>
      </c>
    </row>
    <row r="201" spans="2:3" hidden="1">
      <c r="B201" s="110">
        <f t="shared" si="0"/>
        <v>2078</v>
      </c>
      <c r="C201" s="111">
        <f>[31]С2.5!$BK$11</f>
        <v>0</v>
      </c>
    </row>
    <row r="202" spans="2:3" hidden="1">
      <c r="B202" s="110">
        <f t="shared" si="0"/>
        <v>2079</v>
      </c>
      <c r="C202" s="111">
        <f>[31]С2.5!$BL$11</f>
        <v>0</v>
      </c>
    </row>
    <row r="203" spans="2:3" hidden="1">
      <c r="B203" s="110">
        <f t="shared" si="0"/>
        <v>2080</v>
      </c>
      <c r="C203" s="111">
        <f>[31]С2.5!$BM$11</f>
        <v>0</v>
      </c>
    </row>
    <row r="204" spans="2:3" hidden="1">
      <c r="B204" s="110">
        <f t="shared" si="0"/>
        <v>2081</v>
      </c>
      <c r="C204" s="111">
        <f>[31]С2.5!$BN$11</f>
        <v>0</v>
      </c>
    </row>
    <row r="205" spans="2:3" hidden="1">
      <c r="B205" s="110">
        <f t="shared" si="0"/>
        <v>2082</v>
      </c>
      <c r="C205" s="111">
        <f>[31]С2.5!$BO$11</f>
        <v>0</v>
      </c>
    </row>
    <row r="206" spans="2:3" hidden="1">
      <c r="B206" s="110">
        <f t="shared" si="0"/>
        <v>2083</v>
      </c>
      <c r="C206" s="111">
        <f>[31]С2.5!$BP$11</f>
        <v>0</v>
      </c>
    </row>
    <row r="207" spans="2:3" hidden="1">
      <c r="B207" s="110">
        <f t="shared" si="0"/>
        <v>2084</v>
      </c>
      <c r="C207" s="111">
        <f>[31]С2.5!$BQ$11</f>
        <v>0</v>
      </c>
    </row>
    <row r="208" spans="2:3" hidden="1">
      <c r="B208" s="110">
        <f t="shared" si="0"/>
        <v>2085</v>
      </c>
      <c r="C208" s="111">
        <f>[31]С2.5!$BR$11</f>
        <v>0</v>
      </c>
    </row>
    <row r="209" spans="2:3" hidden="1">
      <c r="B209" s="110">
        <f t="shared" ref="B209:B223" si="1">B208+1</f>
        <v>2086</v>
      </c>
      <c r="C209" s="111">
        <f>[31]С2.5!$BS$11</f>
        <v>0</v>
      </c>
    </row>
    <row r="210" spans="2:3" hidden="1">
      <c r="B210" s="110">
        <f t="shared" si="1"/>
        <v>2087</v>
      </c>
      <c r="C210" s="111">
        <f>[31]С2.5!$BT$11</f>
        <v>0</v>
      </c>
    </row>
    <row r="211" spans="2:3" hidden="1">
      <c r="B211" s="110">
        <f t="shared" si="1"/>
        <v>2088</v>
      </c>
      <c r="C211" s="111">
        <f>[31]С2.5!$BU$11</f>
        <v>0</v>
      </c>
    </row>
    <row r="212" spans="2:3" hidden="1">
      <c r="B212" s="110">
        <f t="shared" si="1"/>
        <v>2089</v>
      </c>
      <c r="C212" s="111">
        <f>[31]С2.5!$BV$11</f>
        <v>0</v>
      </c>
    </row>
    <row r="213" spans="2:3" hidden="1">
      <c r="B213" s="110">
        <f t="shared" si="1"/>
        <v>2090</v>
      </c>
      <c r="C213" s="111">
        <f>[31]С2.5!$BW$11</f>
        <v>0</v>
      </c>
    </row>
    <row r="214" spans="2:3" hidden="1">
      <c r="B214" s="110">
        <f t="shared" si="1"/>
        <v>2091</v>
      </c>
      <c r="C214" s="111">
        <f>[31]С2.5!$BX$11</f>
        <v>0</v>
      </c>
    </row>
    <row r="215" spans="2:3" hidden="1">
      <c r="B215" s="110">
        <f t="shared" si="1"/>
        <v>2092</v>
      </c>
      <c r="C215" s="111">
        <f>[31]С2.5!$BY$11</f>
        <v>0</v>
      </c>
    </row>
    <row r="216" spans="2:3" hidden="1">
      <c r="B216" s="110">
        <f t="shared" si="1"/>
        <v>2093</v>
      </c>
      <c r="C216" s="111">
        <f>[31]С2.5!$BZ$11</f>
        <v>0</v>
      </c>
    </row>
    <row r="217" spans="2:3" hidden="1">
      <c r="B217" s="110">
        <f t="shared" si="1"/>
        <v>2094</v>
      </c>
      <c r="C217" s="111">
        <f>[31]С2.5!$CA$11</f>
        <v>0</v>
      </c>
    </row>
    <row r="218" spans="2:3" hidden="1">
      <c r="B218" s="110">
        <f t="shared" si="1"/>
        <v>2095</v>
      </c>
      <c r="C218" s="111">
        <f>[31]С2.5!$CB$11</f>
        <v>0</v>
      </c>
    </row>
    <row r="219" spans="2:3" hidden="1">
      <c r="B219" s="110">
        <f t="shared" si="1"/>
        <v>2096</v>
      </c>
      <c r="C219" s="111">
        <f>[31]С2.5!$CC$11</f>
        <v>0</v>
      </c>
    </row>
    <row r="220" spans="2:3" hidden="1">
      <c r="B220" s="110">
        <f t="shared" si="1"/>
        <v>2097</v>
      </c>
      <c r="C220" s="111">
        <f>[31]С2.5!$CD$11</f>
        <v>0</v>
      </c>
    </row>
    <row r="221" spans="2:3" hidden="1">
      <c r="B221" s="110">
        <f t="shared" si="1"/>
        <v>2098</v>
      </c>
      <c r="C221" s="111">
        <f>[31]С2.5!$CE$11</f>
        <v>0</v>
      </c>
    </row>
    <row r="222" spans="2:3" hidden="1">
      <c r="B222" s="110">
        <f t="shared" si="1"/>
        <v>2099</v>
      </c>
      <c r="C222" s="111">
        <f>[31]С2.5!$CF$11</f>
        <v>0</v>
      </c>
    </row>
    <row r="223" spans="2:3" ht="13.5" hidden="1" thickBot="1">
      <c r="B223" s="112">
        <f t="shared" si="1"/>
        <v>2100</v>
      </c>
      <c r="C223" s="113">
        <f>[31]С2.5!$CG$11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8" r:id="rId3" name="Button 2">
              <controlPr defaultSize="0" print="0" autoFill="0" autoPict="0" macro="[3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4339" r:id="rId4" name="Button 3">
              <controlPr defaultSize="0" print="0" autoFill="0" autoPict="0" macro="[3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[33]И1!D13</f>
        <v>Субъект Российской Федерации</v>
      </c>
      <c r="C4" s="10" t="str">
        <f>[33]И1!E13</f>
        <v>Новосибирская область</v>
      </c>
    </row>
    <row r="5" spans="1:3" ht="46.9" customHeight="1">
      <c r="A5" s="8"/>
      <c r="B5" s="9" t="str">
        <f>[33]И1!D14</f>
        <v>Тип муниципального образования (выберите из списка)</v>
      </c>
      <c r="C5" s="10" t="str">
        <f>[33]И1!E14</f>
        <v>село Лебедево, Тогучинский муниципальный район</v>
      </c>
    </row>
    <row r="6" spans="1:3">
      <c r="A6" s="8"/>
      <c r="B6" s="9" t="str">
        <f>IF([33]И1!E15="","",[33]И1!D15)</f>
        <v/>
      </c>
      <c r="C6" s="10" t="str">
        <f>IF([33]И1!E15="","",[33]И1!E15)</f>
        <v/>
      </c>
    </row>
    <row r="7" spans="1:3">
      <c r="A7" s="8"/>
      <c r="B7" s="9" t="str">
        <f>[33]И1!D16</f>
        <v>Код ОКТМО</v>
      </c>
      <c r="C7" s="11" t="str">
        <f>[33]И1!E16</f>
        <v>50652435101</v>
      </c>
    </row>
    <row r="8" spans="1:3">
      <c r="A8" s="8"/>
      <c r="B8" s="12" t="str">
        <f>[33]И1!D17</f>
        <v>Система теплоснабжения</v>
      </c>
      <c r="C8" s="13">
        <f>[33]И1!E17</f>
        <v>0</v>
      </c>
    </row>
    <row r="9" spans="1:3">
      <c r="A9" s="8"/>
      <c r="B9" s="9" t="str">
        <f>[33]И1!D8</f>
        <v>Период регулирования (i)-й</v>
      </c>
      <c r="C9" s="14">
        <f>[33]И1!E8</f>
        <v>2025</v>
      </c>
    </row>
    <row r="10" spans="1:3">
      <c r="A10" s="8"/>
      <c r="B10" s="9" t="str">
        <f>[33]И1!D9</f>
        <v>Период регулирования (i-1)-й</v>
      </c>
      <c r="C10" s="14">
        <f>[33]И1!E9</f>
        <v>2024</v>
      </c>
    </row>
    <row r="11" spans="1:3">
      <c r="A11" s="8"/>
      <c r="B11" s="9" t="str">
        <f>[33]И1!D10</f>
        <v>Период регулирования (i-2)-й</v>
      </c>
      <c r="C11" s="14">
        <f>[33]И1!E10</f>
        <v>2023</v>
      </c>
    </row>
    <row r="12" spans="1:3">
      <c r="A12" s="8"/>
      <c r="B12" s="9" t="str">
        <f>[33]И1!D11</f>
        <v>Базовый год (б)</v>
      </c>
      <c r="C12" s="14">
        <f>[33]И1!E11</f>
        <v>2019</v>
      </c>
    </row>
    <row r="13" spans="1:3" ht="38.25">
      <c r="A13" s="8"/>
      <c r="B13" s="9" t="str">
        <f>[33]И1!D18</f>
        <v>Вид топлива, использование которого преобладает в системе теплоснабжения</v>
      </c>
      <c r="C13" s="15" t="str">
        <f>[33]С1.1!E13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5381.5982105569983</v>
      </c>
    </row>
    <row r="18" spans="1:3" ht="42.75">
      <c r="A18" s="22" t="s">
        <v>8</v>
      </c>
      <c r="B18" s="25" t="s">
        <v>9</v>
      </c>
      <c r="C18" s="26">
        <f>[33]С1!F12</f>
        <v>795.80460480398301</v>
      </c>
    </row>
    <row r="19" spans="1:3" ht="42.75">
      <c r="A19" s="22" t="s">
        <v>10</v>
      </c>
      <c r="B19" s="25" t="s">
        <v>11</v>
      </c>
      <c r="C19" s="26">
        <f>[33]С2!F12</f>
        <v>3056.1591261705735</v>
      </c>
    </row>
    <row r="20" spans="1:3" ht="30">
      <c r="A20" s="22" t="s">
        <v>12</v>
      </c>
      <c r="B20" s="25" t="s">
        <v>13</v>
      </c>
      <c r="C20" s="26">
        <f>[33]С3!F12</f>
        <v>915.44743976410246</v>
      </c>
    </row>
    <row r="21" spans="1:3" ht="42.75">
      <c r="A21" s="22" t="s">
        <v>14</v>
      </c>
      <c r="B21" s="25" t="s">
        <v>15</v>
      </c>
      <c r="C21" s="26">
        <f>[33]С4!F12</f>
        <v>508.66550627800541</v>
      </c>
    </row>
    <row r="22" spans="1:3" ht="30">
      <c r="A22" s="22" t="s">
        <v>16</v>
      </c>
      <c r="B22" s="25" t="s">
        <v>17</v>
      </c>
      <c r="C22" s="26">
        <f>[33]С5!F12</f>
        <v>105.52153354033329</v>
      </c>
    </row>
    <row r="23" spans="1:3" ht="43.5" thickBot="1">
      <c r="A23" s="27" t="s">
        <v>18</v>
      </c>
      <c r="B23" s="140" t="s">
        <v>19</v>
      </c>
      <c r="C23" s="28" t="str">
        <f>[33]С6!F12</f>
        <v>-</v>
      </c>
    </row>
    <row r="24" spans="1:3" ht="13.5" thickBot="1">
      <c r="A24" s="3"/>
    </row>
    <row r="25" spans="1:3">
      <c r="A25" s="16" t="s">
        <v>4</v>
      </c>
      <c r="B25" s="29" t="s">
        <v>5</v>
      </c>
      <c r="C25" s="30" t="s">
        <v>6</v>
      </c>
    </row>
    <row r="26" spans="1:3">
      <c r="A26" s="19">
        <v>1</v>
      </c>
      <c r="B26" s="31">
        <v>2</v>
      </c>
      <c r="C26" s="32">
        <v>3</v>
      </c>
    </row>
    <row r="27" spans="1:3" ht="36.75" customHeight="1">
      <c r="A27" s="22">
        <v>1</v>
      </c>
      <c r="B27" s="145" t="s">
        <v>20</v>
      </c>
      <c r="C27" s="145"/>
    </row>
    <row r="28" spans="1:3">
      <c r="A28" s="22" t="s">
        <v>8</v>
      </c>
      <c r="B28" s="33" t="s">
        <v>21</v>
      </c>
      <c r="C28" s="34">
        <f>[33]С1.1!E16</f>
        <v>5100</v>
      </c>
    </row>
    <row r="29" spans="1:3" ht="42.75">
      <c r="A29" s="22" t="s">
        <v>10</v>
      </c>
      <c r="B29" s="33" t="s">
        <v>22</v>
      </c>
      <c r="C29" s="34">
        <f>[33]С1.1!E27</f>
        <v>2870.67</v>
      </c>
    </row>
    <row r="30" spans="1:3" ht="17.25">
      <c r="A30" s="22" t="s">
        <v>12</v>
      </c>
      <c r="B30" s="33" t="s">
        <v>23</v>
      </c>
      <c r="C30" s="35">
        <f>[33]С1.1!E19</f>
        <v>1.4E-2</v>
      </c>
    </row>
    <row r="31" spans="1:3" ht="17.25">
      <c r="A31" s="22" t="s">
        <v>14</v>
      </c>
      <c r="B31" s="33" t="s">
        <v>24</v>
      </c>
      <c r="C31" s="35">
        <f>[33]С1.1!E20</f>
        <v>0.04</v>
      </c>
    </row>
    <row r="32" spans="1:3" ht="30">
      <c r="A32" s="22" t="s">
        <v>16</v>
      </c>
      <c r="B32" s="36" t="s">
        <v>25</v>
      </c>
      <c r="C32" s="37">
        <f>[33]С1!F13</f>
        <v>176.4</v>
      </c>
    </row>
    <row r="33" spans="1:3">
      <c r="A33" s="22" t="s">
        <v>18</v>
      </c>
      <c r="B33" s="36" t="s">
        <v>26</v>
      </c>
      <c r="C33" s="38">
        <f>[33]С1!F16</f>
        <v>7000</v>
      </c>
    </row>
    <row r="34" spans="1:3" ht="14.25">
      <c r="A34" s="22" t="s">
        <v>27</v>
      </c>
      <c r="B34" s="39" t="s">
        <v>28</v>
      </c>
      <c r="C34" s="40">
        <f>[33]С1!F17</f>
        <v>0.72857142857142854</v>
      </c>
    </row>
    <row r="35" spans="1:3" ht="15.75">
      <c r="A35" s="41" t="s">
        <v>29</v>
      </c>
      <c r="B35" s="42" t="s">
        <v>30</v>
      </c>
      <c r="C35" s="40">
        <f>[33]С1!F20</f>
        <v>21.588411179999994</v>
      </c>
    </row>
    <row r="36" spans="1:3" ht="15.75">
      <c r="A36" s="41" t="s">
        <v>31</v>
      </c>
      <c r="B36" s="43" t="s">
        <v>32</v>
      </c>
      <c r="C36" s="40">
        <f>[33]С1!F21</f>
        <v>20.818139999999996</v>
      </c>
    </row>
    <row r="37" spans="1:3" ht="14.25">
      <c r="A37" s="41" t="s">
        <v>33</v>
      </c>
      <c r="B37" s="44" t="s">
        <v>34</v>
      </c>
      <c r="C37" s="40">
        <f>[33]С1!F22</f>
        <v>1.0369999999999999</v>
      </c>
    </row>
    <row r="38" spans="1:3" ht="53.25" thickBot="1">
      <c r="A38" s="27" t="s">
        <v>35</v>
      </c>
      <c r="B38" s="45" t="s">
        <v>36</v>
      </c>
      <c r="C38" s="46">
        <f>[33]С1!F23</f>
        <v>1.0469999999999999</v>
      </c>
    </row>
    <row r="39" spans="1:3" ht="13.5" thickBot="1">
      <c r="A39" s="47"/>
      <c r="B39" s="48"/>
      <c r="C39" s="49"/>
    </row>
    <row r="40" spans="1:3" ht="40.5" customHeight="1">
      <c r="A40" s="50" t="s">
        <v>37</v>
      </c>
      <c r="B40" s="146" t="s">
        <v>38</v>
      </c>
      <c r="C40" s="146"/>
    </row>
    <row r="41" spans="1:3" ht="25.5">
      <c r="A41" s="22" t="s">
        <v>39</v>
      </c>
      <c r="B41" s="36" t="s">
        <v>40</v>
      </c>
      <c r="C41" s="51" t="str">
        <f>[33]С2.1!E12</f>
        <v>V</v>
      </c>
    </row>
    <row r="42" spans="1:3" ht="25.5">
      <c r="A42" s="22" t="s">
        <v>41</v>
      </c>
      <c r="B42" s="33" t="s">
        <v>42</v>
      </c>
      <c r="C42" s="51" t="str">
        <f>[33]С2.1!E13</f>
        <v>6 и менее баллов</v>
      </c>
    </row>
    <row r="43" spans="1:3" ht="25.5">
      <c r="A43" s="22" t="s">
        <v>43</v>
      </c>
      <c r="B43" s="33" t="s">
        <v>44</v>
      </c>
      <c r="C43" s="51" t="str">
        <f>[33]С2.1!E14</f>
        <v>от 200 до 500</v>
      </c>
    </row>
    <row r="44" spans="1:3" ht="25.5">
      <c r="A44" s="22" t="s">
        <v>45</v>
      </c>
      <c r="B44" s="33" t="s">
        <v>46</v>
      </c>
      <c r="C44" s="52" t="str">
        <f>[33]С2.1!E15</f>
        <v>нет</v>
      </c>
    </row>
    <row r="45" spans="1:3" ht="30">
      <c r="A45" s="22" t="s">
        <v>47</v>
      </c>
      <c r="B45" s="33" t="s">
        <v>48</v>
      </c>
      <c r="C45" s="34">
        <f>[33]С2!F18</f>
        <v>38910.02669467502</v>
      </c>
    </row>
    <row r="46" spans="1:3" ht="30">
      <c r="A46" s="22" t="s">
        <v>49</v>
      </c>
      <c r="B46" s="53" t="s">
        <v>50</v>
      </c>
      <c r="C46" s="34">
        <f>IF([33]С2!F19&gt;0,[33]С2!F19,[33]С2!F20)</f>
        <v>23441.524932855718</v>
      </c>
    </row>
    <row r="47" spans="1:3" ht="25.5">
      <c r="A47" s="22" t="s">
        <v>51</v>
      </c>
      <c r="B47" s="54" t="s">
        <v>52</v>
      </c>
      <c r="C47" s="34">
        <f>[33]С2.1!E19</f>
        <v>-38</v>
      </c>
    </row>
    <row r="48" spans="1:3" ht="25.5">
      <c r="A48" s="22" t="s">
        <v>53</v>
      </c>
      <c r="B48" s="54" t="s">
        <v>54</v>
      </c>
      <c r="C48" s="34" t="str">
        <f>[33]С2.1!E22</f>
        <v>нет</v>
      </c>
    </row>
    <row r="49" spans="1:3" ht="38.25">
      <c r="A49" s="22" t="s">
        <v>55</v>
      </c>
      <c r="B49" s="55" t="s">
        <v>56</v>
      </c>
      <c r="C49" s="34">
        <f>[33]С2.2!E10</f>
        <v>1287</v>
      </c>
    </row>
    <row r="50" spans="1:3" ht="25.5">
      <c r="A50" s="22" t="s">
        <v>57</v>
      </c>
      <c r="B50" s="56" t="s">
        <v>58</v>
      </c>
      <c r="C50" s="34">
        <f>[33]С2.2!E12</f>
        <v>5.97</v>
      </c>
    </row>
    <row r="51" spans="1:3" ht="52.5">
      <c r="A51" s="22" t="s">
        <v>59</v>
      </c>
      <c r="B51" s="57" t="s">
        <v>60</v>
      </c>
      <c r="C51" s="34">
        <f>[33]С2.2!E13</f>
        <v>1</v>
      </c>
    </row>
    <row r="52" spans="1:3" ht="27.75">
      <c r="A52" s="22" t="s">
        <v>61</v>
      </c>
      <c r="B52" s="56" t="s">
        <v>62</v>
      </c>
      <c r="C52" s="34">
        <f>[33]С2.2!E14</f>
        <v>12104</v>
      </c>
    </row>
    <row r="53" spans="1:3" ht="25.5">
      <c r="A53" s="22" t="s">
        <v>63</v>
      </c>
      <c r="B53" s="57" t="s">
        <v>64</v>
      </c>
      <c r="C53" s="35">
        <f>[33]С2.2!E15</f>
        <v>4.8000000000000001E-2</v>
      </c>
    </row>
    <row r="54" spans="1:3">
      <c r="A54" s="22" t="s">
        <v>65</v>
      </c>
      <c r="B54" s="57" t="s">
        <v>66</v>
      </c>
      <c r="C54" s="34">
        <f>[33]С2.2!E16</f>
        <v>1</v>
      </c>
    </row>
    <row r="55" spans="1:3" ht="15.75">
      <c r="A55" s="22" t="s">
        <v>67</v>
      </c>
      <c r="B55" s="58" t="s">
        <v>68</v>
      </c>
      <c r="C55" s="34">
        <f>[33]С2!F21</f>
        <v>1</v>
      </c>
    </row>
    <row r="56" spans="1:3" ht="30">
      <c r="A56" s="59" t="s">
        <v>69</v>
      </c>
      <c r="B56" s="33" t="s">
        <v>70</v>
      </c>
      <c r="C56" s="34">
        <f>[33]С2!F13</f>
        <v>203708.97017230222</v>
      </c>
    </row>
    <row r="57" spans="1:3" ht="30">
      <c r="A57" s="59" t="s">
        <v>71</v>
      </c>
      <c r="B57" s="58" t="s">
        <v>72</v>
      </c>
      <c r="C57" s="34">
        <f>[33]С2!F14</f>
        <v>113455</v>
      </c>
    </row>
    <row r="58" spans="1:3" ht="15.75">
      <c r="A58" s="59" t="s">
        <v>73</v>
      </c>
      <c r="B58" s="60" t="s">
        <v>74</v>
      </c>
      <c r="C58" s="40">
        <f>[33]С2!F15</f>
        <v>1.071</v>
      </c>
    </row>
    <row r="59" spans="1:3" ht="15.75">
      <c r="A59" s="59" t="s">
        <v>75</v>
      </c>
      <c r="B59" s="60" t="s">
        <v>76</v>
      </c>
      <c r="C59" s="40">
        <f>[33]С2!F16</f>
        <v>1</v>
      </c>
    </row>
    <row r="60" spans="1:3" ht="17.25">
      <c r="A60" s="59" t="s">
        <v>77</v>
      </c>
      <c r="B60" s="58" t="s">
        <v>78</v>
      </c>
      <c r="C60" s="34">
        <f>[33]С2!F17</f>
        <v>1.01</v>
      </c>
    </row>
    <row r="61" spans="1:3" s="63" customFormat="1" ht="14.25">
      <c r="A61" s="59" t="s">
        <v>79</v>
      </c>
      <c r="B61" s="61" t="s">
        <v>80</v>
      </c>
      <c r="C61" s="62">
        <f>[33]С2!F33</f>
        <v>10</v>
      </c>
    </row>
    <row r="62" spans="1:3" ht="30">
      <c r="A62" s="59" t="s">
        <v>81</v>
      </c>
      <c r="B62" s="64" t="s">
        <v>82</v>
      </c>
      <c r="C62" s="34">
        <f>[33]С2!F26</f>
        <v>2416.4994928434235</v>
      </c>
    </row>
    <row r="63" spans="1:3" ht="17.25">
      <c r="A63" s="59" t="s">
        <v>83</v>
      </c>
      <c r="B63" s="53" t="s">
        <v>84</v>
      </c>
      <c r="C63" s="34">
        <f>[33]С2!F27</f>
        <v>0.34662649000000001</v>
      </c>
    </row>
    <row r="64" spans="1:3" ht="17.25">
      <c r="A64" s="59" t="s">
        <v>85</v>
      </c>
      <c r="B64" s="58" t="s">
        <v>86</v>
      </c>
      <c r="C64" s="62">
        <f>[33]С2!F28</f>
        <v>4200</v>
      </c>
    </row>
    <row r="65" spans="1:3" ht="42.75">
      <c r="A65" s="59" t="s">
        <v>87</v>
      </c>
      <c r="B65" s="33" t="s">
        <v>88</v>
      </c>
      <c r="C65" s="34">
        <f>[33]С2!F22</f>
        <v>42890.921752741691</v>
      </c>
    </row>
    <row r="66" spans="1:3" ht="30">
      <c r="A66" s="59" t="s">
        <v>89</v>
      </c>
      <c r="B66" s="60" t="s">
        <v>90</v>
      </c>
      <c r="C66" s="34">
        <f>[33]С2!F23</f>
        <v>1990</v>
      </c>
    </row>
    <row r="67" spans="1:3" ht="30">
      <c r="A67" s="59" t="s">
        <v>91</v>
      </c>
      <c r="B67" s="53" t="s">
        <v>92</v>
      </c>
      <c r="C67" s="34">
        <f>[33]С2.1!E27</f>
        <v>14307.876789999998</v>
      </c>
    </row>
    <row r="68" spans="1:3" ht="38.25">
      <c r="A68" s="59" t="s">
        <v>93</v>
      </c>
      <c r="B68" s="65" t="s">
        <v>94</v>
      </c>
      <c r="C68" s="52">
        <f>[33]С2.3!E21</f>
        <v>0</v>
      </c>
    </row>
    <row r="69" spans="1:3" ht="25.5">
      <c r="A69" s="59" t="s">
        <v>95</v>
      </c>
      <c r="B69" s="66" t="s">
        <v>96</v>
      </c>
      <c r="C69" s="67">
        <f>[33]С2.3!E11</f>
        <v>9.89</v>
      </c>
    </row>
    <row r="70" spans="1:3" ht="25.5">
      <c r="A70" s="59" t="s">
        <v>97</v>
      </c>
      <c r="B70" s="66" t="s">
        <v>98</v>
      </c>
      <c r="C70" s="62">
        <f>[33]С2.3!E13</f>
        <v>300</v>
      </c>
    </row>
    <row r="71" spans="1:3" ht="25.5">
      <c r="A71" s="59" t="s">
        <v>99</v>
      </c>
      <c r="B71" s="65" t="s">
        <v>100</v>
      </c>
      <c r="C71" s="68">
        <f>IF([33]С2.3!E22&gt;0,[33]С2.3!E22,[33]С2.3!E14)</f>
        <v>61211</v>
      </c>
    </row>
    <row r="72" spans="1:3" ht="38.25">
      <c r="A72" s="59" t="s">
        <v>101</v>
      </c>
      <c r="B72" s="65" t="s">
        <v>102</v>
      </c>
      <c r="C72" s="68">
        <f>IF([33]С2.3!E23&gt;0,[33]С2.3!E23,[33]С2.3!E15)</f>
        <v>45675</v>
      </c>
    </row>
    <row r="73" spans="1:3" ht="30">
      <c r="A73" s="59" t="s">
        <v>103</v>
      </c>
      <c r="B73" s="53" t="s">
        <v>104</v>
      </c>
      <c r="C73" s="34">
        <f>[33]С2.1!E28</f>
        <v>9541.9567200000001</v>
      </c>
    </row>
    <row r="74" spans="1:3" ht="38.25">
      <c r="A74" s="59" t="s">
        <v>105</v>
      </c>
      <c r="B74" s="65" t="s">
        <v>106</v>
      </c>
      <c r="C74" s="52">
        <f>[33]С2.3!E25</f>
        <v>0</v>
      </c>
    </row>
    <row r="75" spans="1:3" ht="25.5">
      <c r="A75" s="59" t="s">
        <v>107</v>
      </c>
      <c r="B75" s="66" t="s">
        <v>108</v>
      </c>
      <c r="C75" s="67">
        <f>[33]С2.3!E12</f>
        <v>0.56000000000000005</v>
      </c>
    </row>
    <row r="76" spans="1:3" ht="25.5">
      <c r="A76" s="59" t="s">
        <v>109</v>
      </c>
      <c r="B76" s="66" t="s">
        <v>98</v>
      </c>
      <c r="C76" s="62">
        <f>[33]С2.3!E13</f>
        <v>300</v>
      </c>
    </row>
    <row r="77" spans="1:3" ht="25.5">
      <c r="A77" s="59" t="s">
        <v>110</v>
      </c>
      <c r="B77" s="69" t="s">
        <v>111</v>
      </c>
      <c r="C77" s="68">
        <f>IF([33]С2.3!E26&gt;0,[33]С2.3!E26,[33]С2.3!E16)</f>
        <v>65637</v>
      </c>
    </row>
    <row r="78" spans="1:3" ht="38.25">
      <c r="A78" s="59" t="s">
        <v>112</v>
      </c>
      <c r="B78" s="69" t="s">
        <v>113</v>
      </c>
      <c r="C78" s="68">
        <f>IF([33]С2.3!E27&gt;0,[33]С2.3!E27,[33]С2.3!E17)</f>
        <v>31684</v>
      </c>
    </row>
    <row r="79" spans="1:3" ht="17.25">
      <c r="A79" s="59" t="s">
        <v>114</v>
      </c>
      <c r="B79" s="33" t="s">
        <v>115</v>
      </c>
      <c r="C79" s="35">
        <f>[33]С2!F29</f>
        <v>0.17804631770487722</v>
      </c>
    </row>
    <row r="80" spans="1:3" ht="30">
      <c r="A80" s="59" t="s">
        <v>116</v>
      </c>
      <c r="B80" s="53" t="s">
        <v>117</v>
      </c>
      <c r="C80" s="70">
        <f>[33]С2!F30</f>
        <v>0.1652189781021898</v>
      </c>
    </row>
    <row r="81" spans="1:3" ht="17.25">
      <c r="A81" s="59" t="s">
        <v>118</v>
      </c>
      <c r="B81" s="71" t="s">
        <v>119</v>
      </c>
      <c r="C81" s="35">
        <f>[33]С2!F31</f>
        <v>0.13880000000000001</v>
      </c>
    </row>
    <row r="82" spans="1:3" s="63" customFormat="1" ht="18" thickBot="1">
      <c r="A82" s="72" t="s">
        <v>120</v>
      </c>
      <c r="B82" s="73" t="s">
        <v>121</v>
      </c>
      <c r="C82" s="74">
        <f>[33]С2!F32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[33]С3!F14</f>
        <v>14863.184658749575</v>
      </c>
    </row>
    <row r="86" spans="1:3" s="63" customFormat="1" ht="42.75">
      <c r="A86" s="77" t="s">
        <v>126</v>
      </c>
      <c r="B86" s="53" t="s">
        <v>127</v>
      </c>
      <c r="C86" s="78">
        <f>[33]С3!F15</f>
        <v>0.25</v>
      </c>
    </row>
    <row r="87" spans="1:3" s="63" customFormat="1" ht="14.25">
      <c r="A87" s="77" t="s">
        <v>128</v>
      </c>
      <c r="B87" s="79" t="s">
        <v>129</v>
      </c>
      <c r="C87" s="62">
        <f>[33]С3!F18</f>
        <v>15</v>
      </c>
    </row>
    <row r="88" spans="1:3" s="63" customFormat="1" ht="17.25">
      <c r="A88" s="77" t="s">
        <v>130</v>
      </c>
      <c r="B88" s="33" t="s">
        <v>131</v>
      </c>
      <c r="C88" s="34">
        <f>[33]С3!F19</f>
        <v>4187.478806422544</v>
      </c>
    </row>
    <row r="89" spans="1:3" s="63" customFormat="1" ht="55.5">
      <c r="A89" s="77" t="s">
        <v>132</v>
      </c>
      <c r="B89" s="53" t="s">
        <v>133</v>
      </c>
      <c r="C89" s="80">
        <f>[33]С3!F20</f>
        <v>2.1999999999999999E-2</v>
      </c>
    </row>
    <row r="90" spans="1:3" s="63" customFormat="1" ht="14.25">
      <c r="A90" s="77" t="s">
        <v>134</v>
      </c>
      <c r="B90" s="58" t="s">
        <v>80</v>
      </c>
      <c r="C90" s="62">
        <f>[33]С3!F21</f>
        <v>10</v>
      </c>
    </row>
    <row r="91" spans="1:3" s="63" customFormat="1" ht="17.25">
      <c r="A91" s="77" t="s">
        <v>135</v>
      </c>
      <c r="B91" s="33" t="s">
        <v>136</v>
      </c>
      <c r="C91" s="34">
        <f>[33]С3!F22</f>
        <v>7.2494984785302705</v>
      </c>
    </row>
    <row r="92" spans="1:3" s="63" customFormat="1" ht="55.5">
      <c r="A92" s="77" t="s">
        <v>137</v>
      </c>
      <c r="B92" s="53" t="s">
        <v>138</v>
      </c>
      <c r="C92" s="80">
        <f>[33]С3!F23</f>
        <v>3.0000000000000001E-3</v>
      </c>
    </row>
    <row r="93" spans="1:3" s="63" customFormat="1" ht="27.75" thickBot="1">
      <c r="A93" s="81" t="s">
        <v>139</v>
      </c>
      <c r="B93" s="82" t="s">
        <v>140</v>
      </c>
      <c r="C93" s="83">
        <f>[33]С3!F24</f>
        <v>2416.4994928434235</v>
      </c>
    </row>
    <row r="94" spans="1:3" ht="13.5" thickBot="1">
      <c r="A94" s="47"/>
      <c r="B94" s="75"/>
      <c r="C94" s="15"/>
    </row>
    <row r="95" spans="1:3" ht="36" customHeight="1">
      <c r="A95" s="84" t="s">
        <v>141</v>
      </c>
      <c r="B95" s="146" t="s">
        <v>142</v>
      </c>
      <c r="C95" s="146"/>
    </row>
    <row r="96" spans="1:3" ht="30">
      <c r="A96" s="59" t="s">
        <v>143</v>
      </c>
      <c r="B96" s="33" t="s">
        <v>144</v>
      </c>
      <c r="C96" s="34">
        <f>[33]С4!F16</f>
        <v>1652.5</v>
      </c>
    </row>
    <row r="97" spans="1:3" ht="30">
      <c r="A97" s="59" t="s">
        <v>145</v>
      </c>
      <c r="B97" s="58" t="s">
        <v>146</v>
      </c>
      <c r="C97" s="34">
        <f>[33]С4!F17</f>
        <v>73547</v>
      </c>
    </row>
    <row r="98" spans="1:3" ht="17.25">
      <c r="A98" s="59" t="s">
        <v>147</v>
      </c>
      <c r="B98" s="58" t="s">
        <v>148</v>
      </c>
      <c r="C98" s="40">
        <f>[33]С4!F18</f>
        <v>0.02</v>
      </c>
    </row>
    <row r="99" spans="1:3" ht="30">
      <c r="A99" s="59" t="s">
        <v>149</v>
      </c>
      <c r="B99" s="58" t="s">
        <v>150</v>
      </c>
      <c r="C99" s="34">
        <f>[33]С4!F19</f>
        <v>12104</v>
      </c>
    </row>
    <row r="100" spans="1:3" ht="31.5">
      <c r="A100" s="59" t="s">
        <v>151</v>
      </c>
      <c r="B100" s="58" t="s">
        <v>152</v>
      </c>
      <c r="C100" s="40">
        <f>[33]С4!F20</f>
        <v>1.4999999999999999E-2</v>
      </c>
    </row>
    <row r="101" spans="1:3" ht="30">
      <c r="A101" s="59" t="s">
        <v>153</v>
      </c>
      <c r="B101" s="33" t="s">
        <v>154</v>
      </c>
      <c r="C101" s="34">
        <f>[33]С4!F21</f>
        <v>1933.1949342509995</v>
      </c>
    </row>
    <row r="102" spans="1:3" ht="24" customHeight="1">
      <c r="A102" s="59" t="s">
        <v>155</v>
      </c>
      <c r="B102" s="53" t="s">
        <v>156</v>
      </c>
      <c r="C102" s="85">
        <f>IF([33]С4.2!F8="да",[33]С4.2!D21,[33]С4.2!D15)</f>
        <v>0</v>
      </c>
    </row>
    <row r="103" spans="1:3" ht="68.25">
      <c r="A103" s="59" t="s">
        <v>157</v>
      </c>
      <c r="B103" s="53" t="s">
        <v>158</v>
      </c>
      <c r="C103" s="34">
        <f>[33]С4!F22</f>
        <v>3.6112641666666665</v>
      </c>
    </row>
    <row r="104" spans="1:3" ht="30">
      <c r="A104" s="59" t="s">
        <v>159</v>
      </c>
      <c r="B104" s="58" t="s">
        <v>160</v>
      </c>
      <c r="C104" s="34">
        <f>[33]С4!F23</f>
        <v>180</v>
      </c>
    </row>
    <row r="105" spans="1:3" ht="14.25">
      <c r="A105" s="59" t="s">
        <v>161</v>
      </c>
      <c r="B105" s="53" t="s">
        <v>162</v>
      </c>
      <c r="C105" s="34">
        <f>[33]С4!F24</f>
        <v>8497.1999999999989</v>
      </c>
    </row>
    <row r="106" spans="1:3" ht="14.25">
      <c r="A106" s="59" t="s">
        <v>163</v>
      </c>
      <c r="B106" s="58" t="s">
        <v>164</v>
      </c>
      <c r="C106" s="40">
        <f>[33]С4!F25</f>
        <v>0.35</v>
      </c>
    </row>
    <row r="107" spans="1:3" ht="17.25">
      <c r="A107" s="59" t="s">
        <v>165</v>
      </c>
      <c r="B107" s="33" t="s">
        <v>166</v>
      </c>
      <c r="C107" s="34">
        <f>[33]С4!F26</f>
        <v>69.041669999999996</v>
      </c>
    </row>
    <row r="108" spans="1:3" ht="25.5">
      <c r="A108" s="59" t="s">
        <v>167</v>
      </c>
      <c r="B108" s="53" t="s">
        <v>94</v>
      </c>
      <c r="C108" s="85">
        <f>[33]С4.3!E16</f>
        <v>0</v>
      </c>
    </row>
    <row r="109" spans="1:3" ht="25.5">
      <c r="A109" s="59" t="s">
        <v>168</v>
      </c>
      <c r="B109" s="53" t="s">
        <v>169</v>
      </c>
      <c r="C109" s="34">
        <f>[33]С4.3!E17</f>
        <v>18.41</v>
      </c>
    </row>
    <row r="110" spans="1:3" ht="38.25">
      <c r="A110" s="59" t="s">
        <v>170</v>
      </c>
      <c r="B110" s="53" t="s">
        <v>106</v>
      </c>
      <c r="C110" s="85">
        <f>[33]С4.3!E18</f>
        <v>0</v>
      </c>
    </row>
    <row r="111" spans="1:3">
      <c r="A111" s="59" t="s">
        <v>171</v>
      </c>
      <c r="B111" s="53" t="s">
        <v>172</v>
      </c>
      <c r="C111" s="34">
        <f>[33]С4.3!E19</f>
        <v>21.95</v>
      </c>
    </row>
    <row r="112" spans="1:3">
      <c r="A112" s="59" t="s">
        <v>173</v>
      </c>
      <c r="B112" s="58" t="s">
        <v>174</v>
      </c>
      <c r="C112" s="34">
        <f>[33]С4.3!E11</f>
        <v>1871</v>
      </c>
    </row>
    <row r="113" spans="1:3">
      <c r="A113" s="59" t="s">
        <v>175</v>
      </c>
      <c r="B113" s="58" t="s">
        <v>176</v>
      </c>
      <c r="C113" s="52">
        <f>[33]С4.3!E12</f>
        <v>1636</v>
      </c>
    </row>
    <row r="114" spans="1:3">
      <c r="A114" s="59" t="s">
        <v>177</v>
      </c>
      <c r="B114" s="58" t="s">
        <v>178</v>
      </c>
      <c r="C114" s="52">
        <f>[33]С4.3!E13</f>
        <v>204</v>
      </c>
    </row>
    <row r="115" spans="1:3" ht="30">
      <c r="A115" s="59" t="s">
        <v>179</v>
      </c>
      <c r="B115" s="33" t="s">
        <v>180</v>
      </c>
      <c r="C115" s="34">
        <f>[33]С4!F27</f>
        <v>1291.2863994686898</v>
      </c>
    </row>
    <row r="116" spans="1:3" ht="25.5">
      <c r="A116" s="59" t="s">
        <v>181</v>
      </c>
      <c r="B116" s="53" t="s">
        <v>182</v>
      </c>
      <c r="C116" s="34">
        <f>[33]С4!F28</f>
        <v>991.77142816335618</v>
      </c>
    </row>
    <row r="117" spans="1:3" ht="42.75">
      <c r="A117" s="59" t="s">
        <v>183</v>
      </c>
      <c r="B117" s="53" t="s">
        <v>184</v>
      </c>
      <c r="C117" s="34">
        <f>[33]С4!F29</f>
        <v>299.51497130533357</v>
      </c>
    </row>
    <row r="118" spans="1:3" ht="30">
      <c r="A118" s="59" t="s">
        <v>185</v>
      </c>
      <c r="B118" s="39" t="s">
        <v>186</v>
      </c>
      <c r="C118" s="34">
        <f>[33]С4!F30</f>
        <v>2379.6844099036061</v>
      </c>
    </row>
    <row r="119" spans="1:3" ht="42.75">
      <c r="A119" s="59" t="s">
        <v>187</v>
      </c>
      <c r="B119" s="86" t="s">
        <v>188</v>
      </c>
      <c r="C119" s="34">
        <f>[33]С4!F33</f>
        <v>1176.7426982817792</v>
      </c>
    </row>
    <row r="120" spans="1:3" ht="30">
      <c r="A120" s="59" t="s">
        <v>189</v>
      </c>
      <c r="B120" s="87" t="s">
        <v>190</v>
      </c>
      <c r="C120" s="34">
        <f>[33]С4!F35</f>
        <v>17.040680999999999</v>
      </c>
    </row>
    <row r="121" spans="1:3" ht="14.25">
      <c r="A121" s="59" t="s">
        <v>191</v>
      </c>
      <c r="B121" s="56" t="s">
        <v>192</v>
      </c>
      <c r="C121" s="34">
        <f>[33]С4!F36</f>
        <v>14319.9</v>
      </c>
    </row>
    <row r="122" spans="1:3" ht="28.5" thickBot="1">
      <c r="A122" s="72" t="s">
        <v>193</v>
      </c>
      <c r="B122" s="88" t="s">
        <v>194</v>
      </c>
      <c r="C122" s="83">
        <f>[33]С4!F37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[33]С5!F17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[33]С2!F37</f>
        <v>20.818139999999996</v>
      </c>
    </row>
    <row r="136" spans="1:4" ht="14.25">
      <c r="A136" s="59" t="s">
        <v>216</v>
      </c>
      <c r="B136" s="101" t="s">
        <v>217</v>
      </c>
      <c r="C136" s="34">
        <f>[33]С2!F38</f>
        <v>7</v>
      </c>
    </row>
    <row r="137" spans="1:4" ht="17.25">
      <c r="A137" s="59" t="s">
        <v>218</v>
      </c>
      <c r="B137" s="101" t="s">
        <v>219</v>
      </c>
      <c r="C137" s="34">
        <f>[33]С2!F40</f>
        <v>0.97</v>
      </c>
    </row>
    <row r="138" spans="1:4" ht="15" thickBot="1">
      <c r="A138" s="72" t="s">
        <v>220</v>
      </c>
      <c r="B138" s="102" t="s">
        <v>221</v>
      </c>
      <c r="C138" s="46">
        <f>[33]С2!F42</f>
        <v>0.35</v>
      </c>
    </row>
    <row r="139" spans="1:4" s="89" customFormat="1" ht="13.5" thickBot="1">
      <c r="A139" s="47"/>
      <c r="B139" s="75"/>
      <c r="C139" s="15"/>
    </row>
    <row r="140" spans="1:4" ht="30">
      <c r="A140" s="84" t="s">
        <v>222</v>
      </c>
      <c r="B140" s="103" t="s">
        <v>223</v>
      </c>
      <c r="C140" s="104">
        <f>[33]С2!F35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[33]С2.5!$E$11</f>
        <v>-2.9000000000000026E-2</v>
      </c>
      <c r="D143" s="89"/>
    </row>
    <row r="144" spans="1:4">
      <c r="A144" s="105"/>
      <c r="B144" s="110">
        <f>B143+1</f>
        <v>2021</v>
      </c>
      <c r="C144" s="111">
        <f>[33]С2.5!$F$11</f>
        <v>0.245</v>
      </c>
      <c r="D144" s="89"/>
    </row>
    <row r="145" spans="1:4">
      <c r="A145" s="105"/>
      <c r="B145" s="110">
        <f t="shared" ref="B145:B208" si="0">B144+1</f>
        <v>2022</v>
      </c>
      <c r="C145" s="111">
        <f>[33]С2.5!$G$11</f>
        <v>0.114</v>
      </c>
      <c r="D145" s="89"/>
    </row>
    <row r="146" spans="1:4" ht="13.5" thickBot="1">
      <c r="A146" s="105"/>
      <c r="B146" s="112">
        <f t="shared" si="0"/>
        <v>2023</v>
      </c>
      <c r="C146" s="113">
        <f>[33]С2.5!$H$11</f>
        <v>0.04</v>
      </c>
      <c r="D146" s="89"/>
    </row>
    <row r="147" spans="1:4">
      <c r="A147" s="105"/>
      <c r="B147" s="114">
        <f t="shared" si="0"/>
        <v>2024</v>
      </c>
      <c r="C147" s="115">
        <f>[33]С2.5!$I$11</f>
        <v>0.11700000000000001</v>
      </c>
      <c r="D147" s="89"/>
    </row>
    <row r="148" spans="1:4">
      <c r="A148" s="105"/>
      <c r="B148" s="110">
        <f t="shared" si="0"/>
        <v>2025</v>
      </c>
      <c r="C148" s="111">
        <f>[33]С2.5!$J$11</f>
        <v>6.0999999999999999E-2</v>
      </c>
      <c r="D148" s="89"/>
    </row>
    <row r="149" spans="1:4" hidden="1">
      <c r="A149" s="105"/>
      <c r="B149" s="110">
        <f t="shared" si="0"/>
        <v>2026</v>
      </c>
      <c r="C149" s="111">
        <f>[33]С2.5!$K$11</f>
        <v>3.5813361771260002E-2</v>
      </c>
      <c r="D149" s="89"/>
    </row>
    <row r="150" spans="1:4" hidden="1">
      <c r="A150" s="105"/>
      <c r="B150" s="110">
        <f t="shared" si="0"/>
        <v>2027</v>
      </c>
      <c r="C150" s="111">
        <f>[33]С2.5!$L$11</f>
        <v>3.2682303599220003E-2</v>
      </c>
      <c r="D150" s="89"/>
    </row>
    <row r="151" spans="1:4" hidden="1">
      <c r="A151" s="105"/>
      <c r="B151" s="110">
        <f t="shared" si="0"/>
        <v>2028</v>
      </c>
      <c r="C151" s="111">
        <f>[33]С2.5!$M$11</f>
        <v>0</v>
      </c>
      <c r="D151" s="89"/>
    </row>
    <row r="152" spans="1:4" hidden="1">
      <c r="A152" s="105"/>
      <c r="B152" s="110">
        <f t="shared" si="0"/>
        <v>2029</v>
      </c>
      <c r="C152" s="111">
        <f>[33]С2.5!$N$11</f>
        <v>0</v>
      </c>
      <c r="D152" s="89"/>
    </row>
    <row r="153" spans="1:4" hidden="1">
      <c r="A153" s="105"/>
      <c r="B153" s="110">
        <f t="shared" si="0"/>
        <v>2030</v>
      </c>
      <c r="C153" s="111">
        <f>[33]С2.5!$O$11</f>
        <v>0</v>
      </c>
      <c r="D153" s="89"/>
    </row>
    <row r="154" spans="1:4" hidden="1">
      <c r="A154" s="105"/>
      <c r="B154" s="110">
        <f t="shared" si="0"/>
        <v>2031</v>
      </c>
      <c r="C154" s="111">
        <f>[33]С2.5!$P$11</f>
        <v>0</v>
      </c>
      <c r="D154" s="89"/>
    </row>
    <row r="155" spans="1:4" hidden="1">
      <c r="A155" s="89"/>
      <c r="B155" s="110">
        <f t="shared" si="0"/>
        <v>2032</v>
      </c>
      <c r="C155" s="111">
        <f>[33]С2.5!$Q$11</f>
        <v>0</v>
      </c>
      <c r="D155" s="89"/>
    </row>
    <row r="156" spans="1:4" hidden="1">
      <c r="A156" s="89"/>
      <c r="B156" s="110">
        <f t="shared" si="0"/>
        <v>2033</v>
      </c>
      <c r="C156" s="111">
        <f>[33]С2.5!$R$11</f>
        <v>0</v>
      </c>
      <c r="D156" s="89"/>
    </row>
    <row r="157" spans="1:4" hidden="1">
      <c r="B157" s="110">
        <f t="shared" si="0"/>
        <v>2034</v>
      </c>
      <c r="C157" s="111">
        <f>[33]С2.5!$S$11</f>
        <v>0</v>
      </c>
    </row>
    <row r="158" spans="1:4" hidden="1">
      <c r="B158" s="110">
        <f t="shared" si="0"/>
        <v>2035</v>
      </c>
      <c r="C158" s="111">
        <f>[33]С2.5!$T$11</f>
        <v>0</v>
      </c>
    </row>
    <row r="159" spans="1:4" hidden="1">
      <c r="B159" s="110">
        <f t="shared" si="0"/>
        <v>2036</v>
      </c>
      <c r="C159" s="111">
        <f>[33]С2.5!$U$11</f>
        <v>0</v>
      </c>
    </row>
    <row r="160" spans="1:4" hidden="1">
      <c r="B160" s="110">
        <f t="shared" si="0"/>
        <v>2037</v>
      </c>
      <c r="C160" s="111">
        <f>[33]С2.5!$V$11</f>
        <v>0</v>
      </c>
    </row>
    <row r="161" spans="2:3" hidden="1">
      <c r="B161" s="110">
        <f t="shared" si="0"/>
        <v>2038</v>
      </c>
      <c r="C161" s="111">
        <f>[33]С2.5!$W$11</f>
        <v>0</v>
      </c>
    </row>
    <row r="162" spans="2:3" hidden="1">
      <c r="B162" s="110">
        <f t="shared" si="0"/>
        <v>2039</v>
      </c>
      <c r="C162" s="111">
        <f>[33]С2.5!$X$11</f>
        <v>0</v>
      </c>
    </row>
    <row r="163" spans="2:3" hidden="1">
      <c r="B163" s="110">
        <f t="shared" si="0"/>
        <v>2040</v>
      </c>
      <c r="C163" s="111">
        <f>[33]С2.5!$Y$11</f>
        <v>0</v>
      </c>
    </row>
    <row r="164" spans="2:3" hidden="1">
      <c r="B164" s="110">
        <f t="shared" si="0"/>
        <v>2041</v>
      </c>
      <c r="C164" s="111">
        <f>[33]С2.5!$Z$11</f>
        <v>0</v>
      </c>
    </row>
    <row r="165" spans="2:3" hidden="1">
      <c r="B165" s="110">
        <f t="shared" si="0"/>
        <v>2042</v>
      </c>
      <c r="C165" s="111">
        <f>[33]С2.5!$AA$11</f>
        <v>0</v>
      </c>
    </row>
    <row r="166" spans="2:3" hidden="1">
      <c r="B166" s="110">
        <f t="shared" si="0"/>
        <v>2043</v>
      </c>
      <c r="C166" s="111">
        <f>[33]С2.5!$AB$11</f>
        <v>0</v>
      </c>
    </row>
    <row r="167" spans="2:3" hidden="1">
      <c r="B167" s="110">
        <f t="shared" si="0"/>
        <v>2044</v>
      </c>
      <c r="C167" s="111">
        <f>[33]С2.5!$AC$11</f>
        <v>0</v>
      </c>
    </row>
    <row r="168" spans="2:3" hidden="1">
      <c r="B168" s="110">
        <f t="shared" si="0"/>
        <v>2045</v>
      </c>
      <c r="C168" s="111">
        <f>[33]С2.5!$AD$11</f>
        <v>0</v>
      </c>
    </row>
    <row r="169" spans="2:3" hidden="1">
      <c r="B169" s="110">
        <f t="shared" si="0"/>
        <v>2046</v>
      </c>
      <c r="C169" s="111">
        <f>[33]С2.5!$AE$11</f>
        <v>0</v>
      </c>
    </row>
    <row r="170" spans="2:3" hidden="1">
      <c r="B170" s="110">
        <f t="shared" si="0"/>
        <v>2047</v>
      </c>
      <c r="C170" s="111">
        <f>[33]С2.5!$AF$11</f>
        <v>0</v>
      </c>
    </row>
    <row r="171" spans="2:3" hidden="1">
      <c r="B171" s="110">
        <f t="shared" si="0"/>
        <v>2048</v>
      </c>
      <c r="C171" s="111">
        <f>[33]С2.5!$AG$11</f>
        <v>0</v>
      </c>
    </row>
    <row r="172" spans="2:3" hidden="1">
      <c r="B172" s="110">
        <f t="shared" si="0"/>
        <v>2049</v>
      </c>
      <c r="C172" s="111">
        <f>[33]С2.5!$AH$11</f>
        <v>0</v>
      </c>
    </row>
    <row r="173" spans="2:3" hidden="1">
      <c r="B173" s="110">
        <f t="shared" si="0"/>
        <v>2050</v>
      </c>
      <c r="C173" s="111">
        <f>[33]С2.5!$AI$11</f>
        <v>0</v>
      </c>
    </row>
    <row r="174" spans="2:3" hidden="1">
      <c r="B174" s="110">
        <f t="shared" si="0"/>
        <v>2051</v>
      </c>
      <c r="C174" s="111">
        <f>[33]С2.5!$AJ$11</f>
        <v>0</v>
      </c>
    </row>
    <row r="175" spans="2:3" hidden="1">
      <c r="B175" s="110">
        <f t="shared" si="0"/>
        <v>2052</v>
      </c>
      <c r="C175" s="111">
        <f>[33]С2.5!$AK$11</f>
        <v>0</v>
      </c>
    </row>
    <row r="176" spans="2:3" hidden="1">
      <c r="B176" s="110">
        <f t="shared" si="0"/>
        <v>2053</v>
      </c>
      <c r="C176" s="111">
        <f>[33]С2.5!$AL$11</f>
        <v>0</v>
      </c>
    </row>
    <row r="177" spans="2:3" hidden="1">
      <c r="B177" s="110">
        <f t="shared" si="0"/>
        <v>2054</v>
      </c>
      <c r="C177" s="111">
        <f>[33]С2.5!$AM$11</f>
        <v>0</v>
      </c>
    </row>
    <row r="178" spans="2:3" hidden="1">
      <c r="B178" s="110">
        <f t="shared" si="0"/>
        <v>2055</v>
      </c>
      <c r="C178" s="111">
        <f>[33]С2.5!$AN$11</f>
        <v>0</v>
      </c>
    </row>
    <row r="179" spans="2:3" hidden="1">
      <c r="B179" s="110">
        <f t="shared" si="0"/>
        <v>2056</v>
      </c>
      <c r="C179" s="111">
        <f>[33]С2.5!$AO$11</f>
        <v>0</v>
      </c>
    </row>
    <row r="180" spans="2:3" hidden="1">
      <c r="B180" s="110">
        <f t="shared" si="0"/>
        <v>2057</v>
      </c>
      <c r="C180" s="111">
        <f>[33]С2.5!$AP$11</f>
        <v>0</v>
      </c>
    </row>
    <row r="181" spans="2:3" hidden="1">
      <c r="B181" s="110">
        <f t="shared" si="0"/>
        <v>2058</v>
      </c>
      <c r="C181" s="111">
        <f>[33]С2.5!$AQ$11</f>
        <v>0</v>
      </c>
    </row>
    <row r="182" spans="2:3" hidden="1">
      <c r="B182" s="110">
        <f t="shared" si="0"/>
        <v>2059</v>
      </c>
      <c r="C182" s="111">
        <f>[33]С2.5!$AR$11</f>
        <v>0</v>
      </c>
    </row>
    <row r="183" spans="2:3" hidden="1">
      <c r="B183" s="110">
        <f t="shared" si="0"/>
        <v>2060</v>
      </c>
      <c r="C183" s="111">
        <f>[33]С2.5!$AS$11</f>
        <v>0</v>
      </c>
    </row>
    <row r="184" spans="2:3" hidden="1">
      <c r="B184" s="110">
        <f t="shared" si="0"/>
        <v>2061</v>
      </c>
      <c r="C184" s="111">
        <f>[33]С2.5!$AT$11</f>
        <v>0</v>
      </c>
    </row>
    <row r="185" spans="2:3" hidden="1">
      <c r="B185" s="110">
        <f t="shared" si="0"/>
        <v>2062</v>
      </c>
      <c r="C185" s="111">
        <f>[33]С2.5!$AU$11</f>
        <v>0</v>
      </c>
    </row>
    <row r="186" spans="2:3" hidden="1">
      <c r="B186" s="110">
        <f t="shared" si="0"/>
        <v>2063</v>
      </c>
      <c r="C186" s="111">
        <f>[33]С2.5!$AV$11</f>
        <v>0</v>
      </c>
    </row>
    <row r="187" spans="2:3" hidden="1">
      <c r="B187" s="110">
        <f t="shared" si="0"/>
        <v>2064</v>
      </c>
      <c r="C187" s="111">
        <f>[33]С2.5!$AW$11</f>
        <v>0</v>
      </c>
    </row>
    <row r="188" spans="2:3" hidden="1">
      <c r="B188" s="110">
        <f t="shared" si="0"/>
        <v>2065</v>
      </c>
      <c r="C188" s="111">
        <f>[33]С2.5!$AX$11</f>
        <v>0</v>
      </c>
    </row>
    <row r="189" spans="2:3" hidden="1">
      <c r="B189" s="110">
        <f t="shared" si="0"/>
        <v>2066</v>
      </c>
      <c r="C189" s="111">
        <f>[33]С2.5!$AY$11</f>
        <v>0</v>
      </c>
    </row>
    <row r="190" spans="2:3" hidden="1">
      <c r="B190" s="110">
        <f t="shared" si="0"/>
        <v>2067</v>
      </c>
      <c r="C190" s="111">
        <f>[33]С2.5!$AZ$11</f>
        <v>0</v>
      </c>
    </row>
    <row r="191" spans="2:3" hidden="1">
      <c r="B191" s="110">
        <f t="shared" si="0"/>
        <v>2068</v>
      </c>
      <c r="C191" s="111">
        <f>[33]С2.5!$BA$11</f>
        <v>0</v>
      </c>
    </row>
    <row r="192" spans="2:3" hidden="1">
      <c r="B192" s="110">
        <f t="shared" si="0"/>
        <v>2069</v>
      </c>
      <c r="C192" s="111">
        <f>[33]С2.5!$BB$11</f>
        <v>0</v>
      </c>
    </row>
    <row r="193" spans="2:3" hidden="1">
      <c r="B193" s="110">
        <f t="shared" si="0"/>
        <v>2070</v>
      </c>
      <c r="C193" s="111">
        <f>[33]С2.5!$BC$11</f>
        <v>0</v>
      </c>
    </row>
    <row r="194" spans="2:3" hidden="1">
      <c r="B194" s="110">
        <f t="shared" si="0"/>
        <v>2071</v>
      </c>
      <c r="C194" s="111">
        <f>[33]С2.5!$BD$11</f>
        <v>0</v>
      </c>
    </row>
    <row r="195" spans="2:3" hidden="1">
      <c r="B195" s="110">
        <f t="shared" si="0"/>
        <v>2072</v>
      </c>
      <c r="C195" s="111">
        <f>[33]С2.5!$BE$11</f>
        <v>0</v>
      </c>
    </row>
    <row r="196" spans="2:3" hidden="1">
      <c r="B196" s="110">
        <f t="shared" si="0"/>
        <v>2073</v>
      </c>
      <c r="C196" s="111">
        <f>[33]С2.5!$BF$11</f>
        <v>0</v>
      </c>
    </row>
    <row r="197" spans="2:3" hidden="1">
      <c r="B197" s="110">
        <f t="shared" si="0"/>
        <v>2074</v>
      </c>
      <c r="C197" s="111">
        <f>[33]С2.5!$BG$11</f>
        <v>0</v>
      </c>
    </row>
    <row r="198" spans="2:3" hidden="1">
      <c r="B198" s="110">
        <f t="shared" si="0"/>
        <v>2075</v>
      </c>
      <c r="C198" s="111">
        <f>[33]С2.5!$BH$11</f>
        <v>0</v>
      </c>
    </row>
    <row r="199" spans="2:3" hidden="1">
      <c r="B199" s="110">
        <f t="shared" si="0"/>
        <v>2076</v>
      </c>
      <c r="C199" s="111">
        <f>[33]С2.5!$BI$11</f>
        <v>0</v>
      </c>
    </row>
    <row r="200" spans="2:3" hidden="1">
      <c r="B200" s="110">
        <f t="shared" si="0"/>
        <v>2077</v>
      </c>
      <c r="C200" s="111">
        <f>[33]С2.5!$BJ$11</f>
        <v>0</v>
      </c>
    </row>
    <row r="201" spans="2:3" hidden="1">
      <c r="B201" s="110">
        <f t="shared" si="0"/>
        <v>2078</v>
      </c>
      <c r="C201" s="111">
        <f>[33]С2.5!$BK$11</f>
        <v>0</v>
      </c>
    </row>
    <row r="202" spans="2:3" hidden="1">
      <c r="B202" s="110">
        <f t="shared" si="0"/>
        <v>2079</v>
      </c>
      <c r="C202" s="111">
        <f>[33]С2.5!$BL$11</f>
        <v>0</v>
      </c>
    </row>
    <row r="203" spans="2:3" hidden="1">
      <c r="B203" s="110">
        <f t="shared" si="0"/>
        <v>2080</v>
      </c>
      <c r="C203" s="111">
        <f>[33]С2.5!$BM$11</f>
        <v>0</v>
      </c>
    </row>
    <row r="204" spans="2:3" hidden="1">
      <c r="B204" s="110">
        <f t="shared" si="0"/>
        <v>2081</v>
      </c>
      <c r="C204" s="111">
        <f>[33]С2.5!$BN$11</f>
        <v>0</v>
      </c>
    </row>
    <row r="205" spans="2:3" hidden="1">
      <c r="B205" s="110">
        <f t="shared" si="0"/>
        <v>2082</v>
      </c>
      <c r="C205" s="111">
        <f>[33]С2.5!$BO$11</f>
        <v>0</v>
      </c>
    </row>
    <row r="206" spans="2:3" hidden="1">
      <c r="B206" s="110">
        <f t="shared" si="0"/>
        <v>2083</v>
      </c>
      <c r="C206" s="111">
        <f>[33]С2.5!$BP$11</f>
        <v>0</v>
      </c>
    </row>
    <row r="207" spans="2:3" hidden="1">
      <c r="B207" s="110">
        <f t="shared" si="0"/>
        <v>2084</v>
      </c>
      <c r="C207" s="111">
        <f>[33]С2.5!$BQ$11</f>
        <v>0</v>
      </c>
    </row>
    <row r="208" spans="2:3" hidden="1">
      <c r="B208" s="110">
        <f t="shared" si="0"/>
        <v>2085</v>
      </c>
      <c r="C208" s="111">
        <f>[33]С2.5!$BR$11</f>
        <v>0</v>
      </c>
    </row>
    <row r="209" spans="2:3" hidden="1">
      <c r="B209" s="110">
        <f t="shared" ref="B209:B223" si="1">B208+1</f>
        <v>2086</v>
      </c>
      <c r="C209" s="111">
        <f>[33]С2.5!$BS$11</f>
        <v>0</v>
      </c>
    </row>
    <row r="210" spans="2:3" hidden="1">
      <c r="B210" s="110">
        <f t="shared" si="1"/>
        <v>2087</v>
      </c>
      <c r="C210" s="111">
        <f>[33]С2.5!$BT$11</f>
        <v>0</v>
      </c>
    </row>
    <row r="211" spans="2:3" hidden="1">
      <c r="B211" s="110">
        <f t="shared" si="1"/>
        <v>2088</v>
      </c>
      <c r="C211" s="111">
        <f>[33]С2.5!$BU$11</f>
        <v>0</v>
      </c>
    </row>
    <row r="212" spans="2:3" hidden="1">
      <c r="B212" s="110">
        <f t="shared" si="1"/>
        <v>2089</v>
      </c>
      <c r="C212" s="111">
        <f>[33]С2.5!$BV$11</f>
        <v>0</v>
      </c>
    </row>
    <row r="213" spans="2:3" hidden="1">
      <c r="B213" s="110">
        <f t="shared" si="1"/>
        <v>2090</v>
      </c>
      <c r="C213" s="111">
        <f>[33]С2.5!$BW$11</f>
        <v>0</v>
      </c>
    </row>
    <row r="214" spans="2:3" hidden="1">
      <c r="B214" s="110">
        <f t="shared" si="1"/>
        <v>2091</v>
      </c>
      <c r="C214" s="111">
        <f>[33]С2.5!$BX$11</f>
        <v>0</v>
      </c>
    </row>
    <row r="215" spans="2:3" hidden="1">
      <c r="B215" s="110">
        <f t="shared" si="1"/>
        <v>2092</v>
      </c>
      <c r="C215" s="111">
        <f>[33]С2.5!$BY$11</f>
        <v>0</v>
      </c>
    </row>
    <row r="216" spans="2:3" hidden="1">
      <c r="B216" s="110">
        <f t="shared" si="1"/>
        <v>2093</v>
      </c>
      <c r="C216" s="111">
        <f>[33]С2.5!$BZ$11</f>
        <v>0</v>
      </c>
    </row>
    <row r="217" spans="2:3" hidden="1">
      <c r="B217" s="110">
        <f t="shared" si="1"/>
        <v>2094</v>
      </c>
      <c r="C217" s="111">
        <f>[33]С2.5!$CA$11</f>
        <v>0</v>
      </c>
    </row>
    <row r="218" spans="2:3" hidden="1">
      <c r="B218" s="110">
        <f t="shared" si="1"/>
        <v>2095</v>
      </c>
      <c r="C218" s="111">
        <f>[33]С2.5!$CB$11</f>
        <v>0</v>
      </c>
    </row>
    <row r="219" spans="2:3" hidden="1">
      <c r="B219" s="110">
        <f t="shared" si="1"/>
        <v>2096</v>
      </c>
      <c r="C219" s="111">
        <f>[33]С2.5!$CC$11</f>
        <v>0</v>
      </c>
    </row>
    <row r="220" spans="2:3" hidden="1">
      <c r="B220" s="110">
        <f t="shared" si="1"/>
        <v>2097</v>
      </c>
      <c r="C220" s="111">
        <f>[33]С2.5!$CD$11</f>
        <v>0</v>
      </c>
    </row>
    <row r="221" spans="2:3" hidden="1">
      <c r="B221" s="110">
        <f t="shared" si="1"/>
        <v>2098</v>
      </c>
      <c r="C221" s="111">
        <f>[33]С2.5!$CE$11</f>
        <v>0</v>
      </c>
    </row>
    <row r="222" spans="2:3" hidden="1">
      <c r="B222" s="110">
        <f t="shared" si="1"/>
        <v>2099</v>
      </c>
      <c r="C222" s="111">
        <f>[33]С2.5!$CF$11</f>
        <v>0</v>
      </c>
    </row>
    <row r="223" spans="2:3" ht="13.5" hidden="1" thickBot="1">
      <c r="B223" s="112">
        <f t="shared" si="1"/>
        <v>2100</v>
      </c>
      <c r="C223" s="113">
        <f>[33]С2.5!$CG$11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2" r:id="rId3" name="Button 2">
              <controlPr defaultSize="0" print="0" autoFill="0" autoPict="0" macro="[3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5363" r:id="rId4" name="Button 3">
              <controlPr defaultSize="0" print="0" autoFill="0" autoPict="0" macro="[3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[35]И1!D13</f>
        <v>Субъект Российской Федерации</v>
      </c>
      <c r="C4" s="10" t="str">
        <f>[35]И1!E13</f>
        <v>Новосибирская область</v>
      </c>
    </row>
    <row r="5" spans="1:3" ht="46.9" customHeight="1">
      <c r="A5" s="8"/>
      <c r="B5" s="9" t="str">
        <f>[35]И1!D14</f>
        <v>Тип муниципального образования (выберите из списка)</v>
      </c>
      <c r="C5" s="10" t="str">
        <f>[35]И1!E14</f>
        <v>село Лекарственное, Тогучинский муниципальный район</v>
      </c>
    </row>
    <row r="6" spans="1:3">
      <c r="A6" s="8"/>
      <c r="B6" s="9" t="str">
        <f>IF([35]И1!E15="","",[35]И1!D15)</f>
        <v/>
      </c>
      <c r="C6" s="10" t="str">
        <f>IF([35]И1!E15="","",[35]И1!E15)</f>
        <v/>
      </c>
    </row>
    <row r="7" spans="1:3">
      <c r="A7" s="8"/>
      <c r="B7" s="9" t="str">
        <f>[35]И1!D16</f>
        <v>Код ОКТМО</v>
      </c>
      <c r="C7" s="11" t="str">
        <f>[35]И1!E16</f>
        <v>50652437101</v>
      </c>
    </row>
    <row r="8" spans="1:3">
      <c r="A8" s="8"/>
      <c r="B8" s="12" t="str">
        <f>[35]И1!D17</f>
        <v>Система теплоснабжения</v>
      </c>
      <c r="C8" s="13">
        <f>[35]И1!E17</f>
        <v>0</v>
      </c>
    </row>
    <row r="9" spans="1:3">
      <c r="A9" s="8"/>
      <c r="B9" s="9" t="str">
        <f>[35]И1!D8</f>
        <v>Период регулирования (i)-й</v>
      </c>
      <c r="C9" s="14">
        <f>[35]И1!E8</f>
        <v>2025</v>
      </c>
    </row>
    <row r="10" spans="1:3">
      <c r="A10" s="8"/>
      <c r="B10" s="9" t="str">
        <f>[35]И1!D9</f>
        <v>Период регулирования (i-1)-й</v>
      </c>
      <c r="C10" s="14">
        <f>[35]И1!E9</f>
        <v>2024</v>
      </c>
    </row>
    <row r="11" spans="1:3">
      <c r="A11" s="8"/>
      <c r="B11" s="9" t="str">
        <f>[35]И1!D10</f>
        <v>Период регулирования (i-2)-й</v>
      </c>
      <c r="C11" s="14">
        <f>[35]И1!E10</f>
        <v>2023</v>
      </c>
    </row>
    <row r="12" spans="1:3">
      <c r="A12" s="8"/>
      <c r="B12" s="9" t="str">
        <f>[35]И1!D11</f>
        <v>Базовый год (б)</v>
      </c>
      <c r="C12" s="14">
        <f>[35]И1!E11</f>
        <v>2019</v>
      </c>
    </row>
    <row r="13" spans="1:3" ht="38.25">
      <c r="A13" s="8"/>
      <c r="B13" s="9" t="str">
        <f>[35]И1!D18</f>
        <v>Вид топлива, использование которого преобладает в системе теплоснабжения</v>
      </c>
      <c r="C13" s="15" t="str">
        <f>[35]С1.1!E13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5381.0621522734928</v>
      </c>
    </row>
    <row r="18" spans="1:3" ht="42.75">
      <c r="A18" s="22" t="s">
        <v>8</v>
      </c>
      <c r="B18" s="25" t="s">
        <v>9</v>
      </c>
      <c r="C18" s="26">
        <f>[35]С1!F12</f>
        <v>795.80460480398301</v>
      </c>
    </row>
    <row r="19" spans="1:3" ht="42.75">
      <c r="A19" s="22" t="s">
        <v>10</v>
      </c>
      <c r="B19" s="25" t="s">
        <v>11</v>
      </c>
      <c r="C19" s="26">
        <f>[35]С2!F12</f>
        <v>3056.1591261705735</v>
      </c>
    </row>
    <row r="20" spans="1:3" ht="30">
      <c r="A20" s="22" t="s">
        <v>12</v>
      </c>
      <c r="B20" s="25" t="s">
        <v>13</v>
      </c>
      <c r="C20" s="26">
        <f>[35]С3!F12</f>
        <v>915.44743976410246</v>
      </c>
    </row>
    <row r="21" spans="1:3" ht="42.75">
      <c r="A21" s="22" t="s">
        <v>14</v>
      </c>
      <c r="B21" s="25" t="s">
        <v>15</v>
      </c>
      <c r="C21" s="26">
        <f>[35]С4!F12</f>
        <v>508.13995894123588</v>
      </c>
    </row>
    <row r="22" spans="1:3" ht="30">
      <c r="A22" s="22" t="s">
        <v>16</v>
      </c>
      <c r="B22" s="25" t="s">
        <v>17</v>
      </c>
      <c r="C22" s="26">
        <f>[35]С5!F12</f>
        <v>105.5110225935979</v>
      </c>
    </row>
    <row r="23" spans="1:3" ht="43.5" thickBot="1">
      <c r="A23" s="27" t="s">
        <v>18</v>
      </c>
      <c r="B23" s="140" t="s">
        <v>19</v>
      </c>
      <c r="C23" s="28" t="str">
        <f>[35]С6!F12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[35]С1.1!E16</f>
        <v>5100</v>
      </c>
    </row>
    <row r="29" spans="1:3" ht="42.75">
      <c r="A29" s="22" t="s">
        <v>10</v>
      </c>
      <c r="B29" s="33" t="s">
        <v>22</v>
      </c>
      <c r="C29" s="34">
        <f>[35]С1.1!E27</f>
        <v>2870.67</v>
      </c>
    </row>
    <row r="30" spans="1:3" ht="17.25">
      <c r="A30" s="22" t="s">
        <v>12</v>
      </c>
      <c r="B30" s="33" t="s">
        <v>23</v>
      </c>
      <c r="C30" s="35">
        <f>[35]С1.1!E19</f>
        <v>1.4E-2</v>
      </c>
    </row>
    <row r="31" spans="1:3" ht="17.25">
      <c r="A31" s="22" t="s">
        <v>14</v>
      </c>
      <c r="B31" s="33" t="s">
        <v>24</v>
      </c>
      <c r="C31" s="35">
        <f>[35]С1.1!E20</f>
        <v>0.04</v>
      </c>
    </row>
    <row r="32" spans="1:3" ht="30">
      <c r="A32" s="22" t="s">
        <v>16</v>
      </c>
      <c r="B32" s="36" t="s">
        <v>25</v>
      </c>
      <c r="C32" s="37">
        <f>[35]С1!F13</f>
        <v>176.4</v>
      </c>
    </row>
    <row r="33" spans="1:3">
      <c r="A33" s="22" t="s">
        <v>18</v>
      </c>
      <c r="B33" s="36" t="s">
        <v>26</v>
      </c>
      <c r="C33" s="38">
        <f>[35]С1!F16</f>
        <v>7000</v>
      </c>
    </row>
    <row r="34" spans="1:3" ht="14.25">
      <c r="A34" s="22" t="s">
        <v>27</v>
      </c>
      <c r="B34" s="39" t="s">
        <v>28</v>
      </c>
      <c r="C34" s="40">
        <f>[35]С1!F17</f>
        <v>0.72857142857142854</v>
      </c>
    </row>
    <row r="35" spans="1:3" ht="15.75">
      <c r="A35" s="41" t="s">
        <v>29</v>
      </c>
      <c r="B35" s="42" t="s">
        <v>30</v>
      </c>
      <c r="C35" s="40">
        <f>[35]С1!F20</f>
        <v>21.588411179999994</v>
      </c>
    </row>
    <row r="36" spans="1:3" ht="15.75">
      <c r="A36" s="41" t="s">
        <v>31</v>
      </c>
      <c r="B36" s="43" t="s">
        <v>32</v>
      </c>
      <c r="C36" s="40">
        <f>[35]С1!F21</f>
        <v>20.818139999999996</v>
      </c>
    </row>
    <row r="37" spans="1:3" ht="14.25">
      <c r="A37" s="41" t="s">
        <v>33</v>
      </c>
      <c r="B37" s="44" t="s">
        <v>34</v>
      </c>
      <c r="C37" s="40">
        <f>[35]С1!F22</f>
        <v>1.0369999999999999</v>
      </c>
    </row>
    <row r="38" spans="1:3" ht="53.25" thickBot="1">
      <c r="A38" s="27" t="s">
        <v>35</v>
      </c>
      <c r="B38" s="45" t="s">
        <v>36</v>
      </c>
      <c r="C38" s="46">
        <f>[35]С1!F23</f>
        <v>1.0469999999999999</v>
      </c>
    </row>
    <row r="39" spans="1:3" ht="13.5" thickBot="1">
      <c r="A39" s="47"/>
      <c r="B39" s="48"/>
      <c r="C39" s="49"/>
    </row>
    <row r="40" spans="1:3" ht="37.5" customHeight="1">
      <c r="A40" s="50" t="s">
        <v>37</v>
      </c>
      <c r="B40" s="146" t="s">
        <v>38</v>
      </c>
      <c r="C40" s="146"/>
    </row>
    <row r="41" spans="1:3" ht="25.5">
      <c r="A41" s="22" t="s">
        <v>39</v>
      </c>
      <c r="B41" s="36" t="s">
        <v>40</v>
      </c>
      <c r="C41" s="51" t="str">
        <f>[35]С2.1!E12</f>
        <v>V</v>
      </c>
    </row>
    <row r="42" spans="1:3" ht="25.5">
      <c r="A42" s="22" t="s">
        <v>41</v>
      </c>
      <c r="B42" s="33" t="s">
        <v>42</v>
      </c>
      <c r="C42" s="51" t="str">
        <f>[35]С2.1!E13</f>
        <v>6 и менее баллов</v>
      </c>
    </row>
    <row r="43" spans="1:3" ht="25.5">
      <c r="A43" s="22" t="s">
        <v>43</v>
      </c>
      <c r="B43" s="33" t="s">
        <v>44</v>
      </c>
      <c r="C43" s="51" t="str">
        <f>[35]С2.1!E14</f>
        <v>от 200 до 500</v>
      </c>
    </row>
    <row r="44" spans="1:3" ht="25.5">
      <c r="A44" s="22" t="s">
        <v>45</v>
      </c>
      <c r="B44" s="33" t="s">
        <v>46</v>
      </c>
      <c r="C44" s="52" t="str">
        <f>[35]С2.1!E15</f>
        <v>нет</v>
      </c>
    </row>
    <row r="45" spans="1:3" ht="30">
      <c r="A45" s="22" t="s">
        <v>47</v>
      </c>
      <c r="B45" s="33" t="s">
        <v>48</v>
      </c>
      <c r="C45" s="34">
        <f>[35]С2!F18</f>
        <v>38910.02669467502</v>
      </c>
    </row>
    <row r="46" spans="1:3" ht="30">
      <c r="A46" s="22" t="s">
        <v>49</v>
      </c>
      <c r="B46" s="53" t="s">
        <v>50</v>
      </c>
      <c r="C46" s="34">
        <f>IF([35]С2!F19&gt;0,[35]С2!F19,[35]С2!F20)</f>
        <v>23441.524932855718</v>
      </c>
    </row>
    <row r="47" spans="1:3" ht="25.5">
      <c r="A47" s="22" t="s">
        <v>51</v>
      </c>
      <c r="B47" s="54" t="s">
        <v>52</v>
      </c>
      <c r="C47" s="34">
        <f>[35]С2.1!E19</f>
        <v>-38</v>
      </c>
    </row>
    <row r="48" spans="1:3" ht="25.5">
      <c r="A48" s="22" t="s">
        <v>53</v>
      </c>
      <c r="B48" s="54" t="s">
        <v>54</v>
      </c>
      <c r="C48" s="34" t="str">
        <f>[35]С2.1!E22</f>
        <v>нет</v>
      </c>
    </row>
    <row r="49" spans="1:3" ht="38.25">
      <c r="A49" s="22" t="s">
        <v>55</v>
      </c>
      <c r="B49" s="55" t="s">
        <v>56</v>
      </c>
      <c r="C49" s="34">
        <f>[35]С2.2!E10</f>
        <v>1287</v>
      </c>
    </row>
    <row r="50" spans="1:3" ht="25.5">
      <c r="A50" s="22" t="s">
        <v>57</v>
      </c>
      <c r="B50" s="56" t="s">
        <v>58</v>
      </c>
      <c r="C50" s="34">
        <f>[35]С2.2!E12</f>
        <v>5.97</v>
      </c>
    </row>
    <row r="51" spans="1:3" ht="52.5">
      <c r="A51" s="22" t="s">
        <v>59</v>
      </c>
      <c r="B51" s="57" t="s">
        <v>60</v>
      </c>
      <c r="C51" s="34">
        <f>[35]С2.2!E13</f>
        <v>1</v>
      </c>
    </row>
    <row r="52" spans="1:3" ht="27.75">
      <c r="A52" s="22" t="s">
        <v>61</v>
      </c>
      <c r="B52" s="56" t="s">
        <v>62</v>
      </c>
      <c r="C52" s="34">
        <f>[35]С2.2!E14</f>
        <v>12104</v>
      </c>
    </row>
    <row r="53" spans="1:3" ht="25.5">
      <c r="A53" s="22" t="s">
        <v>63</v>
      </c>
      <c r="B53" s="57" t="s">
        <v>64</v>
      </c>
      <c r="C53" s="35">
        <f>[35]С2.2!E15</f>
        <v>4.8000000000000001E-2</v>
      </c>
    </row>
    <row r="54" spans="1:3">
      <c r="A54" s="22" t="s">
        <v>65</v>
      </c>
      <c r="B54" s="57" t="s">
        <v>66</v>
      </c>
      <c r="C54" s="34">
        <f>[35]С2.2!E16</f>
        <v>1</v>
      </c>
    </row>
    <row r="55" spans="1:3" ht="15.75">
      <c r="A55" s="22" t="s">
        <v>67</v>
      </c>
      <c r="B55" s="58" t="s">
        <v>68</v>
      </c>
      <c r="C55" s="34">
        <f>[35]С2!F21</f>
        <v>1</v>
      </c>
    </row>
    <row r="56" spans="1:3" ht="30">
      <c r="A56" s="59" t="s">
        <v>69</v>
      </c>
      <c r="B56" s="33" t="s">
        <v>70</v>
      </c>
      <c r="C56" s="34">
        <f>[35]С2!F13</f>
        <v>203708.97017230222</v>
      </c>
    </row>
    <row r="57" spans="1:3" ht="30">
      <c r="A57" s="59" t="s">
        <v>71</v>
      </c>
      <c r="B57" s="58" t="s">
        <v>72</v>
      </c>
      <c r="C57" s="34">
        <f>[35]С2!F14</f>
        <v>113455</v>
      </c>
    </row>
    <row r="58" spans="1:3" ht="15.75">
      <c r="A58" s="59" t="s">
        <v>73</v>
      </c>
      <c r="B58" s="60" t="s">
        <v>74</v>
      </c>
      <c r="C58" s="40">
        <f>[35]С2!F15</f>
        <v>1.071</v>
      </c>
    </row>
    <row r="59" spans="1:3" ht="15.75">
      <c r="A59" s="59" t="s">
        <v>75</v>
      </c>
      <c r="B59" s="60" t="s">
        <v>76</v>
      </c>
      <c r="C59" s="40">
        <f>[35]С2!F16</f>
        <v>1</v>
      </c>
    </row>
    <row r="60" spans="1:3" ht="17.25">
      <c r="A60" s="59" t="s">
        <v>77</v>
      </c>
      <c r="B60" s="58" t="s">
        <v>78</v>
      </c>
      <c r="C60" s="34">
        <f>[35]С2!F17</f>
        <v>1.01</v>
      </c>
    </row>
    <row r="61" spans="1:3" s="63" customFormat="1" ht="14.25">
      <c r="A61" s="59" t="s">
        <v>79</v>
      </c>
      <c r="B61" s="61" t="s">
        <v>80</v>
      </c>
      <c r="C61" s="62">
        <f>[35]С2!F33</f>
        <v>10</v>
      </c>
    </row>
    <row r="62" spans="1:3" ht="30">
      <c r="A62" s="59" t="s">
        <v>81</v>
      </c>
      <c r="B62" s="64" t="s">
        <v>82</v>
      </c>
      <c r="C62" s="34">
        <f>[35]С2!F26</f>
        <v>2416.4994928434235</v>
      </c>
    </row>
    <row r="63" spans="1:3" ht="17.25">
      <c r="A63" s="59" t="s">
        <v>83</v>
      </c>
      <c r="B63" s="53" t="s">
        <v>84</v>
      </c>
      <c r="C63" s="34">
        <f>[35]С2!F27</f>
        <v>0.34662649000000001</v>
      </c>
    </row>
    <row r="64" spans="1:3" ht="17.25">
      <c r="A64" s="59" t="s">
        <v>85</v>
      </c>
      <c r="B64" s="58" t="s">
        <v>86</v>
      </c>
      <c r="C64" s="62">
        <f>[35]С2!F28</f>
        <v>4200</v>
      </c>
    </row>
    <row r="65" spans="1:3" ht="42.75">
      <c r="A65" s="59" t="s">
        <v>87</v>
      </c>
      <c r="B65" s="33" t="s">
        <v>88</v>
      </c>
      <c r="C65" s="34">
        <f>[35]С2!F22</f>
        <v>42890.921752741691</v>
      </c>
    </row>
    <row r="66" spans="1:3" ht="30">
      <c r="A66" s="59" t="s">
        <v>89</v>
      </c>
      <c r="B66" s="60" t="s">
        <v>90</v>
      </c>
      <c r="C66" s="34">
        <f>[35]С2!F23</f>
        <v>1990</v>
      </c>
    </row>
    <row r="67" spans="1:3" ht="30">
      <c r="A67" s="59" t="s">
        <v>91</v>
      </c>
      <c r="B67" s="53" t="s">
        <v>92</v>
      </c>
      <c r="C67" s="34">
        <f>[35]С2.1!E27</f>
        <v>14307.876789999998</v>
      </c>
    </row>
    <row r="68" spans="1:3" ht="38.25">
      <c r="A68" s="59" t="s">
        <v>93</v>
      </c>
      <c r="B68" s="65" t="s">
        <v>94</v>
      </c>
      <c r="C68" s="52">
        <f>[35]С2.3!E21</f>
        <v>0</v>
      </c>
    </row>
    <row r="69" spans="1:3" ht="25.5">
      <c r="A69" s="59" t="s">
        <v>95</v>
      </c>
      <c r="B69" s="66" t="s">
        <v>96</v>
      </c>
      <c r="C69" s="67">
        <f>[35]С2.3!E11</f>
        <v>9.89</v>
      </c>
    </row>
    <row r="70" spans="1:3" ht="25.5">
      <c r="A70" s="59" t="s">
        <v>97</v>
      </c>
      <c r="B70" s="66" t="s">
        <v>98</v>
      </c>
      <c r="C70" s="62">
        <f>[35]С2.3!E13</f>
        <v>300</v>
      </c>
    </row>
    <row r="71" spans="1:3" ht="25.5">
      <c r="A71" s="59" t="s">
        <v>99</v>
      </c>
      <c r="B71" s="65" t="s">
        <v>100</v>
      </c>
      <c r="C71" s="68">
        <f>IF([35]С2.3!E22&gt;0,[35]С2.3!E22,[35]С2.3!E14)</f>
        <v>61211</v>
      </c>
    </row>
    <row r="72" spans="1:3" ht="38.25">
      <c r="A72" s="59" t="s">
        <v>101</v>
      </c>
      <c r="B72" s="65" t="s">
        <v>102</v>
      </c>
      <c r="C72" s="68">
        <f>IF([35]С2.3!E23&gt;0,[35]С2.3!E23,[35]С2.3!E15)</f>
        <v>45675</v>
      </c>
    </row>
    <row r="73" spans="1:3" ht="30">
      <c r="A73" s="59" t="s">
        <v>103</v>
      </c>
      <c r="B73" s="53" t="s">
        <v>104</v>
      </c>
      <c r="C73" s="34">
        <f>[35]С2.1!E28</f>
        <v>9541.9567200000001</v>
      </c>
    </row>
    <row r="74" spans="1:3" ht="38.25">
      <c r="A74" s="59" t="s">
        <v>105</v>
      </c>
      <c r="B74" s="65" t="s">
        <v>106</v>
      </c>
      <c r="C74" s="52">
        <f>[35]С2.3!E25</f>
        <v>0</v>
      </c>
    </row>
    <row r="75" spans="1:3" ht="25.5">
      <c r="A75" s="59" t="s">
        <v>107</v>
      </c>
      <c r="B75" s="66" t="s">
        <v>108</v>
      </c>
      <c r="C75" s="67">
        <f>[35]С2.3!E12</f>
        <v>0.56000000000000005</v>
      </c>
    </row>
    <row r="76" spans="1:3" ht="25.5">
      <c r="A76" s="59" t="s">
        <v>109</v>
      </c>
      <c r="B76" s="66" t="s">
        <v>98</v>
      </c>
      <c r="C76" s="62">
        <f>[35]С2.3!E13</f>
        <v>300</v>
      </c>
    </row>
    <row r="77" spans="1:3" ht="25.5">
      <c r="A77" s="59" t="s">
        <v>110</v>
      </c>
      <c r="B77" s="69" t="s">
        <v>111</v>
      </c>
      <c r="C77" s="68">
        <f>IF([35]С2.3!E26&gt;0,[35]С2.3!E26,[35]С2.3!E16)</f>
        <v>65637</v>
      </c>
    </row>
    <row r="78" spans="1:3" ht="38.25">
      <c r="A78" s="59" t="s">
        <v>112</v>
      </c>
      <c r="B78" s="69" t="s">
        <v>113</v>
      </c>
      <c r="C78" s="68">
        <f>IF([35]С2.3!E27&gt;0,[35]С2.3!E27,[35]С2.3!E17)</f>
        <v>31684</v>
      </c>
    </row>
    <row r="79" spans="1:3" ht="17.25">
      <c r="A79" s="59" t="s">
        <v>114</v>
      </c>
      <c r="B79" s="33" t="s">
        <v>115</v>
      </c>
      <c r="C79" s="35">
        <f>[35]С2!F29</f>
        <v>0.17804631770487722</v>
      </c>
    </row>
    <row r="80" spans="1:3" ht="30">
      <c r="A80" s="59" t="s">
        <v>116</v>
      </c>
      <c r="B80" s="53" t="s">
        <v>117</v>
      </c>
      <c r="C80" s="70">
        <f>[35]С2!F30</f>
        <v>0.1652189781021898</v>
      </c>
    </row>
    <row r="81" spans="1:3" ht="17.25">
      <c r="A81" s="59" t="s">
        <v>118</v>
      </c>
      <c r="B81" s="71" t="s">
        <v>119</v>
      </c>
      <c r="C81" s="35">
        <f>[35]С2!F31</f>
        <v>0.13880000000000001</v>
      </c>
    </row>
    <row r="82" spans="1:3" s="63" customFormat="1" ht="18" thickBot="1">
      <c r="A82" s="72" t="s">
        <v>120</v>
      </c>
      <c r="B82" s="73" t="s">
        <v>121</v>
      </c>
      <c r="C82" s="74">
        <f>[35]С2!F32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[35]С3!F14</f>
        <v>14863.184658749575</v>
      </c>
    </row>
    <row r="86" spans="1:3" s="63" customFormat="1" ht="42.75">
      <c r="A86" s="77" t="s">
        <v>126</v>
      </c>
      <c r="B86" s="53" t="s">
        <v>127</v>
      </c>
      <c r="C86" s="78">
        <f>[35]С3!F15</f>
        <v>0.25</v>
      </c>
    </row>
    <row r="87" spans="1:3" s="63" customFormat="1" ht="14.25">
      <c r="A87" s="77" t="s">
        <v>128</v>
      </c>
      <c r="B87" s="79" t="s">
        <v>129</v>
      </c>
      <c r="C87" s="62">
        <f>[35]С3!F18</f>
        <v>15</v>
      </c>
    </row>
    <row r="88" spans="1:3" s="63" customFormat="1" ht="17.25">
      <c r="A88" s="77" t="s">
        <v>130</v>
      </c>
      <c r="B88" s="33" t="s">
        <v>131</v>
      </c>
      <c r="C88" s="34">
        <f>[35]С3!F19</f>
        <v>4187.478806422544</v>
      </c>
    </row>
    <row r="89" spans="1:3" s="63" customFormat="1" ht="55.5">
      <c r="A89" s="77" t="s">
        <v>132</v>
      </c>
      <c r="B89" s="53" t="s">
        <v>133</v>
      </c>
      <c r="C89" s="80">
        <f>[35]С3!F20</f>
        <v>2.1999999999999999E-2</v>
      </c>
    </row>
    <row r="90" spans="1:3" s="63" customFormat="1" ht="14.25">
      <c r="A90" s="77" t="s">
        <v>134</v>
      </c>
      <c r="B90" s="58" t="s">
        <v>80</v>
      </c>
      <c r="C90" s="62">
        <f>[35]С3!F21</f>
        <v>10</v>
      </c>
    </row>
    <row r="91" spans="1:3" s="63" customFormat="1" ht="17.25">
      <c r="A91" s="77" t="s">
        <v>135</v>
      </c>
      <c r="B91" s="33" t="s">
        <v>136</v>
      </c>
      <c r="C91" s="34">
        <f>[35]С3!F22</f>
        <v>7.2494984785302705</v>
      </c>
    </row>
    <row r="92" spans="1:3" s="63" customFormat="1" ht="55.5">
      <c r="A92" s="77" t="s">
        <v>137</v>
      </c>
      <c r="B92" s="53" t="s">
        <v>138</v>
      </c>
      <c r="C92" s="80">
        <f>[35]С3!F23</f>
        <v>3.0000000000000001E-3</v>
      </c>
    </row>
    <row r="93" spans="1:3" s="63" customFormat="1" ht="27.75" thickBot="1">
      <c r="A93" s="81" t="s">
        <v>139</v>
      </c>
      <c r="B93" s="82" t="s">
        <v>140</v>
      </c>
      <c r="C93" s="83">
        <f>[35]С3!F24</f>
        <v>2416.4994928434235</v>
      </c>
    </row>
    <row r="94" spans="1:3" ht="13.5" thickBot="1">
      <c r="A94" s="47"/>
      <c r="B94" s="75"/>
      <c r="C94" s="15"/>
    </row>
    <row r="95" spans="1:3" ht="41.25" customHeight="1">
      <c r="A95" s="84" t="s">
        <v>141</v>
      </c>
      <c r="B95" s="146" t="s">
        <v>142</v>
      </c>
      <c r="C95" s="146"/>
    </row>
    <row r="96" spans="1:3" ht="30">
      <c r="A96" s="59" t="s">
        <v>143</v>
      </c>
      <c r="B96" s="33" t="s">
        <v>144</v>
      </c>
      <c r="C96" s="34">
        <f>[35]С4!F16</f>
        <v>1652.5</v>
      </c>
    </row>
    <row r="97" spans="1:3" ht="30">
      <c r="A97" s="59" t="s">
        <v>145</v>
      </c>
      <c r="B97" s="58" t="s">
        <v>146</v>
      </c>
      <c r="C97" s="34">
        <f>[35]С4!F17</f>
        <v>73547</v>
      </c>
    </row>
    <row r="98" spans="1:3" ht="17.25">
      <c r="A98" s="59" t="s">
        <v>147</v>
      </c>
      <c r="B98" s="58" t="s">
        <v>148</v>
      </c>
      <c r="C98" s="40">
        <f>[35]С4!F18</f>
        <v>0.02</v>
      </c>
    </row>
    <row r="99" spans="1:3" ht="30">
      <c r="A99" s="59" t="s">
        <v>149</v>
      </c>
      <c r="B99" s="58" t="s">
        <v>150</v>
      </c>
      <c r="C99" s="34">
        <f>[35]С4!F19</f>
        <v>12104</v>
      </c>
    </row>
    <row r="100" spans="1:3" ht="31.5">
      <c r="A100" s="59" t="s">
        <v>151</v>
      </c>
      <c r="B100" s="58" t="s">
        <v>152</v>
      </c>
      <c r="C100" s="40">
        <f>[35]С4!F20</f>
        <v>1.4999999999999999E-2</v>
      </c>
    </row>
    <row r="101" spans="1:3" ht="30">
      <c r="A101" s="59" t="s">
        <v>153</v>
      </c>
      <c r="B101" s="33" t="s">
        <v>154</v>
      </c>
      <c r="C101" s="34">
        <f>[35]С4!F21</f>
        <v>1933.1949342509995</v>
      </c>
    </row>
    <row r="102" spans="1:3" ht="24" customHeight="1">
      <c r="A102" s="59" t="s">
        <v>155</v>
      </c>
      <c r="B102" s="53" t="s">
        <v>156</v>
      </c>
      <c r="C102" s="85">
        <f>IF([35]С4.2!F8="да",[35]С4.2!D21,[35]С4.2!D15)</f>
        <v>0</v>
      </c>
    </row>
    <row r="103" spans="1:3" ht="68.25">
      <c r="A103" s="59" t="s">
        <v>157</v>
      </c>
      <c r="B103" s="53" t="s">
        <v>158</v>
      </c>
      <c r="C103" s="34">
        <f>[35]С4!F22</f>
        <v>3.6112641666666665</v>
      </c>
    </row>
    <row r="104" spans="1:3" ht="30">
      <c r="A104" s="59" t="s">
        <v>159</v>
      </c>
      <c r="B104" s="58" t="s">
        <v>160</v>
      </c>
      <c r="C104" s="34">
        <f>[35]С4!F23</f>
        <v>180</v>
      </c>
    </row>
    <row r="105" spans="1:3" ht="14.25">
      <c r="A105" s="59" t="s">
        <v>161</v>
      </c>
      <c r="B105" s="53" t="s">
        <v>162</v>
      </c>
      <c r="C105" s="34">
        <f>[35]С4!F24</f>
        <v>8497.1999999999989</v>
      </c>
    </row>
    <row r="106" spans="1:3" ht="14.25">
      <c r="A106" s="59" t="s">
        <v>163</v>
      </c>
      <c r="B106" s="58" t="s">
        <v>164</v>
      </c>
      <c r="C106" s="40">
        <f>[35]С4!F25</f>
        <v>0.35</v>
      </c>
    </row>
    <row r="107" spans="1:3" ht="17.25">
      <c r="A107" s="59" t="s">
        <v>165</v>
      </c>
      <c r="B107" s="33" t="s">
        <v>166</v>
      </c>
      <c r="C107" s="34">
        <f>[35]С4!F26</f>
        <v>62.764140000000005</v>
      </c>
    </row>
    <row r="108" spans="1:3" ht="25.5">
      <c r="A108" s="59" t="s">
        <v>167</v>
      </c>
      <c r="B108" s="53" t="s">
        <v>94</v>
      </c>
      <c r="C108" s="85">
        <f>[35]С4.3!E16</f>
        <v>0</v>
      </c>
    </row>
    <row r="109" spans="1:3" ht="25.5">
      <c r="A109" s="59" t="s">
        <v>168</v>
      </c>
      <c r="B109" s="53" t="s">
        <v>169</v>
      </c>
      <c r="C109" s="34">
        <f>[35]С4.3!E17</f>
        <v>16.62</v>
      </c>
    </row>
    <row r="110" spans="1:3" ht="38.25">
      <c r="A110" s="59" t="s">
        <v>170</v>
      </c>
      <c r="B110" s="53" t="s">
        <v>106</v>
      </c>
      <c r="C110" s="85">
        <f>[35]С4.3!E18</f>
        <v>0</v>
      </c>
    </row>
    <row r="111" spans="1:3">
      <c r="A111" s="59" t="s">
        <v>171</v>
      </c>
      <c r="B111" s="53" t="s">
        <v>172</v>
      </c>
      <c r="C111" s="34">
        <f>[35]С4.3!E19</f>
        <v>21.95</v>
      </c>
    </row>
    <row r="112" spans="1:3">
      <c r="A112" s="59" t="s">
        <v>173</v>
      </c>
      <c r="B112" s="58" t="s">
        <v>174</v>
      </c>
      <c r="C112" s="34">
        <f>[35]С4.3!E11</f>
        <v>1871</v>
      </c>
    </row>
    <row r="113" spans="1:3">
      <c r="A113" s="59" t="s">
        <v>175</v>
      </c>
      <c r="B113" s="58" t="s">
        <v>176</v>
      </c>
      <c r="C113" s="52">
        <f>[35]С4.3!E12</f>
        <v>1636</v>
      </c>
    </row>
    <row r="114" spans="1:3">
      <c r="A114" s="59" t="s">
        <v>177</v>
      </c>
      <c r="B114" s="58" t="s">
        <v>178</v>
      </c>
      <c r="C114" s="52">
        <f>[35]С4.3!E13</f>
        <v>204</v>
      </c>
    </row>
    <row r="115" spans="1:3" ht="30">
      <c r="A115" s="59" t="s">
        <v>179</v>
      </c>
      <c r="B115" s="33" t="s">
        <v>180</v>
      </c>
      <c r="C115" s="34">
        <f>[35]С4!F27</f>
        <v>1291.2863994686898</v>
      </c>
    </row>
    <row r="116" spans="1:3" ht="25.5">
      <c r="A116" s="59" t="s">
        <v>181</v>
      </c>
      <c r="B116" s="53" t="s">
        <v>182</v>
      </c>
      <c r="C116" s="34">
        <f>[35]С4!F28</f>
        <v>991.77142816335618</v>
      </c>
    </row>
    <row r="117" spans="1:3" ht="42.75">
      <c r="A117" s="59" t="s">
        <v>183</v>
      </c>
      <c r="B117" s="53" t="s">
        <v>184</v>
      </c>
      <c r="C117" s="34">
        <f>[35]С4!F29</f>
        <v>299.51497130533357</v>
      </c>
    </row>
    <row r="118" spans="1:3" ht="30">
      <c r="A118" s="59" t="s">
        <v>185</v>
      </c>
      <c r="B118" s="39" t="s">
        <v>186</v>
      </c>
      <c r="C118" s="34">
        <f>[35]С4!F30</f>
        <v>2379.163413806773</v>
      </c>
    </row>
    <row r="119" spans="1:3" ht="42.75">
      <c r="A119" s="59" t="s">
        <v>187</v>
      </c>
      <c r="B119" s="86" t="s">
        <v>188</v>
      </c>
      <c r="C119" s="34">
        <f>[35]С4!F33</f>
        <v>1176.7426982817792</v>
      </c>
    </row>
    <row r="120" spans="1:3" ht="30">
      <c r="A120" s="59" t="s">
        <v>189</v>
      </c>
      <c r="B120" s="87" t="s">
        <v>190</v>
      </c>
      <c r="C120" s="34">
        <f>[35]С4!F35</f>
        <v>17.040680999999999</v>
      </c>
    </row>
    <row r="121" spans="1:3" ht="14.25">
      <c r="A121" s="59" t="s">
        <v>191</v>
      </c>
      <c r="B121" s="56" t="s">
        <v>192</v>
      </c>
      <c r="C121" s="34">
        <f>[35]С4!F36</f>
        <v>14319.9</v>
      </c>
    </row>
    <row r="122" spans="1:3" ht="28.5" thickBot="1">
      <c r="A122" s="72" t="s">
        <v>193</v>
      </c>
      <c r="B122" s="88" t="s">
        <v>194</v>
      </c>
      <c r="C122" s="83">
        <f>[35]С4!F37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[35]С5!F17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[35]С2!F37</f>
        <v>20.818139999999996</v>
      </c>
    </row>
    <row r="136" spans="1:4" ht="14.25">
      <c r="A136" s="59" t="s">
        <v>216</v>
      </c>
      <c r="B136" s="101" t="s">
        <v>217</v>
      </c>
      <c r="C136" s="34">
        <f>[35]С2!F38</f>
        <v>7</v>
      </c>
    </row>
    <row r="137" spans="1:4" ht="17.25">
      <c r="A137" s="59" t="s">
        <v>218</v>
      </c>
      <c r="B137" s="101" t="s">
        <v>219</v>
      </c>
      <c r="C137" s="34">
        <f>[35]С2!F40</f>
        <v>0.97</v>
      </c>
    </row>
    <row r="138" spans="1:4" ht="15" thickBot="1">
      <c r="A138" s="72" t="s">
        <v>220</v>
      </c>
      <c r="B138" s="102" t="s">
        <v>221</v>
      </c>
      <c r="C138" s="46">
        <f>[35]С2!F42</f>
        <v>0.35</v>
      </c>
    </row>
    <row r="139" spans="1:4" s="89" customFormat="1" ht="13.5" thickBot="1">
      <c r="A139" s="47"/>
      <c r="B139" s="75"/>
      <c r="C139" s="15"/>
    </row>
    <row r="140" spans="1:4" ht="30">
      <c r="A140" s="84" t="s">
        <v>222</v>
      </c>
      <c r="B140" s="103" t="s">
        <v>223</v>
      </c>
      <c r="C140" s="104">
        <f>[35]С2!F35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[35]С2.5!$E$11</f>
        <v>-2.9000000000000026E-2</v>
      </c>
      <c r="D143" s="89"/>
    </row>
    <row r="144" spans="1:4">
      <c r="A144" s="105"/>
      <c r="B144" s="110">
        <f>B143+1</f>
        <v>2021</v>
      </c>
      <c r="C144" s="111">
        <f>[35]С2.5!$F$11</f>
        <v>0.245</v>
      </c>
      <c r="D144" s="89"/>
    </row>
    <row r="145" spans="1:4">
      <c r="A145" s="105"/>
      <c r="B145" s="110">
        <f t="shared" ref="B145:B208" si="0">B144+1</f>
        <v>2022</v>
      </c>
      <c r="C145" s="111">
        <f>[35]С2.5!$G$11</f>
        <v>0.114</v>
      </c>
      <c r="D145" s="89"/>
    </row>
    <row r="146" spans="1:4" ht="13.5" thickBot="1">
      <c r="A146" s="105"/>
      <c r="B146" s="112">
        <f t="shared" si="0"/>
        <v>2023</v>
      </c>
      <c r="C146" s="113">
        <f>[35]С2.5!$H$11</f>
        <v>0.04</v>
      </c>
      <c r="D146" s="89"/>
    </row>
    <row r="147" spans="1:4">
      <c r="A147" s="105"/>
      <c r="B147" s="114">
        <f t="shared" si="0"/>
        <v>2024</v>
      </c>
      <c r="C147" s="115">
        <f>[35]С2.5!$I$11</f>
        <v>0.11700000000000001</v>
      </c>
      <c r="D147" s="89"/>
    </row>
    <row r="148" spans="1:4">
      <c r="A148" s="105"/>
      <c r="B148" s="110">
        <f t="shared" si="0"/>
        <v>2025</v>
      </c>
      <c r="C148" s="111">
        <f>[35]С2.5!$J$11</f>
        <v>6.0999999999999999E-2</v>
      </c>
      <c r="D148" s="89"/>
    </row>
    <row r="149" spans="1:4" hidden="1">
      <c r="A149" s="105"/>
      <c r="B149" s="110">
        <f t="shared" si="0"/>
        <v>2026</v>
      </c>
      <c r="C149" s="111">
        <f>[35]С2.5!$K$11</f>
        <v>3.5813361771260002E-2</v>
      </c>
      <c r="D149" s="89"/>
    </row>
    <row r="150" spans="1:4" hidden="1">
      <c r="A150" s="105"/>
      <c r="B150" s="110">
        <f t="shared" si="0"/>
        <v>2027</v>
      </c>
      <c r="C150" s="111">
        <f>[35]С2.5!$L$11</f>
        <v>3.2682303599220003E-2</v>
      </c>
      <c r="D150" s="89"/>
    </row>
    <row r="151" spans="1:4" hidden="1">
      <c r="A151" s="105"/>
      <c r="B151" s="110">
        <f t="shared" si="0"/>
        <v>2028</v>
      </c>
      <c r="C151" s="111">
        <f>[35]С2.5!$M$11</f>
        <v>0</v>
      </c>
      <c r="D151" s="89"/>
    </row>
    <row r="152" spans="1:4" hidden="1">
      <c r="A152" s="105"/>
      <c r="B152" s="110">
        <f t="shared" si="0"/>
        <v>2029</v>
      </c>
      <c r="C152" s="111">
        <f>[35]С2.5!$N$11</f>
        <v>0</v>
      </c>
      <c r="D152" s="89"/>
    </row>
    <row r="153" spans="1:4" hidden="1">
      <c r="A153" s="105"/>
      <c r="B153" s="110">
        <f t="shared" si="0"/>
        <v>2030</v>
      </c>
      <c r="C153" s="111">
        <f>[35]С2.5!$O$11</f>
        <v>0</v>
      </c>
      <c r="D153" s="89"/>
    </row>
    <row r="154" spans="1:4" hidden="1">
      <c r="A154" s="105"/>
      <c r="B154" s="110">
        <f t="shared" si="0"/>
        <v>2031</v>
      </c>
      <c r="C154" s="111">
        <f>[35]С2.5!$P$11</f>
        <v>0</v>
      </c>
      <c r="D154" s="89"/>
    </row>
    <row r="155" spans="1:4" hidden="1">
      <c r="A155" s="89"/>
      <c r="B155" s="110">
        <f t="shared" si="0"/>
        <v>2032</v>
      </c>
      <c r="C155" s="111">
        <f>[35]С2.5!$Q$11</f>
        <v>0</v>
      </c>
      <c r="D155" s="89"/>
    </row>
    <row r="156" spans="1:4" hidden="1">
      <c r="A156" s="89"/>
      <c r="B156" s="110">
        <f t="shared" si="0"/>
        <v>2033</v>
      </c>
      <c r="C156" s="111">
        <f>[35]С2.5!$R$11</f>
        <v>0</v>
      </c>
      <c r="D156" s="89"/>
    </row>
    <row r="157" spans="1:4" hidden="1">
      <c r="B157" s="110">
        <f t="shared" si="0"/>
        <v>2034</v>
      </c>
      <c r="C157" s="111">
        <f>[35]С2.5!$S$11</f>
        <v>0</v>
      </c>
    </row>
    <row r="158" spans="1:4" hidden="1">
      <c r="B158" s="110">
        <f t="shared" si="0"/>
        <v>2035</v>
      </c>
      <c r="C158" s="111">
        <f>[35]С2.5!$T$11</f>
        <v>0</v>
      </c>
    </row>
    <row r="159" spans="1:4" hidden="1">
      <c r="B159" s="110">
        <f t="shared" si="0"/>
        <v>2036</v>
      </c>
      <c r="C159" s="111">
        <f>[35]С2.5!$U$11</f>
        <v>0</v>
      </c>
    </row>
    <row r="160" spans="1:4" hidden="1">
      <c r="B160" s="110">
        <f t="shared" si="0"/>
        <v>2037</v>
      </c>
      <c r="C160" s="111">
        <f>[35]С2.5!$V$11</f>
        <v>0</v>
      </c>
    </row>
    <row r="161" spans="2:3" hidden="1">
      <c r="B161" s="110">
        <f t="shared" si="0"/>
        <v>2038</v>
      </c>
      <c r="C161" s="111">
        <f>[35]С2.5!$W$11</f>
        <v>0</v>
      </c>
    </row>
    <row r="162" spans="2:3" hidden="1">
      <c r="B162" s="110">
        <f t="shared" si="0"/>
        <v>2039</v>
      </c>
      <c r="C162" s="111">
        <f>[35]С2.5!$X$11</f>
        <v>0</v>
      </c>
    </row>
    <row r="163" spans="2:3" hidden="1">
      <c r="B163" s="110">
        <f t="shared" si="0"/>
        <v>2040</v>
      </c>
      <c r="C163" s="111">
        <f>[35]С2.5!$Y$11</f>
        <v>0</v>
      </c>
    </row>
    <row r="164" spans="2:3" hidden="1">
      <c r="B164" s="110">
        <f t="shared" si="0"/>
        <v>2041</v>
      </c>
      <c r="C164" s="111">
        <f>[35]С2.5!$Z$11</f>
        <v>0</v>
      </c>
    </row>
    <row r="165" spans="2:3" hidden="1">
      <c r="B165" s="110">
        <f t="shared" si="0"/>
        <v>2042</v>
      </c>
      <c r="C165" s="111">
        <f>[35]С2.5!$AA$11</f>
        <v>0</v>
      </c>
    </row>
    <row r="166" spans="2:3" hidden="1">
      <c r="B166" s="110">
        <f t="shared" si="0"/>
        <v>2043</v>
      </c>
      <c r="C166" s="111">
        <f>[35]С2.5!$AB$11</f>
        <v>0</v>
      </c>
    </row>
    <row r="167" spans="2:3" hidden="1">
      <c r="B167" s="110">
        <f t="shared" si="0"/>
        <v>2044</v>
      </c>
      <c r="C167" s="111">
        <f>[35]С2.5!$AC$11</f>
        <v>0</v>
      </c>
    </row>
    <row r="168" spans="2:3" hidden="1">
      <c r="B168" s="110">
        <f t="shared" si="0"/>
        <v>2045</v>
      </c>
      <c r="C168" s="111">
        <f>[35]С2.5!$AD$11</f>
        <v>0</v>
      </c>
    </row>
    <row r="169" spans="2:3" hidden="1">
      <c r="B169" s="110">
        <f t="shared" si="0"/>
        <v>2046</v>
      </c>
      <c r="C169" s="111">
        <f>[35]С2.5!$AE$11</f>
        <v>0</v>
      </c>
    </row>
    <row r="170" spans="2:3" hidden="1">
      <c r="B170" s="110">
        <f t="shared" si="0"/>
        <v>2047</v>
      </c>
      <c r="C170" s="111">
        <f>[35]С2.5!$AF$11</f>
        <v>0</v>
      </c>
    </row>
    <row r="171" spans="2:3" hidden="1">
      <c r="B171" s="110">
        <f t="shared" si="0"/>
        <v>2048</v>
      </c>
      <c r="C171" s="111">
        <f>[35]С2.5!$AG$11</f>
        <v>0</v>
      </c>
    </row>
    <row r="172" spans="2:3" hidden="1">
      <c r="B172" s="110">
        <f t="shared" si="0"/>
        <v>2049</v>
      </c>
      <c r="C172" s="111">
        <f>[35]С2.5!$AH$11</f>
        <v>0</v>
      </c>
    </row>
    <row r="173" spans="2:3" hidden="1">
      <c r="B173" s="110">
        <f t="shared" si="0"/>
        <v>2050</v>
      </c>
      <c r="C173" s="111">
        <f>[35]С2.5!$AI$11</f>
        <v>0</v>
      </c>
    </row>
    <row r="174" spans="2:3" hidden="1">
      <c r="B174" s="110">
        <f t="shared" si="0"/>
        <v>2051</v>
      </c>
      <c r="C174" s="111">
        <f>[35]С2.5!$AJ$11</f>
        <v>0</v>
      </c>
    </row>
    <row r="175" spans="2:3" hidden="1">
      <c r="B175" s="110">
        <f t="shared" si="0"/>
        <v>2052</v>
      </c>
      <c r="C175" s="111">
        <f>[35]С2.5!$AK$11</f>
        <v>0</v>
      </c>
    </row>
    <row r="176" spans="2:3" hidden="1">
      <c r="B176" s="110">
        <f t="shared" si="0"/>
        <v>2053</v>
      </c>
      <c r="C176" s="111">
        <f>[35]С2.5!$AL$11</f>
        <v>0</v>
      </c>
    </row>
    <row r="177" spans="2:3" hidden="1">
      <c r="B177" s="110">
        <f t="shared" si="0"/>
        <v>2054</v>
      </c>
      <c r="C177" s="111">
        <f>[35]С2.5!$AM$11</f>
        <v>0</v>
      </c>
    </row>
    <row r="178" spans="2:3" hidden="1">
      <c r="B178" s="110">
        <f t="shared" si="0"/>
        <v>2055</v>
      </c>
      <c r="C178" s="111">
        <f>[35]С2.5!$AN$11</f>
        <v>0</v>
      </c>
    </row>
    <row r="179" spans="2:3" hidden="1">
      <c r="B179" s="110">
        <f t="shared" si="0"/>
        <v>2056</v>
      </c>
      <c r="C179" s="111">
        <f>[35]С2.5!$AO$11</f>
        <v>0</v>
      </c>
    </row>
    <row r="180" spans="2:3" hidden="1">
      <c r="B180" s="110">
        <f t="shared" si="0"/>
        <v>2057</v>
      </c>
      <c r="C180" s="111">
        <f>[35]С2.5!$AP$11</f>
        <v>0</v>
      </c>
    </row>
    <row r="181" spans="2:3" hidden="1">
      <c r="B181" s="110">
        <f t="shared" si="0"/>
        <v>2058</v>
      </c>
      <c r="C181" s="111">
        <f>[35]С2.5!$AQ$11</f>
        <v>0</v>
      </c>
    </row>
    <row r="182" spans="2:3" hidden="1">
      <c r="B182" s="110">
        <f t="shared" si="0"/>
        <v>2059</v>
      </c>
      <c r="C182" s="111">
        <f>[35]С2.5!$AR$11</f>
        <v>0</v>
      </c>
    </row>
    <row r="183" spans="2:3" hidden="1">
      <c r="B183" s="110">
        <f t="shared" si="0"/>
        <v>2060</v>
      </c>
      <c r="C183" s="111">
        <f>[35]С2.5!$AS$11</f>
        <v>0</v>
      </c>
    </row>
    <row r="184" spans="2:3" hidden="1">
      <c r="B184" s="110">
        <f t="shared" si="0"/>
        <v>2061</v>
      </c>
      <c r="C184" s="111">
        <f>[35]С2.5!$AT$11</f>
        <v>0</v>
      </c>
    </row>
    <row r="185" spans="2:3" hidden="1">
      <c r="B185" s="110">
        <f t="shared" si="0"/>
        <v>2062</v>
      </c>
      <c r="C185" s="111">
        <f>[35]С2.5!$AU$11</f>
        <v>0</v>
      </c>
    </row>
    <row r="186" spans="2:3" hidden="1">
      <c r="B186" s="110">
        <f t="shared" si="0"/>
        <v>2063</v>
      </c>
      <c r="C186" s="111">
        <f>[35]С2.5!$AV$11</f>
        <v>0</v>
      </c>
    </row>
    <row r="187" spans="2:3" hidden="1">
      <c r="B187" s="110">
        <f t="shared" si="0"/>
        <v>2064</v>
      </c>
      <c r="C187" s="111">
        <f>[35]С2.5!$AW$11</f>
        <v>0</v>
      </c>
    </row>
    <row r="188" spans="2:3" hidden="1">
      <c r="B188" s="110">
        <f t="shared" si="0"/>
        <v>2065</v>
      </c>
      <c r="C188" s="111">
        <f>[35]С2.5!$AX$11</f>
        <v>0</v>
      </c>
    </row>
    <row r="189" spans="2:3" hidden="1">
      <c r="B189" s="110">
        <f t="shared" si="0"/>
        <v>2066</v>
      </c>
      <c r="C189" s="111">
        <f>[35]С2.5!$AY$11</f>
        <v>0</v>
      </c>
    </row>
    <row r="190" spans="2:3" hidden="1">
      <c r="B190" s="110">
        <f t="shared" si="0"/>
        <v>2067</v>
      </c>
      <c r="C190" s="111">
        <f>[35]С2.5!$AZ$11</f>
        <v>0</v>
      </c>
    </row>
    <row r="191" spans="2:3" hidden="1">
      <c r="B191" s="110">
        <f t="shared" si="0"/>
        <v>2068</v>
      </c>
      <c r="C191" s="111">
        <f>[35]С2.5!$BA$11</f>
        <v>0</v>
      </c>
    </row>
    <row r="192" spans="2:3" hidden="1">
      <c r="B192" s="110">
        <f t="shared" si="0"/>
        <v>2069</v>
      </c>
      <c r="C192" s="111">
        <f>[35]С2.5!$BB$11</f>
        <v>0</v>
      </c>
    </row>
    <row r="193" spans="2:3" hidden="1">
      <c r="B193" s="110">
        <f t="shared" si="0"/>
        <v>2070</v>
      </c>
      <c r="C193" s="111">
        <f>[35]С2.5!$BC$11</f>
        <v>0</v>
      </c>
    </row>
    <row r="194" spans="2:3" hidden="1">
      <c r="B194" s="110">
        <f t="shared" si="0"/>
        <v>2071</v>
      </c>
      <c r="C194" s="111">
        <f>[35]С2.5!$BD$11</f>
        <v>0</v>
      </c>
    </row>
    <row r="195" spans="2:3" hidden="1">
      <c r="B195" s="110">
        <f t="shared" si="0"/>
        <v>2072</v>
      </c>
      <c r="C195" s="111">
        <f>[35]С2.5!$BE$11</f>
        <v>0</v>
      </c>
    </row>
    <row r="196" spans="2:3" hidden="1">
      <c r="B196" s="110">
        <f t="shared" si="0"/>
        <v>2073</v>
      </c>
      <c r="C196" s="111">
        <f>[35]С2.5!$BF$11</f>
        <v>0</v>
      </c>
    </row>
    <row r="197" spans="2:3" hidden="1">
      <c r="B197" s="110">
        <f t="shared" si="0"/>
        <v>2074</v>
      </c>
      <c r="C197" s="111">
        <f>[35]С2.5!$BG$11</f>
        <v>0</v>
      </c>
    </row>
    <row r="198" spans="2:3" hidden="1">
      <c r="B198" s="110">
        <f t="shared" si="0"/>
        <v>2075</v>
      </c>
      <c r="C198" s="111">
        <f>[35]С2.5!$BH$11</f>
        <v>0</v>
      </c>
    </row>
    <row r="199" spans="2:3" hidden="1">
      <c r="B199" s="110">
        <f t="shared" si="0"/>
        <v>2076</v>
      </c>
      <c r="C199" s="111">
        <f>[35]С2.5!$BI$11</f>
        <v>0</v>
      </c>
    </row>
    <row r="200" spans="2:3" hidden="1">
      <c r="B200" s="110">
        <f t="shared" si="0"/>
        <v>2077</v>
      </c>
      <c r="C200" s="111">
        <f>[35]С2.5!$BJ$11</f>
        <v>0</v>
      </c>
    </row>
    <row r="201" spans="2:3" hidden="1">
      <c r="B201" s="110">
        <f t="shared" si="0"/>
        <v>2078</v>
      </c>
      <c r="C201" s="111">
        <f>[35]С2.5!$BK$11</f>
        <v>0</v>
      </c>
    </row>
    <row r="202" spans="2:3" hidden="1">
      <c r="B202" s="110">
        <f t="shared" si="0"/>
        <v>2079</v>
      </c>
      <c r="C202" s="111">
        <f>[35]С2.5!$BL$11</f>
        <v>0</v>
      </c>
    </row>
    <row r="203" spans="2:3" hidden="1">
      <c r="B203" s="110">
        <f t="shared" si="0"/>
        <v>2080</v>
      </c>
      <c r="C203" s="111">
        <f>[35]С2.5!$BM$11</f>
        <v>0</v>
      </c>
    </row>
    <row r="204" spans="2:3" hidden="1">
      <c r="B204" s="110">
        <f t="shared" si="0"/>
        <v>2081</v>
      </c>
      <c r="C204" s="111">
        <f>[35]С2.5!$BN$11</f>
        <v>0</v>
      </c>
    </row>
    <row r="205" spans="2:3" hidden="1">
      <c r="B205" s="110">
        <f t="shared" si="0"/>
        <v>2082</v>
      </c>
      <c r="C205" s="111">
        <f>[35]С2.5!$BO$11</f>
        <v>0</v>
      </c>
    </row>
    <row r="206" spans="2:3" hidden="1">
      <c r="B206" s="110">
        <f t="shared" si="0"/>
        <v>2083</v>
      </c>
      <c r="C206" s="111">
        <f>[35]С2.5!$BP$11</f>
        <v>0</v>
      </c>
    </row>
    <row r="207" spans="2:3" hidden="1">
      <c r="B207" s="110">
        <f t="shared" si="0"/>
        <v>2084</v>
      </c>
      <c r="C207" s="111">
        <f>[35]С2.5!$BQ$11</f>
        <v>0</v>
      </c>
    </row>
    <row r="208" spans="2:3" hidden="1">
      <c r="B208" s="110">
        <f t="shared" si="0"/>
        <v>2085</v>
      </c>
      <c r="C208" s="111">
        <f>[35]С2.5!$BR$11</f>
        <v>0</v>
      </c>
    </row>
    <row r="209" spans="2:3" hidden="1">
      <c r="B209" s="110">
        <f t="shared" ref="B209:B223" si="1">B208+1</f>
        <v>2086</v>
      </c>
      <c r="C209" s="111">
        <f>[35]С2.5!$BS$11</f>
        <v>0</v>
      </c>
    </row>
    <row r="210" spans="2:3" hidden="1">
      <c r="B210" s="110">
        <f t="shared" si="1"/>
        <v>2087</v>
      </c>
      <c r="C210" s="111">
        <f>[35]С2.5!$BT$11</f>
        <v>0</v>
      </c>
    </row>
    <row r="211" spans="2:3" hidden="1">
      <c r="B211" s="110">
        <f t="shared" si="1"/>
        <v>2088</v>
      </c>
      <c r="C211" s="111">
        <f>[35]С2.5!$BU$11</f>
        <v>0</v>
      </c>
    </row>
    <row r="212" spans="2:3" hidden="1">
      <c r="B212" s="110">
        <f t="shared" si="1"/>
        <v>2089</v>
      </c>
      <c r="C212" s="111">
        <f>[35]С2.5!$BV$11</f>
        <v>0</v>
      </c>
    </row>
    <row r="213" spans="2:3" hidden="1">
      <c r="B213" s="110">
        <f t="shared" si="1"/>
        <v>2090</v>
      </c>
      <c r="C213" s="111">
        <f>[35]С2.5!$BW$11</f>
        <v>0</v>
      </c>
    </row>
    <row r="214" spans="2:3" hidden="1">
      <c r="B214" s="110">
        <f t="shared" si="1"/>
        <v>2091</v>
      </c>
      <c r="C214" s="111">
        <f>[35]С2.5!$BX$11</f>
        <v>0</v>
      </c>
    </row>
    <row r="215" spans="2:3" hidden="1">
      <c r="B215" s="110">
        <f t="shared" si="1"/>
        <v>2092</v>
      </c>
      <c r="C215" s="111">
        <f>[35]С2.5!$BY$11</f>
        <v>0</v>
      </c>
    </row>
    <row r="216" spans="2:3" hidden="1">
      <c r="B216" s="110">
        <f t="shared" si="1"/>
        <v>2093</v>
      </c>
      <c r="C216" s="111">
        <f>[35]С2.5!$BZ$11</f>
        <v>0</v>
      </c>
    </row>
    <row r="217" spans="2:3" hidden="1">
      <c r="B217" s="110">
        <f t="shared" si="1"/>
        <v>2094</v>
      </c>
      <c r="C217" s="111">
        <f>[35]С2.5!$CA$11</f>
        <v>0</v>
      </c>
    </row>
    <row r="218" spans="2:3" hidden="1">
      <c r="B218" s="110">
        <f t="shared" si="1"/>
        <v>2095</v>
      </c>
      <c r="C218" s="111">
        <f>[35]С2.5!$CB$11</f>
        <v>0</v>
      </c>
    </row>
    <row r="219" spans="2:3" hidden="1">
      <c r="B219" s="110">
        <f t="shared" si="1"/>
        <v>2096</v>
      </c>
      <c r="C219" s="111">
        <f>[35]С2.5!$CC$11</f>
        <v>0</v>
      </c>
    </row>
    <row r="220" spans="2:3" hidden="1">
      <c r="B220" s="110">
        <f t="shared" si="1"/>
        <v>2097</v>
      </c>
      <c r="C220" s="111">
        <f>[35]С2.5!$CD$11</f>
        <v>0</v>
      </c>
    </row>
    <row r="221" spans="2:3" hidden="1">
      <c r="B221" s="110">
        <f t="shared" si="1"/>
        <v>2098</v>
      </c>
      <c r="C221" s="111">
        <f>[35]С2.5!$CE$11</f>
        <v>0</v>
      </c>
    </row>
    <row r="222" spans="2:3" hidden="1">
      <c r="B222" s="110">
        <f t="shared" si="1"/>
        <v>2099</v>
      </c>
      <c r="C222" s="111">
        <f>[35]С2.5!$CF$11</f>
        <v>0</v>
      </c>
    </row>
    <row r="223" spans="2:3" ht="13.5" hidden="1" thickBot="1">
      <c r="B223" s="112">
        <f t="shared" si="1"/>
        <v>2100</v>
      </c>
      <c r="C223" s="113">
        <f>[35]С2.5!$CG$11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6" r:id="rId3" name="Button 2">
              <controlPr defaultSize="0" print="0" autoFill="0" autoPict="0" macro="[3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6387" r:id="rId4" name="Button 3">
              <controlPr defaultSize="0" print="0" autoFill="0" autoPict="0" macro="[3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[37]И1!D13</f>
        <v>Субъект Российской Федерации</v>
      </c>
      <c r="C4" s="10" t="str">
        <f>[37]И1!E13</f>
        <v>Новосибирская область</v>
      </c>
    </row>
    <row r="5" spans="1:3" ht="46.9" customHeight="1">
      <c r="A5" s="8"/>
      <c r="B5" s="9" t="str">
        <f>[37]И1!D14</f>
        <v>Тип муниципального образования (выберите из списка)</v>
      </c>
      <c r="C5" s="10" t="str">
        <f>[37]И1!E14</f>
        <v xml:space="preserve">поселок Нечаевский, Тогучинский муниципальный район </v>
      </c>
    </row>
    <row r="6" spans="1:3">
      <c r="A6" s="8"/>
      <c r="B6" s="9" t="str">
        <f>IF([37]И1!E15="","",[37]И1!D15)</f>
        <v/>
      </c>
      <c r="C6" s="10" t="str">
        <f>IF([37]И1!E15="","",[37]И1!E15)</f>
        <v/>
      </c>
    </row>
    <row r="7" spans="1:3">
      <c r="A7" s="8"/>
      <c r="B7" s="9" t="str">
        <f>[37]И1!D16</f>
        <v>Код ОКТМО</v>
      </c>
      <c r="C7" s="11" t="str">
        <f>[37]И1!E16</f>
        <v>50652439101</v>
      </c>
    </row>
    <row r="8" spans="1:3">
      <c r="A8" s="8"/>
      <c r="B8" s="12" t="str">
        <f>[37]И1!D17</f>
        <v>Система теплоснабжения</v>
      </c>
      <c r="C8" s="13">
        <f>[37]И1!E17</f>
        <v>0</v>
      </c>
    </row>
    <row r="9" spans="1:3">
      <c r="A9" s="8"/>
      <c r="B9" s="9" t="str">
        <f>[37]И1!D8</f>
        <v>Период регулирования (i)-й</v>
      </c>
      <c r="C9" s="14">
        <f>[37]И1!E8</f>
        <v>2025</v>
      </c>
    </row>
    <row r="10" spans="1:3">
      <c r="A10" s="8"/>
      <c r="B10" s="9" t="str">
        <f>[37]И1!D9</f>
        <v>Период регулирования (i-1)-й</v>
      </c>
      <c r="C10" s="14">
        <f>[37]И1!E9</f>
        <v>2024</v>
      </c>
    </row>
    <row r="11" spans="1:3">
      <c r="A11" s="8"/>
      <c r="B11" s="9" t="str">
        <f>[37]И1!D10</f>
        <v>Период регулирования (i-2)-й</v>
      </c>
      <c r="C11" s="14">
        <f>[37]И1!E10</f>
        <v>2023</v>
      </c>
    </row>
    <row r="12" spans="1:3">
      <c r="A12" s="8"/>
      <c r="B12" s="9" t="str">
        <f>[37]И1!D11</f>
        <v>Базовый год (б)</v>
      </c>
      <c r="C12" s="14">
        <f>[37]И1!E11</f>
        <v>2019</v>
      </c>
    </row>
    <row r="13" spans="1:3" ht="38.25">
      <c r="A13" s="8"/>
      <c r="B13" s="9" t="str">
        <f>[37]И1!D18</f>
        <v>Вид топлива, использование которого преобладает в системе теплоснабжения</v>
      </c>
      <c r="C13" s="15" t="str">
        <f>[37]С1.1!E13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5380.8465310644851</v>
      </c>
    </row>
    <row r="18" spans="1:3" ht="42.75">
      <c r="A18" s="22" t="s">
        <v>8</v>
      </c>
      <c r="B18" s="25" t="s">
        <v>9</v>
      </c>
      <c r="C18" s="26">
        <f>[37]С1!F12</f>
        <v>795.80460480398301</v>
      </c>
    </row>
    <row r="19" spans="1:3" ht="42.75">
      <c r="A19" s="22" t="s">
        <v>10</v>
      </c>
      <c r="B19" s="25" t="s">
        <v>11</v>
      </c>
      <c r="C19" s="26">
        <f>[37]С2!F12</f>
        <v>3056.1591261705735</v>
      </c>
    </row>
    <row r="20" spans="1:3" ht="30">
      <c r="A20" s="22" t="s">
        <v>12</v>
      </c>
      <c r="B20" s="25" t="s">
        <v>13</v>
      </c>
      <c r="C20" s="26">
        <f>[37]С3!F12</f>
        <v>915.44743976410246</v>
      </c>
    </row>
    <row r="21" spans="1:3" ht="42.75">
      <c r="A21" s="22" t="s">
        <v>14</v>
      </c>
      <c r="B21" s="25" t="s">
        <v>15</v>
      </c>
      <c r="C21" s="26">
        <f>[37]С4!F12</f>
        <v>507.92856559907165</v>
      </c>
    </row>
    <row r="22" spans="1:3" ht="30">
      <c r="A22" s="22" t="s">
        <v>16</v>
      </c>
      <c r="B22" s="25" t="s">
        <v>17</v>
      </c>
      <c r="C22" s="26">
        <f>[37]С5!F12</f>
        <v>105.50679472675462</v>
      </c>
    </row>
    <row r="23" spans="1:3" ht="43.5" thickBot="1">
      <c r="A23" s="27" t="s">
        <v>18</v>
      </c>
      <c r="B23" s="140" t="s">
        <v>19</v>
      </c>
      <c r="C23" s="28" t="str">
        <f>[37]С6!F12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[37]С1.1!E16</f>
        <v>5100</v>
      </c>
    </row>
    <row r="29" spans="1:3" ht="42.75">
      <c r="A29" s="22" t="s">
        <v>10</v>
      </c>
      <c r="B29" s="33" t="s">
        <v>22</v>
      </c>
      <c r="C29" s="34">
        <f>[37]С1.1!E27</f>
        <v>2870.67</v>
      </c>
    </row>
    <row r="30" spans="1:3" ht="17.25">
      <c r="A30" s="22" t="s">
        <v>12</v>
      </c>
      <c r="B30" s="33" t="s">
        <v>23</v>
      </c>
      <c r="C30" s="35">
        <f>[37]С1.1!E19</f>
        <v>1.4E-2</v>
      </c>
    </row>
    <row r="31" spans="1:3" ht="17.25">
      <c r="A31" s="22" t="s">
        <v>14</v>
      </c>
      <c r="B31" s="33" t="s">
        <v>24</v>
      </c>
      <c r="C31" s="35">
        <f>[37]С1.1!E20</f>
        <v>0.04</v>
      </c>
    </row>
    <row r="32" spans="1:3" ht="30">
      <c r="A32" s="22" t="s">
        <v>16</v>
      </c>
      <c r="B32" s="36" t="s">
        <v>25</v>
      </c>
      <c r="C32" s="37">
        <f>[37]С1!F13</f>
        <v>176.4</v>
      </c>
    </row>
    <row r="33" spans="1:3">
      <c r="A33" s="22" t="s">
        <v>18</v>
      </c>
      <c r="B33" s="36" t="s">
        <v>26</v>
      </c>
      <c r="C33" s="38">
        <f>[37]С1!F16</f>
        <v>7000</v>
      </c>
    </row>
    <row r="34" spans="1:3" ht="14.25">
      <c r="A34" s="22" t="s">
        <v>27</v>
      </c>
      <c r="B34" s="39" t="s">
        <v>28</v>
      </c>
      <c r="C34" s="40">
        <f>[37]С1!F17</f>
        <v>0.72857142857142854</v>
      </c>
    </row>
    <row r="35" spans="1:3" ht="15.75">
      <c r="A35" s="41" t="s">
        <v>29</v>
      </c>
      <c r="B35" s="42" t="s">
        <v>30</v>
      </c>
      <c r="C35" s="40">
        <f>[37]С1!F20</f>
        <v>21.588411179999994</v>
      </c>
    </row>
    <row r="36" spans="1:3" ht="15.75">
      <c r="A36" s="41" t="s">
        <v>31</v>
      </c>
      <c r="B36" s="43" t="s">
        <v>32</v>
      </c>
      <c r="C36" s="40">
        <f>[37]С1!F21</f>
        <v>20.818139999999996</v>
      </c>
    </row>
    <row r="37" spans="1:3" ht="14.25">
      <c r="A37" s="41" t="s">
        <v>33</v>
      </c>
      <c r="B37" s="44" t="s">
        <v>34</v>
      </c>
      <c r="C37" s="40">
        <f>[37]С1!F22</f>
        <v>1.0369999999999999</v>
      </c>
    </row>
    <row r="38" spans="1:3" ht="53.25" thickBot="1">
      <c r="A38" s="27" t="s">
        <v>35</v>
      </c>
      <c r="B38" s="45" t="s">
        <v>36</v>
      </c>
      <c r="C38" s="46">
        <f>[37]С1!F23</f>
        <v>1.0469999999999999</v>
      </c>
    </row>
    <row r="39" spans="1:3" ht="13.5" thickBot="1">
      <c r="A39" s="47"/>
      <c r="B39" s="48"/>
      <c r="C39" s="49"/>
    </row>
    <row r="40" spans="1:3" ht="40.5" customHeight="1">
      <c r="A40" s="50" t="s">
        <v>37</v>
      </c>
      <c r="B40" s="146" t="s">
        <v>38</v>
      </c>
      <c r="C40" s="146"/>
    </row>
    <row r="41" spans="1:3" ht="25.5">
      <c r="A41" s="22" t="s">
        <v>39</v>
      </c>
      <c r="B41" s="36" t="s">
        <v>40</v>
      </c>
      <c r="C41" s="51" t="str">
        <f>[37]С2.1!E12</f>
        <v>V</v>
      </c>
    </row>
    <row r="42" spans="1:3" ht="25.5">
      <c r="A42" s="22" t="s">
        <v>41</v>
      </c>
      <c r="B42" s="33" t="s">
        <v>42</v>
      </c>
      <c r="C42" s="51" t="str">
        <f>[37]С2.1!E13</f>
        <v>6 и менее баллов</v>
      </c>
    </row>
    <row r="43" spans="1:3" ht="25.5">
      <c r="A43" s="22" t="s">
        <v>43</v>
      </c>
      <c r="B43" s="33" t="s">
        <v>44</v>
      </c>
      <c r="C43" s="51" t="str">
        <f>[37]С2.1!E14</f>
        <v>от 200 до 500</v>
      </c>
    </row>
    <row r="44" spans="1:3" ht="25.5">
      <c r="A44" s="22" t="s">
        <v>45</v>
      </c>
      <c r="B44" s="33" t="s">
        <v>46</v>
      </c>
      <c r="C44" s="52" t="str">
        <f>[37]С2.1!E15</f>
        <v>нет</v>
      </c>
    </row>
    <row r="45" spans="1:3" ht="30">
      <c r="A45" s="22" t="s">
        <v>47</v>
      </c>
      <c r="B45" s="33" t="s">
        <v>48</v>
      </c>
      <c r="C45" s="34">
        <f>[37]С2!F18</f>
        <v>38910.02669467502</v>
      </c>
    </row>
    <row r="46" spans="1:3" ht="30">
      <c r="A46" s="22" t="s">
        <v>49</v>
      </c>
      <c r="B46" s="53" t="s">
        <v>50</v>
      </c>
      <c r="C46" s="34">
        <f>IF([37]С2!F19&gt;0,[37]С2!F19,[37]С2!F20)</f>
        <v>23441.524932855718</v>
      </c>
    </row>
    <row r="47" spans="1:3" ht="25.5">
      <c r="A47" s="22" t="s">
        <v>51</v>
      </c>
      <c r="B47" s="54" t="s">
        <v>52</v>
      </c>
      <c r="C47" s="34">
        <f>[37]С2.1!E19</f>
        <v>-38</v>
      </c>
    </row>
    <row r="48" spans="1:3" ht="25.5">
      <c r="A48" s="22" t="s">
        <v>53</v>
      </c>
      <c r="B48" s="54" t="s">
        <v>54</v>
      </c>
      <c r="C48" s="34" t="str">
        <f>[37]С2.1!E22</f>
        <v>нет</v>
      </c>
    </row>
    <row r="49" spans="1:3" ht="38.25">
      <c r="A49" s="22" t="s">
        <v>55</v>
      </c>
      <c r="B49" s="55" t="s">
        <v>56</v>
      </c>
      <c r="C49" s="34">
        <f>[37]С2.2!E10</f>
        <v>1287</v>
      </c>
    </row>
    <row r="50" spans="1:3" ht="25.5">
      <c r="A50" s="22" t="s">
        <v>57</v>
      </c>
      <c r="B50" s="56" t="s">
        <v>58</v>
      </c>
      <c r="C50" s="34">
        <f>[37]С2.2!E12</f>
        <v>5.97</v>
      </c>
    </row>
    <row r="51" spans="1:3" ht="52.5">
      <c r="A51" s="22" t="s">
        <v>59</v>
      </c>
      <c r="B51" s="57" t="s">
        <v>60</v>
      </c>
      <c r="C51" s="34">
        <f>[37]С2.2!E13</f>
        <v>1</v>
      </c>
    </row>
    <row r="52" spans="1:3" ht="27.75">
      <c r="A52" s="22" t="s">
        <v>61</v>
      </c>
      <c r="B52" s="56" t="s">
        <v>62</v>
      </c>
      <c r="C52" s="34">
        <f>[37]С2.2!E14</f>
        <v>12104</v>
      </c>
    </row>
    <row r="53" spans="1:3" ht="25.5">
      <c r="A53" s="22" t="s">
        <v>63</v>
      </c>
      <c r="B53" s="57" t="s">
        <v>64</v>
      </c>
      <c r="C53" s="35">
        <f>[37]С2.2!E15</f>
        <v>4.8000000000000001E-2</v>
      </c>
    </row>
    <row r="54" spans="1:3">
      <c r="A54" s="22" t="s">
        <v>65</v>
      </c>
      <c r="B54" s="57" t="s">
        <v>66</v>
      </c>
      <c r="C54" s="34">
        <f>[37]С2.2!E16</f>
        <v>1</v>
      </c>
    </row>
    <row r="55" spans="1:3" ht="15.75">
      <c r="A55" s="22" t="s">
        <v>67</v>
      </c>
      <c r="B55" s="58" t="s">
        <v>68</v>
      </c>
      <c r="C55" s="34">
        <f>[37]С2!F21</f>
        <v>1</v>
      </c>
    </row>
    <row r="56" spans="1:3" ht="30">
      <c r="A56" s="59" t="s">
        <v>69</v>
      </c>
      <c r="B56" s="33" t="s">
        <v>70</v>
      </c>
      <c r="C56" s="34">
        <f>[37]С2!F13</f>
        <v>203708.97017230222</v>
      </c>
    </row>
    <row r="57" spans="1:3" ht="30">
      <c r="A57" s="59" t="s">
        <v>71</v>
      </c>
      <c r="B57" s="58" t="s">
        <v>72</v>
      </c>
      <c r="C57" s="34">
        <f>[37]С2!F14</f>
        <v>113455</v>
      </c>
    </row>
    <row r="58" spans="1:3" ht="15.75">
      <c r="A58" s="59" t="s">
        <v>73</v>
      </c>
      <c r="B58" s="60" t="s">
        <v>74</v>
      </c>
      <c r="C58" s="40">
        <f>[37]С2!F15</f>
        <v>1.071</v>
      </c>
    </row>
    <row r="59" spans="1:3" ht="15.75">
      <c r="A59" s="59" t="s">
        <v>75</v>
      </c>
      <c r="B59" s="60" t="s">
        <v>76</v>
      </c>
      <c r="C59" s="40">
        <f>[37]С2!F16</f>
        <v>1</v>
      </c>
    </row>
    <row r="60" spans="1:3" ht="17.25">
      <c r="A60" s="59" t="s">
        <v>77</v>
      </c>
      <c r="B60" s="58" t="s">
        <v>78</v>
      </c>
      <c r="C60" s="34">
        <f>[37]С2!F17</f>
        <v>1.01</v>
      </c>
    </row>
    <row r="61" spans="1:3" s="63" customFormat="1" ht="14.25">
      <c r="A61" s="59" t="s">
        <v>79</v>
      </c>
      <c r="B61" s="61" t="s">
        <v>80</v>
      </c>
      <c r="C61" s="62">
        <f>[37]С2!F33</f>
        <v>10</v>
      </c>
    </row>
    <row r="62" spans="1:3" ht="30">
      <c r="A62" s="59" t="s">
        <v>81</v>
      </c>
      <c r="B62" s="64" t="s">
        <v>82</v>
      </c>
      <c r="C62" s="34">
        <f>[37]С2!F26</f>
        <v>2416.4994928434235</v>
      </c>
    </row>
    <row r="63" spans="1:3" ht="17.25">
      <c r="A63" s="59" t="s">
        <v>83</v>
      </c>
      <c r="B63" s="53" t="s">
        <v>84</v>
      </c>
      <c r="C63" s="34">
        <f>[37]С2!F27</f>
        <v>0.34662649000000001</v>
      </c>
    </row>
    <row r="64" spans="1:3" ht="17.25">
      <c r="A64" s="59" t="s">
        <v>85</v>
      </c>
      <c r="B64" s="58" t="s">
        <v>86</v>
      </c>
      <c r="C64" s="62">
        <f>[37]С2!F28</f>
        <v>4200</v>
      </c>
    </row>
    <row r="65" spans="1:3" ht="42.75">
      <c r="A65" s="59" t="s">
        <v>87</v>
      </c>
      <c r="B65" s="33" t="s">
        <v>88</v>
      </c>
      <c r="C65" s="34">
        <f>[37]С2!F22</f>
        <v>42890.921752741691</v>
      </c>
    </row>
    <row r="66" spans="1:3" ht="30">
      <c r="A66" s="59" t="s">
        <v>89</v>
      </c>
      <c r="B66" s="60" t="s">
        <v>90</v>
      </c>
      <c r="C66" s="34">
        <f>[37]С2!F23</f>
        <v>1990</v>
      </c>
    </row>
    <row r="67" spans="1:3" ht="30">
      <c r="A67" s="59" t="s">
        <v>91</v>
      </c>
      <c r="B67" s="53" t="s">
        <v>92</v>
      </c>
      <c r="C67" s="34">
        <f>[37]С2.1!E27</f>
        <v>14307.876789999998</v>
      </c>
    </row>
    <row r="68" spans="1:3" ht="38.25">
      <c r="A68" s="59" t="s">
        <v>93</v>
      </c>
      <c r="B68" s="65" t="s">
        <v>94</v>
      </c>
      <c r="C68" s="52">
        <f>[37]С2.3!E21</f>
        <v>0</v>
      </c>
    </row>
    <row r="69" spans="1:3" ht="25.5">
      <c r="A69" s="59" t="s">
        <v>95</v>
      </c>
      <c r="B69" s="66" t="s">
        <v>96</v>
      </c>
      <c r="C69" s="67">
        <f>[37]С2.3!E11</f>
        <v>9.89</v>
      </c>
    </row>
    <row r="70" spans="1:3" ht="25.5">
      <c r="A70" s="59" t="s">
        <v>97</v>
      </c>
      <c r="B70" s="66" t="s">
        <v>98</v>
      </c>
      <c r="C70" s="62">
        <f>[37]С2.3!E13</f>
        <v>300</v>
      </c>
    </row>
    <row r="71" spans="1:3" ht="25.5">
      <c r="A71" s="59" t="s">
        <v>99</v>
      </c>
      <c r="B71" s="65" t="s">
        <v>100</v>
      </c>
      <c r="C71" s="68">
        <f>IF([37]С2.3!E22&gt;0,[37]С2.3!E22,[37]С2.3!E14)</f>
        <v>61211</v>
      </c>
    </row>
    <row r="72" spans="1:3" ht="38.25">
      <c r="A72" s="59" t="s">
        <v>101</v>
      </c>
      <c r="B72" s="65" t="s">
        <v>102</v>
      </c>
      <c r="C72" s="68">
        <f>IF([37]С2.3!E23&gt;0,[37]С2.3!E23,[37]С2.3!E15)</f>
        <v>45675</v>
      </c>
    </row>
    <row r="73" spans="1:3" ht="30">
      <c r="A73" s="59" t="s">
        <v>103</v>
      </c>
      <c r="B73" s="53" t="s">
        <v>104</v>
      </c>
      <c r="C73" s="34">
        <f>[37]С2.1!E28</f>
        <v>9541.9567200000001</v>
      </c>
    </row>
    <row r="74" spans="1:3" ht="38.25">
      <c r="A74" s="59" t="s">
        <v>105</v>
      </c>
      <c r="B74" s="65" t="s">
        <v>106</v>
      </c>
      <c r="C74" s="52">
        <f>[37]С2.3!E25</f>
        <v>0</v>
      </c>
    </row>
    <row r="75" spans="1:3" ht="25.5">
      <c r="A75" s="59" t="s">
        <v>107</v>
      </c>
      <c r="B75" s="66" t="s">
        <v>108</v>
      </c>
      <c r="C75" s="67">
        <f>[37]С2.3!E12</f>
        <v>0.56000000000000005</v>
      </c>
    </row>
    <row r="76" spans="1:3" ht="25.5">
      <c r="A76" s="59" t="s">
        <v>109</v>
      </c>
      <c r="B76" s="66" t="s">
        <v>98</v>
      </c>
      <c r="C76" s="62">
        <f>[37]С2.3!E13</f>
        <v>300</v>
      </c>
    </row>
    <row r="77" spans="1:3" ht="25.5">
      <c r="A77" s="59" t="s">
        <v>110</v>
      </c>
      <c r="B77" s="69" t="s">
        <v>111</v>
      </c>
      <c r="C77" s="68">
        <f>IF([37]С2.3!E26&gt;0,[37]С2.3!E26,[37]С2.3!E16)</f>
        <v>65637</v>
      </c>
    </row>
    <row r="78" spans="1:3" ht="38.25">
      <c r="A78" s="59" t="s">
        <v>112</v>
      </c>
      <c r="B78" s="69" t="s">
        <v>113</v>
      </c>
      <c r="C78" s="68">
        <f>IF([37]С2.3!E27&gt;0,[37]С2.3!E27,[37]С2.3!E17)</f>
        <v>31684</v>
      </c>
    </row>
    <row r="79" spans="1:3" ht="17.25">
      <c r="A79" s="59" t="s">
        <v>114</v>
      </c>
      <c r="B79" s="33" t="s">
        <v>115</v>
      </c>
      <c r="C79" s="35">
        <f>[37]С2!F29</f>
        <v>0.17804631770487722</v>
      </c>
    </row>
    <row r="80" spans="1:3" ht="30">
      <c r="A80" s="59" t="s">
        <v>116</v>
      </c>
      <c r="B80" s="53" t="s">
        <v>117</v>
      </c>
      <c r="C80" s="70">
        <f>[37]С2!F30</f>
        <v>0.1652189781021898</v>
      </c>
    </row>
    <row r="81" spans="1:3" ht="17.25">
      <c r="A81" s="59" t="s">
        <v>118</v>
      </c>
      <c r="B81" s="71" t="s">
        <v>119</v>
      </c>
      <c r="C81" s="35">
        <f>[37]С2!F31</f>
        <v>0.13880000000000001</v>
      </c>
    </row>
    <row r="82" spans="1:3" s="63" customFormat="1" ht="18" thickBot="1">
      <c r="A82" s="72" t="s">
        <v>120</v>
      </c>
      <c r="B82" s="73" t="s">
        <v>121</v>
      </c>
      <c r="C82" s="74">
        <f>[37]С2!F32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[37]С3!F14</f>
        <v>14863.184658749575</v>
      </c>
    </row>
    <row r="86" spans="1:3" s="63" customFormat="1" ht="42.75">
      <c r="A86" s="77" t="s">
        <v>126</v>
      </c>
      <c r="B86" s="53" t="s">
        <v>127</v>
      </c>
      <c r="C86" s="78">
        <f>[37]С3!F15</f>
        <v>0.25</v>
      </c>
    </row>
    <row r="87" spans="1:3" s="63" customFormat="1" ht="14.25">
      <c r="A87" s="77" t="s">
        <v>128</v>
      </c>
      <c r="B87" s="79" t="s">
        <v>129</v>
      </c>
      <c r="C87" s="62">
        <f>[37]С3!F18</f>
        <v>15</v>
      </c>
    </row>
    <row r="88" spans="1:3" s="63" customFormat="1" ht="17.25">
      <c r="A88" s="77" t="s">
        <v>130</v>
      </c>
      <c r="B88" s="33" t="s">
        <v>131</v>
      </c>
      <c r="C88" s="34">
        <f>[37]С3!F19</f>
        <v>4187.478806422544</v>
      </c>
    </row>
    <row r="89" spans="1:3" s="63" customFormat="1" ht="55.5">
      <c r="A89" s="77" t="s">
        <v>132</v>
      </c>
      <c r="B89" s="53" t="s">
        <v>133</v>
      </c>
      <c r="C89" s="80">
        <f>[37]С3!F20</f>
        <v>2.1999999999999999E-2</v>
      </c>
    </row>
    <row r="90" spans="1:3" s="63" customFormat="1" ht="14.25">
      <c r="A90" s="77" t="s">
        <v>134</v>
      </c>
      <c r="B90" s="58" t="s">
        <v>80</v>
      </c>
      <c r="C90" s="62">
        <f>[37]С3!F21</f>
        <v>10</v>
      </c>
    </row>
    <row r="91" spans="1:3" s="63" customFormat="1" ht="17.25">
      <c r="A91" s="77" t="s">
        <v>135</v>
      </c>
      <c r="B91" s="33" t="s">
        <v>136</v>
      </c>
      <c r="C91" s="34">
        <f>[37]С3!F22</f>
        <v>7.2494984785302705</v>
      </c>
    </row>
    <row r="92" spans="1:3" s="63" customFormat="1" ht="55.5">
      <c r="A92" s="77" t="s">
        <v>137</v>
      </c>
      <c r="B92" s="53" t="s">
        <v>138</v>
      </c>
      <c r="C92" s="80">
        <f>[37]С3!F23</f>
        <v>3.0000000000000001E-3</v>
      </c>
    </row>
    <row r="93" spans="1:3" s="63" customFormat="1" ht="27.75" thickBot="1">
      <c r="A93" s="81" t="s">
        <v>139</v>
      </c>
      <c r="B93" s="82" t="s">
        <v>140</v>
      </c>
      <c r="C93" s="83">
        <f>[37]С3!F24</f>
        <v>2416.4994928434235</v>
      </c>
    </row>
    <row r="94" spans="1:3" ht="13.5" thickBot="1">
      <c r="A94" s="47"/>
      <c r="B94" s="75"/>
      <c r="C94" s="15"/>
    </row>
    <row r="95" spans="1:3" ht="38.25" customHeight="1">
      <c r="A95" s="84" t="s">
        <v>141</v>
      </c>
      <c r="B95" s="146" t="s">
        <v>142</v>
      </c>
      <c r="C95" s="146"/>
    </row>
    <row r="96" spans="1:3" ht="30">
      <c r="A96" s="59" t="s">
        <v>143</v>
      </c>
      <c r="B96" s="33" t="s">
        <v>144</v>
      </c>
      <c r="C96" s="34">
        <f>[37]С4!F16</f>
        <v>1652.5</v>
      </c>
    </row>
    <row r="97" spans="1:3" ht="30">
      <c r="A97" s="59" t="s">
        <v>145</v>
      </c>
      <c r="B97" s="58" t="s">
        <v>146</v>
      </c>
      <c r="C97" s="34">
        <f>[37]С4!F17</f>
        <v>73547</v>
      </c>
    </row>
    <row r="98" spans="1:3" ht="17.25">
      <c r="A98" s="59" t="s">
        <v>147</v>
      </c>
      <c r="B98" s="58" t="s">
        <v>148</v>
      </c>
      <c r="C98" s="40">
        <f>[37]С4!F18</f>
        <v>0.02</v>
      </c>
    </row>
    <row r="99" spans="1:3" ht="30">
      <c r="A99" s="59" t="s">
        <v>149</v>
      </c>
      <c r="B99" s="58" t="s">
        <v>150</v>
      </c>
      <c r="C99" s="34">
        <f>[37]С4!F19</f>
        <v>12104</v>
      </c>
    </row>
    <row r="100" spans="1:3" ht="31.5">
      <c r="A100" s="59" t="s">
        <v>151</v>
      </c>
      <c r="B100" s="58" t="s">
        <v>152</v>
      </c>
      <c r="C100" s="40">
        <f>[37]С4!F20</f>
        <v>1.4999999999999999E-2</v>
      </c>
    </row>
    <row r="101" spans="1:3" ht="30">
      <c r="A101" s="59" t="s">
        <v>153</v>
      </c>
      <c r="B101" s="33" t="s">
        <v>154</v>
      </c>
      <c r="C101" s="34">
        <f>[37]С4!F21</f>
        <v>1933.1949342509995</v>
      </c>
    </row>
    <row r="102" spans="1:3" ht="24" customHeight="1">
      <c r="A102" s="59" t="s">
        <v>155</v>
      </c>
      <c r="B102" s="53" t="s">
        <v>156</v>
      </c>
      <c r="C102" s="85">
        <f>IF([37]С4.2!F8="да",[37]С4.2!D21,[37]С4.2!D15)</f>
        <v>0</v>
      </c>
    </row>
    <row r="103" spans="1:3" ht="68.25">
      <c r="A103" s="59" t="s">
        <v>157</v>
      </c>
      <c r="B103" s="53" t="s">
        <v>158</v>
      </c>
      <c r="C103" s="34">
        <f>[37]С4!F22</f>
        <v>3.6112641666666665</v>
      </c>
    </row>
    <row r="104" spans="1:3" ht="30">
      <c r="A104" s="59" t="s">
        <v>159</v>
      </c>
      <c r="B104" s="58" t="s">
        <v>160</v>
      </c>
      <c r="C104" s="34">
        <f>[37]С4!F23</f>
        <v>180</v>
      </c>
    </row>
    <row r="105" spans="1:3" ht="14.25">
      <c r="A105" s="59" t="s">
        <v>161</v>
      </c>
      <c r="B105" s="53" t="s">
        <v>162</v>
      </c>
      <c r="C105" s="34">
        <f>[37]С4!F24</f>
        <v>8497.1999999999989</v>
      </c>
    </row>
    <row r="106" spans="1:3" ht="14.25">
      <c r="A106" s="59" t="s">
        <v>163</v>
      </c>
      <c r="B106" s="58" t="s">
        <v>164</v>
      </c>
      <c r="C106" s="40">
        <f>[37]С4!F25</f>
        <v>0.35</v>
      </c>
    </row>
    <row r="107" spans="1:3" ht="17.25">
      <c r="A107" s="59" t="s">
        <v>165</v>
      </c>
      <c r="B107" s="33" t="s">
        <v>166</v>
      </c>
      <c r="C107" s="34">
        <f>[37]С4!F26</f>
        <v>60.239100000000008</v>
      </c>
    </row>
    <row r="108" spans="1:3" ht="25.5">
      <c r="A108" s="59" t="s">
        <v>167</v>
      </c>
      <c r="B108" s="53" t="s">
        <v>94</v>
      </c>
      <c r="C108" s="85">
        <f>[37]С4.3!E16</f>
        <v>0</v>
      </c>
    </row>
    <row r="109" spans="1:3" ht="25.5">
      <c r="A109" s="59" t="s">
        <v>168</v>
      </c>
      <c r="B109" s="53" t="s">
        <v>169</v>
      </c>
      <c r="C109" s="34">
        <f>[37]С4.3!E17</f>
        <v>15.9</v>
      </c>
    </row>
    <row r="110" spans="1:3" ht="38.25">
      <c r="A110" s="59" t="s">
        <v>170</v>
      </c>
      <c r="B110" s="53" t="s">
        <v>106</v>
      </c>
      <c r="C110" s="85">
        <f>[37]С4.3!E18</f>
        <v>0</v>
      </c>
    </row>
    <row r="111" spans="1:3">
      <c r="A111" s="59" t="s">
        <v>171</v>
      </c>
      <c r="B111" s="53" t="s">
        <v>172</v>
      </c>
      <c r="C111" s="34">
        <f>[37]С4.3!E19</f>
        <v>21.95</v>
      </c>
    </row>
    <row r="112" spans="1:3">
      <c r="A112" s="59" t="s">
        <v>173</v>
      </c>
      <c r="B112" s="58" t="s">
        <v>174</v>
      </c>
      <c r="C112" s="34">
        <f>[37]С4.3!E11</f>
        <v>1871</v>
      </c>
    </row>
    <row r="113" spans="1:3">
      <c r="A113" s="59" t="s">
        <v>175</v>
      </c>
      <c r="B113" s="58" t="s">
        <v>176</v>
      </c>
      <c r="C113" s="52">
        <f>[37]С4.3!E12</f>
        <v>1636</v>
      </c>
    </row>
    <row r="114" spans="1:3">
      <c r="A114" s="59" t="s">
        <v>177</v>
      </c>
      <c r="B114" s="58" t="s">
        <v>178</v>
      </c>
      <c r="C114" s="52">
        <f>[37]С4.3!E13</f>
        <v>204</v>
      </c>
    </row>
    <row r="115" spans="1:3" ht="30">
      <c r="A115" s="59" t="s">
        <v>179</v>
      </c>
      <c r="B115" s="33" t="s">
        <v>180</v>
      </c>
      <c r="C115" s="34">
        <f>[37]С4!F27</f>
        <v>1291.2863994686898</v>
      </c>
    </row>
    <row r="116" spans="1:3" ht="25.5">
      <c r="A116" s="59" t="s">
        <v>181</v>
      </c>
      <c r="B116" s="53" t="s">
        <v>182</v>
      </c>
      <c r="C116" s="34">
        <f>[37]С4!F28</f>
        <v>991.77142816335618</v>
      </c>
    </row>
    <row r="117" spans="1:3" ht="42.75">
      <c r="A117" s="59" t="s">
        <v>183</v>
      </c>
      <c r="B117" s="53" t="s">
        <v>184</v>
      </c>
      <c r="C117" s="34">
        <f>[37]С4!F29</f>
        <v>299.51497130533357</v>
      </c>
    </row>
    <row r="118" spans="1:3" ht="30">
      <c r="A118" s="59" t="s">
        <v>185</v>
      </c>
      <c r="B118" s="39" t="s">
        <v>186</v>
      </c>
      <c r="C118" s="34">
        <f>[37]С4!F30</f>
        <v>2378.953851130952</v>
      </c>
    </row>
    <row r="119" spans="1:3" ht="42.75">
      <c r="A119" s="59" t="s">
        <v>187</v>
      </c>
      <c r="B119" s="86" t="s">
        <v>188</v>
      </c>
      <c r="C119" s="34">
        <f>[37]С4!F33</f>
        <v>1176.7426982817792</v>
      </c>
    </row>
    <row r="120" spans="1:3" ht="30">
      <c r="A120" s="59" t="s">
        <v>189</v>
      </c>
      <c r="B120" s="87" t="s">
        <v>190</v>
      </c>
      <c r="C120" s="34">
        <f>[37]С4!F35</f>
        <v>17.040680999999999</v>
      </c>
    </row>
    <row r="121" spans="1:3" ht="14.25">
      <c r="A121" s="59" t="s">
        <v>191</v>
      </c>
      <c r="B121" s="56" t="s">
        <v>192</v>
      </c>
      <c r="C121" s="34">
        <f>[37]С4!F36</f>
        <v>14319.9</v>
      </c>
    </row>
    <row r="122" spans="1:3" ht="28.5" thickBot="1">
      <c r="A122" s="72" t="s">
        <v>193</v>
      </c>
      <c r="B122" s="88" t="s">
        <v>194</v>
      </c>
      <c r="C122" s="83">
        <f>[37]С4!F37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[37]С5!F17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[37]С2!F37</f>
        <v>20.818139999999996</v>
      </c>
    </row>
    <row r="136" spans="1:4" ht="14.25">
      <c r="A136" s="59" t="s">
        <v>216</v>
      </c>
      <c r="B136" s="101" t="s">
        <v>217</v>
      </c>
      <c r="C136" s="34">
        <f>[37]С2!F38</f>
        <v>7</v>
      </c>
    </row>
    <row r="137" spans="1:4" ht="17.25">
      <c r="A137" s="59" t="s">
        <v>218</v>
      </c>
      <c r="B137" s="101" t="s">
        <v>219</v>
      </c>
      <c r="C137" s="34">
        <f>[37]С2!F40</f>
        <v>0.97</v>
      </c>
    </row>
    <row r="138" spans="1:4" ht="15" thickBot="1">
      <c r="A138" s="72" t="s">
        <v>220</v>
      </c>
      <c r="B138" s="102" t="s">
        <v>221</v>
      </c>
      <c r="C138" s="46">
        <f>[37]С2!F42</f>
        <v>0.35</v>
      </c>
    </row>
    <row r="139" spans="1:4" s="89" customFormat="1" ht="13.5" thickBot="1">
      <c r="A139" s="47"/>
      <c r="B139" s="75"/>
      <c r="C139" s="15"/>
    </row>
    <row r="140" spans="1:4" ht="30">
      <c r="A140" s="84" t="s">
        <v>222</v>
      </c>
      <c r="B140" s="103" t="s">
        <v>223</v>
      </c>
      <c r="C140" s="104">
        <f>[37]С2!F35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[37]С2.5!$E$11</f>
        <v>-2.9000000000000026E-2</v>
      </c>
      <c r="D143" s="89"/>
    </row>
    <row r="144" spans="1:4">
      <c r="A144" s="105"/>
      <c r="B144" s="110">
        <f>B143+1</f>
        <v>2021</v>
      </c>
      <c r="C144" s="111">
        <f>[37]С2.5!$F$11</f>
        <v>0.245</v>
      </c>
      <c r="D144" s="89"/>
    </row>
    <row r="145" spans="1:4">
      <c r="A145" s="105"/>
      <c r="B145" s="110">
        <f t="shared" ref="B145:B208" si="0">B144+1</f>
        <v>2022</v>
      </c>
      <c r="C145" s="111">
        <f>[37]С2.5!$G$11</f>
        <v>0.114</v>
      </c>
      <c r="D145" s="89"/>
    </row>
    <row r="146" spans="1:4" ht="13.5" thickBot="1">
      <c r="A146" s="105"/>
      <c r="B146" s="112">
        <f t="shared" si="0"/>
        <v>2023</v>
      </c>
      <c r="C146" s="113">
        <f>[37]С2.5!$H$11</f>
        <v>0.04</v>
      </c>
      <c r="D146" s="89"/>
    </row>
    <row r="147" spans="1:4">
      <c r="A147" s="105"/>
      <c r="B147" s="114">
        <f t="shared" si="0"/>
        <v>2024</v>
      </c>
      <c r="C147" s="115">
        <f>[37]С2.5!$I$11</f>
        <v>0.11700000000000001</v>
      </c>
      <c r="D147" s="89"/>
    </row>
    <row r="148" spans="1:4">
      <c r="A148" s="105"/>
      <c r="B148" s="110">
        <f t="shared" si="0"/>
        <v>2025</v>
      </c>
      <c r="C148" s="111">
        <f>[37]С2.5!$J$11</f>
        <v>6.0999999999999999E-2</v>
      </c>
      <c r="D148" s="89"/>
    </row>
    <row r="149" spans="1:4" hidden="1">
      <c r="A149" s="105"/>
      <c r="B149" s="110">
        <f t="shared" si="0"/>
        <v>2026</v>
      </c>
      <c r="C149" s="111">
        <f>[37]С2.5!$K$11</f>
        <v>3.5813361771260002E-2</v>
      </c>
      <c r="D149" s="89"/>
    </row>
    <row r="150" spans="1:4" hidden="1">
      <c r="A150" s="105"/>
      <c r="B150" s="110">
        <f t="shared" si="0"/>
        <v>2027</v>
      </c>
      <c r="C150" s="111">
        <f>[37]С2.5!$L$11</f>
        <v>3.2682303599220003E-2</v>
      </c>
      <c r="D150" s="89"/>
    </row>
    <row r="151" spans="1:4" hidden="1">
      <c r="A151" s="105"/>
      <c r="B151" s="110">
        <f t="shared" si="0"/>
        <v>2028</v>
      </c>
      <c r="C151" s="111">
        <f>[37]С2.5!$M$11</f>
        <v>0</v>
      </c>
      <c r="D151" s="89"/>
    </row>
    <row r="152" spans="1:4" hidden="1">
      <c r="A152" s="105"/>
      <c r="B152" s="110">
        <f t="shared" si="0"/>
        <v>2029</v>
      </c>
      <c r="C152" s="111">
        <f>[37]С2.5!$N$11</f>
        <v>0</v>
      </c>
      <c r="D152" s="89"/>
    </row>
    <row r="153" spans="1:4" hidden="1">
      <c r="A153" s="105"/>
      <c r="B153" s="110">
        <f t="shared" si="0"/>
        <v>2030</v>
      </c>
      <c r="C153" s="111">
        <f>[37]С2.5!$O$11</f>
        <v>0</v>
      </c>
      <c r="D153" s="89"/>
    </row>
    <row r="154" spans="1:4" hidden="1">
      <c r="A154" s="105"/>
      <c r="B154" s="110">
        <f t="shared" si="0"/>
        <v>2031</v>
      </c>
      <c r="C154" s="111">
        <f>[37]С2.5!$P$11</f>
        <v>0</v>
      </c>
      <c r="D154" s="89"/>
    </row>
    <row r="155" spans="1:4" hidden="1">
      <c r="A155" s="89"/>
      <c r="B155" s="110">
        <f t="shared" si="0"/>
        <v>2032</v>
      </c>
      <c r="C155" s="111">
        <f>[37]С2.5!$Q$11</f>
        <v>0</v>
      </c>
      <c r="D155" s="89"/>
    </row>
    <row r="156" spans="1:4" hidden="1">
      <c r="A156" s="89"/>
      <c r="B156" s="110">
        <f t="shared" si="0"/>
        <v>2033</v>
      </c>
      <c r="C156" s="111">
        <f>[37]С2.5!$R$11</f>
        <v>0</v>
      </c>
      <c r="D156" s="89"/>
    </row>
    <row r="157" spans="1:4" hidden="1">
      <c r="B157" s="110">
        <f t="shared" si="0"/>
        <v>2034</v>
      </c>
      <c r="C157" s="111">
        <f>[37]С2.5!$S$11</f>
        <v>0</v>
      </c>
    </row>
    <row r="158" spans="1:4" hidden="1">
      <c r="B158" s="110">
        <f t="shared" si="0"/>
        <v>2035</v>
      </c>
      <c r="C158" s="111">
        <f>[37]С2.5!$T$11</f>
        <v>0</v>
      </c>
    </row>
    <row r="159" spans="1:4" hidden="1">
      <c r="B159" s="110">
        <f t="shared" si="0"/>
        <v>2036</v>
      </c>
      <c r="C159" s="111">
        <f>[37]С2.5!$U$11</f>
        <v>0</v>
      </c>
    </row>
    <row r="160" spans="1:4" hidden="1">
      <c r="B160" s="110">
        <f t="shared" si="0"/>
        <v>2037</v>
      </c>
      <c r="C160" s="111">
        <f>[37]С2.5!$V$11</f>
        <v>0</v>
      </c>
    </row>
    <row r="161" spans="2:3" hidden="1">
      <c r="B161" s="110">
        <f t="shared" si="0"/>
        <v>2038</v>
      </c>
      <c r="C161" s="111">
        <f>[37]С2.5!$W$11</f>
        <v>0</v>
      </c>
    </row>
    <row r="162" spans="2:3" hidden="1">
      <c r="B162" s="110">
        <f t="shared" si="0"/>
        <v>2039</v>
      </c>
      <c r="C162" s="111">
        <f>[37]С2.5!$X$11</f>
        <v>0</v>
      </c>
    </row>
    <row r="163" spans="2:3" hidden="1">
      <c r="B163" s="110">
        <f t="shared" si="0"/>
        <v>2040</v>
      </c>
      <c r="C163" s="111">
        <f>[37]С2.5!$Y$11</f>
        <v>0</v>
      </c>
    </row>
    <row r="164" spans="2:3" hidden="1">
      <c r="B164" s="110">
        <f t="shared" si="0"/>
        <v>2041</v>
      </c>
      <c r="C164" s="111">
        <f>[37]С2.5!$Z$11</f>
        <v>0</v>
      </c>
    </row>
    <row r="165" spans="2:3" hidden="1">
      <c r="B165" s="110">
        <f t="shared" si="0"/>
        <v>2042</v>
      </c>
      <c r="C165" s="111">
        <f>[37]С2.5!$AA$11</f>
        <v>0</v>
      </c>
    </row>
    <row r="166" spans="2:3" hidden="1">
      <c r="B166" s="110">
        <f t="shared" si="0"/>
        <v>2043</v>
      </c>
      <c r="C166" s="111">
        <f>[37]С2.5!$AB$11</f>
        <v>0</v>
      </c>
    </row>
    <row r="167" spans="2:3" hidden="1">
      <c r="B167" s="110">
        <f t="shared" si="0"/>
        <v>2044</v>
      </c>
      <c r="C167" s="111">
        <f>[37]С2.5!$AC$11</f>
        <v>0</v>
      </c>
    </row>
    <row r="168" spans="2:3" hidden="1">
      <c r="B168" s="110">
        <f t="shared" si="0"/>
        <v>2045</v>
      </c>
      <c r="C168" s="111">
        <f>[37]С2.5!$AD$11</f>
        <v>0</v>
      </c>
    </row>
    <row r="169" spans="2:3" hidden="1">
      <c r="B169" s="110">
        <f t="shared" si="0"/>
        <v>2046</v>
      </c>
      <c r="C169" s="111">
        <f>[37]С2.5!$AE$11</f>
        <v>0</v>
      </c>
    </row>
    <row r="170" spans="2:3" hidden="1">
      <c r="B170" s="110">
        <f t="shared" si="0"/>
        <v>2047</v>
      </c>
      <c r="C170" s="111">
        <f>[37]С2.5!$AF$11</f>
        <v>0</v>
      </c>
    </row>
    <row r="171" spans="2:3" hidden="1">
      <c r="B171" s="110">
        <f t="shared" si="0"/>
        <v>2048</v>
      </c>
      <c r="C171" s="111">
        <f>[37]С2.5!$AG$11</f>
        <v>0</v>
      </c>
    </row>
    <row r="172" spans="2:3" hidden="1">
      <c r="B172" s="110">
        <f t="shared" si="0"/>
        <v>2049</v>
      </c>
      <c r="C172" s="111">
        <f>[37]С2.5!$AH$11</f>
        <v>0</v>
      </c>
    </row>
    <row r="173" spans="2:3" hidden="1">
      <c r="B173" s="110">
        <f t="shared" si="0"/>
        <v>2050</v>
      </c>
      <c r="C173" s="111">
        <f>[37]С2.5!$AI$11</f>
        <v>0</v>
      </c>
    </row>
    <row r="174" spans="2:3" hidden="1">
      <c r="B174" s="110">
        <f t="shared" si="0"/>
        <v>2051</v>
      </c>
      <c r="C174" s="111">
        <f>[37]С2.5!$AJ$11</f>
        <v>0</v>
      </c>
    </row>
    <row r="175" spans="2:3" hidden="1">
      <c r="B175" s="110">
        <f t="shared" si="0"/>
        <v>2052</v>
      </c>
      <c r="C175" s="111">
        <f>[37]С2.5!$AK$11</f>
        <v>0</v>
      </c>
    </row>
    <row r="176" spans="2:3" hidden="1">
      <c r="B176" s="110">
        <f t="shared" si="0"/>
        <v>2053</v>
      </c>
      <c r="C176" s="111">
        <f>[37]С2.5!$AL$11</f>
        <v>0</v>
      </c>
    </row>
    <row r="177" spans="2:3" hidden="1">
      <c r="B177" s="110">
        <f t="shared" si="0"/>
        <v>2054</v>
      </c>
      <c r="C177" s="111">
        <f>[37]С2.5!$AM$11</f>
        <v>0</v>
      </c>
    </row>
    <row r="178" spans="2:3" hidden="1">
      <c r="B178" s="110">
        <f t="shared" si="0"/>
        <v>2055</v>
      </c>
      <c r="C178" s="111">
        <f>[37]С2.5!$AN$11</f>
        <v>0</v>
      </c>
    </row>
    <row r="179" spans="2:3" hidden="1">
      <c r="B179" s="110">
        <f t="shared" si="0"/>
        <v>2056</v>
      </c>
      <c r="C179" s="111">
        <f>[37]С2.5!$AO$11</f>
        <v>0</v>
      </c>
    </row>
    <row r="180" spans="2:3" hidden="1">
      <c r="B180" s="110">
        <f t="shared" si="0"/>
        <v>2057</v>
      </c>
      <c r="C180" s="111">
        <f>[37]С2.5!$AP$11</f>
        <v>0</v>
      </c>
    </row>
    <row r="181" spans="2:3" hidden="1">
      <c r="B181" s="110">
        <f t="shared" si="0"/>
        <v>2058</v>
      </c>
      <c r="C181" s="111">
        <f>[37]С2.5!$AQ$11</f>
        <v>0</v>
      </c>
    </row>
    <row r="182" spans="2:3" hidden="1">
      <c r="B182" s="110">
        <f t="shared" si="0"/>
        <v>2059</v>
      </c>
      <c r="C182" s="111">
        <f>[37]С2.5!$AR$11</f>
        <v>0</v>
      </c>
    </row>
    <row r="183" spans="2:3" hidden="1">
      <c r="B183" s="110">
        <f t="shared" si="0"/>
        <v>2060</v>
      </c>
      <c r="C183" s="111">
        <f>[37]С2.5!$AS$11</f>
        <v>0</v>
      </c>
    </row>
    <row r="184" spans="2:3" hidden="1">
      <c r="B184" s="110">
        <f t="shared" si="0"/>
        <v>2061</v>
      </c>
      <c r="C184" s="111">
        <f>[37]С2.5!$AT$11</f>
        <v>0</v>
      </c>
    </row>
    <row r="185" spans="2:3" hidden="1">
      <c r="B185" s="110">
        <f t="shared" si="0"/>
        <v>2062</v>
      </c>
      <c r="C185" s="111">
        <f>[37]С2.5!$AU$11</f>
        <v>0</v>
      </c>
    </row>
    <row r="186" spans="2:3" hidden="1">
      <c r="B186" s="110">
        <f t="shared" si="0"/>
        <v>2063</v>
      </c>
      <c r="C186" s="111">
        <f>[37]С2.5!$AV$11</f>
        <v>0</v>
      </c>
    </row>
    <row r="187" spans="2:3" hidden="1">
      <c r="B187" s="110">
        <f t="shared" si="0"/>
        <v>2064</v>
      </c>
      <c r="C187" s="111">
        <f>[37]С2.5!$AW$11</f>
        <v>0</v>
      </c>
    </row>
    <row r="188" spans="2:3" hidden="1">
      <c r="B188" s="110">
        <f t="shared" si="0"/>
        <v>2065</v>
      </c>
      <c r="C188" s="111">
        <f>[37]С2.5!$AX$11</f>
        <v>0</v>
      </c>
    </row>
    <row r="189" spans="2:3" hidden="1">
      <c r="B189" s="110">
        <f t="shared" si="0"/>
        <v>2066</v>
      </c>
      <c r="C189" s="111">
        <f>[37]С2.5!$AY$11</f>
        <v>0</v>
      </c>
    </row>
    <row r="190" spans="2:3" hidden="1">
      <c r="B190" s="110">
        <f t="shared" si="0"/>
        <v>2067</v>
      </c>
      <c r="C190" s="111">
        <f>[37]С2.5!$AZ$11</f>
        <v>0</v>
      </c>
    </row>
    <row r="191" spans="2:3" hidden="1">
      <c r="B191" s="110">
        <f t="shared" si="0"/>
        <v>2068</v>
      </c>
      <c r="C191" s="111">
        <f>[37]С2.5!$BA$11</f>
        <v>0</v>
      </c>
    </row>
    <row r="192" spans="2:3" hidden="1">
      <c r="B192" s="110">
        <f t="shared" si="0"/>
        <v>2069</v>
      </c>
      <c r="C192" s="111">
        <f>[37]С2.5!$BB$11</f>
        <v>0</v>
      </c>
    </row>
    <row r="193" spans="2:3" hidden="1">
      <c r="B193" s="110">
        <f t="shared" si="0"/>
        <v>2070</v>
      </c>
      <c r="C193" s="111">
        <f>[37]С2.5!$BC$11</f>
        <v>0</v>
      </c>
    </row>
    <row r="194" spans="2:3" hidden="1">
      <c r="B194" s="110">
        <f t="shared" si="0"/>
        <v>2071</v>
      </c>
      <c r="C194" s="111">
        <f>[37]С2.5!$BD$11</f>
        <v>0</v>
      </c>
    </row>
    <row r="195" spans="2:3" hidden="1">
      <c r="B195" s="110">
        <f t="shared" si="0"/>
        <v>2072</v>
      </c>
      <c r="C195" s="111">
        <f>[37]С2.5!$BE$11</f>
        <v>0</v>
      </c>
    </row>
    <row r="196" spans="2:3" hidden="1">
      <c r="B196" s="110">
        <f t="shared" si="0"/>
        <v>2073</v>
      </c>
      <c r="C196" s="111">
        <f>[37]С2.5!$BF$11</f>
        <v>0</v>
      </c>
    </row>
    <row r="197" spans="2:3" hidden="1">
      <c r="B197" s="110">
        <f t="shared" si="0"/>
        <v>2074</v>
      </c>
      <c r="C197" s="111">
        <f>[37]С2.5!$BG$11</f>
        <v>0</v>
      </c>
    </row>
    <row r="198" spans="2:3" hidden="1">
      <c r="B198" s="110">
        <f t="shared" si="0"/>
        <v>2075</v>
      </c>
      <c r="C198" s="111">
        <f>[37]С2.5!$BH$11</f>
        <v>0</v>
      </c>
    </row>
    <row r="199" spans="2:3" hidden="1">
      <c r="B199" s="110">
        <f t="shared" si="0"/>
        <v>2076</v>
      </c>
      <c r="C199" s="111">
        <f>[37]С2.5!$BI$11</f>
        <v>0</v>
      </c>
    </row>
    <row r="200" spans="2:3" hidden="1">
      <c r="B200" s="110">
        <f t="shared" si="0"/>
        <v>2077</v>
      </c>
      <c r="C200" s="111">
        <f>[37]С2.5!$BJ$11</f>
        <v>0</v>
      </c>
    </row>
    <row r="201" spans="2:3" hidden="1">
      <c r="B201" s="110">
        <f t="shared" si="0"/>
        <v>2078</v>
      </c>
      <c r="C201" s="111">
        <f>[37]С2.5!$BK$11</f>
        <v>0</v>
      </c>
    </row>
    <row r="202" spans="2:3" hidden="1">
      <c r="B202" s="110">
        <f t="shared" si="0"/>
        <v>2079</v>
      </c>
      <c r="C202" s="111">
        <f>[37]С2.5!$BL$11</f>
        <v>0</v>
      </c>
    </row>
    <row r="203" spans="2:3" hidden="1">
      <c r="B203" s="110">
        <f t="shared" si="0"/>
        <v>2080</v>
      </c>
      <c r="C203" s="111">
        <f>[37]С2.5!$BM$11</f>
        <v>0</v>
      </c>
    </row>
    <row r="204" spans="2:3" hidden="1">
      <c r="B204" s="110">
        <f t="shared" si="0"/>
        <v>2081</v>
      </c>
      <c r="C204" s="111">
        <f>[37]С2.5!$BN$11</f>
        <v>0</v>
      </c>
    </row>
    <row r="205" spans="2:3" hidden="1">
      <c r="B205" s="110">
        <f t="shared" si="0"/>
        <v>2082</v>
      </c>
      <c r="C205" s="111">
        <f>[37]С2.5!$BO$11</f>
        <v>0</v>
      </c>
    </row>
    <row r="206" spans="2:3" hidden="1">
      <c r="B206" s="110">
        <f t="shared" si="0"/>
        <v>2083</v>
      </c>
      <c r="C206" s="111">
        <f>[37]С2.5!$BP$11</f>
        <v>0</v>
      </c>
    </row>
    <row r="207" spans="2:3" hidden="1">
      <c r="B207" s="110">
        <f t="shared" si="0"/>
        <v>2084</v>
      </c>
      <c r="C207" s="111">
        <f>[37]С2.5!$BQ$11</f>
        <v>0</v>
      </c>
    </row>
    <row r="208" spans="2:3" hidden="1">
      <c r="B208" s="110">
        <f t="shared" si="0"/>
        <v>2085</v>
      </c>
      <c r="C208" s="111">
        <f>[37]С2.5!$BR$11</f>
        <v>0</v>
      </c>
    </row>
    <row r="209" spans="2:3" hidden="1">
      <c r="B209" s="110">
        <f t="shared" ref="B209:B223" si="1">B208+1</f>
        <v>2086</v>
      </c>
      <c r="C209" s="111">
        <f>[37]С2.5!$BS$11</f>
        <v>0</v>
      </c>
    </row>
    <row r="210" spans="2:3" hidden="1">
      <c r="B210" s="110">
        <f t="shared" si="1"/>
        <v>2087</v>
      </c>
      <c r="C210" s="111">
        <f>[37]С2.5!$BT$11</f>
        <v>0</v>
      </c>
    </row>
    <row r="211" spans="2:3" hidden="1">
      <c r="B211" s="110">
        <f t="shared" si="1"/>
        <v>2088</v>
      </c>
      <c r="C211" s="111">
        <f>[37]С2.5!$BU$11</f>
        <v>0</v>
      </c>
    </row>
    <row r="212" spans="2:3" hidden="1">
      <c r="B212" s="110">
        <f t="shared" si="1"/>
        <v>2089</v>
      </c>
      <c r="C212" s="111">
        <f>[37]С2.5!$BV$11</f>
        <v>0</v>
      </c>
    </row>
    <row r="213" spans="2:3" hidden="1">
      <c r="B213" s="110">
        <f t="shared" si="1"/>
        <v>2090</v>
      </c>
      <c r="C213" s="111">
        <f>[37]С2.5!$BW$11</f>
        <v>0</v>
      </c>
    </row>
    <row r="214" spans="2:3" hidden="1">
      <c r="B214" s="110">
        <f t="shared" si="1"/>
        <v>2091</v>
      </c>
      <c r="C214" s="111">
        <f>[37]С2.5!$BX$11</f>
        <v>0</v>
      </c>
    </row>
    <row r="215" spans="2:3" hidden="1">
      <c r="B215" s="110">
        <f t="shared" si="1"/>
        <v>2092</v>
      </c>
      <c r="C215" s="111">
        <f>[37]С2.5!$BY$11</f>
        <v>0</v>
      </c>
    </row>
    <row r="216" spans="2:3" hidden="1">
      <c r="B216" s="110">
        <f t="shared" si="1"/>
        <v>2093</v>
      </c>
      <c r="C216" s="111">
        <f>[37]С2.5!$BZ$11</f>
        <v>0</v>
      </c>
    </row>
    <row r="217" spans="2:3" hidden="1">
      <c r="B217" s="110">
        <f t="shared" si="1"/>
        <v>2094</v>
      </c>
      <c r="C217" s="111">
        <f>[37]С2.5!$CA$11</f>
        <v>0</v>
      </c>
    </row>
    <row r="218" spans="2:3" hidden="1">
      <c r="B218" s="110">
        <f t="shared" si="1"/>
        <v>2095</v>
      </c>
      <c r="C218" s="111">
        <f>[37]С2.5!$CB$11</f>
        <v>0</v>
      </c>
    </row>
    <row r="219" spans="2:3" hidden="1">
      <c r="B219" s="110">
        <f t="shared" si="1"/>
        <v>2096</v>
      </c>
      <c r="C219" s="111">
        <f>[37]С2.5!$CC$11</f>
        <v>0</v>
      </c>
    </row>
    <row r="220" spans="2:3" hidden="1">
      <c r="B220" s="110">
        <f t="shared" si="1"/>
        <v>2097</v>
      </c>
      <c r="C220" s="111">
        <f>[37]С2.5!$CD$11</f>
        <v>0</v>
      </c>
    </row>
    <row r="221" spans="2:3" hidden="1">
      <c r="B221" s="110">
        <f t="shared" si="1"/>
        <v>2098</v>
      </c>
      <c r="C221" s="111">
        <f>[37]С2.5!$CE$11</f>
        <v>0</v>
      </c>
    </row>
    <row r="222" spans="2:3" hidden="1">
      <c r="B222" s="110">
        <f t="shared" si="1"/>
        <v>2099</v>
      </c>
      <c r="C222" s="111">
        <f>[37]С2.5!$CF$11</f>
        <v>0</v>
      </c>
    </row>
    <row r="223" spans="2:3" ht="13.5" hidden="1" thickBot="1">
      <c r="B223" s="112">
        <f t="shared" si="1"/>
        <v>2100</v>
      </c>
      <c r="C223" s="113">
        <f>[37]С2.5!$CG$11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10" r:id="rId3" name="Button 2">
              <controlPr defaultSize="0" print="0" autoFill="0" autoPict="0" macro="[3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7411" r:id="rId4" name="Button 3">
              <controlPr defaultSize="0" print="0" autoFill="0" autoPict="0" macro="[3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3"/>
      <c r="B1" s="144" t="s">
        <v>227</v>
      </c>
      <c r="C1" s="144"/>
    </row>
    <row r="2" spans="1:3">
      <c r="A2" s="3"/>
      <c r="B2" s="4" t="s">
        <v>1</v>
      </c>
      <c r="C2" s="5">
        <v>45687</v>
      </c>
    </row>
    <row r="3" spans="1:3">
      <c r="A3" s="3"/>
      <c r="B3" s="117" t="s">
        <v>2</v>
      </c>
      <c r="C3" s="7"/>
    </row>
    <row r="4" spans="1:3" ht="25.5">
      <c r="A4" s="8"/>
      <c r="B4" s="9" t="str">
        <f>[39]И1!D13</f>
        <v>Субъект Российской Федерации</v>
      </c>
      <c r="C4" s="10" t="str">
        <f>[39]И1!E13</f>
        <v>Новосибирская область</v>
      </c>
    </row>
    <row r="5" spans="1:3" ht="48.6" customHeight="1">
      <c r="A5" s="8"/>
      <c r="B5" s="9" t="str">
        <f>[39]И1!D14</f>
        <v>Тип муниципального образования (выберите из списка)</v>
      </c>
      <c r="C5" s="10" t="str">
        <f>[39]И1!E14</f>
        <v>село Репьево, Тогучинский муниципальный район</v>
      </c>
    </row>
    <row r="6" spans="1:3">
      <c r="A6" s="8"/>
      <c r="B6" s="9" t="str">
        <f>IF([39]И1!E15="","",[39]И1!D15)</f>
        <v/>
      </c>
      <c r="C6" s="7" t="str">
        <f>IF([39]И1!E15="","",[39]И1!E15)</f>
        <v/>
      </c>
    </row>
    <row r="7" spans="1:3">
      <c r="A7" s="8"/>
      <c r="B7" s="9" t="str">
        <f>[39]И1!D16</f>
        <v>Код ОКТМО</v>
      </c>
      <c r="C7" s="11" t="str">
        <f>[39]И1!E16</f>
        <v>50652438131</v>
      </c>
    </row>
    <row r="8" spans="1:3">
      <c r="A8" s="8"/>
      <c r="B8" s="12" t="str">
        <f>[39]И1!D17</f>
        <v>Система теплоснабжения</v>
      </c>
      <c r="C8" s="13">
        <f>[39]И1!E17</f>
        <v>0</v>
      </c>
    </row>
    <row r="9" spans="1:3">
      <c r="A9" s="8"/>
      <c r="B9" s="9" t="str">
        <f>[39]И1!D8</f>
        <v>Период регулирования (i)-й</v>
      </c>
      <c r="C9" s="14">
        <f>[39]И1!E8</f>
        <v>2025</v>
      </c>
    </row>
    <row r="10" spans="1:3">
      <c r="A10" s="8"/>
      <c r="B10" s="9" t="str">
        <f>[39]И1!D9</f>
        <v>Период регулирования (i-1)-й</v>
      </c>
      <c r="C10" s="14">
        <f>[39]И1!E9</f>
        <v>2024</v>
      </c>
    </row>
    <row r="11" spans="1:3">
      <c r="A11" s="8"/>
      <c r="B11" s="9" t="str">
        <f>[39]И1!D10</f>
        <v>Период регулирования (i-2)-й</v>
      </c>
      <c r="C11" s="14">
        <f>[39]И1!E10</f>
        <v>2023</v>
      </c>
    </row>
    <row r="12" spans="1:3">
      <c r="A12" s="8"/>
      <c r="B12" s="9" t="str">
        <f>[39]И1!D11</f>
        <v>Базовый год (б)</v>
      </c>
      <c r="C12" s="14">
        <f>[39]И1!E11</f>
        <v>2019</v>
      </c>
    </row>
    <row r="13" spans="1:3">
      <c r="A13" s="8"/>
      <c r="B13" s="9" t="str">
        <f>[39]И1!D18</f>
        <v>Вид топлива, использование которого преобладает в системе теплоснабжения</v>
      </c>
      <c r="C13" s="15" t="str">
        <f>[39]И1!E18</f>
        <v>Газ</v>
      </c>
    </row>
    <row r="14" spans="1:3" ht="26.25" customHeight="1" thickBot="1">
      <c r="A14" s="148" t="s">
        <v>3</v>
      </c>
      <c r="B14" s="148"/>
      <c r="C14" s="148"/>
    </row>
    <row r="15" spans="1:3">
      <c r="A15" s="16" t="s">
        <v>4</v>
      </c>
      <c r="B15" s="30" t="s">
        <v>5</v>
      </c>
      <c r="C15" s="118" t="s">
        <v>6</v>
      </c>
    </row>
    <row r="16" spans="1:3">
      <c r="A16" s="19">
        <v>1</v>
      </c>
      <c r="B16" s="119">
        <v>2</v>
      </c>
      <c r="C16" s="120">
        <v>3</v>
      </c>
    </row>
    <row r="17" spans="1:3">
      <c r="A17" s="22">
        <v>1</v>
      </c>
      <c r="B17" s="23" t="s">
        <v>7</v>
      </c>
      <c r="C17" s="24">
        <f>SUM(C18:C23)</f>
        <v>4215.4885486283092</v>
      </c>
    </row>
    <row r="18" spans="1:3" ht="42.75">
      <c r="A18" s="22" t="s">
        <v>8</v>
      </c>
      <c r="B18" s="25" t="s">
        <v>9</v>
      </c>
      <c r="C18" s="26">
        <f>[39]С1!F12</f>
        <v>1201.0642791911237</v>
      </c>
    </row>
    <row r="19" spans="1:3" ht="42.75">
      <c r="A19" s="22" t="s">
        <v>10</v>
      </c>
      <c r="B19" s="25" t="s">
        <v>11</v>
      </c>
      <c r="C19" s="26">
        <f>[39]С2!F12</f>
        <v>2048.9815163049602</v>
      </c>
    </row>
    <row r="20" spans="1:3" ht="30">
      <c r="A20" s="22" t="s">
        <v>12</v>
      </c>
      <c r="B20" s="25" t="s">
        <v>13</v>
      </c>
      <c r="C20" s="26">
        <f>[39]С3!F12</f>
        <v>613.07519970048588</v>
      </c>
    </row>
    <row r="21" spans="1:3" ht="42.75">
      <c r="A21" s="22" t="s">
        <v>14</v>
      </c>
      <c r="B21" s="25" t="s">
        <v>228</v>
      </c>
      <c r="C21" s="26">
        <f>[39]С4!F12</f>
        <v>269.71091522334075</v>
      </c>
    </row>
    <row r="22" spans="1:3" ht="33" customHeight="1">
      <c r="A22" s="22" t="s">
        <v>16</v>
      </c>
      <c r="B22" s="25" t="s">
        <v>229</v>
      </c>
      <c r="C22" s="26">
        <f>[39]С5!F12</f>
        <v>82.656638208398221</v>
      </c>
    </row>
    <row r="23" spans="1:3" ht="45.75" customHeight="1" thickBot="1">
      <c r="A23" s="27" t="s">
        <v>18</v>
      </c>
      <c r="B23" s="140" t="s">
        <v>230</v>
      </c>
      <c r="C23" s="28">
        <f>[39]С6!F12</f>
        <v>0</v>
      </c>
    </row>
    <row r="24" spans="1:3" ht="13.5" thickBot="1">
      <c r="A24" s="3"/>
      <c r="C24" s="7"/>
    </row>
    <row r="25" spans="1:3">
      <c r="A25" s="16" t="s">
        <v>4</v>
      </c>
      <c r="B25" s="29" t="s">
        <v>5</v>
      </c>
      <c r="C25" s="30" t="s">
        <v>6</v>
      </c>
    </row>
    <row r="26" spans="1:3">
      <c r="A26" s="19">
        <v>1</v>
      </c>
      <c r="B26" s="31">
        <v>2</v>
      </c>
      <c r="C26" s="32">
        <v>3</v>
      </c>
    </row>
    <row r="27" spans="1:3" ht="44.25" customHeight="1">
      <c r="A27" s="22">
        <v>1</v>
      </c>
      <c r="B27" s="145" t="s">
        <v>20</v>
      </c>
      <c r="C27" s="145"/>
    </row>
    <row r="28" spans="1:3">
      <c r="A28" s="22" t="s">
        <v>8</v>
      </c>
      <c r="B28" s="33" t="s">
        <v>231</v>
      </c>
      <c r="C28" s="34">
        <f>[39]С1.1!E16</f>
        <v>7900</v>
      </c>
    </row>
    <row r="29" spans="1:3" ht="42.75">
      <c r="A29" s="22" t="s">
        <v>10</v>
      </c>
      <c r="B29" s="33" t="s">
        <v>232</v>
      </c>
      <c r="C29" s="34">
        <f>[39]С1.1!E32</f>
        <v>6213.94</v>
      </c>
    </row>
    <row r="30" spans="1:3" ht="38.25">
      <c r="A30" s="22" t="s">
        <v>233</v>
      </c>
      <c r="B30" s="33" t="s">
        <v>234</v>
      </c>
      <c r="C30" s="85" t="str">
        <f>[39]С1.1!E25</f>
        <v>ООО "Газпром газораспределение Томск"</v>
      </c>
    </row>
    <row r="31" spans="1:3" ht="38.25">
      <c r="A31" s="22" t="s">
        <v>235</v>
      </c>
      <c r="B31" s="33" t="str">
        <f>[39]С1.1!D26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[39]С1.1!E26</f>
        <v>5099</v>
      </c>
    </row>
    <row r="32" spans="1:3" ht="25.5">
      <c r="A32" s="22" t="s">
        <v>236</v>
      </c>
      <c r="B32" s="33" t="str">
        <f>[39]С1.1!D27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[39]С1.1!E27</f>
        <v>740.38</v>
      </c>
    </row>
    <row r="33" spans="1:3" ht="25.5">
      <c r="A33" s="22" t="s">
        <v>237</v>
      </c>
      <c r="B33" s="33" t="str">
        <f>[39]С1.1!D28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[39]С1.1!E28</f>
        <v>144.72999999999999</v>
      </c>
    </row>
    <row r="34" spans="1:3" ht="38.25">
      <c r="A34" s="22" t="s">
        <v>238</v>
      </c>
      <c r="B34" s="33" t="str">
        <f>[39]С1.1!D29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[39]С1.1!E29</f>
        <v>229.83</v>
      </c>
    </row>
    <row r="35" spans="1:3" ht="17.25">
      <c r="A35" s="22" t="s">
        <v>12</v>
      </c>
      <c r="B35" s="33" t="s">
        <v>23</v>
      </c>
      <c r="C35" s="35">
        <f>[39]С1.1!E20</f>
        <v>0.112</v>
      </c>
    </row>
    <row r="36" spans="1:3" ht="17.25">
      <c r="A36" s="22" t="s">
        <v>14</v>
      </c>
      <c r="B36" s="33" t="s">
        <v>24</v>
      </c>
      <c r="C36" s="35">
        <f>[39]С1.1!E21</f>
        <v>0.21299999999999999</v>
      </c>
    </row>
    <row r="37" spans="1:3" ht="30">
      <c r="A37" s="22" t="s">
        <v>16</v>
      </c>
      <c r="B37" s="36" t="s">
        <v>239</v>
      </c>
      <c r="C37" s="121">
        <f>[39]С1!F13</f>
        <v>156.1</v>
      </c>
    </row>
    <row r="38" spans="1:3">
      <c r="A38" s="22" t="s">
        <v>18</v>
      </c>
      <c r="B38" s="36" t="s">
        <v>26</v>
      </c>
      <c r="C38" s="38">
        <f>[39]С1!F16</f>
        <v>7000</v>
      </c>
    </row>
    <row r="39" spans="1:3" ht="14.25">
      <c r="A39" s="122" t="s">
        <v>27</v>
      </c>
      <c r="B39" s="39" t="s">
        <v>240</v>
      </c>
      <c r="C39" s="40">
        <f>[39]С1!F17</f>
        <v>1.1285714285714286</v>
      </c>
    </row>
    <row r="40" spans="1:3" ht="15.75">
      <c r="A40" s="123" t="s">
        <v>29</v>
      </c>
      <c r="B40" s="42" t="s">
        <v>30</v>
      </c>
      <c r="C40" s="40">
        <f>[39]С1!F20</f>
        <v>22.307053372799995</v>
      </c>
    </row>
    <row r="41" spans="1:3" ht="15.75">
      <c r="A41" s="123" t="s">
        <v>31</v>
      </c>
      <c r="B41" s="43" t="s">
        <v>32</v>
      </c>
      <c r="C41" s="40">
        <f>[39]С1!F21</f>
        <v>21.531904799999996</v>
      </c>
    </row>
    <row r="42" spans="1:3" ht="14.25">
      <c r="A42" s="123" t="s">
        <v>33</v>
      </c>
      <c r="B42" s="44" t="s">
        <v>34</v>
      </c>
      <c r="C42" s="40">
        <f>[39]С1!F22</f>
        <v>1.036</v>
      </c>
    </row>
    <row r="43" spans="1:3" ht="53.25" thickBot="1">
      <c r="A43" s="27" t="s">
        <v>35</v>
      </c>
      <c r="B43" s="45" t="s">
        <v>36</v>
      </c>
      <c r="C43" s="46" t="str">
        <f>[39]С1!F23</f>
        <v>-</v>
      </c>
    </row>
    <row r="44" spans="1:3" ht="13.5" thickBot="1">
      <c r="A44" s="47"/>
      <c r="B44" s="75"/>
      <c r="C44" s="15"/>
    </row>
    <row r="45" spans="1:3" ht="42" customHeight="1">
      <c r="A45" s="50" t="s">
        <v>37</v>
      </c>
      <c r="B45" s="146" t="s">
        <v>38</v>
      </c>
      <c r="C45" s="146"/>
    </row>
    <row r="46" spans="1:3" ht="25.5">
      <c r="A46" s="22" t="s">
        <v>39</v>
      </c>
      <c r="B46" s="36" t="s">
        <v>40</v>
      </c>
      <c r="C46" s="51" t="str">
        <f>[39]С2.1!E12</f>
        <v>V</v>
      </c>
    </row>
    <row r="47" spans="1:3" ht="25.5">
      <c r="A47" s="22" t="s">
        <v>41</v>
      </c>
      <c r="B47" s="33" t="s">
        <v>42</v>
      </c>
      <c r="C47" s="51" t="str">
        <f>[39]С2.1!E13</f>
        <v>6 и менее баллов</v>
      </c>
    </row>
    <row r="48" spans="1:3" ht="25.5">
      <c r="A48" s="22" t="s">
        <v>43</v>
      </c>
      <c r="B48" s="33" t="s">
        <v>241</v>
      </c>
      <c r="C48" s="51" t="str">
        <f>[39]С2.1!E14</f>
        <v>от 200 до 500</v>
      </c>
    </row>
    <row r="49" spans="1:3" ht="25.5">
      <c r="A49" s="22" t="s">
        <v>45</v>
      </c>
      <c r="B49" s="33" t="s">
        <v>242</v>
      </c>
      <c r="C49" s="52" t="str">
        <f>[39]С2.1!E15</f>
        <v>нет</v>
      </c>
    </row>
    <row r="50" spans="1:3" ht="30">
      <c r="A50" s="22" t="s">
        <v>47</v>
      </c>
      <c r="B50" s="33" t="s">
        <v>48</v>
      </c>
      <c r="C50" s="34">
        <f>[39]С2!F18</f>
        <v>38910.02669467502</v>
      </c>
    </row>
    <row r="51" spans="1:3" ht="30">
      <c r="A51" s="22" t="s">
        <v>49</v>
      </c>
      <c r="B51" s="53" t="s">
        <v>50</v>
      </c>
      <c r="C51" s="34">
        <f>IF([39]С2!F19&gt;0,[39]С2!F19,[39]С2!F20)</f>
        <v>23441.524932855718</v>
      </c>
    </row>
    <row r="52" spans="1:3" ht="25.5">
      <c r="A52" s="22" t="s">
        <v>51</v>
      </c>
      <c r="B52" s="54" t="s">
        <v>52</v>
      </c>
      <c r="C52" s="34">
        <f>[39]С2.1!E20</f>
        <v>-38</v>
      </c>
    </row>
    <row r="53" spans="1:3" ht="25.5">
      <c r="A53" s="22" t="s">
        <v>53</v>
      </c>
      <c r="B53" s="54" t="s">
        <v>54</v>
      </c>
      <c r="C53" s="34" t="str">
        <f>[39]С2.1!E23</f>
        <v>нет</v>
      </c>
    </row>
    <row r="54" spans="1:3" ht="38.25">
      <c r="A54" s="22" t="s">
        <v>55</v>
      </c>
      <c r="B54" s="55" t="s">
        <v>56</v>
      </c>
      <c r="C54" s="34">
        <f>[39]С2.2!E10</f>
        <v>1287</v>
      </c>
    </row>
    <row r="55" spans="1:3" ht="25.5">
      <c r="A55" s="22" t="s">
        <v>57</v>
      </c>
      <c r="B55" s="56" t="s">
        <v>58</v>
      </c>
      <c r="C55" s="34">
        <f>[39]С2.2!E12</f>
        <v>5.97</v>
      </c>
    </row>
    <row r="56" spans="1:3" ht="52.5">
      <c r="A56" s="22" t="s">
        <v>59</v>
      </c>
      <c r="B56" s="57" t="s">
        <v>60</v>
      </c>
      <c r="C56" s="34">
        <f>[39]С2.2!E13</f>
        <v>1</v>
      </c>
    </row>
    <row r="57" spans="1:3" ht="27.75">
      <c r="A57" s="22" t="s">
        <v>61</v>
      </c>
      <c r="B57" s="56" t="s">
        <v>62</v>
      </c>
      <c r="C57" s="34">
        <f>[39]С2.2!E14</f>
        <v>12104</v>
      </c>
    </row>
    <row r="58" spans="1:3" ht="25.5">
      <c r="A58" s="22" t="s">
        <v>63</v>
      </c>
      <c r="B58" s="57" t="s">
        <v>64</v>
      </c>
      <c r="C58" s="35">
        <f>[39]С2.2!E15</f>
        <v>4.8000000000000001E-2</v>
      </c>
    </row>
    <row r="59" spans="1:3">
      <c r="A59" s="22" t="s">
        <v>65</v>
      </c>
      <c r="B59" s="57" t="s">
        <v>66</v>
      </c>
      <c r="C59" s="124">
        <f>[39]С2.2!E16</f>
        <v>1</v>
      </c>
    </row>
    <row r="60" spans="1:3" ht="15.75">
      <c r="A60" s="22" t="s">
        <v>67</v>
      </c>
      <c r="B60" s="58" t="s">
        <v>68</v>
      </c>
      <c r="C60" s="34">
        <f>[39]С2!F21</f>
        <v>1</v>
      </c>
    </row>
    <row r="61" spans="1:3" ht="30">
      <c r="A61" s="59" t="s">
        <v>69</v>
      </c>
      <c r="B61" s="33" t="s">
        <v>243</v>
      </c>
      <c r="C61" s="34">
        <f>[39]С2!F13</f>
        <v>116526.45062105893</v>
      </c>
    </row>
    <row r="62" spans="1:3" ht="30">
      <c r="A62" s="59" t="s">
        <v>71</v>
      </c>
      <c r="B62" s="60" t="s">
        <v>244</v>
      </c>
      <c r="C62" s="34">
        <f>[39]С2!F14</f>
        <v>64899</v>
      </c>
    </row>
    <row r="63" spans="1:3" ht="15.75">
      <c r="A63" s="59" t="s">
        <v>73</v>
      </c>
      <c r="B63" s="60" t="s">
        <v>74</v>
      </c>
      <c r="C63" s="40">
        <f>[39]С2!F15</f>
        <v>1.071</v>
      </c>
    </row>
    <row r="64" spans="1:3" ht="15.75">
      <c r="A64" s="59" t="s">
        <v>75</v>
      </c>
      <c r="B64" s="60" t="s">
        <v>76</v>
      </c>
      <c r="C64" s="125">
        <f>[39]С2!F16</f>
        <v>1</v>
      </c>
    </row>
    <row r="65" spans="1:3" ht="17.25">
      <c r="A65" s="59" t="s">
        <v>77</v>
      </c>
      <c r="B65" s="60" t="s">
        <v>78</v>
      </c>
      <c r="C65" s="126">
        <f>[39]С2!F17</f>
        <v>1.01</v>
      </c>
    </row>
    <row r="66" spans="1:3" s="63" customFormat="1" ht="14.25">
      <c r="A66" s="59" t="s">
        <v>79</v>
      </c>
      <c r="B66" s="61" t="s">
        <v>80</v>
      </c>
      <c r="C66" s="62">
        <f>[39]С2!F35</f>
        <v>10</v>
      </c>
    </row>
    <row r="67" spans="1:3" ht="30">
      <c r="A67" s="59" t="s">
        <v>81</v>
      </c>
      <c r="B67" s="64" t="s">
        <v>82</v>
      </c>
      <c r="C67" s="34">
        <f>[39]С2!F28</f>
        <v>287.67851105278851</v>
      </c>
    </row>
    <row r="68" spans="1:3" ht="17.25">
      <c r="A68" s="59" t="s">
        <v>83</v>
      </c>
      <c r="B68" s="53" t="s">
        <v>245</v>
      </c>
      <c r="C68" s="40">
        <f>[39]С2!F29</f>
        <v>0.34662649000000001</v>
      </c>
    </row>
    <row r="69" spans="1:3" ht="17.25">
      <c r="A69" s="59" t="s">
        <v>85</v>
      </c>
      <c r="B69" s="58" t="s">
        <v>246</v>
      </c>
      <c r="C69" s="62">
        <f>[39]С2!F30</f>
        <v>500</v>
      </c>
    </row>
    <row r="70" spans="1:3" ht="42.75">
      <c r="A70" s="59" t="s">
        <v>87</v>
      </c>
      <c r="B70" s="33" t="s">
        <v>247</v>
      </c>
      <c r="C70" s="34">
        <f>[39]С2!F22</f>
        <v>43932.649760529566</v>
      </c>
    </row>
    <row r="71" spans="1:3" ht="30">
      <c r="A71" s="59" t="s">
        <v>89</v>
      </c>
      <c r="B71" s="60" t="s">
        <v>248</v>
      </c>
      <c r="C71" s="34">
        <f>[39]С2!F23</f>
        <v>21</v>
      </c>
    </row>
    <row r="72" spans="1:3" ht="30">
      <c r="A72" s="59" t="s">
        <v>91</v>
      </c>
      <c r="B72" s="53" t="s">
        <v>92</v>
      </c>
      <c r="C72" s="34">
        <f>[39]С2.1!E28</f>
        <v>14036.09995</v>
      </c>
    </row>
    <row r="73" spans="1:3" ht="38.25">
      <c r="A73" s="59" t="s">
        <v>93</v>
      </c>
      <c r="B73" s="65" t="s">
        <v>94</v>
      </c>
      <c r="C73" s="52">
        <f>[39]С2.3!E21</f>
        <v>0</v>
      </c>
    </row>
    <row r="74" spans="1:3" ht="25.5">
      <c r="A74" s="59" t="s">
        <v>95</v>
      </c>
      <c r="B74" s="66" t="s">
        <v>96</v>
      </c>
      <c r="C74" s="67">
        <f>[39]С2.3!E11</f>
        <v>5.45</v>
      </c>
    </row>
    <row r="75" spans="1:3" ht="25.5">
      <c r="A75" s="59" t="s">
        <v>97</v>
      </c>
      <c r="B75" s="66" t="s">
        <v>98</v>
      </c>
      <c r="C75" s="62">
        <f>[39]С2.3!E13</f>
        <v>300</v>
      </c>
    </row>
    <row r="76" spans="1:3" ht="25.5">
      <c r="A76" s="59" t="s">
        <v>99</v>
      </c>
      <c r="B76" s="65" t="s">
        <v>100</v>
      </c>
      <c r="C76" s="68">
        <f>IF([39]С2.3!E22&gt;0,[39]С2.3!E22,[39]С2.3!E14)</f>
        <v>61211</v>
      </c>
    </row>
    <row r="77" spans="1:3" ht="38.25">
      <c r="A77" s="59" t="s">
        <v>101</v>
      </c>
      <c r="B77" s="65" t="s">
        <v>102</v>
      </c>
      <c r="C77" s="68">
        <f>IF([39]С2.3!E23&gt;0,[39]С2.3!E23,[39]С2.3!E15)</f>
        <v>45675</v>
      </c>
    </row>
    <row r="78" spans="1:3" ht="30">
      <c r="A78" s="59" t="s">
        <v>103</v>
      </c>
      <c r="B78" s="53" t="s">
        <v>104</v>
      </c>
      <c r="C78" s="34">
        <f>[39]С2.1!E29</f>
        <v>9518.3274000000001</v>
      </c>
    </row>
    <row r="79" spans="1:3" ht="38.25">
      <c r="A79" s="59" t="s">
        <v>105</v>
      </c>
      <c r="B79" s="65" t="s">
        <v>106</v>
      </c>
      <c r="C79" s="52">
        <f>[39]С2.3!E25</f>
        <v>0</v>
      </c>
    </row>
    <row r="80" spans="1:3" ht="25.5">
      <c r="A80" s="59" t="s">
        <v>107</v>
      </c>
      <c r="B80" s="66" t="s">
        <v>108</v>
      </c>
      <c r="C80" s="67">
        <f>[39]С2.3!E12</f>
        <v>0.2</v>
      </c>
    </row>
    <row r="81" spans="1:3" ht="25.5">
      <c r="A81" s="59" t="s">
        <v>109</v>
      </c>
      <c r="B81" s="66" t="s">
        <v>98</v>
      </c>
      <c r="C81" s="62">
        <f>[39]С2.3!E13</f>
        <v>300</v>
      </c>
    </row>
    <row r="82" spans="1:3" ht="25.5">
      <c r="A82" s="59" t="s">
        <v>110</v>
      </c>
      <c r="B82" s="69" t="s">
        <v>111</v>
      </c>
      <c r="C82" s="68">
        <f>IF([39]С2.3!E26&gt;0,[39]С2.3!E26,[39]С2.3!E16)</f>
        <v>65637</v>
      </c>
    </row>
    <row r="83" spans="1:3" ht="38.25">
      <c r="A83" s="59" t="s">
        <v>112</v>
      </c>
      <c r="B83" s="69" t="s">
        <v>113</v>
      </c>
      <c r="C83" s="68">
        <f>IF([39]С2.3!E27&gt;0,[39]С2.3!E27,[39]С2.3!E17)</f>
        <v>31684</v>
      </c>
    </row>
    <row r="84" spans="1:3" ht="30">
      <c r="A84" s="59" t="s">
        <v>249</v>
      </c>
      <c r="B84" s="60" t="s">
        <v>250</v>
      </c>
      <c r="C84" s="68">
        <f>IF([39]С2.1!E19&gt;0,[39]С2.1!E19,[39]С2!F26)</f>
        <v>2892</v>
      </c>
    </row>
    <row r="85" spans="1:3" ht="17.25">
      <c r="A85" s="59" t="s">
        <v>114</v>
      </c>
      <c r="B85" s="33" t="s">
        <v>115</v>
      </c>
      <c r="C85" s="35">
        <f>[39]С2!F31</f>
        <v>0.17804631770487722</v>
      </c>
    </row>
    <row r="86" spans="1:3" ht="30">
      <c r="A86" s="59" t="s">
        <v>116</v>
      </c>
      <c r="B86" s="53" t="s">
        <v>117</v>
      </c>
      <c r="C86" s="70">
        <f>[39]С2!F32</f>
        <v>0.1652189781021898</v>
      </c>
    </row>
    <row r="87" spans="1:3" ht="17.25">
      <c r="A87" s="59" t="s">
        <v>118</v>
      </c>
      <c r="B87" s="71" t="s">
        <v>119</v>
      </c>
      <c r="C87" s="35">
        <f>[39]С2!F33</f>
        <v>0.13880000000000001</v>
      </c>
    </row>
    <row r="88" spans="1:3" s="63" customFormat="1" ht="18" thickBot="1">
      <c r="A88" s="72" t="s">
        <v>120</v>
      </c>
      <c r="B88" s="73" t="s">
        <v>121</v>
      </c>
      <c r="C88" s="74">
        <f>[39]С2!F34</f>
        <v>0.12640000000000001</v>
      </c>
    </row>
    <row r="89" spans="1:3" ht="13.5" thickBot="1">
      <c r="A89" s="47"/>
      <c r="B89" s="75"/>
      <c r="C89" s="15"/>
    </row>
    <row r="90" spans="1:3" s="63" customFormat="1" ht="30" customHeight="1">
      <c r="A90" s="76" t="s">
        <v>122</v>
      </c>
      <c r="B90" s="146" t="s">
        <v>123</v>
      </c>
      <c r="C90" s="146"/>
    </row>
    <row r="91" spans="1:3" s="63" customFormat="1" ht="30">
      <c r="A91" s="77" t="s">
        <v>124</v>
      </c>
      <c r="B91" s="33" t="s">
        <v>125</v>
      </c>
      <c r="C91" s="34">
        <f>[39]С3!F14</f>
        <v>10275.733269206823</v>
      </c>
    </row>
    <row r="92" spans="1:3" s="63" customFormat="1" ht="42.75">
      <c r="A92" s="77" t="s">
        <v>126</v>
      </c>
      <c r="B92" s="53" t="s">
        <v>127</v>
      </c>
      <c r="C92" s="78">
        <f>[39]С3!F15</f>
        <v>0.25</v>
      </c>
    </row>
    <row r="93" spans="1:3" s="63" customFormat="1" ht="14.25">
      <c r="A93" s="77" t="s">
        <v>128</v>
      </c>
      <c r="B93" s="79" t="s">
        <v>129</v>
      </c>
      <c r="C93" s="62">
        <f>[39]С3!F18</f>
        <v>15</v>
      </c>
    </row>
    <row r="94" spans="1:3" s="63" customFormat="1" ht="17.25">
      <c r="A94" s="77" t="s">
        <v>130</v>
      </c>
      <c r="B94" s="33" t="s">
        <v>131</v>
      </c>
      <c r="C94" s="34">
        <f>[39]С3!F19</f>
        <v>2924.0805304518653</v>
      </c>
    </row>
    <row r="95" spans="1:3" s="63" customFormat="1" ht="55.5">
      <c r="A95" s="77" t="s">
        <v>132</v>
      </c>
      <c r="B95" s="53" t="s">
        <v>133</v>
      </c>
      <c r="C95" s="80">
        <f>[39]С3!F20</f>
        <v>2.1999999999999999E-2</v>
      </c>
    </row>
    <row r="96" spans="1:3" s="63" customFormat="1" ht="14.25">
      <c r="A96" s="77" t="s">
        <v>134</v>
      </c>
      <c r="B96" s="58" t="s">
        <v>80</v>
      </c>
      <c r="C96" s="62">
        <f>[39]С3!F21</f>
        <v>10</v>
      </c>
    </row>
    <row r="97" spans="1:3" s="63" customFormat="1" ht="17.25">
      <c r="A97" s="77" t="s">
        <v>135</v>
      </c>
      <c r="B97" s="33" t="s">
        <v>136</v>
      </c>
      <c r="C97" s="34">
        <f>[39]С3!F22</f>
        <v>0.86303553315836556</v>
      </c>
    </row>
    <row r="98" spans="1:3" s="63" customFormat="1" ht="55.5">
      <c r="A98" s="77" t="s">
        <v>137</v>
      </c>
      <c r="B98" s="53" t="s">
        <v>138</v>
      </c>
      <c r="C98" s="80">
        <f>[39]С3!F23</f>
        <v>3.0000000000000001E-3</v>
      </c>
    </row>
    <row r="99" spans="1:3" s="63" customFormat="1" ht="30.75" thickBot="1">
      <c r="A99" s="81" t="s">
        <v>139</v>
      </c>
      <c r="B99" s="82" t="s">
        <v>82</v>
      </c>
      <c r="C99" s="83">
        <f>[39]С3!F24</f>
        <v>287.67851105278851</v>
      </c>
    </row>
    <row r="100" spans="1:3" ht="13.5" thickBot="1">
      <c r="A100" s="47"/>
      <c r="B100" s="75"/>
      <c r="C100" s="15"/>
    </row>
    <row r="101" spans="1:3" ht="30" customHeight="1">
      <c r="A101" s="84" t="s">
        <v>141</v>
      </c>
      <c r="B101" s="146" t="s">
        <v>142</v>
      </c>
      <c r="C101" s="146"/>
    </row>
    <row r="102" spans="1:3" ht="30">
      <c r="A102" s="59" t="s">
        <v>143</v>
      </c>
      <c r="B102" s="33" t="s">
        <v>251</v>
      </c>
      <c r="C102" s="34">
        <f>[39]С4!F16</f>
        <v>832.33500000000004</v>
      </c>
    </row>
    <row r="103" spans="1:3" ht="30">
      <c r="A103" s="59" t="s">
        <v>145</v>
      </c>
      <c r="B103" s="58" t="s">
        <v>252</v>
      </c>
      <c r="C103" s="34">
        <f>[39]С4!F17</f>
        <v>43385</v>
      </c>
    </row>
    <row r="104" spans="1:3" ht="17.25">
      <c r="A104" s="59" t="s">
        <v>147</v>
      </c>
      <c r="B104" s="58" t="s">
        <v>148</v>
      </c>
      <c r="C104" s="40">
        <f>[39]С4!F18</f>
        <v>1.4999999999999999E-2</v>
      </c>
    </row>
    <row r="105" spans="1:3" ht="30">
      <c r="A105" s="59" t="s">
        <v>149</v>
      </c>
      <c r="B105" s="58" t="s">
        <v>150</v>
      </c>
      <c r="C105" s="34">
        <f>[39]С4!F19</f>
        <v>12104</v>
      </c>
    </row>
    <row r="106" spans="1:3" ht="31.5">
      <c r="A106" s="59" t="s">
        <v>151</v>
      </c>
      <c r="B106" s="58" t="s">
        <v>152</v>
      </c>
      <c r="C106" s="40">
        <f>[39]С4!F20</f>
        <v>1.4999999999999999E-2</v>
      </c>
    </row>
    <row r="107" spans="1:3" ht="30">
      <c r="A107" s="59" t="s">
        <v>153</v>
      </c>
      <c r="B107" s="33" t="s">
        <v>253</v>
      </c>
      <c r="C107" s="34">
        <f>[39]С4!F21</f>
        <v>1221.9019409821399</v>
      </c>
    </row>
    <row r="108" spans="1:3" ht="45.6" customHeight="1">
      <c r="A108" s="59" t="s">
        <v>155</v>
      </c>
      <c r="B108" s="53" t="s">
        <v>156</v>
      </c>
      <c r="C108" s="85" t="str">
        <f>IF([39]С4.2!F8="да",[39]С4.2!D21,[39]С4.2!D15)</f>
        <v>АО "Новосибирскэнергосбыт"</v>
      </c>
    </row>
    <row r="109" spans="1:3" ht="68.25" customHeight="1">
      <c r="A109" s="59" t="s">
        <v>157</v>
      </c>
      <c r="B109" s="53" t="s">
        <v>158</v>
      </c>
      <c r="C109" s="34">
        <f>[39]С4!F22</f>
        <v>3.6112641666666665</v>
      </c>
    </row>
    <row r="110" spans="1:3" ht="30">
      <c r="A110" s="59" t="s">
        <v>159</v>
      </c>
      <c r="B110" s="58" t="s">
        <v>254</v>
      </c>
      <c r="C110" s="62">
        <f>[39]С4!F23</f>
        <v>110</v>
      </c>
    </row>
    <row r="111" spans="1:3" ht="14.25">
      <c r="A111" s="59" t="s">
        <v>161</v>
      </c>
      <c r="B111" s="53" t="s">
        <v>162</v>
      </c>
      <c r="C111" s="34">
        <f>[39]С4!F24</f>
        <v>8497.1999999999989</v>
      </c>
    </row>
    <row r="112" spans="1:3" ht="14.25">
      <c r="A112" s="59" t="s">
        <v>163</v>
      </c>
      <c r="B112" s="58" t="s">
        <v>164</v>
      </c>
      <c r="C112" s="40">
        <f>[39]С4!F25</f>
        <v>0.36199999999999999</v>
      </c>
    </row>
    <row r="113" spans="1:3" ht="17.25">
      <c r="A113" s="59" t="s">
        <v>165</v>
      </c>
      <c r="B113" s="33" t="s">
        <v>166</v>
      </c>
      <c r="C113" s="34">
        <f>[39]С4!F26</f>
        <v>52.703749999999999</v>
      </c>
    </row>
    <row r="114" spans="1:3" ht="25.5">
      <c r="A114" s="59" t="s">
        <v>167</v>
      </c>
      <c r="B114" s="53" t="s">
        <v>94</v>
      </c>
      <c r="C114" s="85">
        <f>[39]С4.3!E16</f>
        <v>0</v>
      </c>
    </row>
    <row r="115" spans="1:3" ht="25.5">
      <c r="A115" s="59" t="s">
        <v>168</v>
      </c>
      <c r="B115" s="53" t="s">
        <v>169</v>
      </c>
      <c r="C115" s="34">
        <f>[39]С4.3!E17</f>
        <v>26.45</v>
      </c>
    </row>
    <row r="116" spans="1:3" ht="38.25">
      <c r="A116" s="59" t="s">
        <v>170</v>
      </c>
      <c r="B116" s="53" t="s">
        <v>106</v>
      </c>
      <c r="C116" s="85">
        <f>[39]С4.3!E18</f>
        <v>0</v>
      </c>
    </row>
    <row r="117" spans="1:3">
      <c r="A117" s="59" t="s">
        <v>171</v>
      </c>
      <c r="B117" s="53" t="s">
        <v>172</v>
      </c>
      <c r="C117" s="34">
        <f>[39]С4.3!E19</f>
        <v>21.95</v>
      </c>
    </row>
    <row r="118" spans="1:3">
      <c r="A118" s="59" t="s">
        <v>173</v>
      </c>
      <c r="B118" s="58" t="s">
        <v>174</v>
      </c>
      <c r="C118" s="62">
        <f>[39]С4.3!E11</f>
        <v>1871</v>
      </c>
    </row>
    <row r="119" spans="1:3">
      <c r="A119" s="59" t="s">
        <v>175</v>
      </c>
      <c r="B119" s="58" t="s">
        <v>176</v>
      </c>
      <c r="C119" s="52">
        <f>[39]С4.3!E12</f>
        <v>61</v>
      </c>
    </row>
    <row r="120" spans="1:3">
      <c r="A120" s="59" t="s">
        <v>177</v>
      </c>
      <c r="B120" s="58" t="s">
        <v>178</v>
      </c>
      <c r="C120" s="52">
        <f>[39]С4.3!E13</f>
        <v>73</v>
      </c>
    </row>
    <row r="121" spans="1:3" ht="30">
      <c r="A121" s="59" t="s">
        <v>179</v>
      </c>
      <c r="B121" s="33" t="s">
        <v>255</v>
      </c>
      <c r="C121" s="34">
        <f>[39]С4!F27</f>
        <v>904.62444244124072</v>
      </c>
    </row>
    <row r="122" spans="1:3" ht="25.5">
      <c r="A122" s="59" t="s">
        <v>181</v>
      </c>
      <c r="B122" s="53" t="s">
        <v>256</v>
      </c>
      <c r="C122" s="34">
        <f>[39]С4!F28</f>
        <v>694.79603874135228</v>
      </c>
    </row>
    <row r="123" spans="1:3" ht="42.75">
      <c r="A123" s="59" t="s">
        <v>183</v>
      </c>
      <c r="B123" s="53" t="s">
        <v>184</v>
      </c>
      <c r="C123" s="34">
        <f>[39]С4!F29</f>
        <v>209.82840369988838</v>
      </c>
    </row>
    <row r="124" spans="1:3" ht="30.75" thickBot="1">
      <c r="A124" s="72" t="s">
        <v>185</v>
      </c>
      <c r="B124" s="90" t="s">
        <v>186</v>
      </c>
      <c r="C124" s="83">
        <f>[39]С4!F30</f>
        <v>808.56479866582197</v>
      </c>
    </row>
    <row r="125" spans="1:3" s="89" customFormat="1" ht="13.5" thickBot="1">
      <c r="A125" s="47"/>
      <c r="B125" s="75"/>
      <c r="C125" s="15"/>
    </row>
    <row r="126" spans="1:3" s="63" customFormat="1" ht="30" customHeight="1">
      <c r="A126" s="76" t="s">
        <v>195</v>
      </c>
      <c r="B126" s="146" t="s">
        <v>196</v>
      </c>
      <c r="C126" s="146"/>
    </row>
    <row r="127" spans="1:3" ht="30.6" customHeight="1" thickBot="1">
      <c r="A127" s="27" t="s">
        <v>197</v>
      </c>
      <c r="B127" s="90" t="s">
        <v>198</v>
      </c>
      <c r="C127" s="83">
        <f>[39]С5!F17</f>
        <v>0.02</v>
      </c>
    </row>
    <row r="128" spans="1:3" s="89" customFormat="1" ht="13.5" thickBot="1">
      <c r="A128" s="47"/>
      <c r="B128" s="75"/>
      <c r="C128" s="15"/>
    </row>
    <row r="129" spans="1:4" ht="42.75" customHeight="1">
      <c r="A129" s="84" t="s">
        <v>199</v>
      </c>
      <c r="B129" s="146" t="s">
        <v>200</v>
      </c>
      <c r="C129" s="146"/>
    </row>
    <row r="130" spans="1:4" ht="68.25">
      <c r="A130" s="59" t="s">
        <v>201</v>
      </c>
      <c r="B130" s="91" t="s">
        <v>202</v>
      </c>
      <c r="C130" s="34" t="str">
        <f>IF([39]С6.1!E11="нет",[39]С6!F13,"")</f>
        <v/>
      </c>
    </row>
    <row r="131" spans="1:4" ht="42.75">
      <c r="A131" s="59" t="s">
        <v>204</v>
      </c>
      <c r="B131" s="86" t="s">
        <v>205</v>
      </c>
      <c r="C131" s="92" t="str">
        <f>IF([39]С6.1!E12="нет",[39]С6.1!E17,"")</f>
        <v/>
      </c>
    </row>
    <row r="132" spans="1:4" ht="68.25">
      <c r="A132" s="59" t="s">
        <v>206</v>
      </c>
      <c r="B132" s="91" t="s">
        <v>207</v>
      </c>
      <c r="C132" s="127" t="str">
        <f>IF([39]С6.1!E18="нет",[39]С6!F19,"")</f>
        <v/>
      </c>
    </row>
    <row r="133" spans="1:4" ht="55.5">
      <c r="A133" s="59" t="s">
        <v>208</v>
      </c>
      <c r="B133" s="86" t="s">
        <v>209</v>
      </c>
      <c r="C133" s="35" t="str">
        <f>IF([39]С6.1!E18="нет",[39]С6.1!E19,"")</f>
        <v/>
      </c>
    </row>
    <row r="134" spans="1:4" ht="61.5" customHeight="1">
      <c r="A134" s="59" t="s">
        <v>210</v>
      </c>
      <c r="B134" s="86" t="s">
        <v>257</v>
      </c>
      <c r="C134" s="35" t="str">
        <f>IF([39]С6.1!E18="нет",[39]С6.1!E22,"")</f>
        <v/>
      </c>
    </row>
    <row r="135" spans="1:4" ht="69" thickBot="1">
      <c r="A135" s="72" t="s">
        <v>212</v>
      </c>
      <c r="B135" s="98" t="s">
        <v>213</v>
      </c>
      <c r="C135" s="74" t="str">
        <f>IF([39]С6.1!E18="нет",[39]С6.1!E23,"")</f>
        <v/>
      </c>
    </row>
    <row r="136" spans="1:4" s="89" customFormat="1" ht="13.5" thickBot="1">
      <c r="A136" s="47"/>
      <c r="B136" s="75"/>
      <c r="C136" s="15"/>
    </row>
    <row r="137" spans="1:4" ht="15.75">
      <c r="A137" s="84" t="s">
        <v>214</v>
      </c>
      <c r="B137" s="99" t="s">
        <v>215</v>
      </c>
      <c r="C137" s="100">
        <f>[39]С2!F39</f>
        <v>21.531904799999996</v>
      </c>
    </row>
    <row r="138" spans="1:4" ht="14.25">
      <c r="A138" s="59" t="s">
        <v>216</v>
      </c>
      <c r="B138" s="58" t="s">
        <v>217</v>
      </c>
      <c r="C138" s="34">
        <f>[39]С2!F40</f>
        <v>7</v>
      </c>
    </row>
    <row r="139" spans="1:4" ht="17.25">
      <c r="A139" s="59" t="s">
        <v>218</v>
      </c>
      <c r="B139" s="58" t="s">
        <v>219</v>
      </c>
      <c r="C139" s="34">
        <f>[39]С2!F42</f>
        <v>0.97</v>
      </c>
    </row>
    <row r="140" spans="1:4" ht="15" thickBot="1">
      <c r="A140" s="72" t="s">
        <v>220</v>
      </c>
      <c r="B140" s="73" t="s">
        <v>221</v>
      </c>
      <c r="C140" s="46">
        <f>[39]С2!F44</f>
        <v>0.36199999999999999</v>
      </c>
    </row>
    <row r="141" spans="1:4" s="89" customFormat="1" ht="13.5" thickBot="1">
      <c r="A141" s="47"/>
      <c r="B141" s="75"/>
      <c r="C141" s="15"/>
    </row>
    <row r="142" spans="1:4" ht="17.25">
      <c r="A142" s="84" t="s">
        <v>222</v>
      </c>
      <c r="B142" s="103" t="s">
        <v>258</v>
      </c>
      <c r="C142" s="128">
        <f>[39]С2!F37</f>
        <v>1.6598760876745948</v>
      </c>
      <c r="D142" s="89"/>
    </row>
    <row r="143" spans="1:4" ht="17.25" customHeight="1" thickBot="1">
      <c r="A143" s="72" t="s">
        <v>224</v>
      </c>
      <c r="B143" s="142" t="s">
        <v>225</v>
      </c>
      <c r="C143" s="142"/>
      <c r="D143" s="89"/>
    </row>
    <row r="144" spans="1:4">
      <c r="A144" s="105"/>
      <c r="B144" s="129" t="s">
        <v>226</v>
      </c>
      <c r="C144" s="130"/>
    </row>
    <row r="145" spans="1:3">
      <c r="A145" s="105"/>
      <c r="B145" s="131">
        <v>2020</v>
      </c>
      <c r="C145" s="132">
        <f>[39]С2.5!$E$11</f>
        <v>-2.9000000000000026E-2</v>
      </c>
    </row>
    <row r="146" spans="1:3">
      <c r="B146" s="131">
        <f>B145+1</f>
        <v>2021</v>
      </c>
      <c r="C146" s="133">
        <f>[39]С2.5!$F$11</f>
        <v>0.245</v>
      </c>
    </row>
    <row r="147" spans="1:3">
      <c r="B147" s="131">
        <f t="shared" ref="B147:B210" si="0">B146+1</f>
        <v>2022</v>
      </c>
      <c r="C147" s="134">
        <f>[39]С2.5!$G$11</f>
        <v>0.114</v>
      </c>
    </row>
    <row r="148" spans="1:3">
      <c r="B148" s="110">
        <f t="shared" si="0"/>
        <v>2023</v>
      </c>
      <c r="C148" s="135">
        <f>[39]С2.5!$H$11</f>
        <v>0.04</v>
      </c>
    </row>
    <row r="149" spans="1:3">
      <c r="B149" s="110">
        <f t="shared" si="0"/>
        <v>2024</v>
      </c>
      <c r="C149" s="135">
        <f>[39]С2.5!$I$11</f>
        <v>0.11700000000000001</v>
      </c>
    </row>
    <row r="150" spans="1:3" ht="13.5" thickBot="1">
      <c r="B150" s="110">
        <f t="shared" si="0"/>
        <v>2025</v>
      </c>
      <c r="C150" s="135">
        <f>[39]С2.5!$J$11</f>
        <v>6.0999999999999999E-2</v>
      </c>
    </row>
    <row r="151" spans="1:3" ht="13.5" hidden="1" thickBot="1">
      <c r="B151" s="110">
        <f t="shared" si="0"/>
        <v>2026</v>
      </c>
      <c r="C151" s="135">
        <f>[39]С2.5!$K$11</f>
        <v>0</v>
      </c>
    </row>
    <row r="152" spans="1:3" ht="13.5" hidden="1" thickBot="1">
      <c r="B152" s="110">
        <f t="shared" si="0"/>
        <v>2027</v>
      </c>
      <c r="C152" s="135">
        <f>[39]С2.5!$L$11</f>
        <v>0</v>
      </c>
    </row>
    <row r="153" spans="1:3" ht="13.5" hidden="1" thickBot="1">
      <c r="B153" s="110">
        <f t="shared" si="0"/>
        <v>2028</v>
      </c>
      <c r="C153" s="135">
        <f>[39]С2.5!$M$11</f>
        <v>0</v>
      </c>
    </row>
    <row r="154" spans="1:3" ht="13.5" hidden="1" thickBot="1">
      <c r="B154" s="110">
        <f t="shared" si="0"/>
        <v>2029</v>
      </c>
      <c r="C154" s="135">
        <f>[39]С2.5!$N$11</f>
        <v>0</v>
      </c>
    </row>
    <row r="155" spans="1:3" ht="13.5" hidden="1" thickBot="1">
      <c r="B155" s="110">
        <f t="shared" si="0"/>
        <v>2030</v>
      </c>
      <c r="C155" s="135">
        <f>[39]С2.5!$O$11</f>
        <v>0</v>
      </c>
    </row>
    <row r="156" spans="1:3" ht="13.5" hidden="1" thickBot="1">
      <c r="B156" s="110">
        <f t="shared" si="0"/>
        <v>2031</v>
      </c>
      <c r="C156" s="135">
        <f>[39]С2.5!$P$11</f>
        <v>0</v>
      </c>
    </row>
    <row r="157" spans="1:3" ht="13.5" hidden="1" thickBot="1">
      <c r="B157" s="110">
        <f t="shared" si="0"/>
        <v>2032</v>
      </c>
      <c r="C157" s="135">
        <f>[39]С2.5!$Q$11</f>
        <v>0</v>
      </c>
    </row>
    <row r="158" spans="1:3" ht="13.5" hidden="1" thickBot="1">
      <c r="B158" s="110">
        <f t="shared" si="0"/>
        <v>2033</v>
      </c>
      <c r="C158" s="135">
        <f>[39]С2.5!$R$11</f>
        <v>0</v>
      </c>
    </row>
    <row r="159" spans="1:3" ht="13.5" hidden="1" thickBot="1">
      <c r="B159" s="110">
        <f t="shared" si="0"/>
        <v>2034</v>
      </c>
      <c r="C159" s="135">
        <f>[39]С2.5!$S$11</f>
        <v>0</v>
      </c>
    </row>
    <row r="160" spans="1:3" ht="13.5" hidden="1" thickBot="1">
      <c r="B160" s="110">
        <f t="shared" si="0"/>
        <v>2035</v>
      </c>
      <c r="C160" s="135">
        <f>[39]С2.5!$T$11</f>
        <v>0</v>
      </c>
    </row>
    <row r="161" spans="2:3" ht="13.5" hidden="1" thickBot="1">
      <c r="B161" s="110">
        <f t="shared" si="0"/>
        <v>2036</v>
      </c>
      <c r="C161" s="135">
        <f>[39]С2.5!$U$11</f>
        <v>0</v>
      </c>
    </row>
    <row r="162" spans="2:3" ht="13.5" hidden="1" thickBot="1">
      <c r="B162" s="110">
        <f t="shared" si="0"/>
        <v>2037</v>
      </c>
      <c r="C162" s="135">
        <f>[39]С2.5!$V$11</f>
        <v>0</v>
      </c>
    </row>
    <row r="163" spans="2:3" ht="13.5" hidden="1" thickBot="1">
      <c r="B163" s="110">
        <f t="shared" si="0"/>
        <v>2038</v>
      </c>
      <c r="C163" s="135">
        <f>[39]С2.5!$W$11</f>
        <v>0</v>
      </c>
    </row>
    <row r="164" spans="2:3" ht="13.5" hidden="1" thickBot="1">
      <c r="B164" s="110">
        <f t="shared" si="0"/>
        <v>2039</v>
      </c>
      <c r="C164" s="135">
        <f>[39]С2.5!$X$11</f>
        <v>0</v>
      </c>
    </row>
    <row r="165" spans="2:3" ht="13.5" hidden="1" thickBot="1">
      <c r="B165" s="110">
        <f t="shared" si="0"/>
        <v>2040</v>
      </c>
      <c r="C165" s="135">
        <f>[39]С2.5!$Y$11</f>
        <v>0</v>
      </c>
    </row>
    <row r="166" spans="2:3" ht="13.5" hidden="1" thickBot="1">
      <c r="B166" s="110">
        <f t="shared" si="0"/>
        <v>2041</v>
      </c>
      <c r="C166" s="135">
        <f>[39]С2.5!$Z$11</f>
        <v>0</v>
      </c>
    </row>
    <row r="167" spans="2:3" ht="13.5" hidden="1" thickBot="1">
      <c r="B167" s="110">
        <f t="shared" si="0"/>
        <v>2042</v>
      </c>
      <c r="C167" s="135">
        <f>[39]С2.5!$AA$11</f>
        <v>0</v>
      </c>
    </row>
    <row r="168" spans="2:3" ht="13.5" hidden="1" thickBot="1">
      <c r="B168" s="110">
        <f t="shared" si="0"/>
        <v>2043</v>
      </c>
      <c r="C168" s="135">
        <f>[39]С2.5!$AB$11</f>
        <v>0</v>
      </c>
    </row>
    <row r="169" spans="2:3" ht="13.5" hidden="1" thickBot="1">
      <c r="B169" s="110">
        <f t="shared" si="0"/>
        <v>2044</v>
      </c>
      <c r="C169" s="135">
        <f>[39]С2.5!$AC$11</f>
        <v>0</v>
      </c>
    </row>
    <row r="170" spans="2:3" ht="13.5" hidden="1" thickBot="1">
      <c r="B170" s="110">
        <f t="shared" si="0"/>
        <v>2045</v>
      </c>
      <c r="C170" s="135">
        <f>[39]С2.5!$AD$11</f>
        <v>0</v>
      </c>
    </row>
    <row r="171" spans="2:3" ht="13.5" hidden="1" thickBot="1">
      <c r="B171" s="110">
        <f t="shared" si="0"/>
        <v>2046</v>
      </c>
      <c r="C171" s="135">
        <f>[39]С2.5!$AE$11</f>
        <v>0</v>
      </c>
    </row>
    <row r="172" spans="2:3" ht="13.5" hidden="1" thickBot="1">
      <c r="B172" s="110">
        <f t="shared" si="0"/>
        <v>2047</v>
      </c>
      <c r="C172" s="135">
        <f>[39]С2.5!$AF$11</f>
        <v>0</v>
      </c>
    </row>
    <row r="173" spans="2:3" ht="13.5" hidden="1" thickBot="1">
      <c r="B173" s="110">
        <f t="shared" si="0"/>
        <v>2048</v>
      </c>
      <c r="C173" s="135">
        <f>[39]С2.5!$AG$11</f>
        <v>0</v>
      </c>
    </row>
    <row r="174" spans="2:3" ht="13.5" hidden="1" thickBot="1">
      <c r="B174" s="110">
        <f t="shared" si="0"/>
        <v>2049</v>
      </c>
      <c r="C174" s="135">
        <f>[39]С2.5!$AH$11</f>
        <v>0</v>
      </c>
    </row>
    <row r="175" spans="2:3" ht="13.5" hidden="1" thickBot="1">
      <c r="B175" s="110">
        <f t="shared" si="0"/>
        <v>2050</v>
      </c>
      <c r="C175" s="135">
        <f>[39]С2.5!$AI$11</f>
        <v>0</v>
      </c>
    </row>
    <row r="176" spans="2:3" ht="13.5" hidden="1" thickBot="1">
      <c r="B176" s="110">
        <f t="shared" si="0"/>
        <v>2051</v>
      </c>
      <c r="C176" s="135">
        <f>[39]С2.5!$AJ$11</f>
        <v>0</v>
      </c>
    </row>
    <row r="177" spans="2:3" ht="13.5" hidden="1" thickBot="1">
      <c r="B177" s="110">
        <f t="shared" si="0"/>
        <v>2052</v>
      </c>
      <c r="C177" s="135">
        <f>[39]С2.5!$AK$11</f>
        <v>0</v>
      </c>
    </row>
    <row r="178" spans="2:3" ht="13.5" hidden="1" thickBot="1">
      <c r="B178" s="110">
        <f t="shared" si="0"/>
        <v>2053</v>
      </c>
      <c r="C178" s="135">
        <f>[39]С2.5!$AL$11</f>
        <v>0</v>
      </c>
    </row>
    <row r="179" spans="2:3" ht="13.5" hidden="1" thickBot="1">
      <c r="B179" s="110">
        <f t="shared" si="0"/>
        <v>2054</v>
      </c>
      <c r="C179" s="135">
        <f>[39]С2.5!$AM$11</f>
        <v>0</v>
      </c>
    </row>
    <row r="180" spans="2:3" ht="13.5" hidden="1" thickBot="1">
      <c r="B180" s="110">
        <f t="shared" si="0"/>
        <v>2055</v>
      </c>
      <c r="C180" s="135">
        <f>[39]С2.5!$AN$11</f>
        <v>0</v>
      </c>
    </row>
    <row r="181" spans="2:3" ht="13.5" hidden="1" thickBot="1">
      <c r="B181" s="110">
        <f t="shared" si="0"/>
        <v>2056</v>
      </c>
      <c r="C181" s="135">
        <f>[39]С2.5!$AO$11</f>
        <v>0</v>
      </c>
    </row>
    <row r="182" spans="2:3" ht="13.5" hidden="1" thickBot="1">
      <c r="B182" s="110">
        <f t="shared" si="0"/>
        <v>2057</v>
      </c>
      <c r="C182" s="135">
        <f>[39]С2.5!$AP$11</f>
        <v>0</v>
      </c>
    </row>
    <row r="183" spans="2:3" ht="13.5" hidden="1" thickBot="1">
      <c r="B183" s="110">
        <f t="shared" si="0"/>
        <v>2058</v>
      </c>
      <c r="C183" s="135">
        <f>[39]С2.5!$AQ$11</f>
        <v>0</v>
      </c>
    </row>
    <row r="184" spans="2:3" ht="13.5" hidden="1" thickBot="1">
      <c r="B184" s="110">
        <f t="shared" si="0"/>
        <v>2059</v>
      </c>
      <c r="C184" s="135">
        <f>[39]С2.5!$AR$11</f>
        <v>0</v>
      </c>
    </row>
    <row r="185" spans="2:3" ht="13.5" hidden="1" thickBot="1">
      <c r="B185" s="110">
        <f t="shared" si="0"/>
        <v>2060</v>
      </c>
      <c r="C185" s="135">
        <f>[39]С2.5!$AS$11</f>
        <v>0</v>
      </c>
    </row>
    <row r="186" spans="2:3" ht="13.5" hidden="1" thickBot="1">
      <c r="B186" s="110">
        <f t="shared" si="0"/>
        <v>2061</v>
      </c>
      <c r="C186" s="135">
        <f>[39]С2.5!$AT$11</f>
        <v>0</v>
      </c>
    </row>
    <row r="187" spans="2:3" ht="13.5" hidden="1" thickBot="1">
      <c r="B187" s="110">
        <f t="shared" si="0"/>
        <v>2062</v>
      </c>
      <c r="C187" s="135">
        <f>[39]С2.5!$AU$11</f>
        <v>0</v>
      </c>
    </row>
    <row r="188" spans="2:3" ht="13.5" hidden="1" thickBot="1">
      <c r="B188" s="110">
        <f t="shared" si="0"/>
        <v>2063</v>
      </c>
      <c r="C188" s="135">
        <f>[39]С2.5!$AV$11</f>
        <v>0</v>
      </c>
    </row>
    <row r="189" spans="2:3" ht="13.5" hidden="1" thickBot="1">
      <c r="B189" s="110">
        <f t="shared" si="0"/>
        <v>2064</v>
      </c>
      <c r="C189" s="135">
        <f>[39]С2.5!$AW$11</f>
        <v>0</v>
      </c>
    </row>
    <row r="190" spans="2:3" ht="13.5" hidden="1" thickBot="1">
      <c r="B190" s="110">
        <f t="shared" si="0"/>
        <v>2065</v>
      </c>
      <c r="C190" s="135">
        <f>[39]С2.5!$AX$11</f>
        <v>0</v>
      </c>
    </row>
    <row r="191" spans="2:3" ht="13.5" hidden="1" thickBot="1">
      <c r="B191" s="110">
        <f t="shared" si="0"/>
        <v>2066</v>
      </c>
      <c r="C191" s="135">
        <f>[39]С2.5!$AY$11</f>
        <v>0</v>
      </c>
    </row>
    <row r="192" spans="2:3" ht="13.5" hidden="1" thickBot="1">
      <c r="B192" s="110">
        <f t="shared" si="0"/>
        <v>2067</v>
      </c>
      <c r="C192" s="135">
        <f>[39]С2.5!$AZ$11</f>
        <v>0</v>
      </c>
    </row>
    <row r="193" spans="2:3" ht="13.5" hidden="1" thickBot="1">
      <c r="B193" s="110">
        <f t="shared" si="0"/>
        <v>2068</v>
      </c>
      <c r="C193" s="135">
        <f>[39]С2.5!$BA$11</f>
        <v>0</v>
      </c>
    </row>
    <row r="194" spans="2:3" ht="13.5" hidden="1" thickBot="1">
      <c r="B194" s="110">
        <f t="shared" si="0"/>
        <v>2069</v>
      </c>
      <c r="C194" s="135">
        <f>[39]С2.5!$BB$11</f>
        <v>0</v>
      </c>
    </row>
    <row r="195" spans="2:3" ht="13.5" hidden="1" thickBot="1">
      <c r="B195" s="110">
        <f t="shared" si="0"/>
        <v>2070</v>
      </c>
      <c r="C195" s="135">
        <f>[39]С2.5!$BC$11</f>
        <v>0</v>
      </c>
    </row>
    <row r="196" spans="2:3" ht="13.5" hidden="1" thickBot="1">
      <c r="B196" s="110">
        <f t="shared" si="0"/>
        <v>2071</v>
      </c>
      <c r="C196" s="135">
        <f>[39]С2.5!$BD$11</f>
        <v>0</v>
      </c>
    </row>
    <row r="197" spans="2:3" ht="13.5" hidden="1" thickBot="1">
      <c r="B197" s="110">
        <f t="shared" si="0"/>
        <v>2072</v>
      </c>
      <c r="C197" s="135">
        <f>[39]С2.5!$BE$11</f>
        <v>0</v>
      </c>
    </row>
    <row r="198" spans="2:3" ht="13.5" hidden="1" thickBot="1">
      <c r="B198" s="110">
        <f t="shared" si="0"/>
        <v>2073</v>
      </c>
      <c r="C198" s="135">
        <f>[39]С2.5!$BF$11</f>
        <v>0</v>
      </c>
    </row>
    <row r="199" spans="2:3" ht="13.5" hidden="1" thickBot="1">
      <c r="B199" s="110">
        <f t="shared" si="0"/>
        <v>2074</v>
      </c>
      <c r="C199" s="135">
        <f>[39]С2.5!$BG$11</f>
        <v>0</v>
      </c>
    </row>
    <row r="200" spans="2:3" ht="13.5" hidden="1" thickBot="1">
      <c r="B200" s="110">
        <f t="shared" si="0"/>
        <v>2075</v>
      </c>
      <c r="C200" s="135">
        <f>[39]С2.5!$BH$11</f>
        <v>0</v>
      </c>
    </row>
    <row r="201" spans="2:3" ht="13.5" hidden="1" thickBot="1">
      <c r="B201" s="110">
        <f t="shared" si="0"/>
        <v>2076</v>
      </c>
      <c r="C201" s="135">
        <f>[39]С2.5!$BI$11</f>
        <v>0</v>
      </c>
    </row>
    <row r="202" spans="2:3" ht="13.5" hidden="1" thickBot="1">
      <c r="B202" s="110">
        <f t="shared" si="0"/>
        <v>2077</v>
      </c>
      <c r="C202" s="135">
        <f>[39]С2.5!$BJ$11</f>
        <v>0</v>
      </c>
    </row>
    <row r="203" spans="2:3" ht="13.5" hidden="1" thickBot="1">
      <c r="B203" s="110">
        <f t="shared" si="0"/>
        <v>2078</v>
      </c>
      <c r="C203" s="135">
        <f>[39]С2.5!$BK$11</f>
        <v>0</v>
      </c>
    </row>
    <row r="204" spans="2:3" ht="13.5" hidden="1" thickBot="1">
      <c r="B204" s="110">
        <f t="shared" si="0"/>
        <v>2079</v>
      </c>
      <c r="C204" s="135">
        <f>[39]С2.5!$BL$11</f>
        <v>0</v>
      </c>
    </row>
    <row r="205" spans="2:3" ht="13.5" hidden="1" thickBot="1">
      <c r="B205" s="110">
        <f t="shared" si="0"/>
        <v>2080</v>
      </c>
      <c r="C205" s="135">
        <f>[39]С2.5!$BM$11</f>
        <v>0</v>
      </c>
    </row>
    <row r="206" spans="2:3" ht="13.5" hidden="1" thickBot="1">
      <c r="B206" s="110">
        <f t="shared" si="0"/>
        <v>2081</v>
      </c>
      <c r="C206" s="135">
        <f>[39]С2.5!$BN$11</f>
        <v>0</v>
      </c>
    </row>
    <row r="207" spans="2:3" ht="13.5" hidden="1" thickBot="1">
      <c r="B207" s="110">
        <f t="shared" si="0"/>
        <v>2082</v>
      </c>
      <c r="C207" s="135">
        <f>[39]С2.5!$BO$11</f>
        <v>0</v>
      </c>
    </row>
    <row r="208" spans="2:3" ht="13.5" hidden="1" thickBot="1">
      <c r="B208" s="110">
        <f t="shared" si="0"/>
        <v>2083</v>
      </c>
      <c r="C208" s="135">
        <f>[39]С2.5!$BP$11</f>
        <v>0</v>
      </c>
    </row>
    <row r="209" spans="2:3" ht="13.5" hidden="1" thickBot="1">
      <c r="B209" s="110">
        <f t="shared" si="0"/>
        <v>2084</v>
      </c>
      <c r="C209" s="135">
        <f>[39]С2.5!$BQ$11</f>
        <v>0</v>
      </c>
    </row>
    <row r="210" spans="2:3" ht="13.5" hidden="1" thickBot="1">
      <c r="B210" s="110">
        <f t="shared" si="0"/>
        <v>2085</v>
      </c>
      <c r="C210" s="135">
        <f>[39]С2.5!$BR$11</f>
        <v>0</v>
      </c>
    </row>
    <row r="211" spans="2:3" ht="13.5" hidden="1" thickBot="1">
      <c r="B211" s="110">
        <f t="shared" ref="B211:B224" si="1">B210+1</f>
        <v>2086</v>
      </c>
      <c r="C211" s="135">
        <f>[39]С2.5!$BS$11</f>
        <v>0</v>
      </c>
    </row>
    <row r="212" spans="2:3" ht="13.5" hidden="1" thickBot="1">
      <c r="B212" s="110">
        <f t="shared" si="1"/>
        <v>2087</v>
      </c>
      <c r="C212" s="135">
        <f>[39]С2.5!$BT$11</f>
        <v>0</v>
      </c>
    </row>
    <row r="213" spans="2:3" ht="13.5" hidden="1" thickBot="1">
      <c r="B213" s="110">
        <f t="shared" si="1"/>
        <v>2088</v>
      </c>
      <c r="C213" s="135">
        <f>[39]С2.5!$BU$11</f>
        <v>0</v>
      </c>
    </row>
    <row r="214" spans="2:3" ht="13.5" hidden="1" thickBot="1">
      <c r="B214" s="110">
        <f t="shared" si="1"/>
        <v>2089</v>
      </c>
      <c r="C214" s="135">
        <f>[39]С2.5!$BV$11</f>
        <v>0</v>
      </c>
    </row>
    <row r="215" spans="2:3" ht="13.5" hidden="1" thickBot="1">
      <c r="B215" s="110">
        <f t="shared" si="1"/>
        <v>2090</v>
      </c>
      <c r="C215" s="135">
        <f>[39]С2.5!$BW$11</f>
        <v>0</v>
      </c>
    </row>
    <row r="216" spans="2:3" ht="13.5" hidden="1" thickBot="1">
      <c r="B216" s="110">
        <f t="shared" si="1"/>
        <v>2091</v>
      </c>
      <c r="C216" s="135">
        <f>[39]С2.5!$BX$11</f>
        <v>0</v>
      </c>
    </row>
    <row r="217" spans="2:3" ht="13.5" hidden="1" thickBot="1">
      <c r="B217" s="110">
        <f t="shared" si="1"/>
        <v>2092</v>
      </c>
      <c r="C217" s="135">
        <f>[39]С2.5!$BY$11</f>
        <v>0</v>
      </c>
    </row>
    <row r="218" spans="2:3" ht="13.5" hidden="1" thickBot="1">
      <c r="B218" s="110">
        <f t="shared" si="1"/>
        <v>2093</v>
      </c>
      <c r="C218" s="135">
        <f>[39]С2.5!$BZ$11</f>
        <v>0</v>
      </c>
    </row>
    <row r="219" spans="2:3" ht="13.5" hidden="1" thickBot="1">
      <c r="B219" s="110">
        <f t="shared" si="1"/>
        <v>2094</v>
      </c>
      <c r="C219" s="135">
        <f>[39]С2.5!$CA$11</f>
        <v>0</v>
      </c>
    </row>
    <row r="220" spans="2:3" ht="13.5" hidden="1" thickBot="1">
      <c r="B220" s="110">
        <f t="shared" si="1"/>
        <v>2095</v>
      </c>
      <c r="C220" s="135">
        <f>[39]С2.5!$CB$11</f>
        <v>0</v>
      </c>
    </row>
    <row r="221" spans="2:3" ht="13.5" hidden="1" thickBot="1">
      <c r="B221" s="110">
        <f t="shared" si="1"/>
        <v>2096</v>
      </c>
      <c r="C221" s="135">
        <f>[39]С2.5!$CC$11</f>
        <v>0</v>
      </c>
    </row>
    <row r="222" spans="2:3" ht="13.5" hidden="1" thickBot="1">
      <c r="B222" s="110">
        <f t="shared" si="1"/>
        <v>2097</v>
      </c>
      <c r="C222" s="135">
        <f>[39]С2.5!$CD$11</f>
        <v>0</v>
      </c>
    </row>
    <row r="223" spans="2:3" ht="13.5" hidden="1" thickBot="1">
      <c r="B223" s="110">
        <f t="shared" si="1"/>
        <v>2098</v>
      </c>
      <c r="C223" s="135">
        <f>[39]С2.5!$CE$11</f>
        <v>0</v>
      </c>
    </row>
    <row r="224" spans="2:3" ht="13.5" hidden="1" thickBot="1">
      <c r="B224" s="110">
        <f t="shared" si="1"/>
        <v>2099</v>
      </c>
      <c r="C224" s="135">
        <f>[39]С2.5!$CF$11</f>
        <v>0</v>
      </c>
    </row>
    <row r="225" spans="2:3" ht="13.5" hidden="1" thickBot="1">
      <c r="B225" s="112">
        <f>B162+1</f>
        <v>2038</v>
      </c>
      <c r="C225" s="136" t="e">
        <f>[39]С2.5!#REF!</f>
        <v>#REF!</v>
      </c>
    </row>
    <row r="226" spans="2:3">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4" r:id="rId3" name="Button 2">
              <controlPr defaultSize="0" print="0" autoFill="0" autoPict="0" macro="[40]!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18435" r:id="rId4" name="Button 3">
              <controlPr defaultSize="0" print="0" autoFill="0" autoPict="0" macro="[39]!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[41]И1!D13</f>
        <v>Субъект Российской Федерации</v>
      </c>
      <c r="C4" s="10" t="str">
        <f>[41]И1!E13</f>
        <v>Новосибирская область</v>
      </c>
    </row>
    <row r="5" spans="1:3" ht="46.9" customHeight="1">
      <c r="A5" s="8"/>
      <c r="B5" s="9" t="str">
        <f>[41]И1!D14</f>
        <v>Тип муниципального образования (выберите из списка)</v>
      </c>
      <c r="C5" s="10" t="str">
        <f>[41]И1!E14</f>
        <v xml:space="preserve">село Степногутово, Тогучинский муниципальный район </v>
      </c>
    </row>
    <row r="6" spans="1:3">
      <c r="A6" s="8"/>
      <c r="B6" s="9" t="str">
        <f>IF([41]И1!E15="","",[41]И1!D15)</f>
        <v/>
      </c>
      <c r="C6" s="10" t="str">
        <f>IF([41]И1!E15="","",[41]И1!E15)</f>
        <v/>
      </c>
    </row>
    <row r="7" spans="1:3" ht="25.5">
      <c r="A7" s="8"/>
      <c r="B7" s="9" t="str">
        <f>[41]И1!D16</f>
        <v>Код ОКТМО</v>
      </c>
      <c r="C7" s="11" t="str">
        <f>[41]И1!E16</f>
        <v xml:space="preserve">50652441101
</v>
      </c>
    </row>
    <row r="8" spans="1:3">
      <c r="A8" s="8"/>
      <c r="B8" s="12" t="str">
        <f>[41]И1!D17</f>
        <v>Система теплоснабжения</v>
      </c>
      <c r="C8" s="13">
        <f>[41]И1!E17</f>
        <v>0</v>
      </c>
    </row>
    <row r="9" spans="1:3">
      <c r="A9" s="8"/>
      <c r="B9" s="9" t="str">
        <f>[41]И1!D8</f>
        <v>Период регулирования (i)-й</v>
      </c>
      <c r="C9" s="14">
        <f>[41]И1!E8</f>
        <v>2025</v>
      </c>
    </row>
    <row r="10" spans="1:3">
      <c r="A10" s="8"/>
      <c r="B10" s="9" t="str">
        <f>[41]И1!D9</f>
        <v>Период регулирования (i-1)-й</v>
      </c>
      <c r="C10" s="14">
        <f>[41]И1!E9</f>
        <v>2024</v>
      </c>
    </row>
    <row r="11" spans="1:3">
      <c r="A11" s="8"/>
      <c r="B11" s="9" t="str">
        <f>[41]И1!D10</f>
        <v>Период регулирования (i-2)-й</v>
      </c>
      <c r="C11" s="14">
        <f>[41]И1!E10</f>
        <v>2023</v>
      </c>
    </row>
    <row r="12" spans="1:3">
      <c r="A12" s="8"/>
      <c r="B12" s="9" t="str">
        <f>[41]И1!D11</f>
        <v>Базовый год (б)</v>
      </c>
      <c r="C12" s="14">
        <f>[41]И1!E11</f>
        <v>2019</v>
      </c>
    </row>
    <row r="13" spans="1:3" ht="38.25">
      <c r="A13" s="8"/>
      <c r="B13" s="9" t="str">
        <f>[41]И1!D18</f>
        <v>Вид топлива, использование которого преобладает в системе теплоснабжения</v>
      </c>
      <c r="C13" s="15" t="str">
        <f>[41]С1.1!E13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5383.4220066165199</v>
      </c>
    </row>
    <row r="18" spans="1:3" ht="42.75">
      <c r="A18" s="22" t="s">
        <v>8</v>
      </c>
      <c r="B18" s="25" t="s">
        <v>9</v>
      </c>
      <c r="C18" s="26">
        <f>[41]С1!F12</f>
        <v>795.80460480398301</v>
      </c>
    </row>
    <row r="19" spans="1:3" ht="42.75">
      <c r="A19" s="22" t="s">
        <v>10</v>
      </c>
      <c r="B19" s="25" t="s">
        <v>11</v>
      </c>
      <c r="C19" s="26">
        <f>[41]С2!F12</f>
        <v>3056.1591261705735</v>
      </c>
    </row>
    <row r="20" spans="1:3" ht="30">
      <c r="A20" s="22" t="s">
        <v>12</v>
      </c>
      <c r="B20" s="25" t="s">
        <v>13</v>
      </c>
      <c r="C20" s="26">
        <f>[41]С3!F12</f>
        <v>915.44743976410246</v>
      </c>
    </row>
    <row r="21" spans="1:3" ht="42.75">
      <c r="A21" s="22" t="s">
        <v>14</v>
      </c>
      <c r="B21" s="25" t="s">
        <v>15</v>
      </c>
      <c r="C21" s="26">
        <f>[41]С4!F12</f>
        <v>510.45354163047779</v>
      </c>
    </row>
    <row r="22" spans="1:3" ht="30">
      <c r="A22" s="22" t="s">
        <v>16</v>
      </c>
      <c r="B22" s="25" t="s">
        <v>17</v>
      </c>
      <c r="C22" s="26">
        <f>[41]С5!F12</f>
        <v>105.55729424738274</v>
      </c>
    </row>
    <row r="23" spans="1:3" ht="43.5" thickBot="1">
      <c r="A23" s="27" t="s">
        <v>18</v>
      </c>
      <c r="B23" s="140" t="s">
        <v>19</v>
      </c>
      <c r="C23" s="28" t="str">
        <f>[41]С6!F12</f>
        <v>-</v>
      </c>
    </row>
    <row r="24" spans="1:3" ht="13.5" thickBot="1">
      <c r="A24" s="3"/>
    </row>
    <row r="25" spans="1:3">
      <c r="A25" s="16" t="s">
        <v>4</v>
      </c>
      <c r="B25" s="29" t="s">
        <v>5</v>
      </c>
      <c r="C25" s="30" t="s">
        <v>6</v>
      </c>
    </row>
    <row r="26" spans="1:3">
      <c r="A26" s="19">
        <v>1</v>
      </c>
      <c r="B26" s="31">
        <v>2</v>
      </c>
      <c r="C26" s="32">
        <v>3</v>
      </c>
    </row>
    <row r="27" spans="1:3" ht="37.5" customHeight="1">
      <c r="A27" s="22">
        <v>1</v>
      </c>
      <c r="B27" s="145" t="s">
        <v>20</v>
      </c>
      <c r="C27" s="145"/>
    </row>
    <row r="28" spans="1:3">
      <c r="A28" s="22" t="s">
        <v>8</v>
      </c>
      <c r="B28" s="33" t="s">
        <v>21</v>
      </c>
      <c r="C28" s="34">
        <f>[41]С1.1!E16</f>
        <v>5100</v>
      </c>
    </row>
    <row r="29" spans="1:3" ht="42.75">
      <c r="A29" s="22" t="s">
        <v>10</v>
      </c>
      <c r="B29" s="33" t="s">
        <v>22</v>
      </c>
      <c r="C29" s="34">
        <f>[41]С1.1!E27</f>
        <v>2870.67</v>
      </c>
    </row>
    <row r="30" spans="1:3" ht="17.25">
      <c r="A30" s="22" t="s">
        <v>12</v>
      </c>
      <c r="B30" s="33" t="s">
        <v>23</v>
      </c>
      <c r="C30" s="35">
        <f>[41]С1.1!E19</f>
        <v>1.4E-2</v>
      </c>
    </row>
    <row r="31" spans="1:3" ht="17.25">
      <c r="A31" s="22" t="s">
        <v>14</v>
      </c>
      <c r="B31" s="33" t="s">
        <v>24</v>
      </c>
      <c r="C31" s="35">
        <f>[41]С1.1!E20</f>
        <v>0.04</v>
      </c>
    </row>
    <row r="32" spans="1:3" ht="30">
      <c r="A32" s="22" t="s">
        <v>16</v>
      </c>
      <c r="B32" s="36" t="s">
        <v>25</v>
      </c>
      <c r="C32" s="37">
        <f>[41]С1!F13</f>
        <v>176.4</v>
      </c>
    </row>
    <row r="33" spans="1:3">
      <c r="A33" s="22" t="s">
        <v>18</v>
      </c>
      <c r="B33" s="36" t="s">
        <v>26</v>
      </c>
      <c r="C33" s="38">
        <f>[41]С1!F16</f>
        <v>7000</v>
      </c>
    </row>
    <row r="34" spans="1:3" ht="14.25">
      <c r="A34" s="22" t="s">
        <v>27</v>
      </c>
      <c r="B34" s="39" t="s">
        <v>28</v>
      </c>
      <c r="C34" s="40">
        <f>[41]С1!F17</f>
        <v>0.72857142857142854</v>
      </c>
    </row>
    <row r="35" spans="1:3" ht="15.75">
      <c r="A35" s="41" t="s">
        <v>29</v>
      </c>
      <c r="B35" s="42" t="s">
        <v>30</v>
      </c>
      <c r="C35" s="40">
        <f>[41]С1!F20</f>
        <v>21.588411179999994</v>
      </c>
    </row>
    <row r="36" spans="1:3" ht="15.75">
      <c r="A36" s="41" t="s">
        <v>31</v>
      </c>
      <c r="B36" s="43" t="s">
        <v>32</v>
      </c>
      <c r="C36" s="40">
        <f>[41]С1!F21</f>
        <v>20.818139999999996</v>
      </c>
    </row>
    <row r="37" spans="1:3" ht="14.25">
      <c r="A37" s="41" t="s">
        <v>33</v>
      </c>
      <c r="B37" s="44" t="s">
        <v>34</v>
      </c>
      <c r="C37" s="40">
        <f>[41]С1!F22</f>
        <v>1.0369999999999999</v>
      </c>
    </row>
    <row r="38" spans="1:3" ht="53.25" thickBot="1">
      <c r="A38" s="27" t="s">
        <v>35</v>
      </c>
      <c r="B38" s="45" t="s">
        <v>36</v>
      </c>
      <c r="C38" s="46">
        <f>[41]С1!F23</f>
        <v>1.0469999999999999</v>
      </c>
    </row>
    <row r="39" spans="1:3" ht="13.5" thickBot="1">
      <c r="A39" s="47"/>
      <c r="B39" s="48"/>
      <c r="C39" s="49"/>
    </row>
    <row r="40" spans="1:3" ht="38.25" customHeight="1">
      <c r="A40" s="50" t="s">
        <v>37</v>
      </c>
      <c r="B40" s="146" t="s">
        <v>38</v>
      </c>
      <c r="C40" s="146"/>
    </row>
    <row r="41" spans="1:3" ht="25.5">
      <c r="A41" s="22" t="s">
        <v>39</v>
      </c>
      <c r="B41" s="36" t="s">
        <v>40</v>
      </c>
      <c r="C41" s="51" t="str">
        <f>[41]С2.1!E12</f>
        <v>V</v>
      </c>
    </row>
    <row r="42" spans="1:3" ht="25.5">
      <c r="A42" s="22" t="s">
        <v>41</v>
      </c>
      <c r="B42" s="33" t="s">
        <v>42</v>
      </c>
      <c r="C42" s="51" t="str">
        <f>[41]С2.1!E13</f>
        <v>6 и менее баллов</v>
      </c>
    </row>
    <row r="43" spans="1:3" ht="25.5">
      <c r="A43" s="22" t="s">
        <v>43</v>
      </c>
      <c r="B43" s="33" t="s">
        <v>44</v>
      </c>
      <c r="C43" s="51" t="str">
        <f>[41]С2.1!E14</f>
        <v>от 200 до 500</v>
      </c>
    </row>
    <row r="44" spans="1:3" ht="25.5">
      <c r="A44" s="22" t="s">
        <v>45</v>
      </c>
      <c r="B44" s="33" t="s">
        <v>46</v>
      </c>
      <c r="C44" s="52" t="str">
        <f>[41]С2.1!E15</f>
        <v>нет</v>
      </c>
    </row>
    <row r="45" spans="1:3" ht="30">
      <c r="A45" s="22" t="s">
        <v>47</v>
      </c>
      <c r="B45" s="33" t="s">
        <v>48</v>
      </c>
      <c r="C45" s="34">
        <f>[41]С2!F18</f>
        <v>38910.02669467502</v>
      </c>
    </row>
    <row r="46" spans="1:3" ht="30">
      <c r="A46" s="22" t="s">
        <v>49</v>
      </c>
      <c r="B46" s="53" t="s">
        <v>50</v>
      </c>
      <c r="C46" s="34">
        <f>IF([41]С2!F19&gt;0,[41]С2!F19,[41]С2!F20)</f>
        <v>23441.524932855718</v>
      </c>
    </row>
    <row r="47" spans="1:3" ht="25.5">
      <c r="A47" s="22" t="s">
        <v>51</v>
      </c>
      <c r="B47" s="54" t="s">
        <v>52</v>
      </c>
      <c r="C47" s="34">
        <f>[41]С2.1!E19</f>
        <v>-38</v>
      </c>
    </row>
    <row r="48" spans="1:3" ht="25.5">
      <c r="A48" s="22" t="s">
        <v>53</v>
      </c>
      <c r="B48" s="54" t="s">
        <v>54</v>
      </c>
      <c r="C48" s="34" t="str">
        <f>[41]С2.1!E22</f>
        <v>нет</v>
      </c>
    </row>
    <row r="49" spans="1:3" ht="38.25">
      <c r="A49" s="22" t="s">
        <v>55</v>
      </c>
      <c r="B49" s="55" t="s">
        <v>56</v>
      </c>
      <c r="C49" s="34">
        <f>[41]С2.2!E10</f>
        <v>1287</v>
      </c>
    </row>
    <row r="50" spans="1:3" ht="25.5">
      <c r="A50" s="22" t="s">
        <v>57</v>
      </c>
      <c r="B50" s="56" t="s">
        <v>58</v>
      </c>
      <c r="C50" s="34">
        <f>[41]С2.2!E12</f>
        <v>5.97</v>
      </c>
    </row>
    <row r="51" spans="1:3" ht="52.5">
      <c r="A51" s="22" t="s">
        <v>59</v>
      </c>
      <c r="B51" s="57" t="s">
        <v>60</v>
      </c>
      <c r="C51" s="34">
        <f>[41]С2.2!E13</f>
        <v>1</v>
      </c>
    </row>
    <row r="52" spans="1:3" ht="27.75">
      <c r="A52" s="22" t="s">
        <v>61</v>
      </c>
      <c r="B52" s="56" t="s">
        <v>62</v>
      </c>
      <c r="C52" s="34">
        <f>[41]С2.2!E14</f>
        <v>12104</v>
      </c>
    </row>
    <row r="53" spans="1:3" ht="25.5">
      <c r="A53" s="22" t="s">
        <v>63</v>
      </c>
      <c r="B53" s="57" t="s">
        <v>64</v>
      </c>
      <c r="C53" s="35">
        <f>[41]С2.2!E15</f>
        <v>4.8000000000000001E-2</v>
      </c>
    </row>
    <row r="54" spans="1:3">
      <c r="A54" s="22" t="s">
        <v>65</v>
      </c>
      <c r="B54" s="57" t="s">
        <v>66</v>
      </c>
      <c r="C54" s="34">
        <f>[41]С2.2!E16</f>
        <v>1</v>
      </c>
    </row>
    <row r="55" spans="1:3" ht="15.75">
      <c r="A55" s="22" t="s">
        <v>67</v>
      </c>
      <c r="B55" s="58" t="s">
        <v>68</v>
      </c>
      <c r="C55" s="34">
        <f>[41]С2!F21</f>
        <v>1</v>
      </c>
    </row>
    <row r="56" spans="1:3" ht="30">
      <c r="A56" s="59" t="s">
        <v>69</v>
      </c>
      <c r="B56" s="33" t="s">
        <v>70</v>
      </c>
      <c r="C56" s="34">
        <f>[41]С2!F13</f>
        <v>203708.97017230222</v>
      </c>
    </row>
    <row r="57" spans="1:3" ht="30">
      <c r="A57" s="59" t="s">
        <v>71</v>
      </c>
      <c r="B57" s="58" t="s">
        <v>72</v>
      </c>
      <c r="C57" s="34">
        <f>[41]С2!F14</f>
        <v>113455</v>
      </c>
    </row>
    <row r="58" spans="1:3" ht="15.75">
      <c r="A58" s="59" t="s">
        <v>73</v>
      </c>
      <c r="B58" s="60" t="s">
        <v>74</v>
      </c>
      <c r="C58" s="40">
        <f>[41]С2!F15</f>
        <v>1.071</v>
      </c>
    </row>
    <row r="59" spans="1:3" ht="15.75">
      <c r="A59" s="59" t="s">
        <v>75</v>
      </c>
      <c r="B59" s="60" t="s">
        <v>76</v>
      </c>
      <c r="C59" s="40">
        <f>[41]С2!F16</f>
        <v>1</v>
      </c>
    </row>
    <row r="60" spans="1:3" ht="17.25">
      <c r="A60" s="59" t="s">
        <v>77</v>
      </c>
      <c r="B60" s="58" t="s">
        <v>78</v>
      </c>
      <c r="C60" s="34">
        <f>[41]С2!F17</f>
        <v>1.01</v>
      </c>
    </row>
    <row r="61" spans="1:3" s="63" customFormat="1" ht="14.25">
      <c r="A61" s="59" t="s">
        <v>79</v>
      </c>
      <c r="B61" s="61" t="s">
        <v>80</v>
      </c>
      <c r="C61" s="62">
        <f>[41]С2!F33</f>
        <v>10</v>
      </c>
    </row>
    <row r="62" spans="1:3" ht="30">
      <c r="A62" s="59" t="s">
        <v>81</v>
      </c>
      <c r="B62" s="64" t="s">
        <v>82</v>
      </c>
      <c r="C62" s="34">
        <f>[41]С2!F26</f>
        <v>2416.4994928434235</v>
      </c>
    </row>
    <row r="63" spans="1:3" ht="17.25">
      <c r="A63" s="59" t="s">
        <v>83</v>
      </c>
      <c r="B63" s="53" t="s">
        <v>84</v>
      </c>
      <c r="C63" s="34">
        <f>[41]С2!F27</f>
        <v>0.34662649000000001</v>
      </c>
    </row>
    <row r="64" spans="1:3" ht="17.25">
      <c r="A64" s="59" t="s">
        <v>85</v>
      </c>
      <c r="B64" s="58" t="s">
        <v>86</v>
      </c>
      <c r="C64" s="62">
        <f>[41]С2!F28</f>
        <v>4200</v>
      </c>
    </row>
    <row r="65" spans="1:3" ht="42.75">
      <c r="A65" s="59" t="s">
        <v>87</v>
      </c>
      <c r="B65" s="33" t="s">
        <v>88</v>
      </c>
      <c r="C65" s="34">
        <f>[41]С2!F22</f>
        <v>42890.921752741691</v>
      </c>
    </row>
    <row r="66" spans="1:3" ht="30">
      <c r="A66" s="59" t="s">
        <v>89</v>
      </c>
      <c r="B66" s="60" t="s">
        <v>90</v>
      </c>
      <c r="C66" s="34">
        <f>[41]С2!F23</f>
        <v>1990</v>
      </c>
    </row>
    <row r="67" spans="1:3" ht="30">
      <c r="A67" s="59" t="s">
        <v>91</v>
      </c>
      <c r="B67" s="53" t="s">
        <v>92</v>
      </c>
      <c r="C67" s="34">
        <f>[41]С2.1!E27</f>
        <v>14307.876789999998</v>
      </c>
    </row>
    <row r="68" spans="1:3" ht="38.25">
      <c r="A68" s="59" t="s">
        <v>93</v>
      </c>
      <c r="B68" s="65" t="s">
        <v>94</v>
      </c>
      <c r="C68" s="52">
        <f>[41]С2.3!E21</f>
        <v>0</v>
      </c>
    </row>
    <row r="69" spans="1:3" ht="25.5">
      <c r="A69" s="59" t="s">
        <v>95</v>
      </c>
      <c r="B69" s="66" t="s">
        <v>96</v>
      </c>
      <c r="C69" s="67">
        <f>[41]С2.3!E11</f>
        <v>9.89</v>
      </c>
    </row>
    <row r="70" spans="1:3" ht="25.5">
      <c r="A70" s="59" t="s">
        <v>97</v>
      </c>
      <c r="B70" s="66" t="s">
        <v>98</v>
      </c>
      <c r="C70" s="62">
        <f>[41]С2.3!E13</f>
        <v>300</v>
      </c>
    </row>
    <row r="71" spans="1:3" ht="25.5">
      <c r="A71" s="59" t="s">
        <v>99</v>
      </c>
      <c r="B71" s="65" t="s">
        <v>100</v>
      </c>
      <c r="C71" s="68">
        <f>IF([41]С2.3!E22&gt;0,[41]С2.3!E22,[41]С2.3!E14)</f>
        <v>61211</v>
      </c>
    </row>
    <row r="72" spans="1:3" ht="38.25">
      <c r="A72" s="59" t="s">
        <v>101</v>
      </c>
      <c r="B72" s="65" t="s">
        <v>102</v>
      </c>
      <c r="C72" s="68">
        <f>IF([41]С2.3!E23&gt;0,[41]С2.3!E23,[41]С2.3!E15)</f>
        <v>45675</v>
      </c>
    </row>
    <row r="73" spans="1:3" ht="30">
      <c r="A73" s="59" t="s">
        <v>103</v>
      </c>
      <c r="B73" s="53" t="s">
        <v>104</v>
      </c>
      <c r="C73" s="34">
        <f>[41]С2.1!E28</f>
        <v>9541.9567200000001</v>
      </c>
    </row>
    <row r="74" spans="1:3" ht="38.25">
      <c r="A74" s="59" t="s">
        <v>105</v>
      </c>
      <c r="B74" s="65" t="s">
        <v>106</v>
      </c>
      <c r="C74" s="52">
        <f>[41]С2.3!E25</f>
        <v>0</v>
      </c>
    </row>
    <row r="75" spans="1:3" ht="25.5">
      <c r="A75" s="59" t="s">
        <v>107</v>
      </c>
      <c r="B75" s="66" t="s">
        <v>108</v>
      </c>
      <c r="C75" s="67">
        <f>[41]С2.3!E12</f>
        <v>0.56000000000000005</v>
      </c>
    </row>
    <row r="76" spans="1:3" ht="25.5">
      <c r="A76" s="59" t="s">
        <v>109</v>
      </c>
      <c r="B76" s="66" t="s">
        <v>98</v>
      </c>
      <c r="C76" s="62">
        <f>[41]С2.3!E13</f>
        <v>300</v>
      </c>
    </row>
    <row r="77" spans="1:3" ht="25.5">
      <c r="A77" s="59" t="s">
        <v>110</v>
      </c>
      <c r="B77" s="69" t="s">
        <v>111</v>
      </c>
      <c r="C77" s="68">
        <f>IF([41]С2.3!E26&gt;0,[41]С2.3!E26,[41]С2.3!E16)</f>
        <v>65637</v>
      </c>
    </row>
    <row r="78" spans="1:3" ht="38.25">
      <c r="A78" s="59" t="s">
        <v>112</v>
      </c>
      <c r="B78" s="69" t="s">
        <v>113</v>
      </c>
      <c r="C78" s="68">
        <f>IF([41]С2.3!E27&gt;0,[41]С2.3!E27,[41]С2.3!E17)</f>
        <v>31684</v>
      </c>
    </row>
    <row r="79" spans="1:3" ht="17.25">
      <c r="A79" s="59" t="s">
        <v>114</v>
      </c>
      <c r="B79" s="33" t="s">
        <v>115</v>
      </c>
      <c r="C79" s="35">
        <f>[41]С2!F29</f>
        <v>0.17804631770487722</v>
      </c>
    </row>
    <row r="80" spans="1:3" ht="30">
      <c r="A80" s="59" t="s">
        <v>116</v>
      </c>
      <c r="B80" s="53" t="s">
        <v>117</v>
      </c>
      <c r="C80" s="70">
        <f>[41]С2!F30</f>
        <v>0.1652189781021898</v>
      </c>
    </row>
    <row r="81" spans="1:3" ht="17.25">
      <c r="A81" s="59" t="s">
        <v>118</v>
      </c>
      <c r="B81" s="71" t="s">
        <v>119</v>
      </c>
      <c r="C81" s="35">
        <f>[41]С2!F31</f>
        <v>0.13880000000000001</v>
      </c>
    </row>
    <row r="82" spans="1:3" s="63" customFormat="1" ht="18" thickBot="1">
      <c r="A82" s="72" t="s">
        <v>120</v>
      </c>
      <c r="B82" s="73" t="s">
        <v>121</v>
      </c>
      <c r="C82" s="74">
        <f>[41]С2!F32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[41]С3!F14</f>
        <v>14863.184658749575</v>
      </c>
    </row>
    <row r="86" spans="1:3" s="63" customFormat="1" ht="42.75">
      <c r="A86" s="77" t="s">
        <v>126</v>
      </c>
      <c r="B86" s="53" t="s">
        <v>127</v>
      </c>
      <c r="C86" s="78">
        <f>[41]С3!F15</f>
        <v>0.25</v>
      </c>
    </row>
    <row r="87" spans="1:3" s="63" customFormat="1" ht="14.25">
      <c r="A87" s="77" t="s">
        <v>128</v>
      </c>
      <c r="B87" s="79" t="s">
        <v>129</v>
      </c>
      <c r="C87" s="62">
        <f>[41]С3!F18</f>
        <v>15</v>
      </c>
    </row>
    <row r="88" spans="1:3" s="63" customFormat="1" ht="17.25">
      <c r="A88" s="77" t="s">
        <v>130</v>
      </c>
      <c r="B88" s="33" t="s">
        <v>131</v>
      </c>
      <c r="C88" s="34">
        <f>[41]С3!F19</f>
        <v>4187.478806422544</v>
      </c>
    </row>
    <row r="89" spans="1:3" s="63" customFormat="1" ht="55.5">
      <c r="A89" s="77" t="s">
        <v>132</v>
      </c>
      <c r="B89" s="53" t="s">
        <v>133</v>
      </c>
      <c r="C89" s="80">
        <f>[41]С3!F20</f>
        <v>2.1999999999999999E-2</v>
      </c>
    </row>
    <row r="90" spans="1:3" s="63" customFormat="1" ht="14.25">
      <c r="A90" s="77" t="s">
        <v>134</v>
      </c>
      <c r="B90" s="58" t="s">
        <v>80</v>
      </c>
      <c r="C90" s="62">
        <f>[41]С3!F21</f>
        <v>10</v>
      </c>
    </row>
    <row r="91" spans="1:3" s="63" customFormat="1" ht="17.25">
      <c r="A91" s="77" t="s">
        <v>135</v>
      </c>
      <c r="B91" s="33" t="s">
        <v>136</v>
      </c>
      <c r="C91" s="34">
        <f>[41]С3!F22</f>
        <v>7.2494984785302705</v>
      </c>
    </row>
    <row r="92" spans="1:3" s="63" customFormat="1" ht="55.5">
      <c r="A92" s="77" t="s">
        <v>137</v>
      </c>
      <c r="B92" s="53" t="s">
        <v>138</v>
      </c>
      <c r="C92" s="80">
        <f>[41]С3!F23</f>
        <v>3.0000000000000001E-3</v>
      </c>
    </row>
    <row r="93" spans="1:3" s="63" customFormat="1" ht="27.75" thickBot="1">
      <c r="A93" s="81" t="s">
        <v>139</v>
      </c>
      <c r="B93" s="82" t="s">
        <v>140</v>
      </c>
      <c r="C93" s="83">
        <f>[41]С3!F24</f>
        <v>2416.4994928434235</v>
      </c>
    </row>
    <row r="94" spans="1:3" ht="13.5" thickBot="1">
      <c r="A94" s="47"/>
      <c r="B94" s="75"/>
      <c r="C94" s="15"/>
    </row>
    <row r="95" spans="1:3" ht="34.5" customHeight="1">
      <c r="A95" s="84" t="s">
        <v>141</v>
      </c>
      <c r="B95" s="146" t="s">
        <v>142</v>
      </c>
      <c r="C95" s="146"/>
    </row>
    <row r="96" spans="1:3" ht="30">
      <c r="A96" s="59" t="s">
        <v>143</v>
      </c>
      <c r="B96" s="33" t="s">
        <v>144</v>
      </c>
      <c r="C96" s="34">
        <f>[41]С4!F16</f>
        <v>1652.5</v>
      </c>
    </row>
    <row r="97" spans="1:3" ht="30">
      <c r="A97" s="59" t="s">
        <v>145</v>
      </c>
      <c r="B97" s="58" t="s">
        <v>146</v>
      </c>
      <c r="C97" s="34">
        <f>[41]С4!F17</f>
        <v>73547</v>
      </c>
    </row>
    <row r="98" spans="1:3" ht="17.25">
      <c r="A98" s="59" t="s">
        <v>147</v>
      </c>
      <c r="B98" s="58" t="s">
        <v>148</v>
      </c>
      <c r="C98" s="40">
        <f>[41]С4!F18</f>
        <v>0.02</v>
      </c>
    </row>
    <row r="99" spans="1:3" ht="30">
      <c r="A99" s="59" t="s">
        <v>149</v>
      </c>
      <c r="B99" s="58" t="s">
        <v>150</v>
      </c>
      <c r="C99" s="34">
        <f>[41]С4!F19</f>
        <v>12104</v>
      </c>
    </row>
    <row r="100" spans="1:3" ht="31.5">
      <c r="A100" s="59" t="s">
        <v>151</v>
      </c>
      <c r="B100" s="58" t="s">
        <v>152</v>
      </c>
      <c r="C100" s="40">
        <f>[41]С4!F20</f>
        <v>1.4999999999999999E-2</v>
      </c>
    </row>
    <row r="101" spans="1:3" ht="30">
      <c r="A101" s="59" t="s">
        <v>153</v>
      </c>
      <c r="B101" s="33" t="s">
        <v>154</v>
      </c>
      <c r="C101" s="34">
        <f>[41]С4!F21</f>
        <v>1933.1949342509995</v>
      </c>
    </row>
    <row r="102" spans="1:3" ht="24" customHeight="1">
      <c r="A102" s="59" t="s">
        <v>155</v>
      </c>
      <c r="B102" s="53" t="s">
        <v>156</v>
      </c>
      <c r="C102" s="85">
        <f>IF([41]С4.2!F8="да",[41]С4.2!D21,[41]С4.2!D15)</f>
        <v>0</v>
      </c>
    </row>
    <row r="103" spans="1:3" ht="68.25">
      <c r="A103" s="59" t="s">
        <v>157</v>
      </c>
      <c r="B103" s="53" t="s">
        <v>158</v>
      </c>
      <c r="C103" s="34">
        <f>[41]С4!F22</f>
        <v>3.6112641666666665</v>
      </c>
    </row>
    <row r="104" spans="1:3" ht="30">
      <c r="A104" s="59" t="s">
        <v>159</v>
      </c>
      <c r="B104" s="58" t="s">
        <v>160</v>
      </c>
      <c r="C104" s="34">
        <f>[41]С4!F23</f>
        <v>180</v>
      </c>
    </row>
    <row r="105" spans="1:3" ht="14.25">
      <c r="A105" s="59" t="s">
        <v>161</v>
      </c>
      <c r="B105" s="53" t="s">
        <v>162</v>
      </c>
      <c r="C105" s="34">
        <f>[41]С4!F24</f>
        <v>8497.1999999999989</v>
      </c>
    </row>
    <row r="106" spans="1:3" ht="14.25">
      <c r="A106" s="59" t="s">
        <v>163</v>
      </c>
      <c r="B106" s="58" t="s">
        <v>164</v>
      </c>
      <c r="C106" s="40">
        <f>[41]С4!F25</f>
        <v>0.35</v>
      </c>
    </row>
    <row r="107" spans="1:3" ht="17.25">
      <c r="A107" s="59" t="s">
        <v>165</v>
      </c>
      <c r="B107" s="33" t="s">
        <v>166</v>
      </c>
      <c r="C107" s="34">
        <f>[41]С4!F26</f>
        <v>90.399299999999997</v>
      </c>
    </row>
    <row r="108" spans="1:3" ht="25.5">
      <c r="A108" s="59" t="s">
        <v>167</v>
      </c>
      <c r="B108" s="53" t="s">
        <v>94</v>
      </c>
      <c r="C108" s="85">
        <f>[41]С4.3!E16</f>
        <v>0</v>
      </c>
    </row>
    <row r="109" spans="1:3" ht="25.5">
      <c r="A109" s="59" t="s">
        <v>168</v>
      </c>
      <c r="B109" s="53" t="s">
        <v>169</v>
      </c>
      <c r="C109" s="34">
        <f>[41]С4.3!E17</f>
        <v>24.5</v>
      </c>
    </row>
    <row r="110" spans="1:3" ht="38.25">
      <c r="A110" s="59" t="s">
        <v>170</v>
      </c>
      <c r="B110" s="53" t="s">
        <v>106</v>
      </c>
      <c r="C110" s="85">
        <f>[41]С4.3!E18</f>
        <v>0</v>
      </c>
    </row>
    <row r="111" spans="1:3">
      <c r="A111" s="59" t="s">
        <v>171</v>
      </c>
      <c r="B111" s="53" t="s">
        <v>172</v>
      </c>
      <c r="C111" s="34">
        <f>[41]С4.3!E19</f>
        <v>21.95</v>
      </c>
    </row>
    <row r="112" spans="1:3">
      <c r="A112" s="59" t="s">
        <v>173</v>
      </c>
      <c r="B112" s="58" t="s">
        <v>174</v>
      </c>
      <c r="C112" s="34">
        <f>[41]С4.3!E11</f>
        <v>1871</v>
      </c>
    </row>
    <row r="113" spans="1:3">
      <c r="A113" s="59" t="s">
        <v>175</v>
      </c>
      <c r="B113" s="58" t="s">
        <v>176</v>
      </c>
      <c r="C113" s="52">
        <f>[41]С4.3!E12</f>
        <v>1636</v>
      </c>
    </row>
    <row r="114" spans="1:3">
      <c r="A114" s="59" t="s">
        <v>177</v>
      </c>
      <c r="B114" s="58" t="s">
        <v>178</v>
      </c>
      <c r="C114" s="52">
        <f>[41]С4.3!E13</f>
        <v>204</v>
      </c>
    </row>
    <row r="115" spans="1:3" ht="30">
      <c r="A115" s="59" t="s">
        <v>179</v>
      </c>
      <c r="B115" s="33" t="s">
        <v>180</v>
      </c>
      <c r="C115" s="34">
        <f>[41]С4!F27</f>
        <v>1291.2863994686898</v>
      </c>
    </row>
    <row r="116" spans="1:3" ht="25.5">
      <c r="A116" s="59" t="s">
        <v>181</v>
      </c>
      <c r="B116" s="53" t="s">
        <v>182</v>
      </c>
      <c r="C116" s="34">
        <f>[41]С4!F28</f>
        <v>991.77142816335618</v>
      </c>
    </row>
    <row r="117" spans="1:3" ht="42.75">
      <c r="A117" s="59" t="s">
        <v>183</v>
      </c>
      <c r="B117" s="53" t="s">
        <v>184</v>
      </c>
      <c r="C117" s="34">
        <f>[41]С4!F29</f>
        <v>299.51497130533357</v>
      </c>
    </row>
    <row r="118" spans="1:3" ht="30">
      <c r="A118" s="59" t="s">
        <v>185</v>
      </c>
      <c r="B118" s="39" t="s">
        <v>186</v>
      </c>
      <c r="C118" s="34">
        <f>[41]С4!F30</f>
        <v>2381.4569608699262</v>
      </c>
    </row>
    <row r="119" spans="1:3" ht="42.75">
      <c r="A119" s="59" t="s">
        <v>187</v>
      </c>
      <c r="B119" s="86" t="s">
        <v>188</v>
      </c>
      <c r="C119" s="34">
        <f>[41]С4!F33</f>
        <v>1176.7426982817792</v>
      </c>
    </row>
    <row r="120" spans="1:3" ht="30">
      <c r="A120" s="59" t="s">
        <v>189</v>
      </c>
      <c r="B120" s="87" t="s">
        <v>190</v>
      </c>
      <c r="C120" s="34">
        <f>[41]С4!F35</f>
        <v>17.040680999999999</v>
      </c>
    </row>
    <row r="121" spans="1:3" ht="14.25">
      <c r="A121" s="59" t="s">
        <v>191</v>
      </c>
      <c r="B121" s="56" t="s">
        <v>192</v>
      </c>
      <c r="C121" s="34">
        <f>[41]С4!F36</f>
        <v>14319.9</v>
      </c>
    </row>
    <row r="122" spans="1:3" ht="28.5" thickBot="1">
      <c r="A122" s="72" t="s">
        <v>193</v>
      </c>
      <c r="B122" s="88" t="s">
        <v>194</v>
      </c>
      <c r="C122" s="83">
        <f>[41]С4!F37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[41]С5!F17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[41]С2!F37</f>
        <v>20.818139999999996</v>
      </c>
    </row>
    <row r="136" spans="1:4" ht="14.25">
      <c r="A136" s="59" t="s">
        <v>216</v>
      </c>
      <c r="B136" s="101" t="s">
        <v>217</v>
      </c>
      <c r="C136" s="34">
        <f>[41]С2!F38</f>
        <v>7</v>
      </c>
    </row>
    <row r="137" spans="1:4" ht="17.25">
      <c r="A137" s="59" t="s">
        <v>218</v>
      </c>
      <c r="B137" s="101" t="s">
        <v>219</v>
      </c>
      <c r="C137" s="34">
        <f>[41]С2!F40</f>
        <v>0.97</v>
      </c>
    </row>
    <row r="138" spans="1:4" ht="15" thickBot="1">
      <c r="A138" s="72" t="s">
        <v>220</v>
      </c>
      <c r="B138" s="102" t="s">
        <v>221</v>
      </c>
      <c r="C138" s="46">
        <f>[41]С2!F42</f>
        <v>0.35</v>
      </c>
    </row>
    <row r="139" spans="1:4" s="89" customFormat="1" ht="13.5" thickBot="1">
      <c r="A139" s="47"/>
      <c r="B139" s="75"/>
      <c r="C139" s="15"/>
    </row>
    <row r="140" spans="1:4" ht="30">
      <c r="A140" s="84" t="s">
        <v>222</v>
      </c>
      <c r="B140" s="103" t="s">
        <v>223</v>
      </c>
      <c r="C140" s="104">
        <f>[41]С2!F35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[41]С2.5!$E$11</f>
        <v>-2.9000000000000026E-2</v>
      </c>
      <c r="D143" s="89"/>
    </row>
    <row r="144" spans="1:4">
      <c r="A144" s="105"/>
      <c r="B144" s="110">
        <f>B143+1</f>
        <v>2021</v>
      </c>
      <c r="C144" s="111">
        <f>[41]С2.5!$F$11</f>
        <v>0.245</v>
      </c>
      <c r="D144" s="89"/>
    </row>
    <row r="145" spans="1:4">
      <c r="A145" s="105"/>
      <c r="B145" s="110">
        <f t="shared" ref="B145:B208" si="0">B144+1</f>
        <v>2022</v>
      </c>
      <c r="C145" s="111">
        <f>[41]С2.5!$G$11</f>
        <v>0.114</v>
      </c>
      <c r="D145" s="89"/>
    </row>
    <row r="146" spans="1:4" ht="13.5" thickBot="1">
      <c r="A146" s="105"/>
      <c r="B146" s="112">
        <f t="shared" si="0"/>
        <v>2023</v>
      </c>
      <c r="C146" s="113">
        <f>[41]С2.5!$H$11</f>
        <v>0.04</v>
      </c>
      <c r="D146" s="89"/>
    </row>
    <row r="147" spans="1:4">
      <c r="A147" s="105"/>
      <c r="B147" s="114">
        <f t="shared" si="0"/>
        <v>2024</v>
      </c>
      <c r="C147" s="115">
        <f>[41]С2.5!$I$11</f>
        <v>0.11700000000000001</v>
      </c>
      <c r="D147" s="89"/>
    </row>
    <row r="148" spans="1:4">
      <c r="A148" s="105"/>
      <c r="B148" s="110">
        <f t="shared" si="0"/>
        <v>2025</v>
      </c>
      <c r="C148" s="111">
        <f>[41]С2.5!$J$11</f>
        <v>6.0999999999999999E-2</v>
      </c>
      <c r="D148" s="89"/>
    </row>
    <row r="149" spans="1:4" hidden="1">
      <c r="A149" s="105"/>
      <c r="B149" s="110">
        <f t="shared" si="0"/>
        <v>2026</v>
      </c>
      <c r="C149" s="111">
        <f>[41]С2.5!$K$11</f>
        <v>3.5813361771260002E-2</v>
      </c>
      <c r="D149" s="89"/>
    </row>
    <row r="150" spans="1:4" hidden="1">
      <c r="A150" s="105"/>
      <c r="B150" s="110">
        <f t="shared" si="0"/>
        <v>2027</v>
      </c>
      <c r="C150" s="111">
        <f>[41]С2.5!$L$11</f>
        <v>3.2682303599220003E-2</v>
      </c>
      <c r="D150" s="89"/>
    </row>
    <row r="151" spans="1:4" hidden="1">
      <c r="A151" s="105"/>
      <c r="B151" s="110">
        <f t="shared" si="0"/>
        <v>2028</v>
      </c>
      <c r="C151" s="111">
        <f>[41]С2.5!$M$11</f>
        <v>0</v>
      </c>
      <c r="D151" s="89"/>
    </row>
    <row r="152" spans="1:4" hidden="1">
      <c r="A152" s="105"/>
      <c r="B152" s="110">
        <f t="shared" si="0"/>
        <v>2029</v>
      </c>
      <c r="C152" s="111">
        <f>[41]С2.5!$N$11</f>
        <v>0</v>
      </c>
      <c r="D152" s="89"/>
    </row>
    <row r="153" spans="1:4" hidden="1">
      <c r="A153" s="105"/>
      <c r="B153" s="110">
        <f t="shared" si="0"/>
        <v>2030</v>
      </c>
      <c r="C153" s="111">
        <f>[41]С2.5!$O$11</f>
        <v>0</v>
      </c>
      <c r="D153" s="89"/>
    </row>
    <row r="154" spans="1:4" hidden="1">
      <c r="A154" s="105"/>
      <c r="B154" s="110">
        <f t="shared" si="0"/>
        <v>2031</v>
      </c>
      <c r="C154" s="111">
        <f>[41]С2.5!$P$11</f>
        <v>0</v>
      </c>
      <c r="D154" s="89"/>
    </row>
    <row r="155" spans="1:4" hidden="1">
      <c r="A155" s="89"/>
      <c r="B155" s="110">
        <f t="shared" si="0"/>
        <v>2032</v>
      </c>
      <c r="C155" s="111">
        <f>[41]С2.5!$Q$11</f>
        <v>0</v>
      </c>
      <c r="D155" s="89"/>
    </row>
    <row r="156" spans="1:4" hidden="1">
      <c r="A156" s="89"/>
      <c r="B156" s="110">
        <f t="shared" si="0"/>
        <v>2033</v>
      </c>
      <c r="C156" s="111">
        <f>[41]С2.5!$R$11</f>
        <v>0</v>
      </c>
      <c r="D156" s="89"/>
    </row>
    <row r="157" spans="1:4" hidden="1">
      <c r="B157" s="110">
        <f t="shared" si="0"/>
        <v>2034</v>
      </c>
      <c r="C157" s="111">
        <f>[41]С2.5!$S$11</f>
        <v>0</v>
      </c>
    </row>
    <row r="158" spans="1:4" hidden="1">
      <c r="B158" s="110">
        <f t="shared" si="0"/>
        <v>2035</v>
      </c>
      <c r="C158" s="111">
        <f>[41]С2.5!$T$11</f>
        <v>0</v>
      </c>
    </row>
    <row r="159" spans="1:4" hidden="1">
      <c r="B159" s="110">
        <f t="shared" si="0"/>
        <v>2036</v>
      </c>
      <c r="C159" s="111">
        <f>[41]С2.5!$U$11</f>
        <v>0</v>
      </c>
    </row>
    <row r="160" spans="1:4" hidden="1">
      <c r="B160" s="110">
        <f t="shared" si="0"/>
        <v>2037</v>
      </c>
      <c r="C160" s="111">
        <f>[41]С2.5!$V$11</f>
        <v>0</v>
      </c>
    </row>
    <row r="161" spans="2:3" hidden="1">
      <c r="B161" s="110">
        <f t="shared" si="0"/>
        <v>2038</v>
      </c>
      <c r="C161" s="111">
        <f>[41]С2.5!$W$11</f>
        <v>0</v>
      </c>
    </row>
    <row r="162" spans="2:3" hidden="1">
      <c r="B162" s="110">
        <f t="shared" si="0"/>
        <v>2039</v>
      </c>
      <c r="C162" s="111">
        <f>[41]С2.5!$X$11</f>
        <v>0</v>
      </c>
    </row>
    <row r="163" spans="2:3" hidden="1">
      <c r="B163" s="110">
        <f t="shared" si="0"/>
        <v>2040</v>
      </c>
      <c r="C163" s="111">
        <f>[41]С2.5!$Y$11</f>
        <v>0</v>
      </c>
    </row>
    <row r="164" spans="2:3" hidden="1">
      <c r="B164" s="110">
        <f t="shared" si="0"/>
        <v>2041</v>
      </c>
      <c r="C164" s="111">
        <f>[41]С2.5!$Z$11</f>
        <v>0</v>
      </c>
    </row>
    <row r="165" spans="2:3" hidden="1">
      <c r="B165" s="110">
        <f t="shared" si="0"/>
        <v>2042</v>
      </c>
      <c r="C165" s="111">
        <f>[41]С2.5!$AA$11</f>
        <v>0</v>
      </c>
    </row>
    <row r="166" spans="2:3" hidden="1">
      <c r="B166" s="110">
        <f t="shared" si="0"/>
        <v>2043</v>
      </c>
      <c r="C166" s="111">
        <f>[41]С2.5!$AB$11</f>
        <v>0</v>
      </c>
    </row>
    <row r="167" spans="2:3" hidden="1">
      <c r="B167" s="110">
        <f t="shared" si="0"/>
        <v>2044</v>
      </c>
      <c r="C167" s="111">
        <f>[41]С2.5!$AC$11</f>
        <v>0</v>
      </c>
    </row>
    <row r="168" spans="2:3" hidden="1">
      <c r="B168" s="110">
        <f t="shared" si="0"/>
        <v>2045</v>
      </c>
      <c r="C168" s="111">
        <f>[41]С2.5!$AD$11</f>
        <v>0</v>
      </c>
    </row>
    <row r="169" spans="2:3" hidden="1">
      <c r="B169" s="110">
        <f t="shared" si="0"/>
        <v>2046</v>
      </c>
      <c r="C169" s="111">
        <f>[41]С2.5!$AE$11</f>
        <v>0</v>
      </c>
    </row>
    <row r="170" spans="2:3" hidden="1">
      <c r="B170" s="110">
        <f t="shared" si="0"/>
        <v>2047</v>
      </c>
      <c r="C170" s="111">
        <f>[41]С2.5!$AF$11</f>
        <v>0</v>
      </c>
    </row>
    <row r="171" spans="2:3" hidden="1">
      <c r="B171" s="110">
        <f t="shared" si="0"/>
        <v>2048</v>
      </c>
      <c r="C171" s="111">
        <f>[41]С2.5!$AG$11</f>
        <v>0</v>
      </c>
    </row>
    <row r="172" spans="2:3" hidden="1">
      <c r="B172" s="110">
        <f t="shared" si="0"/>
        <v>2049</v>
      </c>
      <c r="C172" s="111">
        <f>[41]С2.5!$AH$11</f>
        <v>0</v>
      </c>
    </row>
    <row r="173" spans="2:3" hidden="1">
      <c r="B173" s="110">
        <f t="shared" si="0"/>
        <v>2050</v>
      </c>
      <c r="C173" s="111">
        <f>[41]С2.5!$AI$11</f>
        <v>0</v>
      </c>
    </row>
    <row r="174" spans="2:3" hidden="1">
      <c r="B174" s="110">
        <f t="shared" si="0"/>
        <v>2051</v>
      </c>
      <c r="C174" s="111">
        <f>[41]С2.5!$AJ$11</f>
        <v>0</v>
      </c>
    </row>
    <row r="175" spans="2:3" hidden="1">
      <c r="B175" s="110">
        <f t="shared" si="0"/>
        <v>2052</v>
      </c>
      <c r="C175" s="111">
        <f>[41]С2.5!$AK$11</f>
        <v>0</v>
      </c>
    </row>
    <row r="176" spans="2:3" hidden="1">
      <c r="B176" s="110">
        <f t="shared" si="0"/>
        <v>2053</v>
      </c>
      <c r="C176" s="111">
        <f>[41]С2.5!$AL$11</f>
        <v>0</v>
      </c>
    </row>
    <row r="177" spans="2:3" hidden="1">
      <c r="B177" s="110">
        <f t="shared" si="0"/>
        <v>2054</v>
      </c>
      <c r="C177" s="111">
        <f>[41]С2.5!$AM$11</f>
        <v>0</v>
      </c>
    </row>
    <row r="178" spans="2:3" hidden="1">
      <c r="B178" s="110">
        <f t="shared" si="0"/>
        <v>2055</v>
      </c>
      <c r="C178" s="111">
        <f>[41]С2.5!$AN$11</f>
        <v>0</v>
      </c>
    </row>
    <row r="179" spans="2:3" hidden="1">
      <c r="B179" s="110">
        <f t="shared" si="0"/>
        <v>2056</v>
      </c>
      <c r="C179" s="111">
        <f>[41]С2.5!$AO$11</f>
        <v>0</v>
      </c>
    </row>
    <row r="180" spans="2:3" hidden="1">
      <c r="B180" s="110">
        <f t="shared" si="0"/>
        <v>2057</v>
      </c>
      <c r="C180" s="111">
        <f>[41]С2.5!$AP$11</f>
        <v>0</v>
      </c>
    </row>
    <row r="181" spans="2:3" hidden="1">
      <c r="B181" s="110">
        <f t="shared" si="0"/>
        <v>2058</v>
      </c>
      <c r="C181" s="111">
        <f>[41]С2.5!$AQ$11</f>
        <v>0</v>
      </c>
    </row>
    <row r="182" spans="2:3" hidden="1">
      <c r="B182" s="110">
        <f t="shared" si="0"/>
        <v>2059</v>
      </c>
      <c r="C182" s="111">
        <f>[41]С2.5!$AR$11</f>
        <v>0</v>
      </c>
    </row>
    <row r="183" spans="2:3" hidden="1">
      <c r="B183" s="110">
        <f t="shared" si="0"/>
        <v>2060</v>
      </c>
      <c r="C183" s="111">
        <f>[41]С2.5!$AS$11</f>
        <v>0</v>
      </c>
    </row>
    <row r="184" spans="2:3" hidden="1">
      <c r="B184" s="110">
        <f t="shared" si="0"/>
        <v>2061</v>
      </c>
      <c r="C184" s="111">
        <f>[41]С2.5!$AT$11</f>
        <v>0</v>
      </c>
    </row>
    <row r="185" spans="2:3" hidden="1">
      <c r="B185" s="110">
        <f t="shared" si="0"/>
        <v>2062</v>
      </c>
      <c r="C185" s="111">
        <f>[41]С2.5!$AU$11</f>
        <v>0</v>
      </c>
    </row>
    <row r="186" spans="2:3" hidden="1">
      <c r="B186" s="110">
        <f t="shared" si="0"/>
        <v>2063</v>
      </c>
      <c r="C186" s="111">
        <f>[41]С2.5!$AV$11</f>
        <v>0</v>
      </c>
    </row>
    <row r="187" spans="2:3" hidden="1">
      <c r="B187" s="110">
        <f t="shared" si="0"/>
        <v>2064</v>
      </c>
      <c r="C187" s="111">
        <f>[41]С2.5!$AW$11</f>
        <v>0</v>
      </c>
    </row>
    <row r="188" spans="2:3" hidden="1">
      <c r="B188" s="110">
        <f t="shared" si="0"/>
        <v>2065</v>
      </c>
      <c r="C188" s="111">
        <f>[41]С2.5!$AX$11</f>
        <v>0</v>
      </c>
    </row>
    <row r="189" spans="2:3" hidden="1">
      <c r="B189" s="110">
        <f t="shared" si="0"/>
        <v>2066</v>
      </c>
      <c r="C189" s="111">
        <f>[41]С2.5!$AY$11</f>
        <v>0</v>
      </c>
    </row>
    <row r="190" spans="2:3" hidden="1">
      <c r="B190" s="110">
        <f t="shared" si="0"/>
        <v>2067</v>
      </c>
      <c r="C190" s="111">
        <f>[41]С2.5!$AZ$11</f>
        <v>0</v>
      </c>
    </row>
    <row r="191" spans="2:3" hidden="1">
      <c r="B191" s="110">
        <f t="shared" si="0"/>
        <v>2068</v>
      </c>
      <c r="C191" s="111">
        <f>[41]С2.5!$BA$11</f>
        <v>0</v>
      </c>
    </row>
    <row r="192" spans="2:3" hidden="1">
      <c r="B192" s="110">
        <f t="shared" si="0"/>
        <v>2069</v>
      </c>
      <c r="C192" s="111">
        <f>[41]С2.5!$BB$11</f>
        <v>0</v>
      </c>
    </row>
    <row r="193" spans="2:3" hidden="1">
      <c r="B193" s="110">
        <f t="shared" si="0"/>
        <v>2070</v>
      </c>
      <c r="C193" s="111">
        <f>[41]С2.5!$BC$11</f>
        <v>0</v>
      </c>
    </row>
    <row r="194" spans="2:3" hidden="1">
      <c r="B194" s="110">
        <f t="shared" si="0"/>
        <v>2071</v>
      </c>
      <c r="C194" s="111">
        <f>[41]С2.5!$BD$11</f>
        <v>0</v>
      </c>
    </row>
    <row r="195" spans="2:3" hidden="1">
      <c r="B195" s="110">
        <f t="shared" si="0"/>
        <v>2072</v>
      </c>
      <c r="C195" s="111">
        <f>[41]С2.5!$BE$11</f>
        <v>0</v>
      </c>
    </row>
    <row r="196" spans="2:3" hidden="1">
      <c r="B196" s="110">
        <f t="shared" si="0"/>
        <v>2073</v>
      </c>
      <c r="C196" s="111">
        <f>[41]С2.5!$BF$11</f>
        <v>0</v>
      </c>
    </row>
    <row r="197" spans="2:3" hidden="1">
      <c r="B197" s="110">
        <f t="shared" si="0"/>
        <v>2074</v>
      </c>
      <c r="C197" s="111">
        <f>[41]С2.5!$BG$11</f>
        <v>0</v>
      </c>
    </row>
    <row r="198" spans="2:3" hidden="1">
      <c r="B198" s="110">
        <f t="shared" si="0"/>
        <v>2075</v>
      </c>
      <c r="C198" s="111">
        <f>[41]С2.5!$BH$11</f>
        <v>0</v>
      </c>
    </row>
    <row r="199" spans="2:3" hidden="1">
      <c r="B199" s="110">
        <f t="shared" si="0"/>
        <v>2076</v>
      </c>
      <c r="C199" s="111">
        <f>[41]С2.5!$BI$11</f>
        <v>0</v>
      </c>
    </row>
    <row r="200" spans="2:3" hidden="1">
      <c r="B200" s="110">
        <f t="shared" si="0"/>
        <v>2077</v>
      </c>
      <c r="C200" s="111">
        <f>[41]С2.5!$BJ$11</f>
        <v>0</v>
      </c>
    </row>
    <row r="201" spans="2:3" hidden="1">
      <c r="B201" s="110">
        <f t="shared" si="0"/>
        <v>2078</v>
      </c>
      <c r="C201" s="111">
        <f>[41]С2.5!$BK$11</f>
        <v>0</v>
      </c>
    </row>
    <row r="202" spans="2:3" hidden="1">
      <c r="B202" s="110">
        <f t="shared" si="0"/>
        <v>2079</v>
      </c>
      <c r="C202" s="111">
        <f>[41]С2.5!$BL$11</f>
        <v>0</v>
      </c>
    </row>
    <row r="203" spans="2:3" hidden="1">
      <c r="B203" s="110">
        <f t="shared" si="0"/>
        <v>2080</v>
      </c>
      <c r="C203" s="111">
        <f>[41]С2.5!$BM$11</f>
        <v>0</v>
      </c>
    </row>
    <row r="204" spans="2:3" hidden="1">
      <c r="B204" s="110">
        <f t="shared" si="0"/>
        <v>2081</v>
      </c>
      <c r="C204" s="111">
        <f>[41]С2.5!$BN$11</f>
        <v>0</v>
      </c>
    </row>
    <row r="205" spans="2:3" hidden="1">
      <c r="B205" s="110">
        <f t="shared" si="0"/>
        <v>2082</v>
      </c>
      <c r="C205" s="111">
        <f>[41]С2.5!$BO$11</f>
        <v>0</v>
      </c>
    </row>
    <row r="206" spans="2:3" hidden="1">
      <c r="B206" s="110">
        <f t="shared" si="0"/>
        <v>2083</v>
      </c>
      <c r="C206" s="111">
        <f>[41]С2.5!$BP$11</f>
        <v>0</v>
      </c>
    </row>
    <row r="207" spans="2:3" hidden="1">
      <c r="B207" s="110">
        <f t="shared" si="0"/>
        <v>2084</v>
      </c>
      <c r="C207" s="111">
        <f>[41]С2.5!$BQ$11</f>
        <v>0</v>
      </c>
    </row>
    <row r="208" spans="2:3" hidden="1">
      <c r="B208" s="110">
        <f t="shared" si="0"/>
        <v>2085</v>
      </c>
      <c r="C208" s="111">
        <f>[41]С2.5!$BR$11</f>
        <v>0</v>
      </c>
    </row>
    <row r="209" spans="2:3" hidden="1">
      <c r="B209" s="110">
        <f t="shared" ref="B209:B223" si="1">B208+1</f>
        <v>2086</v>
      </c>
      <c r="C209" s="111">
        <f>[41]С2.5!$BS$11</f>
        <v>0</v>
      </c>
    </row>
    <row r="210" spans="2:3" hidden="1">
      <c r="B210" s="110">
        <f t="shared" si="1"/>
        <v>2087</v>
      </c>
      <c r="C210" s="111">
        <f>[41]С2.5!$BT$11</f>
        <v>0</v>
      </c>
    </row>
    <row r="211" spans="2:3" hidden="1">
      <c r="B211" s="110">
        <f t="shared" si="1"/>
        <v>2088</v>
      </c>
      <c r="C211" s="111">
        <f>[41]С2.5!$BU$11</f>
        <v>0</v>
      </c>
    </row>
    <row r="212" spans="2:3" hidden="1">
      <c r="B212" s="110">
        <f t="shared" si="1"/>
        <v>2089</v>
      </c>
      <c r="C212" s="111">
        <f>[41]С2.5!$BV$11</f>
        <v>0</v>
      </c>
    </row>
    <row r="213" spans="2:3" hidden="1">
      <c r="B213" s="110">
        <f t="shared" si="1"/>
        <v>2090</v>
      </c>
      <c r="C213" s="111">
        <f>[41]С2.5!$BW$11</f>
        <v>0</v>
      </c>
    </row>
    <row r="214" spans="2:3" hidden="1">
      <c r="B214" s="110">
        <f t="shared" si="1"/>
        <v>2091</v>
      </c>
      <c r="C214" s="111">
        <f>[41]С2.5!$BX$11</f>
        <v>0</v>
      </c>
    </row>
    <row r="215" spans="2:3" hidden="1">
      <c r="B215" s="110">
        <f t="shared" si="1"/>
        <v>2092</v>
      </c>
      <c r="C215" s="111">
        <f>[41]С2.5!$BY$11</f>
        <v>0</v>
      </c>
    </row>
    <row r="216" spans="2:3" hidden="1">
      <c r="B216" s="110">
        <f t="shared" si="1"/>
        <v>2093</v>
      </c>
      <c r="C216" s="111">
        <f>[41]С2.5!$BZ$11</f>
        <v>0</v>
      </c>
    </row>
    <row r="217" spans="2:3" hidden="1">
      <c r="B217" s="110">
        <f t="shared" si="1"/>
        <v>2094</v>
      </c>
      <c r="C217" s="111">
        <f>[41]С2.5!$CA$11</f>
        <v>0</v>
      </c>
    </row>
    <row r="218" spans="2:3" hidden="1">
      <c r="B218" s="110">
        <f t="shared" si="1"/>
        <v>2095</v>
      </c>
      <c r="C218" s="111">
        <f>[41]С2.5!$CB$11</f>
        <v>0</v>
      </c>
    </row>
    <row r="219" spans="2:3" hidden="1">
      <c r="B219" s="110">
        <f t="shared" si="1"/>
        <v>2096</v>
      </c>
      <c r="C219" s="111">
        <f>[41]С2.5!$CC$11</f>
        <v>0</v>
      </c>
    </row>
    <row r="220" spans="2:3" hidden="1">
      <c r="B220" s="110">
        <f t="shared" si="1"/>
        <v>2097</v>
      </c>
      <c r="C220" s="111">
        <f>[41]С2.5!$CD$11</f>
        <v>0</v>
      </c>
    </row>
    <row r="221" spans="2:3" hidden="1">
      <c r="B221" s="110">
        <f t="shared" si="1"/>
        <v>2098</v>
      </c>
      <c r="C221" s="111">
        <f>[41]С2.5!$CE$11</f>
        <v>0</v>
      </c>
    </row>
    <row r="222" spans="2:3" hidden="1">
      <c r="B222" s="110">
        <f t="shared" si="1"/>
        <v>2099</v>
      </c>
      <c r="C222" s="111">
        <f>[41]С2.5!$CF$11</f>
        <v>0</v>
      </c>
    </row>
    <row r="223" spans="2:3" ht="13.5" hidden="1" thickBot="1">
      <c r="B223" s="112">
        <f t="shared" si="1"/>
        <v>2100</v>
      </c>
      <c r="C223" s="113">
        <f>[41]С2.5!$CG$11</f>
        <v>0</v>
      </c>
    </row>
    <row r="224" spans="2:3" hidden="1">
      <c r="C224" s="116"/>
    </row>
    <row r="225" spans="3:3" hidden="1">
      <c r="C225" s="116"/>
    </row>
    <row r="226" spans="3:3">
      <c r="C226" s="116"/>
    </row>
  </sheetData>
  <mergeCells count="9">
    <mergeCell ref="B124:C124"/>
    <mergeCell ref="B127:C127"/>
    <mergeCell ref="B141:C141"/>
    <mergeCell ref="A14:C14"/>
    <mergeCell ref="B1:C1"/>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9" r:id="rId3" name="Button 3">
              <controlPr defaultSize="0" print="0" autoFill="0" autoPict="0" macro="[4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9460" r:id="rId4" name="Button 4">
              <controlPr defaultSize="0" print="0" autoFill="0" autoPict="0" macro="[4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[42]И1!D13</f>
        <v>Субъект Российской Федерации</v>
      </c>
      <c r="C4" s="10" t="str">
        <f>[42]И1!E13</f>
        <v>Новосибирская область</v>
      </c>
    </row>
    <row r="5" spans="1:3" ht="46.9" customHeight="1">
      <c r="A5" s="8"/>
      <c r="B5" s="9" t="str">
        <f>[42]И1!D14</f>
        <v>Тип муниципального образования (выберите из списка)</v>
      </c>
      <c r="C5" s="10" t="str">
        <f>[42]И1!E14</f>
        <v xml:space="preserve">село Сурково, Тогучинский муниципальный район
</v>
      </c>
    </row>
    <row r="6" spans="1:3">
      <c r="A6" s="8"/>
      <c r="B6" s="9" t="str">
        <f>IF([42]И1!E15="","",[42]И1!D15)</f>
        <v/>
      </c>
      <c r="C6" s="10" t="str">
        <f>IF([42]И1!E15="","",[42]И1!E15)</f>
        <v/>
      </c>
    </row>
    <row r="7" spans="1:3" ht="38.25">
      <c r="A7" s="8"/>
      <c r="B7" s="9" t="str">
        <f>[42]И1!D16</f>
        <v>Код ОКТМО</v>
      </c>
      <c r="C7" s="11" t="str">
        <f>[42]И1!E16</f>
        <v xml:space="preserve">50652443101
</v>
      </c>
    </row>
    <row r="8" spans="1:3">
      <c r="A8" s="8"/>
      <c r="B8" s="12" t="str">
        <f>[42]И1!D17</f>
        <v>Система теплоснабжения</v>
      </c>
      <c r="C8" s="13">
        <f>[42]И1!E17</f>
        <v>0</v>
      </c>
    </row>
    <row r="9" spans="1:3">
      <c r="A9" s="8"/>
      <c r="B9" s="9" t="str">
        <f>[42]И1!D8</f>
        <v>Период регулирования (i)-й</v>
      </c>
      <c r="C9" s="14">
        <f>[42]И1!E8</f>
        <v>2025</v>
      </c>
    </row>
    <row r="10" spans="1:3">
      <c r="A10" s="8"/>
      <c r="B10" s="9" t="str">
        <f>[42]И1!D9</f>
        <v>Период регулирования (i-1)-й</v>
      </c>
      <c r="C10" s="14">
        <f>[42]И1!E9</f>
        <v>2024</v>
      </c>
    </row>
    <row r="11" spans="1:3">
      <c r="A11" s="8"/>
      <c r="B11" s="9" t="str">
        <f>[42]И1!D10</f>
        <v>Период регулирования (i-2)-й</v>
      </c>
      <c r="C11" s="14">
        <f>[42]И1!E10</f>
        <v>2023</v>
      </c>
    </row>
    <row r="12" spans="1:3">
      <c r="A12" s="8"/>
      <c r="B12" s="9" t="str">
        <f>[42]И1!D11</f>
        <v>Базовый год (б)</v>
      </c>
      <c r="C12" s="14">
        <f>[42]И1!E11</f>
        <v>2019</v>
      </c>
    </row>
    <row r="13" spans="1:3" ht="38.25">
      <c r="A13" s="8"/>
      <c r="B13" s="9" t="str">
        <f>[42]И1!D18</f>
        <v>Вид топлива, использование которого преобладает в системе теплоснабжения</v>
      </c>
      <c r="C13" s="15" t="str">
        <f>[42]С1.1!E13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5384.0452376794674</v>
      </c>
    </row>
    <row r="18" spans="1:3" ht="42.75">
      <c r="A18" s="22" t="s">
        <v>8</v>
      </c>
      <c r="B18" s="25" t="s">
        <v>9</v>
      </c>
      <c r="C18" s="26">
        <f>[42]С1!F12</f>
        <v>795.80460480398301</v>
      </c>
    </row>
    <row r="19" spans="1:3" ht="42.75">
      <c r="A19" s="22" t="s">
        <v>10</v>
      </c>
      <c r="B19" s="25" t="s">
        <v>11</v>
      </c>
      <c r="C19" s="26">
        <f>[42]С2!F12</f>
        <v>3056.1591261705735</v>
      </c>
    </row>
    <row r="20" spans="1:3" ht="30">
      <c r="A20" s="22" t="s">
        <v>12</v>
      </c>
      <c r="B20" s="25" t="s">
        <v>13</v>
      </c>
      <c r="C20" s="26">
        <f>[42]С3!F12</f>
        <v>915.44743976410246</v>
      </c>
    </row>
    <row r="21" spans="1:3" ht="42.75">
      <c r="A21" s="22" t="s">
        <v>14</v>
      </c>
      <c r="B21" s="25" t="s">
        <v>15</v>
      </c>
      <c r="C21" s="26">
        <f>[42]С4!F12</f>
        <v>511.06455247650462</v>
      </c>
    </row>
    <row r="22" spans="1:3" ht="30">
      <c r="A22" s="22" t="s">
        <v>16</v>
      </c>
      <c r="B22" s="25" t="s">
        <v>17</v>
      </c>
      <c r="C22" s="26">
        <f>[42]С5!F12</f>
        <v>105.56951446430328</v>
      </c>
    </row>
    <row r="23" spans="1:3" ht="43.5" thickBot="1">
      <c r="A23" s="27" t="s">
        <v>18</v>
      </c>
      <c r="B23" s="140" t="s">
        <v>19</v>
      </c>
      <c r="C23" s="28" t="str">
        <f>[42]С6!F12</f>
        <v>-</v>
      </c>
    </row>
    <row r="24" spans="1:3" ht="13.5" thickBot="1">
      <c r="A24" s="3"/>
    </row>
    <row r="25" spans="1:3">
      <c r="A25" s="16" t="s">
        <v>4</v>
      </c>
      <c r="B25" s="29" t="s">
        <v>5</v>
      </c>
      <c r="C25" s="30" t="s">
        <v>6</v>
      </c>
    </row>
    <row r="26" spans="1:3">
      <c r="A26" s="19">
        <v>1</v>
      </c>
      <c r="B26" s="31">
        <v>2</v>
      </c>
      <c r="C26" s="32">
        <v>3</v>
      </c>
    </row>
    <row r="27" spans="1:3" ht="36.75" customHeight="1">
      <c r="A27" s="22">
        <v>1</v>
      </c>
      <c r="B27" s="145" t="s">
        <v>20</v>
      </c>
      <c r="C27" s="145"/>
    </row>
    <row r="28" spans="1:3">
      <c r="A28" s="22" t="s">
        <v>8</v>
      </c>
      <c r="B28" s="33" t="s">
        <v>21</v>
      </c>
      <c r="C28" s="34">
        <f>[42]С1.1!E16</f>
        <v>5100</v>
      </c>
    </row>
    <row r="29" spans="1:3" ht="42.75">
      <c r="A29" s="22" t="s">
        <v>10</v>
      </c>
      <c r="B29" s="33" t="s">
        <v>22</v>
      </c>
      <c r="C29" s="34">
        <f>[42]С1.1!E27</f>
        <v>2870.67</v>
      </c>
    </row>
    <row r="30" spans="1:3" ht="17.25">
      <c r="A30" s="22" t="s">
        <v>12</v>
      </c>
      <c r="B30" s="33" t="s">
        <v>23</v>
      </c>
      <c r="C30" s="35">
        <f>[42]С1.1!E19</f>
        <v>1.4E-2</v>
      </c>
    </row>
    <row r="31" spans="1:3" ht="17.25">
      <c r="A31" s="22" t="s">
        <v>14</v>
      </c>
      <c r="B31" s="33" t="s">
        <v>24</v>
      </c>
      <c r="C31" s="35">
        <f>[42]С1.1!E20</f>
        <v>0.04</v>
      </c>
    </row>
    <row r="32" spans="1:3" ht="30">
      <c r="A32" s="22" t="s">
        <v>16</v>
      </c>
      <c r="B32" s="36" t="s">
        <v>25</v>
      </c>
      <c r="C32" s="37">
        <f>[42]С1!F13</f>
        <v>176.4</v>
      </c>
    </row>
    <row r="33" spans="1:3">
      <c r="A33" s="22" t="s">
        <v>18</v>
      </c>
      <c r="B33" s="36" t="s">
        <v>26</v>
      </c>
      <c r="C33" s="38">
        <f>[42]С1!F16</f>
        <v>7000</v>
      </c>
    </row>
    <row r="34" spans="1:3" ht="14.25">
      <c r="A34" s="22" t="s">
        <v>27</v>
      </c>
      <c r="B34" s="39" t="s">
        <v>28</v>
      </c>
      <c r="C34" s="40">
        <f>[42]С1!F17</f>
        <v>0.72857142857142854</v>
      </c>
    </row>
    <row r="35" spans="1:3" ht="15.75">
      <c r="A35" s="41" t="s">
        <v>29</v>
      </c>
      <c r="B35" s="42" t="s">
        <v>30</v>
      </c>
      <c r="C35" s="40">
        <f>[42]С1!F20</f>
        <v>21.588411179999994</v>
      </c>
    </row>
    <row r="36" spans="1:3" ht="15.75">
      <c r="A36" s="41" t="s">
        <v>31</v>
      </c>
      <c r="B36" s="43" t="s">
        <v>32</v>
      </c>
      <c r="C36" s="40">
        <f>[42]С1!F21</f>
        <v>20.818139999999996</v>
      </c>
    </row>
    <row r="37" spans="1:3" ht="14.25">
      <c r="A37" s="41" t="s">
        <v>33</v>
      </c>
      <c r="B37" s="44" t="s">
        <v>34</v>
      </c>
      <c r="C37" s="40">
        <f>[42]С1!F22</f>
        <v>1.0369999999999999</v>
      </c>
    </row>
    <row r="38" spans="1:3" ht="53.25" thickBot="1">
      <c r="A38" s="27" t="s">
        <v>35</v>
      </c>
      <c r="B38" s="45" t="s">
        <v>36</v>
      </c>
      <c r="C38" s="46">
        <f>[42]С1!F23</f>
        <v>1.0469999999999999</v>
      </c>
    </row>
    <row r="39" spans="1:3" ht="13.5" thickBot="1">
      <c r="A39" s="47"/>
      <c r="B39" s="48"/>
      <c r="C39" s="49"/>
    </row>
    <row r="40" spans="1:3" ht="38.25" customHeight="1">
      <c r="A40" s="50" t="s">
        <v>37</v>
      </c>
      <c r="B40" s="146" t="s">
        <v>38</v>
      </c>
      <c r="C40" s="146"/>
    </row>
    <row r="41" spans="1:3" ht="25.5">
      <c r="A41" s="22" t="s">
        <v>39</v>
      </c>
      <c r="B41" s="36" t="s">
        <v>40</v>
      </c>
      <c r="C41" s="51" t="str">
        <f>[42]С2.1!E12</f>
        <v>V</v>
      </c>
    </row>
    <row r="42" spans="1:3" ht="25.5">
      <c r="A42" s="22" t="s">
        <v>41</v>
      </c>
      <c r="B42" s="33" t="s">
        <v>42</v>
      </c>
      <c r="C42" s="51" t="str">
        <f>[42]С2.1!E13</f>
        <v>6 и менее баллов</v>
      </c>
    </row>
    <row r="43" spans="1:3" ht="25.5">
      <c r="A43" s="22" t="s">
        <v>43</v>
      </c>
      <c r="B43" s="33" t="s">
        <v>44</v>
      </c>
      <c r="C43" s="51" t="str">
        <f>[42]С2.1!E14</f>
        <v>от 200 до 500</v>
      </c>
    </row>
    <row r="44" spans="1:3" ht="25.5">
      <c r="A44" s="22" t="s">
        <v>45</v>
      </c>
      <c r="B44" s="33" t="s">
        <v>46</v>
      </c>
      <c r="C44" s="52" t="str">
        <f>[42]С2.1!E15</f>
        <v>нет</v>
      </c>
    </row>
    <row r="45" spans="1:3" ht="30">
      <c r="A45" s="22" t="s">
        <v>47</v>
      </c>
      <c r="B45" s="33" t="s">
        <v>48</v>
      </c>
      <c r="C45" s="34">
        <f>[42]С2!F18</f>
        <v>38910.02669467502</v>
      </c>
    </row>
    <row r="46" spans="1:3" ht="30">
      <c r="A46" s="22" t="s">
        <v>49</v>
      </c>
      <c r="B46" s="53" t="s">
        <v>50</v>
      </c>
      <c r="C46" s="34">
        <f>IF([42]С2!F19&gt;0,[42]С2!F19,[42]С2!F20)</f>
        <v>23441.524932855718</v>
      </c>
    </row>
    <row r="47" spans="1:3" ht="25.5">
      <c r="A47" s="22" t="s">
        <v>51</v>
      </c>
      <c r="B47" s="54" t="s">
        <v>52</v>
      </c>
      <c r="C47" s="34">
        <f>[42]С2.1!E19</f>
        <v>-38</v>
      </c>
    </row>
    <row r="48" spans="1:3" ht="25.5">
      <c r="A48" s="22" t="s">
        <v>53</v>
      </c>
      <c r="B48" s="54" t="s">
        <v>54</v>
      </c>
      <c r="C48" s="34" t="str">
        <f>[42]С2.1!E22</f>
        <v>нет</v>
      </c>
    </row>
    <row r="49" spans="1:3" ht="38.25">
      <c r="A49" s="22" t="s">
        <v>55</v>
      </c>
      <c r="B49" s="55" t="s">
        <v>56</v>
      </c>
      <c r="C49" s="34">
        <f>[42]С2.2!E10</f>
        <v>1287</v>
      </c>
    </row>
    <row r="50" spans="1:3" ht="25.5">
      <c r="A50" s="22" t="s">
        <v>57</v>
      </c>
      <c r="B50" s="56" t="s">
        <v>58</v>
      </c>
      <c r="C50" s="34">
        <f>[42]С2.2!E12</f>
        <v>5.97</v>
      </c>
    </row>
    <row r="51" spans="1:3" ht="52.5">
      <c r="A51" s="22" t="s">
        <v>59</v>
      </c>
      <c r="B51" s="57" t="s">
        <v>60</v>
      </c>
      <c r="C51" s="34">
        <f>[42]С2.2!E13</f>
        <v>1</v>
      </c>
    </row>
    <row r="52" spans="1:3" ht="27.75">
      <c r="A52" s="22" t="s">
        <v>61</v>
      </c>
      <c r="B52" s="56" t="s">
        <v>62</v>
      </c>
      <c r="C52" s="34">
        <f>[42]С2.2!E14</f>
        <v>12104</v>
      </c>
    </row>
    <row r="53" spans="1:3" ht="25.5">
      <c r="A53" s="22" t="s">
        <v>63</v>
      </c>
      <c r="B53" s="57" t="s">
        <v>64</v>
      </c>
      <c r="C53" s="35">
        <f>[42]С2.2!E15</f>
        <v>4.8000000000000001E-2</v>
      </c>
    </row>
    <row r="54" spans="1:3">
      <c r="A54" s="22" t="s">
        <v>65</v>
      </c>
      <c r="B54" s="57" t="s">
        <v>66</v>
      </c>
      <c r="C54" s="34">
        <f>[42]С2.2!E16</f>
        <v>1</v>
      </c>
    </row>
    <row r="55" spans="1:3" ht="15.75">
      <c r="A55" s="22" t="s">
        <v>67</v>
      </c>
      <c r="B55" s="58" t="s">
        <v>68</v>
      </c>
      <c r="C55" s="34">
        <f>[42]С2!F21</f>
        <v>1</v>
      </c>
    </row>
    <row r="56" spans="1:3" ht="30">
      <c r="A56" s="59" t="s">
        <v>69</v>
      </c>
      <c r="B56" s="33" t="s">
        <v>70</v>
      </c>
      <c r="C56" s="34">
        <f>[42]С2!F13</f>
        <v>203708.97017230222</v>
      </c>
    </row>
    <row r="57" spans="1:3" ht="30">
      <c r="A57" s="59" t="s">
        <v>71</v>
      </c>
      <c r="B57" s="58" t="s">
        <v>72</v>
      </c>
      <c r="C57" s="34">
        <f>[42]С2!F14</f>
        <v>113455</v>
      </c>
    </row>
    <row r="58" spans="1:3" ht="15.75">
      <c r="A58" s="59" t="s">
        <v>73</v>
      </c>
      <c r="B58" s="60" t="s">
        <v>74</v>
      </c>
      <c r="C58" s="40">
        <f>[42]С2!F15</f>
        <v>1.071</v>
      </c>
    </row>
    <row r="59" spans="1:3" ht="15.75">
      <c r="A59" s="59" t="s">
        <v>75</v>
      </c>
      <c r="B59" s="60" t="s">
        <v>76</v>
      </c>
      <c r="C59" s="40">
        <f>[42]С2!F16</f>
        <v>1</v>
      </c>
    </row>
    <row r="60" spans="1:3" ht="17.25">
      <c r="A60" s="59" t="s">
        <v>77</v>
      </c>
      <c r="B60" s="58" t="s">
        <v>78</v>
      </c>
      <c r="C60" s="34">
        <f>[42]С2!F17</f>
        <v>1.01</v>
      </c>
    </row>
    <row r="61" spans="1:3" s="63" customFormat="1" ht="14.25">
      <c r="A61" s="59" t="s">
        <v>79</v>
      </c>
      <c r="B61" s="61" t="s">
        <v>80</v>
      </c>
      <c r="C61" s="62">
        <f>[42]С2!F33</f>
        <v>10</v>
      </c>
    </row>
    <row r="62" spans="1:3" ht="30">
      <c r="A62" s="59" t="s">
        <v>81</v>
      </c>
      <c r="B62" s="64" t="s">
        <v>82</v>
      </c>
      <c r="C62" s="34">
        <f>[42]С2!F26</f>
        <v>2416.4994928434235</v>
      </c>
    </row>
    <row r="63" spans="1:3" ht="17.25">
      <c r="A63" s="59" t="s">
        <v>83</v>
      </c>
      <c r="B63" s="53" t="s">
        <v>84</v>
      </c>
      <c r="C63" s="34">
        <f>[42]С2!F27</f>
        <v>0.34662649000000001</v>
      </c>
    </row>
    <row r="64" spans="1:3" ht="17.25">
      <c r="A64" s="59" t="s">
        <v>85</v>
      </c>
      <c r="B64" s="58" t="s">
        <v>86</v>
      </c>
      <c r="C64" s="62">
        <f>[42]С2!F28</f>
        <v>4200</v>
      </c>
    </row>
    <row r="65" spans="1:3" ht="42.75">
      <c r="A65" s="59" t="s">
        <v>87</v>
      </c>
      <c r="B65" s="33" t="s">
        <v>88</v>
      </c>
      <c r="C65" s="34">
        <f>[42]С2!F22</f>
        <v>42890.921752741691</v>
      </c>
    </row>
    <row r="66" spans="1:3" ht="30">
      <c r="A66" s="59" t="s">
        <v>89</v>
      </c>
      <c r="B66" s="60" t="s">
        <v>90</v>
      </c>
      <c r="C66" s="34">
        <f>[42]С2!F23</f>
        <v>1990</v>
      </c>
    </row>
    <row r="67" spans="1:3" ht="30">
      <c r="A67" s="59" t="s">
        <v>91</v>
      </c>
      <c r="B67" s="53" t="s">
        <v>92</v>
      </c>
      <c r="C67" s="34">
        <f>[42]С2.1!E27</f>
        <v>14307.876789999998</v>
      </c>
    </row>
    <row r="68" spans="1:3" ht="38.25">
      <c r="A68" s="59" t="s">
        <v>93</v>
      </c>
      <c r="B68" s="65" t="s">
        <v>94</v>
      </c>
      <c r="C68" s="52">
        <f>[42]С2.3!E21</f>
        <v>0</v>
      </c>
    </row>
    <row r="69" spans="1:3" ht="25.5">
      <c r="A69" s="59" t="s">
        <v>95</v>
      </c>
      <c r="B69" s="66" t="s">
        <v>96</v>
      </c>
      <c r="C69" s="67">
        <f>[42]С2.3!E11</f>
        <v>9.89</v>
      </c>
    </row>
    <row r="70" spans="1:3" ht="25.5">
      <c r="A70" s="59" t="s">
        <v>97</v>
      </c>
      <c r="B70" s="66" t="s">
        <v>98</v>
      </c>
      <c r="C70" s="62">
        <f>[42]С2.3!E13</f>
        <v>300</v>
      </c>
    </row>
    <row r="71" spans="1:3" ht="25.5">
      <c r="A71" s="59" t="s">
        <v>99</v>
      </c>
      <c r="B71" s="65" t="s">
        <v>100</v>
      </c>
      <c r="C71" s="68">
        <f>IF([42]С2.3!E22&gt;0,[42]С2.3!E22,[42]С2.3!E14)</f>
        <v>61211</v>
      </c>
    </row>
    <row r="72" spans="1:3" ht="38.25">
      <c r="A72" s="59" t="s">
        <v>101</v>
      </c>
      <c r="B72" s="65" t="s">
        <v>102</v>
      </c>
      <c r="C72" s="68">
        <f>IF([42]С2.3!E23&gt;0,[42]С2.3!E23,[42]С2.3!E15)</f>
        <v>45675</v>
      </c>
    </row>
    <row r="73" spans="1:3" ht="30">
      <c r="A73" s="59" t="s">
        <v>103</v>
      </c>
      <c r="B73" s="53" t="s">
        <v>104</v>
      </c>
      <c r="C73" s="34">
        <f>[42]С2.1!E28</f>
        <v>9541.9567200000001</v>
      </c>
    </row>
    <row r="74" spans="1:3" ht="38.25">
      <c r="A74" s="59" t="s">
        <v>105</v>
      </c>
      <c r="B74" s="65" t="s">
        <v>106</v>
      </c>
      <c r="C74" s="52">
        <f>[42]С2.3!E25</f>
        <v>0</v>
      </c>
    </row>
    <row r="75" spans="1:3" ht="25.5">
      <c r="A75" s="59" t="s">
        <v>107</v>
      </c>
      <c r="B75" s="66" t="s">
        <v>108</v>
      </c>
      <c r="C75" s="67">
        <f>[42]С2.3!E12</f>
        <v>0.56000000000000005</v>
      </c>
    </row>
    <row r="76" spans="1:3" ht="25.5">
      <c r="A76" s="59" t="s">
        <v>109</v>
      </c>
      <c r="B76" s="66" t="s">
        <v>98</v>
      </c>
      <c r="C76" s="62">
        <f>[42]С2.3!E13</f>
        <v>300</v>
      </c>
    </row>
    <row r="77" spans="1:3" ht="25.5">
      <c r="A77" s="59" t="s">
        <v>110</v>
      </c>
      <c r="B77" s="69" t="s">
        <v>111</v>
      </c>
      <c r="C77" s="68">
        <f>IF([42]С2.3!E26&gt;0,[42]С2.3!E26,[42]С2.3!E16)</f>
        <v>65637</v>
      </c>
    </row>
    <row r="78" spans="1:3" ht="38.25">
      <c r="A78" s="59" t="s">
        <v>112</v>
      </c>
      <c r="B78" s="69" t="s">
        <v>113</v>
      </c>
      <c r="C78" s="68">
        <f>IF([42]С2.3!E27&gt;0,[42]С2.3!E27,[42]С2.3!E17)</f>
        <v>31684</v>
      </c>
    </row>
    <row r="79" spans="1:3" ht="17.25">
      <c r="A79" s="59" t="s">
        <v>114</v>
      </c>
      <c r="B79" s="33" t="s">
        <v>115</v>
      </c>
      <c r="C79" s="35">
        <f>[42]С2!F29</f>
        <v>0.17804631770487722</v>
      </c>
    </row>
    <row r="80" spans="1:3" ht="30">
      <c r="A80" s="59" t="s">
        <v>116</v>
      </c>
      <c r="B80" s="53" t="s">
        <v>117</v>
      </c>
      <c r="C80" s="70">
        <f>[42]С2!F30</f>
        <v>0.1652189781021898</v>
      </c>
    </row>
    <row r="81" spans="1:3" ht="17.25">
      <c r="A81" s="59" t="s">
        <v>118</v>
      </c>
      <c r="B81" s="71" t="s">
        <v>119</v>
      </c>
      <c r="C81" s="35">
        <f>[42]С2!F31</f>
        <v>0.13880000000000001</v>
      </c>
    </row>
    <row r="82" spans="1:3" s="63" customFormat="1" ht="18" thickBot="1">
      <c r="A82" s="72" t="s">
        <v>120</v>
      </c>
      <c r="B82" s="73" t="s">
        <v>121</v>
      </c>
      <c r="C82" s="74">
        <f>[42]С2!F32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[42]С3!F14</f>
        <v>14863.184658749575</v>
      </c>
    </row>
    <row r="86" spans="1:3" s="63" customFormat="1" ht="42.75">
      <c r="A86" s="77" t="s">
        <v>126</v>
      </c>
      <c r="B86" s="53" t="s">
        <v>127</v>
      </c>
      <c r="C86" s="78">
        <f>[42]С3!F15</f>
        <v>0.25</v>
      </c>
    </row>
    <row r="87" spans="1:3" s="63" customFormat="1" ht="14.25">
      <c r="A87" s="77" t="s">
        <v>128</v>
      </c>
      <c r="B87" s="79" t="s">
        <v>129</v>
      </c>
      <c r="C87" s="62">
        <f>[42]С3!F18</f>
        <v>15</v>
      </c>
    </row>
    <row r="88" spans="1:3" s="63" customFormat="1" ht="17.25">
      <c r="A88" s="77" t="s">
        <v>130</v>
      </c>
      <c r="B88" s="33" t="s">
        <v>131</v>
      </c>
      <c r="C88" s="34">
        <f>[42]С3!F19</f>
        <v>4187.478806422544</v>
      </c>
    </row>
    <row r="89" spans="1:3" s="63" customFormat="1" ht="55.5">
      <c r="A89" s="77" t="s">
        <v>132</v>
      </c>
      <c r="B89" s="53" t="s">
        <v>133</v>
      </c>
      <c r="C89" s="80">
        <f>[42]С3!F20</f>
        <v>2.1999999999999999E-2</v>
      </c>
    </row>
    <row r="90" spans="1:3" s="63" customFormat="1" ht="14.25">
      <c r="A90" s="77" t="s">
        <v>134</v>
      </c>
      <c r="B90" s="58" t="s">
        <v>80</v>
      </c>
      <c r="C90" s="62">
        <f>[42]С3!F21</f>
        <v>10</v>
      </c>
    </row>
    <row r="91" spans="1:3" s="63" customFormat="1" ht="17.25">
      <c r="A91" s="77" t="s">
        <v>135</v>
      </c>
      <c r="B91" s="33" t="s">
        <v>136</v>
      </c>
      <c r="C91" s="34">
        <f>[42]С3!F22</f>
        <v>7.2494984785302705</v>
      </c>
    </row>
    <row r="92" spans="1:3" s="63" customFormat="1" ht="55.5">
      <c r="A92" s="77" t="s">
        <v>137</v>
      </c>
      <c r="B92" s="53" t="s">
        <v>138</v>
      </c>
      <c r="C92" s="80">
        <f>[42]С3!F23</f>
        <v>3.0000000000000001E-3</v>
      </c>
    </row>
    <row r="93" spans="1:3" s="63" customFormat="1" ht="27.75" thickBot="1">
      <c r="A93" s="81" t="s">
        <v>139</v>
      </c>
      <c r="B93" s="82" t="s">
        <v>140</v>
      </c>
      <c r="C93" s="83">
        <f>[42]С3!F24</f>
        <v>2416.4994928434235</v>
      </c>
    </row>
    <row r="94" spans="1:3" ht="13.5" thickBot="1">
      <c r="A94" s="47"/>
      <c r="B94" s="75"/>
      <c r="C94" s="15"/>
    </row>
    <row r="95" spans="1:3" ht="30" customHeight="1">
      <c r="A95" s="84" t="s">
        <v>141</v>
      </c>
      <c r="B95" s="146" t="s">
        <v>142</v>
      </c>
      <c r="C95" s="146"/>
    </row>
    <row r="96" spans="1:3" ht="30">
      <c r="A96" s="59" t="s">
        <v>143</v>
      </c>
      <c r="B96" s="33" t="s">
        <v>144</v>
      </c>
      <c r="C96" s="34">
        <f>[42]С4!F16</f>
        <v>1652.5</v>
      </c>
    </row>
    <row r="97" spans="1:3" ht="30">
      <c r="A97" s="59" t="s">
        <v>145</v>
      </c>
      <c r="B97" s="58" t="s">
        <v>146</v>
      </c>
      <c r="C97" s="34">
        <f>[42]С4!F17</f>
        <v>73547</v>
      </c>
    </row>
    <row r="98" spans="1:3" ht="17.25">
      <c r="A98" s="59" t="s">
        <v>147</v>
      </c>
      <c r="B98" s="58" t="s">
        <v>148</v>
      </c>
      <c r="C98" s="40">
        <f>[42]С4!F18</f>
        <v>0.02</v>
      </c>
    </row>
    <row r="99" spans="1:3" ht="30">
      <c r="A99" s="59" t="s">
        <v>149</v>
      </c>
      <c r="B99" s="58" t="s">
        <v>150</v>
      </c>
      <c r="C99" s="34">
        <f>[42]С4!F19</f>
        <v>12104</v>
      </c>
    </row>
    <row r="100" spans="1:3" ht="31.5">
      <c r="A100" s="59" t="s">
        <v>151</v>
      </c>
      <c r="B100" s="58" t="s">
        <v>152</v>
      </c>
      <c r="C100" s="40">
        <f>[42]С4!F20</f>
        <v>1.4999999999999999E-2</v>
      </c>
    </row>
    <row r="101" spans="1:3" ht="30">
      <c r="A101" s="59" t="s">
        <v>153</v>
      </c>
      <c r="B101" s="33" t="s">
        <v>154</v>
      </c>
      <c r="C101" s="34">
        <f>[42]С4!F21</f>
        <v>1933.1949342509995</v>
      </c>
    </row>
    <row r="102" spans="1:3" ht="24" customHeight="1">
      <c r="A102" s="59" t="s">
        <v>155</v>
      </c>
      <c r="B102" s="53" t="s">
        <v>156</v>
      </c>
      <c r="C102" s="85">
        <f>IF([42]С4.2!F8="да",[42]С4.2!D21,[42]С4.2!D15)</f>
        <v>0</v>
      </c>
    </row>
    <row r="103" spans="1:3" ht="68.25">
      <c r="A103" s="59" t="s">
        <v>157</v>
      </c>
      <c r="B103" s="53" t="s">
        <v>158</v>
      </c>
      <c r="C103" s="34">
        <f>[42]С4!F22</f>
        <v>3.6112641666666665</v>
      </c>
    </row>
    <row r="104" spans="1:3" ht="30">
      <c r="A104" s="59" t="s">
        <v>159</v>
      </c>
      <c r="B104" s="58" t="s">
        <v>160</v>
      </c>
      <c r="C104" s="34">
        <f>[42]С4!F23</f>
        <v>180</v>
      </c>
    </row>
    <row r="105" spans="1:3" ht="14.25">
      <c r="A105" s="59" t="s">
        <v>161</v>
      </c>
      <c r="B105" s="53" t="s">
        <v>162</v>
      </c>
      <c r="C105" s="34">
        <f>[42]С4!F24</f>
        <v>8497.1999999999989</v>
      </c>
    </row>
    <row r="106" spans="1:3" ht="14.25">
      <c r="A106" s="59" t="s">
        <v>163</v>
      </c>
      <c r="B106" s="58" t="s">
        <v>164</v>
      </c>
      <c r="C106" s="40">
        <f>[42]С4!F25</f>
        <v>0.35</v>
      </c>
    </row>
    <row r="107" spans="1:3" ht="17.25">
      <c r="A107" s="59" t="s">
        <v>165</v>
      </c>
      <c r="B107" s="33" t="s">
        <v>166</v>
      </c>
      <c r="C107" s="34">
        <f>[42]С4!F26</f>
        <v>97.697670000000016</v>
      </c>
    </row>
    <row r="108" spans="1:3" ht="25.5">
      <c r="A108" s="59" t="s">
        <v>167</v>
      </c>
      <c r="B108" s="53" t="s">
        <v>94</v>
      </c>
      <c r="C108" s="85">
        <f>[42]С4.3!E16</f>
        <v>0</v>
      </c>
    </row>
    <row r="109" spans="1:3" ht="25.5">
      <c r="A109" s="59" t="s">
        <v>168</v>
      </c>
      <c r="B109" s="53" t="s">
        <v>169</v>
      </c>
      <c r="C109" s="34">
        <f>[42]С4.3!E17</f>
        <v>26.05</v>
      </c>
    </row>
    <row r="110" spans="1:3" ht="38.25">
      <c r="A110" s="59" t="s">
        <v>170</v>
      </c>
      <c r="B110" s="53" t="s">
        <v>106</v>
      </c>
      <c r="C110" s="85">
        <f>[42]С4.3!E18</f>
        <v>0</v>
      </c>
    </row>
    <row r="111" spans="1:3">
      <c r="A111" s="59" t="s">
        <v>171</v>
      </c>
      <c r="B111" s="53" t="s">
        <v>172</v>
      </c>
      <c r="C111" s="34">
        <f>[42]С4.3!E19</f>
        <v>31.08</v>
      </c>
    </row>
    <row r="112" spans="1:3">
      <c r="A112" s="59" t="s">
        <v>173</v>
      </c>
      <c r="B112" s="58" t="s">
        <v>174</v>
      </c>
      <c r="C112" s="34">
        <f>[42]С4.3!E11</f>
        <v>1871</v>
      </c>
    </row>
    <row r="113" spans="1:3">
      <c r="A113" s="59" t="s">
        <v>175</v>
      </c>
      <c r="B113" s="58" t="s">
        <v>176</v>
      </c>
      <c r="C113" s="52">
        <f>[42]С4.3!E12</f>
        <v>1636</v>
      </c>
    </row>
    <row r="114" spans="1:3">
      <c r="A114" s="59" t="s">
        <v>177</v>
      </c>
      <c r="B114" s="58" t="s">
        <v>178</v>
      </c>
      <c r="C114" s="52">
        <f>[42]С4.3!E13</f>
        <v>204</v>
      </c>
    </row>
    <row r="115" spans="1:3" ht="30">
      <c r="A115" s="59" t="s">
        <v>179</v>
      </c>
      <c r="B115" s="33" t="s">
        <v>180</v>
      </c>
      <c r="C115" s="34">
        <f>[42]С4!F27</f>
        <v>1291.2863994686898</v>
      </c>
    </row>
    <row r="116" spans="1:3" ht="25.5">
      <c r="A116" s="59" t="s">
        <v>181</v>
      </c>
      <c r="B116" s="53" t="s">
        <v>182</v>
      </c>
      <c r="C116" s="34">
        <f>[42]С4!F28</f>
        <v>991.77142816335618</v>
      </c>
    </row>
    <row r="117" spans="1:3" ht="42.75">
      <c r="A117" s="59" t="s">
        <v>183</v>
      </c>
      <c r="B117" s="53" t="s">
        <v>184</v>
      </c>
      <c r="C117" s="34">
        <f>[42]С4!F29</f>
        <v>299.51497130533357</v>
      </c>
    </row>
    <row r="118" spans="1:3" ht="30">
      <c r="A118" s="59" t="s">
        <v>185</v>
      </c>
      <c r="B118" s="39" t="s">
        <v>186</v>
      </c>
      <c r="C118" s="34">
        <f>[42]С4!F30</f>
        <v>2382.0626803620262</v>
      </c>
    </row>
    <row r="119" spans="1:3" ht="42.75">
      <c r="A119" s="59" t="s">
        <v>187</v>
      </c>
      <c r="B119" s="86" t="s">
        <v>188</v>
      </c>
      <c r="C119" s="34">
        <f>[42]С4!F33</f>
        <v>1176.7426982817792</v>
      </c>
    </row>
    <row r="120" spans="1:3" ht="30">
      <c r="A120" s="59" t="s">
        <v>189</v>
      </c>
      <c r="B120" s="87" t="s">
        <v>190</v>
      </c>
      <c r="C120" s="34">
        <f>[42]С4!F35</f>
        <v>17.040680999999999</v>
      </c>
    </row>
    <row r="121" spans="1:3" ht="14.25">
      <c r="A121" s="59" t="s">
        <v>191</v>
      </c>
      <c r="B121" s="56" t="s">
        <v>192</v>
      </c>
      <c r="C121" s="34">
        <f>[42]С4!F36</f>
        <v>14319.9</v>
      </c>
    </row>
    <row r="122" spans="1:3" ht="28.5" thickBot="1">
      <c r="A122" s="72" t="s">
        <v>193</v>
      </c>
      <c r="B122" s="88" t="s">
        <v>194</v>
      </c>
      <c r="C122" s="83">
        <f>[42]С4!F37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[42]С5!F17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[42]С2!F37</f>
        <v>20.818139999999996</v>
      </c>
    </row>
    <row r="136" spans="1:4" ht="14.25">
      <c r="A136" s="59" t="s">
        <v>216</v>
      </c>
      <c r="B136" s="101" t="s">
        <v>217</v>
      </c>
      <c r="C136" s="34">
        <f>[42]С2!F38</f>
        <v>7</v>
      </c>
    </row>
    <row r="137" spans="1:4" ht="17.25">
      <c r="A137" s="59" t="s">
        <v>218</v>
      </c>
      <c r="B137" s="101" t="s">
        <v>219</v>
      </c>
      <c r="C137" s="34">
        <f>[42]С2!F40</f>
        <v>0.97</v>
      </c>
    </row>
    <row r="138" spans="1:4" ht="15" thickBot="1">
      <c r="A138" s="72" t="s">
        <v>220</v>
      </c>
      <c r="B138" s="102" t="s">
        <v>221</v>
      </c>
      <c r="C138" s="46">
        <f>[42]С2!F42</f>
        <v>0.35</v>
      </c>
    </row>
    <row r="139" spans="1:4" s="89" customFormat="1" ht="13.5" thickBot="1">
      <c r="A139" s="47"/>
      <c r="B139" s="75"/>
      <c r="C139" s="15"/>
    </row>
    <row r="140" spans="1:4" ht="30">
      <c r="A140" s="84" t="s">
        <v>222</v>
      </c>
      <c r="B140" s="103" t="s">
        <v>223</v>
      </c>
      <c r="C140" s="104">
        <f>[42]С2!F35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[42]С2.5!$E$11</f>
        <v>-2.9000000000000026E-2</v>
      </c>
      <c r="D143" s="89"/>
    </row>
    <row r="144" spans="1:4">
      <c r="A144" s="105"/>
      <c r="B144" s="110">
        <f>B143+1</f>
        <v>2021</v>
      </c>
      <c r="C144" s="111">
        <f>[42]С2.5!$F$11</f>
        <v>0.245</v>
      </c>
      <c r="D144" s="89"/>
    </row>
    <row r="145" spans="1:4">
      <c r="A145" s="105"/>
      <c r="B145" s="110">
        <f t="shared" ref="B145:B208" si="0">B144+1</f>
        <v>2022</v>
      </c>
      <c r="C145" s="111">
        <f>[42]С2.5!$G$11</f>
        <v>0.114</v>
      </c>
      <c r="D145" s="89"/>
    </row>
    <row r="146" spans="1:4" ht="13.5" thickBot="1">
      <c r="A146" s="105"/>
      <c r="B146" s="112">
        <f t="shared" si="0"/>
        <v>2023</v>
      </c>
      <c r="C146" s="113">
        <f>[42]С2.5!$H$11</f>
        <v>0.04</v>
      </c>
      <c r="D146" s="89"/>
    </row>
    <row r="147" spans="1:4">
      <c r="A147" s="105"/>
      <c r="B147" s="114">
        <f t="shared" si="0"/>
        <v>2024</v>
      </c>
      <c r="C147" s="115">
        <f>[42]С2.5!$I$11</f>
        <v>0.11700000000000001</v>
      </c>
      <c r="D147" s="89"/>
    </row>
    <row r="148" spans="1:4">
      <c r="A148" s="105"/>
      <c r="B148" s="110">
        <f t="shared" si="0"/>
        <v>2025</v>
      </c>
      <c r="C148" s="111">
        <f>[42]С2.5!$J$11</f>
        <v>6.0999999999999999E-2</v>
      </c>
      <c r="D148" s="89"/>
    </row>
    <row r="149" spans="1:4" hidden="1">
      <c r="A149" s="105"/>
      <c r="B149" s="110">
        <f t="shared" si="0"/>
        <v>2026</v>
      </c>
      <c r="C149" s="111">
        <f>[42]С2.5!$K$11</f>
        <v>3.5813361771260002E-2</v>
      </c>
      <c r="D149" s="89"/>
    </row>
    <row r="150" spans="1:4" hidden="1">
      <c r="A150" s="105"/>
      <c r="B150" s="110">
        <f t="shared" si="0"/>
        <v>2027</v>
      </c>
      <c r="C150" s="111">
        <f>[42]С2.5!$L$11</f>
        <v>3.2682303599220003E-2</v>
      </c>
      <c r="D150" s="89"/>
    </row>
    <row r="151" spans="1:4" hidden="1">
      <c r="A151" s="105"/>
      <c r="B151" s="110">
        <f t="shared" si="0"/>
        <v>2028</v>
      </c>
      <c r="C151" s="111">
        <f>[42]С2.5!$M$11</f>
        <v>0</v>
      </c>
      <c r="D151" s="89"/>
    </row>
    <row r="152" spans="1:4" hidden="1">
      <c r="A152" s="105"/>
      <c r="B152" s="110">
        <f t="shared" si="0"/>
        <v>2029</v>
      </c>
      <c r="C152" s="111">
        <f>[42]С2.5!$N$11</f>
        <v>0</v>
      </c>
      <c r="D152" s="89"/>
    </row>
    <row r="153" spans="1:4" hidden="1">
      <c r="A153" s="105"/>
      <c r="B153" s="110">
        <f t="shared" si="0"/>
        <v>2030</v>
      </c>
      <c r="C153" s="111">
        <f>[42]С2.5!$O$11</f>
        <v>0</v>
      </c>
      <c r="D153" s="89"/>
    </row>
    <row r="154" spans="1:4" hidden="1">
      <c r="A154" s="105"/>
      <c r="B154" s="110">
        <f t="shared" si="0"/>
        <v>2031</v>
      </c>
      <c r="C154" s="111">
        <f>[42]С2.5!$P$11</f>
        <v>0</v>
      </c>
      <c r="D154" s="89"/>
    </row>
    <row r="155" spans="1:4" hidden="1">
      <c r="A155" s="89"/>
      <c r="B155" s="110">
        <f t="shared" si="0"/>
        <v>2032</v>
      </c>
      <c r="C155" s="111">
        <f>[42]С2.5!$Q$11</f>
        <v>0</v>
      </c>
      <c r="D155" s="89"/>
    </row>
    <row r="156" spans="1:4" hidden="1">
      <c r="A156" s="89"/>
      <c r="B156" s="110">
        <f t="shared" si="0"/>
        <v>2033</v>
      </c>
      <c r="C156" s="111">
        <f>[42]С2.5!$R$11</f>
        <v>0</v>
      </c>
      <c r="D156" s="89"/>
    </row>
    <row r="157" spans="1:4" hidden="1">
      <c r="B157" s="110">
        <f t="shared" si="0"/>
        <v>2034</v>
      </c>
      <c r="C157" s="111">
        <f>[42]С2.5!$S$11</f>
        <v>0</v>
      </c>
    </row>
    <row r="158" spans="1:4" hidden="1">
      <c r="B158" s="110">
        <f t="shared" si="0"/>
        <v>2035</v>
      </c>
      <c r="C158" s="111">
        <f>[42]С2.5!$T$11</f>
        <v>0</v>
      </c>
    </row>
    <row r="159" spans="1:4" hidden="1">
      <c r="B159" s="110">
        <f t="shared" si="0"/>
        <v>2036</v>
      </c>
      <c r="C159" s="111">
        <f>[42]С2.5!$U$11</f>
        <v>0</v>
      </c>
    </row>
    <row r="160" spans="1:4" hidden="1">
      <c r="B160" s="110">
        <f t="shared" si="0"/>
        <v>2037</v>
      </c>
      <c r="C160" s="111">
        <f>[42]С2.5!$V$11</f>
        <v>0</v>
      </c>
    </row>
    <row r="161" spans="2:3" hidden="1">
      <c r="B161" s="110">
        <f t="shared" si="0"/>
        <v>2038</v>
      </c>
      <c r="C161" s="111">
        <f>[42]С2.5!$W$11</f>
        <v>0</v>
      </c>
    </row>
    <row r="162" spans="2:3" hidden="1">
      <c r="B162" s="110">
        <f t="shared" si="0"/>
        <v>2039</v>
      </c>
      <c r="C162" s="111">
        <f>[42]С2.5!$X$11</f>
        <v>0</v>
      </c>
    </row>
    <row r="163" spans="2:3" hidden="1">
      <c r="B163" s="110">
        <f t="shared" si="0"/>
        <v>2040</v>
      </c>
      <c r="C163" s="111">
        <f>[42]С2.5!$Y$11</f>
        <v>0</v>
      </c>
    </row>
    <row r="164" spans="2:3" hidden="1">
      <c r="B164" s="110">
        <f t="shared" si="0"/>
        <v>2041</v>
      </c>
      <c r="C164" s="111">
        <f>[42]С2.5!$Z$11</f>
        <v>0</v>
      </c>
    </row>
    <row r="165" spans="2:3" hidden="1">
      <c r="B165" s="110">
        <f t="shared" si="0"/>
        <v>2042</v>
      </c>
      <c r="C165" s="111">
        <f>[42]С2.5!$AA$11</f>
        <v>0</v>
      </c>
    </row>
    <row r="166" spans="2:3" hidden="1">
      <c r="B166" s="110">
        <f t="shared" si="0"/>
        <v>2043</v>
      </c>
      <c r="C166" s="111">
        <f>[42]С2.5!$AB$11</f>
        <v>0</v>
      </c>
    </row>
    <row r="167" spans="2:3" hidden="1">
      <c r="B167" s="110">
        <f t="shared" si="0"/>
        <v>2044</v>
      </c>
      <c r="C167" s="111">
        <f>[42]С2.5!$AC$11</f>
        <v>0</v>
      </c>
    </row>
    <row r="168" spans="2:3" hidden="1">
      <c r="B168" s="110">
        <f t="shared" si="0"/>
        <v>2045</v>
      </c>
      <c r="C168" s="111">
        <f>[42]С2.5!$AD$11</f>
        <v>0</v>
      </c>
    </row>
    <row r="169" spans="2:3" hidden="1">
      <c r="B169" s="110">
        <f t="shared" si="0"/>
        <v>2046</v>
      </c>
      <c r="C169" s="111">
        <f>[42]С2.5!$AE$11</f>
        <v>0</v>
      </c>
    </row>
    <row r="170" spans="2:3" hidden="1">
      <c r="B170" s="110">
        <f t="shared" si="0"/>
        <v>2047</v>
      </c>
      <c r="C170" s="111">
        <f>[42]С2.5!$AF$11</f>
        <v>0</v>
      </c>
    </row>
    <row r="171" spans="2:3" hidden="1">
      <c r="B171" s="110">
        <f t="shared" si="0"/>
        <v>2048</v>
      </c>
      <c r="C171" s="111">
        <f>[42]С2.5!$AG$11</f>
        <v>0</v>
      </c>
    </row>
    <row r="172" spans="2:3" hidden="1">
      <c r="B172" s="110">
        <f t="shared" si="0"/>
        <v>2049</v>
      </c>
      <c r="C172" s="111">
        <f>[42]С2.5!$AH$11</f>
        <v>0</v>
      </c>
    </row>
    <row r="173" spans="2:3" hidden="1">
      <c r="B173" s="110">
        <f t="shared" si="0"/>
        <v>2050</v>
      </c>
      <c r="C173" s="111">
        <f>[42]С2.5!$AI$11</f>
        <v>0</v>
      </c>
    </row>
    <row r="174" spans="2:3" hidden="1">
      <c r="B174" s="110">
        <f t="shared" si="0"/>
        <v>2051</v>
      </c>
      <c r="C174" s="111">
        <f>[42]С2.5!$AJ$11</f>
        <v>0</v>
      </c>
    </row>
    <row r="175" spans="2:3" hidden="1">
      <c r="B175" s="110">
        <f t="shared" si="0"/>
        <v>2052</v>
      </c>
      <c r="C175" s="111">
        <f>[42]С2.5!$AK$11</f>
        <v>0</v>
      </c>
    </row>
    <row r="176" spans="2:3" hidden="1">
      <c r="B176" s="110">
        <f t="shared" si="0"/>
        <v>2053</v>
      </c>
      <c r="C176" s="111">
        <f>[42]С2.5!$AL$11</f>
        <v>0</v>
      </c>
    </row>
    <row r="177" spans="2:3" hidden="1">
      <c r="B177" s="110">
        <f t="shared" si="0"/>
        <v>2054</v>
      </c>
      <c r="C177" s="111">
        <f>[42]С2.5!$AM$11</f>
        <v>0</v>
      </c>
    </row>
    <row r="178" spans="2:3" hidden="1">
      <c r="B178" s="110">
        <f t="shared" si="0"/>
        <v>2055</v>
      </c>
      <c r="C178" s="111">
        <f>[42]С2.5!$AN$11</f>
        <v>0</v>
      </c>
    </row>
    <row r="179" spans="2:3" hidden="1">
      <c r="B179" s="110">
        <f t="shared" si="0"/>
        <v>2056</v>
      </c>
      <c r="C179" s="111">
        <f>[42]С2.5!$AO$11</f>
        <v>0</v>
      </c>
    </row>
    <row r="180" spans="2:3" hidden="1">
      <c r="B180" s="110">
        <f t="shared" si="0"/>
        <v>2057</v>
      </c>
      <c r="C180" s="111">
        <f>[42]С2.5!$AP$11</f>
        <v>0</v>
      </c>
    </row>
    <row r="181" spans="2:3" hidden="1">
      <c r="B181" s="110">
        <f t="shared" si="0"/>
        <v>2058</v>
      </c>
      <c r="C181" s="111">
        <f>[42]С2.5!$AQ$11</f>
        <v>0</v>
      </c>
    </row>
    <row r="182" spans="2:3" hidden="1">
      <c r="B182" s="110">
        <f t="shared" si="0"/>
        <v>2059</v>
      </c>
      <c r="C182" s="111">
        <f>[42]С2.5!$AR$11</f>
        <v>0</v>
      </c>
    </row>
    <row r="183" spans="2:3" hidden="1">
      <c r="B183" s="110">
        <f t="shared" si="0"/>
        <v>2060</v>
      </c>
      <c r="C183" s="111">
        <f>[42]С2.5!$AS$11</f>
        <v>0</v>
      </c>
    </row>
    <row r="184" spans="2:3" hidden="1">
      <c r="B184" s="110">
        <f t="shared" si="0"/>
        <v>2061</v>
      </c>
      <c r="C184" s="111">
        <f>[42]С2.5!$AT$11</f>
        <v>0</v>
      </c>
    </row>
    <row r="185" spans="2:3" hidden="1">
      <c r="B185" s="110">
        <f t="shared" si="0"/>
        <v>2062</v>
      </c>
      <c r="C185" s="111">
        <f>[42]С2.5!$AU$11</f>
        <v>0</v>
      </c>
    </row>
    <row r="186" spans="2:3" hidden="1">
      <c r="B186" s="110">
        <f t="shared" si="0"/>
        <v>2063</v>
      </c>
      <c r="C186" s="111">
        <f>[42]С2.5!$AV$11</f>
        <v>0</v>
      </c>
    </row>
    <row r="187" spans="2:3" hidden="1">
      <c r="B187" s="110">
        <f t="shared" si="0"/>
        <v>2064</v>
      </c>
      <c r="C187" s="111">
        <f>[42]С2.5!$AW$11</f>
        <v>0</v>
      </c>
    </row>
    <row r="188" spans="2:3" hidden="1">
      <c r="B188" s="110">
        <f t="shared" si="0"/>
        <v>2065</v>
      </c>
      <c r="C188" s="111">
        <f>[42]С2.5!$AX$11</f>
        <v>0</v>
      </c>
    </row>
    <row r="189" spans="2:3" hidden="1">
      <c r="B189" s="110">
        <f t="shared" si="0"/>
        <v>2066</v>
      </c>
      <c r="C189" s="111">
        <f>[42]С2.5!$AY$11</f>
        <v>0</v>
      </c>
    </row>
    <row r="190" spans="2:3" hidden="1">
      <c r="B190" s="110">
        <f t="shared" si="0"/>
        <v>2067</v>
      </c>
      <c r="C190" s="111">
        <f>[42]С2.5!$AZ$11</f>
        <v>0</v>
      </c>
    </row>
    <row r="191" spans="2:3" hidden="1">
      <c r="B191" s="110">
        <f t="shared" si="0"/>
        <v>2068</v>
      </c>
      <c r="C191" s="111">
        <f>[42]С2.5!$BA$11</f>
        <v>0</v>
      </c>
    </row>
    <row r="192" spans="2:3" hidden="1">
      <c r="B192" s="110">
        <f t="shared" si="0"/>
        <v>2069</v>
      </c>
      <c r="C192" s="111">
        <f>[42]С2.5!$BB$11</f>
        <v>0</v>
      </c>
    </row>
    <row r="193" spans="2:3" hidden="1">
      <c r="B193" s="110">
        <f t="shared" si="0"/>
        <v>2070</v>
      </c>
      <c r="C193" s="111">
        <f>[42]С2.5!$BC$11</f>
        <v>0</v>
      </c>
    </row>
    <row r="194" spans="2:3" hidden="1">
      <c r="B194" s="110">
        <f t="shared" si="0"/>
        <v>2071</v>
      </c>
      <c r="C194" s="111">
        <f>[42]С2.5!$BD$11</f>
        <v>0</v>
      </c>
    </row>
    <row r="195" spans="2:3" hidden="1">
      <c r="B195" s="110">
        <f t="shared" si="0"/>
        <v>2072</v>
      </c>
      <c r="C195" s="111">
        <f>[42]С2.5!$BE$11</f>
        <v>0</v>
      </c>
    </row>
    <row r="196" spans="2:3" hidden="1">
      <c r="B196" s="110">
        <f t="shared" si="0"/>
        <v>2073</v>
      </c>
      <c r="C196" s="111">
        <f>[42]С2.5!$BF$11</f>
        <v>0</v>
      </c>
    </row>
    <row r="197" spans="2:3" hidden="1">
      <c r="B197" s="110">
        <f t="shared" si="0"/>
        <v>2074</v>
      </c>
      <c r="C197" s="111">
        <f>[42]С2.5!$BG$11</f>
        <v>0</v>
      </c>
    </row>
    <row r="198" spans="2:3" hidden="1">
      <c r="B198" s="110">
        <f t="shared" si="0"/>
        <v>2075</v>
      </c>
      <c r="C198" s="111">
        <f>[42]С2.5!$BH$11</f>
        <v>0</v>
      </c>
    </row>
    <row r="199" spans="2:3" hidden="1">
      <c r="B199" s="110">
        <f t="shared" si="0"/>
        <v>2076</v>
      </c>
      <c r="C199" s="111">
        <f>[42]С2.5!$BI$11</f>
        <v>0</v>
      </c>
    </row>
    <row r="200" spans="2:3" hidden="1">
      <c r="B200" s="110">
        <f t="shared" si="0"/>
        <v>2077</v>
      </c>
      <c r="C200" s="111">
        <f>[42]С2.5!$BJ$11</f>
        <v>0</v>
      </c>
    </row>
    <row r="201" spans="2:3" hidden="1">
      <c r="B201" s="110">
        <f t="shared" si="0"/>
        <v>2078</v>
      </c>
      <c r="C201" s="111">
        <f>[42]С2.5!$BK$11</f>
        <v>0</v>
      </c>
    </row>
    <row r="202" spans="2:3" hidden="1">
      <c r="B202" s="110">
        <f t="shared" si="0"/>
        <v>2079</v>
      </c>
      <c r="C202" s="111">
        <f>[42]С2.5!$BL$11</f>
        <v>0</v>
      </c>
    </row>
    <row r="203" spans="2:3" hidden="1">
      <c r="B203" s="110">
        <f t="shared" si="0"/>
        <v>2080</v>
      </c>
      <c r="C203" s="111">
        <f>[42]С2.5!$BM$11</f>
        <v>0</v>
      </c>
    </row>
    <row r="204" spans="2:3" hidden="1">
      <c r="B204" s="110">
        <f t="shared" si="0"/>
        <v>2081</v>
      </c>
      <c r="C204" s="111">
        <f>[42]С2.5!$BN$11</f>
        <v>0</v>
      </c>
    </row>
    <row r="205" spans="2:3" hidden="1">
      <c r="B205" s="110">
        <f t="shared" si="0"/>
        <v>2082</v>
      </c>
      <c r="C205" s="111">
        <f>[42]С2.5!$BO$11</f>
        <v>0</v>
      </c>
    </row>
    <row r="206" spans="2:3" hidden="1">
      <c r="B206" s="110">
        <f t="shared" si="0"/>
        <v>2083</v>
      </c>
      <c r="C206" s="111">
        <f>[42]С2.5!$BP$11</f>
        <v>0</v>
      </c>
    </row>
    <row r="207" spans="2:3" hidden="1">
      <c r="B207" s="110">
        <f t="shared" si="0"/>
        <v>2084</v>
      </c>
      <c r="C207" s="111">
        <f>[42]С2.5!$BQ$11</f>
        <v>0</v>
      </c>
    </row>
    <row r="208" spans="2:3" hidden="1">
      <c r="B208" s="110">
        <f t="shared" si="0"/>
        <v>2085</v>
      </c>
      <c r="C208" s="111">
        <f>[42]С2.5!$BR$11</f>
        <v>0</v>
      </c>
    </row>
    <row r="209" spans="2:3" hidden="1">
      <c r="B209" s="110">
        <f t="shared" ref="B209:B223" si="1">B208+1</f>
        <v>2086</v>
      </c>
      <c r="C209" s="111">
        <f>[42]С2.5!$BS$11</f>
        <v>0</v>
      </c>
    </row>
    <row r="210" spans="2:3" hidden="1">
      <c r="B210" s="110">
        <f t="shared" si="1"/>
        <v>2087</v>
      </c>
      <c r="C210" s="111">
        <f>[42]С2.5!$BT$11</f>
        <v>0</v>
      </c>
    </row>
    <row r="211" spans="2:3" hidden="1">
      <c r="B211" s="110">
        <f t="shared" si="1"/>
        <v>2088</v>
      </c>
      <c r="C211" s="111">
        <f>[42]С2.5!$BU$11</f>
        <v>0</v>
      </c>
    </row>
    <row r="212" spans="2:3" hidden="1">
      <c r="B212" s="110">
        <f t="shared" si="1"/>
        <v>2089</v>
      </c>
      <c r="C212" s="111">
        <f>[42]С2.5!$BV$11</f>
        <v>0</v>
      </c>
    </row>
    <row r="213" spans="2:3" hidden="1">
      <c r="B213" s="110">
        <f t="shared" si="1"/>
        <v>2090</v>
      </c>
      <c r="C213" s="111">
        <f>[42]С2.5!$BW$11</f>
        <v>0</v>
      </c>
    </row>
    <row r="214" spans="2:3" hidden="1">
      <c r="B214" s="110">
        <f t="shared" si="1"/>
        <v>2091</v>
      </c>
      <c r="C214" s="111">
        <f>[42]С2.5!$BX$11</f>
        <v>0</v>
      </c>
    </row>
    <row r="215" spans="2:3" hidden="1">
      <c r="B215" s="110">
        <f t="shared" si="1"/>
        <v>2092</v>
      </c>
      <c r="C215" s="111">
        <f>[42]С2.5!$BY$11</f>
        <v>0</v>
      </c>
    </row>
    <row r="216" spans="2:3" hidden="1">
      <c r="B216" s="110">
        <f t="shared" si="1"/>
        <v>2093</v>
      </c>
      <c r="C216" s="111">
        <f>[42]С2.5!$BZ$11</f>
        <v>0</v>
      </c>
    </row>
    <row r="217" spans="2:3" hidden="1">
      <c r="B217" s="110">
        <f t="shared" si="1"/>
        <v>2094</v>
      </c>
      <c r="C217" s="111">
        <f>[42]С2.5!$CA$11</f>
        <v>0</v>
      </c>
    </row>
    <row r="218" spans="2:3" hidden="1">
      <c r="B218" s="110">
        <f t="shared" si="1"/>
        <v>2095</v>
      </c>
      <c r="C218" s="111">
        <f>[42]С2.5!$CB$11</f>
        <v>0</v>
      </c>
    </row>
    <row r="219" spans="2:3" hidden="1">
      <c r="B219" s="110">
        <f t="shared" si="1"/>
        <v>2096</v>
      </c>
      <c r="C219" s="111">
        <f>[42]С2.5!$CC$11</f>
        <v>0</v>
      </c>
    </row>
    <row r="220" spans="2:3" hidden="1">
      <c r="B220" s="110">
        <f t="shared" si="1"/>
        <v>2097</v>
      </c>
      <c r="C220" s="111">
        <f>[42]С2.5!$CD$11</f>
        <v>0</v>
      </c>
    </row>
    <row r="221" spans="2:3" hidden="1">
      <c r="B221" s="110">
        <f t="shared" si="1"/>
        <v>2098</v>
      </c>
      <c r="C221" s="111">
        <f>[42]С2.5!$CE$11</f>
        <v>0</v>
      </c>
    </row>
    <row r="222" spans="2:3" hidden="1">
      <c r="B222" s="110">
        <f t="shared" si="1"/>
        <v>2099</v>
      </c>
      <c r="C222" s="111">
        <f>[42]С2.5!$CF$11</f>
        <v>0</v>
      </c>
    </row>
    <row r="223" spans="2:3" ht="13.5" hidden="1" thickBot="1">
      <c r="B223" s="112">
        <f t="shared" si="1"/>
        <v>2100</v>
      </c>
      <c r="C223" s="113">
        <f>[42]С2.5!$CG$11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2" r:id="rId3" name="Button 2">
              <controlPr defaultSize="0" print="0" autoFill="0" autoPict="0" macro="[4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483" r:id="rId4" name="Button 3">
              <controlPr defaultSize="0" print="0" autoFill="0" autoPict="0" macro="[4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[44]И1!D13</f>
        <v>Субъект Российской Федерации</v>
      </c>
      <c r="C4" s="10" t="str">
        <f>[44]И1!E13</f>
        <v>Новосибирская область</v>
      </c>
    </row>
    <row r="5" spans="1:3" ht="46.9" customHeight="1">
      <c r="A5" s="8"/>
      <c r="B5" s="9" t="str">
        <f>[44]И1!D14</f>
        <v>Тип муниципального образования (выберите из списка)</v>
      </c>
      <c r="C5" s="10" t="str">
        <f>[44]И1!E14</f>
        <v>село Усть-Каменка, Тогучинский муниципальный район</v>
      </c>
    </row>
    <row r="6" spans="1:3">
      <c r="A6" s="8"/>
      <c r="B6" s="9" t="str">
        <f>IF([44]И1!E15="","",[44]И1!D15)</f>
        <v/>
      </c>
      <c r="C6" s="10" t="str">
        <f>IF([44]И1!E15="","",[44]И1!E15)</f>
        <v/>
      </c>
    </row>
    <row r="7" spans="1:3">
      <c r="A7" s="8"/>
      <c r="B7" s="9" t="str">
        <f>[44]И1!D16</f>
        <v>Код ОКТМО</v>
      </c>
      <c r="C7" s="11" t="str">
        <f>[44]И1!E16</f>
        <v>50652446101</v>
      </c>
    </row>
    <row r="8" spans="1:3">
      <c r="A8" s="8"/>
      <c r="B8" s="12" t="str">
        <f>[44]И1!D17</f>
        <v>Система теплоснабжения</v>
      </c>
      <c r="C8" s="13">
        <f>[44]И1!E17</f>
        <v>0</v>
      </c>
    </row>
    <row r="9" spans="1:3">
      <c r="A9" s="8"/>
      <c r="B9" s="9" t="str">
        <f>[44]И1!D8</f>
        <v>Период регулирования (i)-й</v>
      </c>
      <c r="C9" s="14">
        <f>[44]И1!E8</f>
        <v>2025</v>
      </c>
    </row>
    <row r="10" spans="1:3">
      <c r="A10" s="8"/>
      <c r="B10" s="9" t="str">
        <f>[44]И1!D9</f>
        <v>Период регулирования (i-1)-й</v>
      </c>
      <c r="C10" s="14">
        <f>[44]И1!E9</f>
        <v>2024</v>
      </c>
    </row>
    <row r="11" spans="1:3">
      <c r="A11" s="8"/>
      <c r="B11" s="9" t="str">
        <f>[44]И1!D10</f>
        <v>Период регулирования (i-2)-й</v>
      </c>
      <c r="C11" s="14">
        <f>[44]И1!E10</f>
        <v>2023</v>
      </c>
    </row>
    <row r="12" spans="1:3">
      <c r="A12" s="8"/>
      <c r="B12" s="9" t="str">
        <f>[44]И1!D11</f>
        <v>Базовый год (б)</v>
      </c>
      <c r="C12" s="14">
        <f>[44]И1!E11</f>
        <v>2019</v>
      </c>
    </row>
    <row r="13" spans="1:3" ht="38.25">
      <c r="A13" s="8"/>
      <c r="B13" s="9" t="str">
        <f>[44]И1!D18</f>
        <v>Вид топлива, использование которого преобладает в системе теплоснабжения</v>
      </c>
      <c r="C13" s="15" t="str">
        <f>[44]С1.1!E13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5382.6736472110579</v>
      </c>
    </row>
    <row r="18" spans="1:3" ht="42.75">
      <c r="A18" s="22" t="s">
        <v>8</v>
      </c>
      <c r="B18" s="25" t="s">
        <v>9</v>
      </c>
      <c r="C18" s="26">
        <f>[44]С1!F12</f>
        <v>795.80460480398301</v>
      </c>
    </row>
    <row r="19" spans="1:3" ht="42.75">
      <c r="A19" s="22" t="s">
        <v>10</v>
      </c>
      <c r="B19" s="25" t="s">
        <v>11</v>
      </c>
      <c r="C19" s="26">
        <f>[44]С2!F12</f>
        <v>3056.1591261705735</v>
      </c>
    </row>
    <row r="20" spans="1:3" ht="30">
      <c r="A20" s="22" t="s">
        <v>12</v>
      </c>
      <c r="B20" s="25" t="s">
        <v>13</v>
      </c>
      <c r="C20" s="26">
        <f>[44]С3!F12</f>
        <v>915.44743976410246</v>
      </c>
    </row>
    <row r="21" spans="1:3" ht="42.75">
      <c r="A21" s="22" t="s">
        <v>14</v>
      </c>
      <c r="B21" s="25" t="s">
        <v>15</v>
      </c>
      <c r="C21" s="26">
        <f>[44]С4!F12</f>
        <v>509.71985593884864</v>
      </c>
    </row>
    <row r="22" spans="1:3" ht="30">
      <c r="A22" s="22" t="s">
        <v>16</v>
      </c>
      <c r="B22" s="25" t="s">
        <v>17</v>
      </c>
      <c r="C22" s="26">
        <f>[44]С5!F12</f>
        <v>105.54262053355016</v>
      </c>
    </row>
    <row r="23" spans="1:3" ht="43.5" thickBot="1">
      <c r="A23" s="27" t="s">
        <v>18</v>
      </c>
      <c r="B23" s="140" t="s">
        <v>19</v>
      </c>
      <c r="C23" s="28" t="str">
        <f>[44]С6!F12</f>
        <v>-</v>
      </c>
    </row>
    <row r="24" spans="1:3" ht="13.5" thickBot="1">
      <c r="A24" s="3"/>
    </row>
    <row r="25" spans="1:3">
      <c r="A25" s="16" t="s">
        <v>4</v>
      </c>
      <c r="B25" s="29" t="s">
        <v>5</v>
      </c>
      <c r="C25" s="30" t="s">
        <v>6</v>
      </c>
    </row>
    <row r="26" spans="1:3">
      <c r="A26" s="19">
        <v>1</v>
      </c>
      <c r="B26" s="31">
        <v>2</v>
      </c>
      <c r="C26" s="32">
        <v>3</v>
      </c>
    </row>
    <row r="27" spans="1:3" ht="35.25" customHeight="1">
      <c r="A27" s="22">
        <v>1</v>
      </c>
      <c r="B27" s="145" t="s">
        <v>20</v>
      </c>
      <c r="C27" s="145"/>
    </row>
    <row r="28" spans="1:3">
      <c r="A28" s="22" t="s">
        <v>8</v>
      </c>
      <c r="B28" s="33" t="s">
        <v>21</v>
      </c>
      <c r="C28" s="34">
        <f>[44]С1.1!E16</f>
        <v>5100</v>
      </c>
    </row>
    <row r="29" spans="1:3" ht="42.75">
      <c r="A29" s="22" t="s">
        <v>10</v>
      </c>
      <c r="B29" s="33" t="s">
        <v>22</v>
      </c>
      <c r="C29" s="34">
        <f>[44]С1.1!E27</f>
        <v>2870.67</v>
      </c>
    </row>
    <row r="30" spans="1:3" ht="17.25">
      <c r="A30" s="22" t="s">
        <v>12</v>
      </c>
      <c r="B30" s="33" t="s">
        <v>23</v>
      </c>
      <c r="C30" s="35">
        <f>[44]С1.1!E19</f>
        <v>1.4E-2</v>
      </c>
    </row>
    <row r="31" spans="1:3" ht="17.25">
      <c r="A31" s="22" t="s">
        <v>14</v>
      </c>
      <c r="B31" s="33" t="s">
        <v>24</v>
      </c>
      <c r="C31" s="35">
        <f>[44]С1.1!E20</f>
        <v>0.04</v>
      </c>
    </row>
    <row r="32" spans="1:3" ht="30">
      <c r="A32" s="22" t="s">
        <v>16</v>
      </c>
      <c r="B32" s="36" t="s">
        <v>25</v>
      </c>
      <c r="C32" s="37">
        <f>[44]С1!F13</f>
        <v>176.4</v>
      </c>
    </row>
    <row r="33" spans="1:3">
      <c r="A33" s="22" t="s">
        <v>18</v>
      </c>
      <c r="B33" s="36" t="s">
        <v>26</v>
      </c>
      <c r="C33" s="38">
        <f>[44]С1!F16</f>
        <v>7000</v>
      </c>
    </row>
    <row r="34" spans="1:3" ht="14.25">
      <c r="A34" s="22" t="s">
        <v>27</v>
      </c>
      <c r="B34" s="39" t="s">
        <v>28</v>
      </c>
      <c r="C34" s="40">
        <f>[44]С1!F17</f>
        <v>0.72857142857142854</v>
      </c>
    </row>
    <row r="35" spans="1:3" ht="15.75">
      <c r="A35" s="41" t="s">
        <v>29</v>
      </c>
      <c r="B35" s="42" t="s">
        <v>30</v>
      </c>
      <c r="C35" s="40">
        <f>[44]С1!F20</f>
        <v>21.588411179999994</v>
      </c>
    </row>
    <row r="36" spans="1:3" ht="15.75">
      <c r="A36" s="41" t="s">
        <v>31</v>
      </c>
      <c r="B36" s="43" t="s">
        <v>32</v>
      </c>
      <c r="C36" s="40">
        <f>[44]С1!F21</f>
        <v>20.818139999999996</v>
      </c>
    </row>
    <row r="37" spans="1:3" ht="14.25">
      <c r="A37" s="41" t="s">
        <v>33</v>
      </c>
      <c r="B37" s="44" t="s">
        <v>34</v>
      </c>
      <c r="C37" s="40">
        <f>[44]С1!F22</f>
        <v>1.0369999999999999</v>
      </c>
    </row>
    <row r="38" spans="1:3" ht="53.25" thickBot="1">
      <c r="A38" s="27" t="s">
        <v>35</v>
      </c>
      <c r="B38" s="45" t="s">
        <v>36</v>
      </c>
      <c r="C38" s="46">
        <f>[44]С1!F23</f>
        <v>1.0469999999999999</v>
      </c>
    </row>
    <row r="39" spans="1:3" ht="13.5" thickBot="1">
      <c r="A39" s="47"/>
      <c r="B39" s="48"/>
      <c r="C39" s="49"/>
    </row>
    <row r="40" spans="1:3" ht="48.75" customHeight="1">
      <c r="A40" s="50" t="s">
        <v>37</v>
      </c>
      <c r="B40" s="146" t="s">
        <v>38</v>
      </c>
      <c r="C40" s="146"/>
    </row>
    <row r="41" spans="1:3" ht="25.5">
      <c r="A41" s="22" t="s">
        <v>39</v>
      </c>
      <c r="B41" s="36" t="s">
        <v>40</v>
      </c>
      <c r="C41" s="51" t="str">
        <f>[44]С2.1!E12</f>
        <v>V</v>
      </c>
    </row>
    <row r="42" spans="1:3" ht="25.5">
      <c r="A42" s="22" t="s">
        <v>41</v>
      </c>
      <c r="B42" s="33" t="s">
        <v>42</v>
      </c>
      <c r="C42" s="51" t="str">
        <f>[44]С2.1!E13</f>
        <v>6 и менее баллов</v>
      </c>
    </row>
    <row r="43" spans="1:3" ht="25.5">
      <c r="A43" s="22" t="s">
        <v>43</v>
      </c>
      <c r="B43" s="33" t="s">
        <v>44</v>
      </c>
      <c r="C43" s="51" t="str">
        <f>[44]С2.1!E14</f>
        <v>от 200 до 500</v>
      </c>
    </row>
    <row r="44" spans="1:3" ht="25.5">
      <c r="A44" s="22" t="s">
        <v>45</v>
      </c>
      <c r="B44" s="33" t="s">
        <v>46</v>
      </c>
      <c r="C44" s="52" t="str">
        <f>[44]С2.1!E15</f>
        <v>нет</v>
      </c>
    </row>
    <row r="45" spans="1:3" ht="30">
      <c r="A45" s="22" t="s">
        <v>47</v>
      </c>
      <c r="B45" s="33" t="s">
        <v>48</v>
      </c>
      <c r="C45" s="34">
        <f>[44]С2!F18</f>
        <v>38910.02669467502</v>
      </c>
    </row>
    <row r="46" spans="1:3" ht="30">
      <c r="A46" s="22" t="s">
        <v>49</v>
      </c>
      <c r="B46" s="53" t="s">
        <v>50</v>
      </c>
      <c r="C46" s="34">
        <f>IF([44]С2!F19&gt;0,[44]С2!F19,[44]С2!F20)</f>
        <v>23441.524932855718</v>
      </c>
    </row>
    <row r="47" spans="1:3" ht="25.5">
      <c r="A47" s="22" t="s">
        <v>51</v>
      </c>
      <c r="B47" s="54" t="s">
        <v>52</v>
      </c>
      <c r="C47" s="34">
        <f>[44]С2.1!E19</f>
        <v>-38</v>
      </c>
    </row>
    <row r="48" spans="1:3" ht="25.5">
      <c r="A48" s="22" t="s">
        <v>53</v>
      </c>
      <c r="B48" s="54" t="s">
        <v>54</v>
      </c>
      <c r="C48" s="34" t="str">
        <f>[44]С2.1!E22</f>
        <v>нет</v>
      </c>
    </row>
    <row r="49" spans="1:3" ht="38.25">
      <c r="A49" s="22" t="s">
        <v>55</v>
      </c>
      <c r="B49" s="55" t="s">
        <v>56</v>
      </c>
      <c r="C49" s="34">
        <f>[44]С2.2!E10</f>
        <v>1287</v>
      </c>
    </row>
    <row r="50" spans="1:3" ht="25.5">
      <c r="A50" s="22" t="s">
        <v>57</v>
      </c>
      <c r="B50" s="56" t="s">
        <v>58</v>
      </c>
      <c r="C50" s="34">
        <f>[44]С2.2!E12</f>
        <v>5.97</v>
      </c>
    </row>
    <row r="51" spans="1:3" ht="52.5">
      <c r="A51" s="22" t="s">
        <v>59</v>
      </c>
      <c r="B51" s="57" t="s">
        <v>60</v>
      </c>
      <c r="C51" s="34">
        <f>[44]С2.2!E13</f>
        <v>1</v>
      </c>
    </row>
    <row r="52" spans="1:3" ht="27.75">
      <c r="A52" s="22" t="s">
        <v>61</v>
      </c>
      <c r="B52" s="56" t="s">
        <v>62</v>
      </c>
      <c r="C52" s="34">
        <f>[44]С2.2!E14</f>
        <v>12104</v>
      </c>
    </row>
    <row r="53" spans="1:3" ht="25.5">
      <c r="A53" s="22" t="s">
        <v>63</v>
      </c>
      <c r="B53" s="57" t="s">
        <v>64</v>
      </c>
      <c r="C53" s="35">
        <f>[44]С2.2!E15</f>
        <v>4.8000000000000001E-2</v>
      </c>
    </row>
    <row r="54" spans="1:3">
      <c r="A54" s="22" t="s">
        <v>65</v>
      </c>
      <c r="B54" s="57" t="s">
        <v>66</v>
      </c>
      <c r="C54" s="34">
        <f>[44]С2.2!E16</f>
        <v>1</v>
      </c>
    </row>
    <row r="55" spans="1:3" ht="15.75">
      <c r="A55" s="22" t="s">
        <v>67</v>
      </c>
      <c r="B55" s="58" t="s">
        <v>68</v>
      </c>
      <c r="C55" s="34">
        <f>[44]С2!F21</f>
        <v>1</v>
      </c>
    </row>
    <row r="56" spans="1:3" ht="30">
      <c r="A56" s="59" t="s">
        <v>69</v>
      </c>
      <c r="B56" s="33" t="s">
        <v>70</v>
      </c>
      <c r="C56" s="34">
        <f>[44]С2!F13</f>
        <v>203708.97017230222</v>
      </c>
    </row>
    <row r="57" spans="1:3" ht="30">
      <c r="A57" s="59" t="s">
        <v>71</v>
      </c>
      <c r="B57" s="58" t="s">
        <v>72</v>
      </c>
      <c r="C57" s="34">
        <f>[44]С2!F14</f>
        <v>113455</v>
      </c>
    </row>
    <row r="58" spans="1:3" ht="15.75">
      <c r="A58" s="59" t="s">
        <v>73</v>
      </c>
      <c r="B58" s="60" t="s">
        <v>74</v>
      </c>
      <c r="C58" s="40">
        <f>[44]С2!F15</f>
        <v>1.071</v>
      </c>
    </row>
    <row r="59" spans="1:3" ht="15.75">
      <c r="A59" s="59" t="s">
        <v>75</v>
      </c>
      <c r="B59" s="60" t="s">
        <v>76</v>
      </c>
      <c r="C59" s="40">
        <f>[44]С2!F16</f>
        <v>1</v>
      </c>
    </row>
    <row r="60" spans="1:3" ht="17.25">
      <c r="A60" s="59" t="s">
        <v>77</v>
      </c>
      <c r="B60" s="58" t="s">
        <v>78</v>
      </c>
      <c r="C60" s="34">
        <f>[44]С2!F17</f>
        <v>1.01</v>
      </c>
    </row>
    <row r="61" spans="1:3" s="63" customFormat="1" ht="14.25">
      <c r="A61" s="59" t="s">
        <v>79</v>
      </c>
      <c r="B61" s="61" t="s">
        <v>80</v>
      </c>
      <c r="C61" s="62">
        <f>[44]С2!F33</f>
        <v>10</v>
      </c>
    </row>
    <row r="62" spans="1:3" ht="30">
      <c r="A62" s="59" t="s">
        <v>81</v>
      </c>
      <c r="B62" s="64" t="s">
        <v>82</v>
      </c>
      <c r="C62" s="34">
        <f>[44]С2!F26</f>
        <v>2416.4994928434235</v>
      </c>
    </row>
    <row r="63" spans="1:3" ht="17.25">
      <c r="A63" s="59" t="s">
        <v>83</v>
      </c>
      <c r="B63" s="53" t="s">
        <v>84</v>
      </c>
      <c r="C63" s="34">
        <f>[44]С2!F27</f>
        <v>0.34662649000000001</v>
      </c>
    </row>
    <row r="64" spans="1:3" ht="17.25">
      <c r="A64" s="59" t="s">
        <v>85</v>
      </c>
      <c r="B64" s="58" t="s">
        <v>86</v>
      </c>
      <c r="C64" s="62">
        <f>[44]С2!F28</f>
        <v>4200</v>
      </c>
    </row>
    <row r="65" spans="1:3" ht="42.75">
      <c r="A65" s="59" t="s">
        <v>87</v>
      </c>
      <c r="B65" s="33" t="s">
        <v>88</v>
      </c>
      <c r="C65" s="34">
        <f>[44]С2!F22</f>
        <v>42890.921752741691</v>
      </c>
    </row>
    <row r="66" spans="1:3" ht="30">
      <c r="A66" s="59" t="s">
        <v>89</v>
      </c>
      <c r="B66" s="60" t="s">
        <v>90</v>
      </c>
      <c r="C66" s="34">
        <f>[44]С2!F23</f>
        <v>1990</v>
      </c>
    </row>
    <row r="67" spans="1:3" ht="30">
      <c r="A67" s="59" t="s">
        <v>91</v>
      </c>
      <c r="B67" s="53" t="s">
        <v>92</v>
      </c>
      <c r="C67" s="34">
        <f>[44]С2.1!E27</f>
        <v>14307.876789999998</v>
      </c>
    </row>
    <row r="68" spans="1:3" ht="38.25">
      <c r="A68" s="59" t="s">
        <v>93</v>
      </c>
      <c r="B68" s="65" t="s">
        <v>94</v>
      </c>
      <c r="C68" s="52">
        <f>[44]С2.3!E21</f>
        <v>0</v>
      </c>
    </row>
    <row r="69" spans="1:3" ht="25.5">
      <c r="A69" s="59" t="s">
        <v>95</v>
      </c>
      <c r="B69" s="66" t="s">
        <v>96</v>
      </c>
      <c r="C69" s="67">
        <f>[44]С2.3!E11</f>
        <v>9.89</v>
      </c>
    </row>
    <row r="70" spans="1:3" ht="25.5">
      <c r="A70" s="59" t="s">
        <v>97</v>
      </c>
      <c r="B70" s="66" t="s">
        <v>98</v>
      </c>
      <c r="C70" s="62">
        <f>[44]С2.3!E13</f>
        <v>300</v>
      </c>
    </row>
    <row r="71" spans="1:3" ht="25.5">
      <c r="A71" s="59" t="s">
        <v>99</v>
      </c>
      <c r="B71" s="65" t="s">
        <v>100</v>
      </c>
      <c r="C71" s="68">
        <f>IF([44]С2.3!E22&gt;0,[44]С2.3!E22,[44]С2.3!E14)</f>
        <v>61211</v>
      </c>
    </row>
    <row r="72" spans="1:3" ht="38.25">
      <c r="A72" s="59" t="s">
        <v>101</v>
      </c>
      <c r="B72" s="65" t="s">
        <v>102</v>
      </c>
      <c r="C72" s="68">
        <f>IF([44]С2.3!E23&gt;0,[44]С2.3!E23,[44]С2.3!E15)</f>
        <v>45675</v>
      </c>
    </row>
    <row r="73" spans="1:3" ht="30">
      <c r="A73" s="59" t="s">
        <v>103</v>
      </c>
      <c r="B73" s="53" t="s">
        <v>104</v>
      </c>
      <c r="C73" s="34">
        <f>[44]С2.1!E28</f>
        <v>9541.9567200000001</v>
      </c>
    </row>
    <row r="74" spans="1:3" ht="38.25">
      <c r="A74" s="59" t="s">
        <v>105</v>
      </c>
      <c r="B74" s="65" t="s">
        <v>106</v>
      </c>
      <c r="C74" s="52">
        <f>[44]С2.3!E25</f>
        <v>0</v>
      </c>
    </row>
    <row r="75" spans="1:3" ht="25.5">
      <c r="A75" s="59" t="s">
        <v>107</v>
      </c>
      <c r="B75" s="66" t="s">
        <v>108</v>
      </c>
      <c r="C75" s="67">
        <f>[44]С2.3!E12</f>
        <v>0.56000000000000005</v>
      </c>
    </row>
    <row r="76" spans="1:3" ht="25.5">
      <c r="A76" s="59" t="s">
        <v>109</v>
      </c>
      <c r="B76" s="66" t="s">
        <v>98</v>
      </c>
      <c r="C76" s="62">
        <f>[44]С2.3!E13</f>
        <v>300</v>
      </c>
    </row>
    <row r="77" spans="1:3" ht="25.5">
      <c r="A77" s="59" t="s">
        <v>110</v>
      </c>
      <c r="B77" s="69" t="s">
        <v>111</v>
      </c>
      <c r="C77" s="68">
        <f>IF([44]С2.3!E26&gt;0,[44]С2.3!E26,[44]С2.3!E16)</f>
        <v>65637</v>
      </c>
    </row>
    <row r="78" spans="1:3" ht="38.25">
      <c r="A78" s="59" t="s">
        <v>112</v>
      </c>
      <c r="B78" s="69" t="s">
        <v>113</v>
      </c>
      <c r="C78" s="68">
        <f>IF([44]С2.3!E27&gt;0,[44]С2.3!E27,[44]С2.3!E17)</f>
        <v>31684</v>
      </c>
    </row>
    <row r="79" spans="1:3" ht="17.25">
      <c r="A79" s="59" t="s">
        <v>114</v>
      </c>
      <c r="B79" s="33" t="s">
        <v>115</v>
      </c>
      <c r="C79" s="35">
        <f>[44]С2!F29</f>
        <v>0.17804631770487722</v>
      </c>
    </row>
    <row r="80" spans="1:3" ht="30">
      <c r="A80" s="59" t="s">
        <v>116</v>
      </c>
      <c r="B80" s="53" t="s">
        <v>117</v>
      </c>
      <c r="C80" s="70">
        <f>[44]С2!F30</f>
        <v>0.1652189781021898</v>
      </c>
    </row>
    <row r="81" spans="1:3" ht="17.25">
      <c r="A81" s="59" t="s">
        <v>118</v>
      </c>
      <c r="B81" s="71" t="s">
        <v>119</v>
      </c>
      <c r="C81" s="35">
        <f>[44]С2!F31</f>
        <v>0.13880000000000001</v>
      </c>
    </row>
    <row r="82" spans="1:3" s="63" customFormat="1" ht="18" thickBot="1">
      <c r="A82" s="72" t="s">
        <v>120</v>
      </c>
      <c r="B82" s="73" t="s">
        <v>121</v>
      </c>
      <c r="C82" s="74">
        <f>[44]С2!F32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[44]С3!F14</f>
        <v>14863.184658749575</v>
      </c>
    </row>
    <row r="86" spans="1:3" s="63" customFormat="1" ht="42.75">
      <c r="A86" s="77" t="s">
        <v>126</v>
      </c>
      <c r="B86" s="53" t="s">
        <v>127</v>
      </c>
      <c r="C86" s="78">
        <f>[44]С3!F15</f>
        <v>0.25</v>
      </c>
    </row>
    <row r="87" spans="1:3" s="63" customFormat="1" ht="14.25">
      <c r="A87" s="77" t="s">
        <v>128</v>
      </c>
      <c r="B87" s="79" t="s">
        <v>129</v>
      </c>
      <c r="C87" s="62">
        <f>[44]С3!F18</f>
        <v>15</v>
      </c>
    </row>
    <row r="88" spans="1:3" s="63" customFormat="1" ht="17.25">
      <c r="A88" s="77" t="s">
        <v>130</v>
      </c>
      <c r="B88" s="33" t="s">
        <v>131</v>
      </c>
      <c r="C88" s="34">
        <f>[44]С3!F19</f>
        <v>4187.478806422544</v>
      </c>
    </row>
    <row r="89" spans="1:3" s="63" customFormat="1" ht="55.5">
      <c r="A89" s="77" t="s">
        <v>132</v>
      </c>
      <c r="B89" s="53" t="s">
        <v>133</v>
      </c>
      <c r="C89" s="80">
        <f>[44]С3!F20</f>
        <v>2.1999999999999999E-2</v>
      </c>
    </row>
    <row r="90" spans="1:3" s="63" customFormat="1" ht="14.25">
      <c r="A90" s="77" t="s">
        <v>134</v>
      </c>
      <c r="B90" s="58" t="s">
        <v>80</v>
      </c>
      <c r="C90" s="62">
        <f>[44]С3!F21</f>
        <v>10</v>
      </c>
    </row>
    <row r="91" spans="1:3" s="63" customFormat="1" ht="17.25">
      <c r="A91" s="77" t="s">
        <v>135</v>
      </c>
      <c r="B91" s="33" t="s">
        <v>136</v>
      </c>
      <c r="C91" s="34">
        <f>[44]С3!F22</f>
        <v>7.2494984785302705</v>
      </c>
    </row>
    <row r="92" spans="1:3" s="63" customFormat="1" ht="55.5">
      <c r="A92" s="77" t="s">
        <v>137</v>
      </c>
      <c r="B92" s="53" t="s">
        <v>138</v>
      </c>
      <c r="C92" s="80">
        <f>[44]С3!F23</f>
        <v>3.0000000000000001E-3</v>
      </c>
    </row>
    <row r="93" spans="1:3" s="63" customFormat="1" ht="27.75" thickBot="1">
      <c r="A93" s="81" t="s">
        <v>139</v>
      </c>
      <c r="B93" s="82" t="s">
        <v>140</v>
      </c>
      <c r="C93" s="83">
        <f>[44]С3!F24</f>
        <v>2416.4994928434235</v>
      </c>
    </row>
    <row r="94" spans="1:3" ht="13.5" thickBot="1">
      <c r="A94" s="47"/>
      <c r="B94" s="75"/>
      <c r="C94" s="15"/>
    </row>
    <row r="95" spans="1:3" ht="38.25" customHeight="1">
      <c r="A95" s="84" t="s">
        <v>141</v>
      </c>
      <c r="B95" s="146" t="s">
        <v>142</v>
      </c>
      <c r="C95" s="146"/>
    </row>
    <row r="96" spans="1:3" ht="30">
      <c r="A96" s="59" t="s">
        <v>143</v>
      </c>
      <c r="B96" s="33" t="s">
        <v>144</v>
      </c>
      <c r="C96" s="34">
        <f>[44]С4!F16</f>
        <v>1652.5</v>
      </c>
    </row>
    <row r="97" spans="1:3" ht="30">
      <c r="A97" s="59" t="s">
        <v>145</v>
      </c>
      <c r="B97" s="58" t="s">
        <v>146</v>
      </c>
      <c r="C97" s="34">
        <f>[44]С4!F17</f>
        <v>73547</v>
      </c>
    </row>
    <row r="98" spans="1:3" ht="17.25">
      <c r="A98" s="59" t="s">
        <v>147</v>
      </c>
      <c r="B98" s="58" t="s">
        <v>148</v>
      </c>
      <c r="C98" s="40">
        <f>[44]С4!F18</f>
        <v>0.02</v>
      </c>
    </row>
    <row r="99" spans="1:3" ht="30">
      <c r="A99" s="59" t="s">
        <v>149</v>
      </c>
      <c r="B99" s="58" t="s">
        <v>150</v>
      </c>
      <c r="C99" s="34">
        <f>[44]С4!F19</f>
        <v>12104</v>
      </c>
    </row>
    <row r="100" spans="1:3" ht="31.5">
      <c r="A100" s="59" t="s">
        <v>151</v>
      </c>
      <c r="B100" s="58" t="s">
        <v>152</v>
      </c>
      <c r="C100" s="40">
        <f>[44]С4!F20</f>
        <v>1.4999999999999999E-2</v>
      </c>
    </row>
    <row r="101" spans="1:3" ht="30">
      <c r="A101" s="59" t="s">
        <v>153</v>
      </c>
      <c r="B101" s="33" t="s">
        <v>154</v>
      </c>
      <c r="C101" s="34">
        <f>[44]С4!F21</f>
        <v>1933.1949342509995</v>
      </c>
    </row>
    <row r="102" spans="1:3" ht="24" customHeight="1">
      <c r="A102" s="59" t="s">
        <v>155</v>
      </c>
      <c r="B102" s="53" t="s">
        <v>156</v>
      </c>
      <c r="C102" s="85">
        <f>IF([44]С4.2!F8="да",[44]С4.2!D21,[44]С4.2!D15)</f>
        <v>0</v>
      </c>
    </row>
    <row r="103" spans="1:3" ht="68.25">
      <c r="A103" s="59" t="s">
        <v>157</v>
      </c>
      <c r="B103" s="53" t="s">
        <v>158</v>
      </c>
      <c r="C103" s="34">
        <f>[44]С4!F22</f>
        <v>3.6112641666666665</v>
      </c>
    </row>
    <row r="104" spans="1:3" ht="30">
      <c r="A104" s="59" t="s">
        <v>159</v>
      </c>
      <c r="B104" s="58" t="s">
        <v>160</v>
      </c>
      <c r="C104" s="34">
        <f>[44]С4!F23</f>
        <v>180</v>
      </c>
    </row>
    <row r="105" spans="1:3" ht="14.25">
      <c r="A105" s="59" t="s">
        <v>161</v>
      </c>
      <c r="B105" s="53" t="s">
        <v>162</v>
      </c>
      <c r="C105" s="34">
        <f>[44]С4!F24</f>
        <v>8497.1999999999989</v>
      </c>
    </row>
    <row r="106" spans="1:3" ht="14.25">
      <c r="A106" s="59" t="s">
        <v>163</v>
      </c>
      <c r="B106" s="58" t="s">
        <v>164</v>
      </c>
      <c r="C106" s="40">
        <f>[44]С4!F25</f>
        <v>0.35</v>
      </c>
    </row>
    <row r="107" spans="1:3" ht="17.25">
      <c r="A107" s="59" t="s">
        <v>165</v>
      </c>
      <c r="B107" s="33" t="s">
        <v>166</v>
      </c>
      <c r="C107" s="34">
        <f>[44]С4!F26</f>
        <v>81.635609999999986</v>
      </c>
    </row>
    <row r="108" spans="1:3" ht="25.5">
      <c r="A108" s="59" t="s">
        <v>167</v>
      </c>
      <c r="B108" s="53" t="s">
        <v>94</v>
      </c>
      <c r="C108" s="85">
        <f>[44]С4.3!E16</f>
        <v>0</v>
      </c>
    </row>
    <row r="109" spans="1:3" ht="25.5">
      <c r="A109" s="59" t="s">
        <v>168</v>
      </c>
      <c r="B109" s="53" t="s">
        <v>169</v>
      </c>
      <c r="C109" s="34">
        <f>[44]С4.3!E17</f>
        <v>21.47</v>
      </c>
    </row>
    <row r="110" spans="1:3" ht="38.25">
      <c r="A110" s="59" t="s">
        <v>170</v>
      </c>
      <c r="B110" s="53" t="s">
        <v>106</v>
      </c>
      <c r="C110" s="85">
        <f>[44]С4.3!E18</f>
        <v>0</v>
      </c>
    </row>
    <row r="111" spans="1:3">
      <c r="A111" s="59" t="s">
        <v>171</v>
      </c>
      <c r="B111" s="53" t="s">
        <v>172</v>
      </c>
      <c r="C111" s="34">
        <f>[44]С4.3!E19</f>
        <v>31.08</v>
      </c>
    </row>
    <row r="112" spans="1:3">
      <c r="A112" s="59" t="s">
        <v>173</v>
      </c>
      <c r="B112" s="58" t="s">
        <v>174</v>
      </c>
      <c r="C112" s="34">
        <f>[44]С4.3!E11</f>
        <v>1871</v>
      </c>
    </row>
    <row r="113" spans="1:3">
      <c r="A113" s="59" t="s">
        <v>175</v>
      </c>
      <c r="B113" s="58" t="s">
        <v>176</v>
      </c>
      <c r="C113" s="52">
        <f>[44]С4.3!E12</f>
        <v>1636</v>
      </c>
    </row>
    <row r="114" spans="1:3">
      <c r="A114" s="59" t="s">
        <v>177</v>
      </c>
      <c r="B114" s="58" t="s">
        <v>178</v>
      </c>
      <c r="C114" s="52">
        <f>[44]С4.3!E13</f>
        <v>204</v>
      </c>
    </row>
    <row r="115" spans="1:3" ht="30">
      <c r="A115" s="59" t="s">
        <v>179</v>
      </c>
      <c r="B115" s="33" t="s">
        <v>180</v>
      </c>
      <c r="C115" s="34">
        <f>[44]С4!F27</f>
        <v>1291.2863994686898</v>
      </c>
    </row>
    <row r="116" spans="1:3" ht="25.5">
      <c r="A116" s="59" t="s">
        <v>181</v>
      </c>
      <c r="B116" s="53" t="s">
        <v>182</v>
      </c>
      <c r="C116" s="34">
        <f>[44]С4!F28</f>
        <v>991.77142816335618</v>
      </c>
    </row>
    <row r="117" spans="1:3" ht="42.75">
      <c r="A117" s="59" t="s">
        <v>183</v>
      </c>
      <c r="B117" s="53" t="s">
        <v>184</v>
      </c>
      <c r="C117" s="34">
        <f>[44]С4!F29</f>
        <v>299.51497130533357</v>
      </c>
    </row>
    <row r="118" spans="1:3" ht="30">
      <c r="A118" s="59" t="s">
        <v>185</v>
      </c>
      <c r="B118" s="39" t="s">
        <v>186</v>
      </c>
      <c r="C118" s="34">
        <f>[44]С4!F30</f>
        <v>2380.7296288963862</v>
      </c>
    </row>
    <row r="119" spans="1:3" ht="42.75">
      <c r="A119" s="59" t="s">
        <v>187</v>
      </c>
      <c r="B119" s="86" t="s">
        <v>188</v>
      </c>
      <c r="C119" s="34">
        <f>[44]С4!F33</f>
        <v>1176.7426982817792</v>
      </c>
    </row>
    <row r="120" spans="1:3" ht="30">
      <c r="A120" s="59" t="s">
        <v>189</v>
      </c>
      <c r="B120" s="87" t="s">
        <v>190</v>
      </c>
      <c r="C120" s="34">
        <f>[44]С4!F35</f>
        <v>17.040680999999999</v>
      </c>
    </row>
    <row r="121" spans="1:3" ht="14.25">
      <c r="A121" s="59" t="s">
        <v>191</v>
      </c>
      <c r="B121" s="56" t="s">
        <v>192</v>
      </c>
      <c r="C121" s="34">
        <f>[44]С4!F36</f>
        <v>14319.9</v>
      </c>
    </row>
    <row r="122" spans="1:3" ht="28.5" thickBot="1">
      <c r="A122" s="72" t="s">
        <v>193</v>
      </c>
      <c r="B122" s="88" t="s">
        <v>194</v>
      </c>
      <c r="C122" s="83">
        <f>[44]С4!F37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[44]С5!F17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[44]С2!F37</f>
        <v>20.818139999999996</v>
      </c>
    </row>
    <row r="136" spans="1:4" ht="14.25">
      <c r="A136" s="59" t="s">
        <v>216</v>
      </c>
      <c r="B136" s="101" t="s">
        <v>217</v>
      </c>
      <c r="C136" s="34">
        <f>[44]С2!F38</f>
        <v>7</v>
      </c>
    </row>
    <row r="137" spans="1:4" ht="17.25">
      <c r="A137" s="59" t="s">
        <v>218</v>
      </c>
      <c r="B137" s="101" t="s">
        <v>219</v>
      </c>
      <c r="C137" s="34">
        <f>[44]С2!F40</f>
        <v>0.97</v>
      </c>
    </row>
    <row r="138" spans="1:4" ht="15" thickBot="1">
      <c r="A138" s="72" t="s">
        <v>220</v>
      </c>
      <c r="B138" s="102" t="s">
        <v>221</v>
      </c>
      <c r="C138" s="46">
        <f>[44]С2!F42</f>
        <v>0.35</v>
      </c>
    </row>
    <row r="139" spans="1:4" s="89" customFormat="1" ht="13.5" thickBot="1">
      <c r="A139" s="47"/>
      <c r="B139" s="75"/>
      <c r="C139" s="15"/>
    </row>
    <row r="140" spans="1:4" ht="30">
      <c r="A140" s="84" t="s">
        <v>222</v>
      </c>
      <c r="B140" s="103" t="s">
        <v>223</v>
      </c>
      <c r="C140" s="104">
        <f>[44]С2!F35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[44]С2.5!$E$11</f>
        <v>-2.9000000000000026E-2</v>
      </c>
      <c r="D143" s="89"/>
    </row>
    <row r="144" spans="1:4">
      <c r="A144" s="105"/>
      <c r="B144" s="110">
        <f>B143+1</f>
        <v>2021</v>
      </c>
      <c r="C144" s="111">
        <f>[44]С2.5!$F$11</f>
        <v>0.245</v>
      </c>
      <c r="D144" s="89"/>
    </row>
    <row r="145" spans="1:4">
      <c r="A145" s="105"/>
      <c r="B145" s="110">
        <f t="shared" ref="B145:B208" si="0">B144+1</f>
        <v>2022</v>
      </c>
      <c r="C145" s="111">
        <f>[44]С2.5!$G$11</f>
        <v>0.114</v>
      </c>
      <c r="D145" s="89"/>
    </row>
    <row r="146" spans="1:4" ht="13.5" thickBot="1">
      <c r="A146" s="105"/>
      <c r="B146" s="112">
        <f t="shared" si="0"/>
        <v>2023</v>
      </c>
      <c r="C146" s="113">
        <f>[44]С2.5!$H$11</f>
        <v>0.04</v>
      </c>
      <c r="D146" s="89"/>
    </row>
    <row r="147" spans="1:4">
      <c r="A147" s="105"/>
      <c r="B147" s="114">
        <f t="shared" si="0"/>
        <v>2024</v>
      </c>
      <c r="C147" s="115">
        <f>[44]С2.5!$I$11</f>
        <v>0.11700000000000001</v>
      </c>
      <c r="D147" s="89"/>
    </row>
    <row r="148" spans="1:4">
      <c r="A148" s="105"/>
      <c r="B148" s="110">
        <f t="shared" si="0"/>
        <v>2025</v>
      </c>
      <c r="C148" s="111">
        <f>[44]С2.5!$J$11</f>
        <v>6.0999999999999999E-2</v>
      </c>
      <c r="D148" s="89"/>
    </row>
    <row r="149" spans="1:4" hidden="1">
      <c r="A149" s="105"/>
      <c r="B149" s="110">
        <f t="shared" si="0"/>
        <v>2026</v>
      </c>
      <c r="C149" s="111">
        <f>[44]С2.5!$K$11</f>
        <v>3.5813361771260002E-2</v>
      </c>
      <c r="D149" s="89"/>
    </row>
    <row r="150" spans="1:4" hidden="1">
      <c r="A150" s="105"/>
      <c r="B150" s="110">
        <f t="shared" si="0"/>
        <v>2027</v>
      </c>
      <c r="C150" s="111">
        <f>[44]С2.5!$L$11</f>
        <v>3.2682303599220003E-2</v>
      </c>
      <c r="D150" s="89"/>
    </row>
    <row r="151" spans="1:4" hidden="1">
      <c r="A151" s="105"/>
      <c r="B151" s="110">
        <f t="shared" si="0"/>
        <v>2028</v>
      </c>
      <c r="C151" s="111">
        <f>[44]С2.5!$M$11</f>
        <v>0</v>
      </c>
      <c r="D151" s="89"/>
    </row>
    <row r="152" spans="1:4" hidden="1">
      <c r="A152" s="105"/>
      <c r="B152" s="110">
        <f t="shared" si="0"/>
        <v>2029</v>
      </c>
      <c r="C152" s="111">
        <f>[44]С2.5!$N$11</f>
        <v>0</v>
      </c>
      <c r="D152" s="89"/>
    </row>
    <row r="153" spans="1:4" hidden="1">
      <c r="A153" s="105"/>
      <c r="B153" s="110">
        <f t="shared" si="0"/>
        <v>2030</v>
      </c>
      <c r="C153" s="111">
        <f>[44]С2.5!$O$11</f>
        <v>0</v>
      </c>
      <c r="D153" s="89"/>
    </row>
    <row r="154" spans="1:4" hidden="1">
      <c r="A154" s="105"/>
      <c r="B154" s="110">
        <f t="shared" si="0"/>
        <v>2031</v>
      </c>
      <c r="C154" s="111">
        <f>[44]С2.5!$P$11</f>
        <v>0</v>
      </c>
      <c r="D154" s="89"/>
    </row>
    <row r="155" spans="1:4" hidden="1">
      <c r="A155" s="89"/>
      <c r="B155" s="110">
        <f t="shared" si="0"/>
        <v>2032</v>
      </c>
      <c r="C155" s="111">
        <f>[44]С2.5!$Q$11</f>
        <v>0</v>
      </c>
      <c r="D155" s="89"/>
    </row>
    <row r="156" spans="1:4" hidden="1">
      <c r="A156" s="89"/>
      <c r="B156" s="110">
        <f t="shared" si="0"/>
        <v>2033</v>
      </c>
      <c r="C156" s="111">
        <f>[44]С2.5!$R$11</f>
        <v>0</v>
      </c>
      <c r="D156" s="89"/>
    </row>
    <row r="157" spans="1:4" hidden="1">
      <c r="B157" s="110">
        <f t="shared" si="0"/>
        <v>2034</v>
      </c>
      <c r="C157" s="111">
        <f>[44]С2.5!$S$11</f>
        <v>0</v>
      </c>
    </row>
    <row r="158" spans="1:4" hidden="1">
      <c r="B158" s="110">
        <f t="shared" si="0"/>
        <v>2035</v>
      </c>
      <c r="C158" s="111">
        <f>[44]С2.5!$T$11</f>
        <v>0</v>
      </c>
    </row>
    <row r="159" spans="1:4" hidden="1">
      <c r="B159" s="110">
        <f t="shared" si="0"/>
        <v>2036</v>
      </c>
      <c r="C159" s="111">
        <f>[44]С2.5!$U$11</f>
        <v>0</v>
      </c>
    </row>
    <row r="160" spans="1:4" hidden="1">
      <c r="B160" s="110">
        <f t="shared" si="0"/>
        <v>2037</v>
      </c>
      <c r="C160" s="111">
        <f>[44]С2.5!$V$11</f>
        <v>0</v>
      </c>
    </row>
    <row r="161" spans="2:3" hidden="1">
      <c r="B161" s="110">
        <f t="shared" si="0"/>
        <v>2038</v>
      </c>
      <c r="C161" s="111">
        <f>[44]С2.5!$W$11</f>
        <v>0</v>
      </c>
    </row>
    <row r="162" spans="2:3" hidden="1">
      <c r="B162" s="110">
        <f t="shared" si="0"/>
        <v>2039</v>
      </c>
      <c r="C162" s="111">
        <f>[44]С2.5!$X$11</f>
        <v>0</v>
      </c>
    </row>
    <row r="163" spans="2:3" hidden="1">
      <c r="B163" s="110">
        <f t="shared" si="0"/>
        <v>2040</v>
      </c>
      <c r="C163" s="111">
        <f>[44]С2.5!$Y$11</f>
        <v>0</v>
      </c>
    </row>
    <row r="164" spans="2:3" hidden="1">
      <c r="B164" s="110">
        <f t="shared" si="0"/>
        <v>2041</v>
      </c>
      <c r="C164" s="111">
        <f>[44]С2.5!$Z$11</f>
        <v>0</v>
      </c>
    </row>
    <row r="165" spans="2:3" hidden="1">
      <c r="B165" s="110">
        <f t="shared" si="0"/>
        <v>2042</v>
      </c>
      <c r="C165" s="111">
        <f>[44]С2.5!$AA$11</f>
        <v>0</v>
      </c>
    </row>
    <row r="166" spans="2:3" hidden="1">
      <c r="B166" s="110">
        <f t="shared" si="0"/>
        <v>2043</v>
      </c>
      <c r="C166" s="111">
        <f>[44]С2.5!$AB$11</f>
        <v>0</v>
      </c>
    </row>
    <row r="167" spans="2:3" hidden="1">
      <c r="B167" s="110">
        <f t="shared" si="0"/>
        <v>2044</v>
      </c>
      <c r="C167" s="111">
        <f>[44]С2.5!$AC$11</f>
        <v>0</v>
      </c>
    </row>
    <row r="168" spans="2:3" hidden="1">
      <c r="B168" s="110">
        <f t="shared" si="0"/>
        <v>2045</v>
      </c>
      <c r="C168" s="111">
        <f>[44]С2.5!$AD$11</f>
        <v>0</v>
      </c>
    </row>
    <row r="169" spans="2:3" hidden="1">
      <c r="B169" s="110">
        <f t="shared" si="0"/>
        <v>2046</v>
      </c>
      <c r="C169" s="111">
        <f>[44]С2.5!$AE$11</f>
        <v>0</v>
      </c>
    </row>
    <row r="170" spans="2:3" hidden="1">
      <c r="B170" s="110">
        <f t="shared" si="0"/>
        <v>2047</v>
      </c>
      <c r="C170" s="111">
        <f>[44]С2.5!$AF$11</f>
        <v>0</v>
      </c>
    </row>
    <row r="171" spans="2:3" hidden="1">
      <c r="B171" s="110">
        <f t="shared" si="0"/>
        <v>2048</v>
      </c>
      <c r="C171" s="111">
        <f>[44]С2.5!$AG$11</f>
        <v>0</v>
      </c>
    </row>
    <row r="172" spans="2:3" hidden="1">
      <c r="B172" s="110">
        <f t="shared" si="0"/>
        <v>2049</v>
      </c>
      <c r="C172" s="111">
        <f>[44]С2.5!$AH$11</f>
        <v>0</v>
      </c>
    </row>
    <row r="173" spans="2:3" hidden="1">
      <c r="B173" s="110">
        <f t="shared" si="0"/>
        <v>2050</v>
      </c>
      <c r="C173" s="111">
        <f>[44]С2.5!$AI$11</f>
        <v>0</v>
      </c>
    </row>
    <row r="174" spans="2:3" hidden="1">
      <c r="B174" s="110">
        <f t="shared" si="0"/>
        <v>2051</v>
      </c>
      <c r="C174" s="111">
        <f>[44]С2.5!$AJ$11</f>
        <v>0</v>
      </c>
    </row>
    <row r="175" spans="2:3" hidden="1">
      <c r="B175" s="110">
        <f t="shared" si="0"/>
        <v>2052</v>
      </c>
      <c r="C175" s="111">
        <f>[44]С2.5!$AK$11</f>
        <v>0</v>
      </c>
    </row>
    <row r="176" spans="2:3" hidden="1">
      <c r="B176" s="110">
        <f t="shared" si="0"/>
        <v>2053</v>
      </c>
      <c r="C176" s="111">
        <f>[44]С2.5!$AL$11</f>
        <v>0</v>
      </c>
    </row>
    <row r="177" spans="2:3" hidden="1">
      <c r="B177" s="110">
        <f t="shared" si="0"/>
        <v>2054</v>
      </c>
      <c r="C177" s="111">
        <f>[44]С2.5!$AM$11</f>
        <v>0</v>
      </c>
    </row>
    <row r="178" spans="2:3" hidden="1">
      <c r="B178" s="110">
        <f t="shared" si="0"/>
        <v>2055</v>
      </c>
      <c r="C178" s="111">
        <f>[44]С2.5!$AN$11</f>
        <v>0</v>
      </c>
    </row>
    <row r="179" spans="2:3" hidden="1">
      <c r="B179" s="110">
        <f t="shared" si="0"/>
        <v>2056</v>
      </c>
      <c r="C179" s="111">
        <f>[44]С2.5!$AO$11</f>
        <v>0</v>
      </c>
    </row>
    <row r="180" spans="2:3" hidden="1">
      <c r="B180" s="110">
        <f t="shared" si="0"/>
        <v>2057</v>
      </c>
      <c r="C180" s="111">
        <f>[44]С2.5!$AP$11</f>
        <v>0</v>
      </c>
    </row>
    <row r="181" spans="2:3" hidden="1">
      <c r="B181" s="110">
        <f t="shared" si="0"/>
        <v>2058</v>
      </c>
      <c r="C181" s="111">
        <f>[44]С2.5!$AQ$11</f>
        <v>0</v>
      </c>
    </row>
    <row r="182" spans="2:3" hidden="1">
      <c r="B182" s="110">
        <f t="shared" si="0"/>
        <v>2059</v>
      </c>
      <c r="C182" s="111">
        <f>[44]С2.5!$AR$11</f>
        <v>0</v>
      </c>
    </row>
    <row r="183" spans="2:3" hidden="1">
      <c r="B183" s="110">
        <f t="shared" si="0"/>
        <v>2060</v>
      </c>
      <c r="C183" s="111">
        <f>[44]С2.5!$AS$11</f>
        <v>0</v>
      </c>
    </row>
    <row r="184" spans="2:3" hidden="1">
      <c r="B184" s="110">
        <f t="shared" si="0"/>
        <v>2061</v>
      </c>
      <c r="C184" s="111">
        <f>[44]С2.5!$AT$11</f>
        <v>0</v>
      </c>
    </row>
    <row r="185" spans="2:3" hidden="1">
      <c r="B185" s="110">
        <f t="shared" si="0"/>
        <v>2062</v>
      </c>
      <c r="C185" s="111">
        <f>[44]С2.5!$AU$11</f>
        <v>0</v>
      </c>
    </row>
    <row r="186" spans="2:3" hidden="1">
      <c r="B186" s="110">
        <f t="shared" si="0"/>
        <v>2063</v>
      </c>
      <c r="C186" s="111">
        <f>[44]С2.5!$AV$11</f>
        <v>0</v>
      </c>
    </row>
    <row r="187" spans="2:3" hidden="1">
      <c r="B187" s="110">
        <f t="shared" si="0"/>
        <v>2064</v>
      </c>
      <c r="C187" s="111">
        <f>[44]С2.5!$AW$11</f>
        <v>0</v>
      </c>
    </row>
    <row r="188" spans="2:3" hidden="1">
      <c r="B188" s="110">
        <f t="shared" si="0"/>
        <v>2065</v>
      </c>
      <c r="C188" s="111">
        <f>[44]С2.5!$AX$11</f>
        <v>0</v>
      </c>
    </row>
    <row r="189" spans="2:3" hidden="1">
      <c r="B189" s="110">
        <f t="shared" si="0"/>
        <v>2066</v>
      </c>
      <c r="C189" s="111">
        <f>[44]С2.5!$AY$11</f>
        <v>0</v>
      </c>
    </row>
    <row r="190" spans="2:3" hidden="1">
      <c r="B190" s="110">
        <f t="shared" si="0"/>
        <v>2067</v>
      </c>
      <c r="C190" s="111">
        <f>[44]С2.5!$AZ$11</f>
        <v>0</v>
      </c>
    </row>
    <row r="191" spans="2:3" hidden="1">
      <c r="B191" s="110">
        <f t="shared" si="0"/>
        <v>2068</v>
      </c>
      <c r="C191" s="111">
        <f>[44]С2.5!$BA$11</f>
        <v>0</v>
      </c>
    </row>
    <row r="192" spans="2:3" hidden="1">
      <c r="B192" s="110">
        <f t="shared" si="0"/>
        <v>2069</v>
      </c>
      <c r="C192" s="111">
        <f>[44]С2.5!$BB$11</f>
        <v>0</v>
      </c>
    </row>
    <row r="193" spans="2:3" hidden="1">
      <c r="B193" s="110">
        <f t="shared" si="0"/>
        <v>2070</v>
      </c>
      <c r="C193" s="111">
        <f>[44]С2.5!$BC$11</f>
        <v>0</v>
      </c>
    </row>
    <row r="194" spans="2:3" hidden="1">
      <c r="B194" s="110">
        <f t="shared" si="0"/>
        <v>2071</v>
      </c>
      <c r="C194" s="111">
        <f>[44]С2.5!$BD$11</f>
        <v>0</v>
      </c>
    </row>
    <row r="195" spans="2:3" hidden="1">
      <c r="B195" s="110">
        <f t="shared" si="0"/>
        <v>2072</v>
      </c>
      <c r="C195" s="111">
        <f>[44]С2.5!$BE$11</f>
        <v>0</v>
      </c>
    </row>
    <row r="196" spans="2:3" hidden="1">
      <c r="B196" s="110">
        <f t="shared" si="0"/>
        <v>2073</v>
      </c>
      <c r="C196" s="111">
        <f>[44]С2.5!$BF$11</f>
        <v>0</v>
      </c>
    </row>
    <row r="197" spans="2:3" hidden="1">
      <c r="B197" s="110">
        <f t="shared" si="0"/>
        <v>2074</v>
      </c>
      <c r="C197" s="111">
        <f>[44]С2.5!$BG$11</f>
        <v>0</v>
      </c>
    </row>
    <row r="198" spans="2:3" hidden="1">
      <c r="B198" s="110">
        <f t="shared" si="0"/>
        <v>2075</v>
      </c>
      <c r="C198" s="111">
        <f>[44]С2.5!$BH$11</f>
        <v>0</v>
      </c>
    </row>
    <row r="199" spans="2:3" hidden="1">
      <c r="B199" s="110">
        <f t="shared" si="0"/>
        <v>2076</v>
      </c>
      <c r="C199" s="111">
        <f>[44]С2.5!$BI$11</f>
        <v>0</v>
      </c>
    </row>
    <row r="200" spans="2:3" hidden="1">
      <c r="B200" s="110">
        <f t="shared" si="0"/>
        <v>2077</v>
      </c>
      <c r="C200" s="111">
        <f>[44]С2.5!$BJ$11</f>
        <v>0</v>
      </c>
    </row>
    <row r="201" spans="2:3" hidden="1">
      <c r="B201" s="110">
        <f t="shared" si="0"/>
        <v>2078</v>
      </c>
      <c r="C201" s="111">
        <f>[44]С2.5!$BK$11</f>
        <v>0</v>
      </c>
    </row>
    <row r="202" spans="2:3" hidden="1">
      <c r="B202" s="110">
        <f t="shared" si="0"/>
        <v>2079</v>
      </c>
      <c r="C202" s="111">
        <f>[44]С2.5!$BL$11</f>
        <v>0</v>
      </c>
    </row>
    <row r="203" spans="2:3" hidden="1">
      <c r="B203" s="110">
        <f t="shared" si="0"/>
        <v>2080</v>
      </c>
      <c r="C203" s="111">
        <f>[44]С2.5!$BM$11</f>
        <v>0</v>
      </c>
    </row>
    <row r="204" spans="2:3" hidden="1">
      <c r="B204" s="110">
        <f t="shared" si="0"/>
        <v>2081</v>
      </c>
      <c r="C204" s="111">
        <f>[44]С2.5!$BN$11</f>
        <v>0</v>
      </c>
    </row>
    <row r="205" spans="2:3" hidden="1">
      <c r="B205" s="110">
        <f t="shared" si="0"/>
        <v>2082</v>
      </c>
      <c r="C205" s="111">
        <f>[44]С2.5!$BO$11</f>
        <v>0</v>
      </c>
    </row>
    <row r="206" spans="2:3" hidden="1">
      <c r="B206" s="110">
        <f t="shared" si="0"/>
        <v>2083</v>
      </c>
      <c r="C206" s="111">
        <f>[44]С2.5!$BP$11</f>
        <v>0</v>
      </c>
    </row>
    <row r="207" spans="2:3" hidden="1">
      <c r="B207" s="110">
        <f t="shared" si="0"/>
        <v>2084</v>
      </c>
      <c r="C207" s="111">
        <f>[44]С2.5!$BQ$11</f>
        <v>0</v>
      </c>
    </row>
    <row r="208" spans="2:3" hidden="1">
      <c r="B208" s="110">
        <f t="shared" si="0"/>
        <v>2085</v>
      </c>
      <c r="C208" s="111">
        <f>[44]С2.5!$BR$11</f>
        <v>0</v>
      </c>
    </row>
    <row r="209" spans="2:3" hidden="1">
      <c r="B209" s="110">
        <f t="shared" ref="B209:B223" si="1">B208+1</f>
        <v>2086</v>
      </c>
      <c r="C209" s="111">
        <f>[44]С2.5!$BS$11</f>
        <v>0</v>
      </c>
    </row>
    <row r="210" spans="2:3" hidden="1">
      <c r="B210" s="110">
        <f t="shared" si="1"/>
        <v>2087</v>
      </c>
      <c r="C210" s="111">
        <f>[44]С2.5!$BT$11</f>
        <v>0</v>
      </c>
    </row>
    <row r="211" spans="2:3" hidden="1">
      <c r="B211" s="110">
        <f t="shared" si="1"/>
        <v>2088</v>
      </c>
      <c r="C211" s="111">
        <f>[44]С2.5!$BU$11</f>
        <v>0</v>
      </c>
    </row>
    <row r="212" spans="2:3" hidden="1">
      <c r="B212" s="110">
        <f t="shared" si="1"/>
        <v>2089</v>
      </c>
      <c r="C212" s="111">
        <f>[44]С2.5!$BV$11</f>
        <v>0</v>
      </c>
    </row>
    <row r="213" spans="2:3" hidden="1">
      <c r="B213" s="110">
        <f t="shared" si="1"/>
        <v>2090</v>
      </c>
      <c r="C213" s="111">
        <f>[44]С2.5!$BW$11</f>
        <v>0</v>
      </c>
    </row>
    <row r="214" spans="2:3" hidden="1">
      <c r="B214" s="110">
        <f t="shared" si="1"/>
        <v>2091</v>
      </c>
      <c r="C214" s="111">
        <f>[44]С2.5!$BX$11</f>
        <v>0</v>
      </c>
    </row>
    <row r="215" spans="2:3" hidden="1">
      <c r="B215" s="110">
        <f t="shared" si="1"/>
        <v>2092</v>
      </c>
      <c r="C215" s="111">
        <f>[44]С2.5!$BY$11</f>
        <v>0</v>
      </c>
    </row>
    <row r="216" spans="2:3" hidden="1">
      <c r="B216" s="110">
        <f t="shared" si="1"/>
        <v>2093</v>
      </c>
      <c r="C216" s="111">
        <f>[44]С2.5!$BZ$11</f>
        <v>0</v>
      </c>
    </row>
    <row r="217" spans="2:3" hidden="1">
      <c r="B217" s="110">
        <f t="shared" si="1"/>
        <v>2094</v>
      </c>
      <c r="C217" s="111">
        <f>[44]С2.5!$CA$11</f>
        <v>0</v>
      </c>
    </row>
    <row r="218" spans="2:3" hidden="1">
      <c r="B218" s="110">
        <f t="shared" si="1"/>
        <v>2095</v>
      </c>
      <c r="C218" s="111">
        <f>[44]С2.5!$CB$11</f>
        <v>0</v>
      </c>
    </row>
    <row r="219" spans="2:3" hidden="1">
      <c r="B219" s="110">
        <f t="shared" si="1"/>
        <v>2096</v>
      </c>
      <c r="C219" s="111">
        <f>[44]С2.5!$CC$11</f>
        <v>0</v>
      </c>
    </row>
    <row r="220" spans="2:3" hidden="1">
      <c r="B220" s="110">
        <f t="shared" si="1"/>
        <v>2097</v>
      </c>
      <c r="C220" s="111">
        <f>[44]С2.5!$CD$11</f>
        <v>0</v>
      </c>
    </row>
    <row r="221" spans="2:3" hidden="1">
      <c r="B221" s="110">
        <f t="shared" si="1"/>
        <v>2098</v>
      </c>
      <c r="C221" s="111">
        <f>[44]С2.5!$CE$11</f>
        <v>0</v>
      </c>
    </row>
    <row r="222" spans="2:3" hidden="1">
      <c r="B222" s="110">
        <f t="shared" si="1"/>
        <v>2099</v>
      </c>
      <c r="C222" s="111">
        <f>[44]С2.5!$CF$11</f>
        <v>0</v>
      </c>
    </row>
    <row r="223" spans="2:3" ht="13.5" hidden="1" thickBot="1">
      <c r="B223" s="112">
        <f t="shared" si="1"/>
        <v>2100</v>
      </c>
      <c r="C223" s="113">
        <f>[44]С2.5!$CG$11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6" r:id="rId3" name="Button 2">
              <controlPr defaultSize="0" print="0" autoFill="0" autoPict="0" macro="[4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1507" r:id="rId4" name="Button 3">
              <controlPr defaultSize="0" print="0" autoFill="0" autoPict="0" macro="[4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[50]И1!D13</f>
        <v>Субъект Российской Федерации</v>
      </c>
      <c r="C4" s="10" t="str">
        <f>[50]И1!E13</f>
        <v>Новосибирская область</v>
      </c>
    </row>
    <row r="5" spans="1:3" ht="46.9" customHeight="1">
      <c r="A5" s="8"/>
      <c r="B5" s="9" t="str">
        <f>[50]И1!D14</f>
        <v>Тип муниципального образования (выберите из списка)</v>
      </c>
      <c r="C5" s="10" t="str">
        <f>[50]И1!E14</f>
        <v>село Чемское, Тогучинский муниципальный район</v>
      </c>
    </row>
    <row r="6" spans="1:3">
      <c r="A6" s="8"/>
      <c r="B6" s="9" t="str">
        <f>IF([50]И1!E15="","",[50]И1!D15)</f>
        <v/>
      </c>
      <c r="C6" s="10" t="str">
        <f>IF([50]И1!E15="","",[50]И1!E15)</f>
        <v/>
      </c>
    </row>
    <row r="7" spans="1:3">
      <c r="A7" s="8"/>
      <c r="B7" s="9" t="str">
        <f>[50]И1!D16</f>
        <v>Код ОКТМО</v>
      </c>
      <c r="C7" s="11" t="str">
        <f>[50]И1!E16</f>
        <v>50652449101</v>
      </c>
    </row>
    <row r="8" spans="1:3">
      <c r="A8" s="8"/>
      <c r="B8" s="12" t="str">
        <f>[50]И1!D17</f>
        <v>Система теплоснабжения</v>
      </c>
      <c r="C8" s="13">
        <f>[50]И1!E17</f>
        <v>0</v>
      </c>
    </row>
    <row r="9" spans="1:3">
      <c r="A9" s="8"/>
      <c r="B9" s="9" t="str">
        <f>[50]И1!D8</f>
        <v>Период регулирования (i)-й</v>
      </c>
      <c r="C9" s="14">
        <f>[50]И1!E8</f>
        <v>2025</v>
      </c>
    </row>
    <row r="10" spans="1:3">
      <c r="A10" s="8"/>
      <c r="B10" s="9" t="str">
        <f>[50]И1!D9</f>
        <v>Период регулирования (i-1)-й</v>
      </c>
      <c r="C10" s="14">
        <f>[50]И1!E9</f>
        <v>2024</v>
      </c>
    </row>
    <row r="11" spans="1:3">
      <c r="A11" s="8"/>
      <c r="B11" s="9" t="str">
        <f>[50]И1!D10</f>
        <v>Период регулирования (i-2)-й</v>
      </c>
      <c r="C11" s="14">
        <f>[50]И1!E10</f>
        <v>2023</v>
      </c>
    </row>
    <row r="12" spans="1:3">
      <c r="A12" s="8"/>
      <c r="B12" s="9" t="str">
        <f>[50]И1!D11</f>
        <v>Базовый год (б)</v>
      </c>
      <c r="C12" s="14">
        <f>[50]И1!E11</f>
        <v>2019</v>
      </c>
    </row>
    <row r="13" spans="1:3" ht="38.25">
      <c r="A13" s="8"/>
      <c r="B13" s="9" t="str">
        <f>[50]И1!D18</f>
        <v>Вид топлива, использование которого преобладает в системе теплоснабжения</v>
      </c>
      <c r="C13" s="15" t="str">
        <f>[50]С1.1!E13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5379.9331356652174</v>
      </c>
    </row>
    <row r="18" spans="1:3" ht="42.75">
      <c r="A18" s="22" t="s">
        <v>8</v>
      </c>
      <c r="B18" s="25" t="s">
        <v>9</v>
      </c>
      <c r="C18" s="26">
        <f>[50]С1!F12</f>
        <v>795.80460480398301</v>
      </c>
    </row>
    <row r="19" spans="1:3" ht="42.75">
      <c r="A19" s="22" t="s">
        <v>10</v>
      </c>
      <c r="B19" s="25" t="s">
        <v>11</v>
      </c>
      <c r="C19" s="26">
        <f>[50]С2!F12</f>
        <v>3056.1591261705735</v>
      </c>
    </row>
    <row r="20" spans="1:3" ht="30">
      <c r="A20" s="22" t="s">
        <v>12</v>
      </c>
      <c r="B20" s="25" t="s">
        <v>13</v>
      </c>
      <c r="C20" s="26">
        <f>[50]С3!F12</f>
        <v>915.44743976410246</v>
      </c>
    </row>
    <row r="21" spans="1:3" ht="42.75">
      <c r="A21" s="22" t="s">
        <v>14</v>
      </c>
      <c r="B21" s="25" t="s">
        <v>15</v>
      </c>
      <c r="C21" s="26">
        <f>[50]С4!F12</f>
        <v>507.03307991351483</v>
      </c>
    </row>
    <row r="22" spans="1:3" ht="30">
      <c r="A22" s="22" t="s">
        <v>16</v>
      </c>
      <c r="B22" s="25" t="s">
        <v>17</v>
      </c>
      <c r="C22" s="26">
        <f>[50]С5!F12</f>
        <v>105.48888501304347</v>
      </c>
    </row>
    <row r="23" spans="1:3" ht="43.5" thickBot="1">
      <c r="A23" s="27" t="s">
        <v>18</v>
      </c>
      <c r="B23" s="141" t="s">
        <v>19</v>
      </c>
      <c r="C23" s="28" t="str">
        <f>[50]С6!F12</f>
        <v>-</v>
      </c>
    </row>
    <row r="24" spans="1:3" ht="13.5" thickBot="1">
      <c r="A24" s="3"/>
    </row>
    <row r="25" spans="1:3">
      <c r="A25" s="16" t="s">
        <v>4</v>
      </c>
      <c r="B25" s="29" t="s">
        <v>5</v>
      </c>
      <c r="C25" s="30" t="s">
        <v>6</v>
      </c>
    </row>
    <row r="26" spans="1:3">
      <c r="A26" s="19">
        <v>1</v>
      </c>
      <c r="B26" s="31">
        <v>2</v>
      </c>
      <c r="C26" s="32">
        <v>3</v>
      </c>
    </row>
    <row r="27" spans="1:3" ht="45" customHeight="1">
      <c r="A27" s="22">
        <v>1</v>
      </c>
      <c r="B27" s="145" t="s">
        <v>20</v>
      </c>
      <c r="C27" s="145"/>
    </row>
    <row r="28" spans="1:3">
      <c r="A28" s="22" t="s">
        <v>8</v>
      </c>
      <c r="B28" s="33" t="s">
        <v>21</v>
      </c>
      <c r="C28" s="34">
        <f>[50]С1.1!E16</f>
        <v>5100</v>
      </c>
    </row>
    <row r="29" spans="1:3" ht="42.75">
      <c r="A29" s="22" t="s">
        <v>10</v>
      </c>
      <c r="B29" s="33" t="s">
        <v>22</v>
      </c>
      <c r="C29" s="34">
        <f>[50]С1.1!E27</f>
        <v>2870.67</v>
      </c>
    </row>
    <row r="30" spans="1:3" ht="17.25">
      <c r="A30" s="22" t="s">
        <v>12</v>
      </c>
      <c r="B30" s="33" t="s">
        <v>23</v>
      </c>
      <c r="C30" s="35">
        <f>[50]С1.1!E19</f>
        <v>1.4E-2</v>
      </c>
    </row>
    <row r="31" spans="1:3" ht="17.25">
      <c r="A31" s="22" t="s">
        <v>14</v>
      </c>
      <c r="B31" s="33" t="s">
        <v>24</v>
      </c>
      <c r="C31" s="35">
        <f>[50]С1.1!E20</f>
        <v>0.04</v>
      </c>
    </row>
    <row r="32" spans="1:3" ht="30">
      <c r="A32" s="22" t="s">
        <v>16</v>
      </c>
      <c r="B32" s="36" t="s">
        <v>25</v>
      </c>
      <c r="C32" s="37">
        <f>[50]С1!F13</f>
        <v>176.4</v>
      </c>
    </row>
    <row r="33" spans="1:3">
      <c r="A33" s="22" t="s">
        <v>18</v>
      </c>
      <c r="B33" s="36" t="s">
        <v>26</v>
      </c>
      <c r="C33" s="38">
        <f>[50]С1!F16</f>
        <v>7000</v>
      </c>
    </row>
    <row r="34" spans="1:3" ht="14.25">
      <c r="A34" s="22" t="s">
        <v>27</v>
      </c>
      <c r="B34" s="39" t="s">
        <v>28</v>
      </c>
      <c r="C34" s="40">
        <f>[50]С1!F17</f>
        <v>0.72857142857142854</v>
      </c>
    </row>
    <row r="35" spans="1:3" ht="15.75">
      <c r="A35" s="41" t="s">
        <v>29</v>
      </c>
      <c r="B35" s="42" t="s">
        <v>30</v>
      </c>
      <c r="C35" s="40">
        <f>[50]С1!F20</f>
        <v>21.588411179999994</v>
      </c>
    </row>
    <row r="36" spans="1:3" ht="15.75">
      <c r="A36" s="41" t="s">
        <v>31</v>
      </c>
      <c r="B36" s="43" t="s">
        <v>32</v>
      </c>
      <c r="C36" s="40">
        <f>[50]С1!F21</f>
        <v>20.818139999999996</v>
      </c>
    </row>
    <row r="37" spans="1:3" ht="14.25">
      <c r="A37" s="41" t="s">
        <v>33</v>
      </c>
      <c r="B37" s="44" t="s">
        <v>34</v>
      </c>
      <c r="C37" s="40">
        <f>[50]С1!F22</f>
        <v>1.0369999999999999</v>
      </c>
    </row>
    <row r="38" spans="1:3" ht="53.25" thickBot="1">
      <c r="A38" s="27" t="s">
        <v>35</v>
      </c>
      <c r="B38" s="45" t="s">
        <v>36</v>
      </c>
      <c r="C38" s="46">
        <f>[50]С1!F23</f>
        <v>1.0469999999999999</v>
      </c>
    </row>
    <row r="39" spans="1:3" ht="13.5" thickBot="1">
      <c r="A39" s="47"/>
      <c r="B39" s="48"/>
      <c r="C39" s="49"/>
    </row>
    <row r="40" spans="1:3" ht="40.5" customHeight="1">
      <c r="A40" s="50" t="s">
        <v>37</v>
      </c>
      <c r="B40" s="146" t="s">
        <v>38</v>
      </c>
      <c r="C40" s="146"/>
    </row>
    <row r="41" spans="1:3" ht="25.5">
      <c r="A41" s="22" t="s">
        <v>39</v>
      </c>
      <c r="B41" s="36" t="s">
        <v>40</v>
      </c>
      <c r="C41" s="51" t="str">
        <f>[50]С2.1!E12</f>
        <v>V</v>
      </c>
    </row>
    <row r="42" spans="1:3" ht="25.5">
      <c r="A42" s="22" t="s">
        <v>41</v>
      </c>
      <c r="B42" s="33" t="s">
        <v>42</v>
      </c>
      <c r="C42" s="51" t="str">
        <f>[50]С2.1!E13</f>
        <v>6 и менее баллов</v>
      </c>
    </row>
    <row r="43" spans="1:3" ht="25.5">
      <c r="A43" s="22" t="s">
        <v>43</v>
      </c>
      <c r="B43" s="33" t="s">
        <v>44</v>
      </c>
      <c r="C43" s="51" t="str">
        <f>[50]С2.1!E14</f>
        <v>от 200 до 500</v>
      </c>
    </row>
    <row r="44" spans="1:3" ht="25.5">
      <c r="A44" s="22" t="s">
        <v>45</v>
      </c>
      <c r="B44" s="33" t="s">
        <v>46</v>
      </c>
      <c r="C44" s="52" t="str">
        <f>[50]С2.1!E15</f>
        <v>нет</v>
      </c>
    </row>
    <row r="45" spans="1:3" ht="30">
      <c r="A45" s="22" t="s">
        <v>47</v>
      </c>
      <c r="B45" s="33" t="s">
        <v>48</v>
      </c>
      <c r="C45" s="34">
        <f>[50]С2!F18</f>
        <v>38910.02669467502</v>
      </c>
    </row>
    <row r="46" spans="1:3" ht="30">
      <c r="A46" s="22" t="s">
        <v>49</v>
      </c>
      <c r="B46" s="53" t="s">
        <v>50</v>
      </c>
      <c r="C46" s="34">
        <f>IF([50]С2!F19&gt;0,[50]С2!F19,[50]С2!F20)</f>
        <v>23441.524932855718</v>
      </c>
    </row>
    <row r="47" spans="1:3" ht="25.5">
      <c r="A47" s="22" t="s">
        <v>51</v>
      </c>
      <c r="B47" s="54" t="s">
        <v>52</v>
      </c>
      <c r="C47" s="34">
        <f>[50]С2.1!E19</f>
        <v>-38</v>
      </c>
    </row>
    <row r="48" spans="1:3" ht="25.5">
      <c r="A48" s="22" t="s">
        <v>53</v>
      </c>
      <c r="B48" s="54" t="s">
        <v>54</v>
      </c>
      <c r="C48" s="34" t="str">
        <f>[50]С2.1!E22</f>
        <v>нет</v>
      </c>
    </row>
    <row r="49" spans="1:3" ht="38.25">
      <c r="A49" s="22" t="s">
        <v>55</v>
      </c>
      <c r="B49" s="55" t="s">
        <v>56</v>
      </c>
      <c r="C49" s="34">
        <f>[50]С2.2!E10</f>
        <v>1287</v>
      </c>
    </row>
    <row r="50" spans="1:3" ht="25.5">
      <c r="A50" s="22" t="s">
        <v>57</v>
      </c>
      <c r="B50" s="56" t="s">
        <v>58</v>
      </c>
      <c r="C50" s="34">
        <f>[50]С2.2!E12</f>
        <v>5.97</v>
      </c>
    </row>
    <row r="51" spans="1:3" ht="52.5">
      <c r="A51" s="22" t="s">
        <v>59</v>
      </c>
      <c r="B51" s="57" t="s">
        <v>60</v>
      </c>
      <c r="C51" s="34">
        <f>[50]С2.2!E13</f>
        <v>1</v>
      </c>
    </row>
    <row r="52" spans="1:3" ht="27.75">
      <c r="A52" s="22" t="s">
        <v>61</v>
      </c>
      <c r="B52" s="56" t="s">
        <v>62</v>
      </c>
      <c r="C52" s="34">
        <f>[50]С2.2!E14</f>
        <v>12104</v>
      </c>
    </row>
    <row r="53" spans="1:3" ht="25.5">
      <c r="A53" s="22" t="s">
        <v>63</v>
      </c>
      <c r="B53" s="57" t="s">
        <v>64</v>
      </c>
      <c r="C53" s="35">
        <f>[50]С2.2!E15</f>
        <v>4.8000000000000001E-2</v>
      </c>
    </row>
    <row r="54" spans="1:3">
      <c r="A54" s="22" t="s">
        <v>65</v>
      </c>
      <c r="B54" s="57" t="s">
        <v>66</v>
      </c>
      <c r="C54" s="34">
        <f>[50]С2.2!E16</f>
        <v>1</v>
      </c>
    </row>
    <row r="55" spans="1:3" ht="15.75">
      <c r="A55" s="22" t="s">
        <v>67</v>
      </c>
      <c r="B55" s="58" t="s">
        <v>68</v>
      </c>
      <c r="C55" s="34">
        <f>[50]С2!F21</f>
        <v>1</v>
      </c>
    </row>
    <row r="56" spans="1:3" ht="30">
      <c r="A56" s="59" t="s">
        <v>69</v>
      </c>
      <c r="B56" s="33" t="s">
        <v>70</v>
      </c>
      <c r="C56" s="34">
        <f>[50]С2!F13</f>
        <v>203708.97017230222</v>
      </c>
    </row>
    <row r="57" spans="1:3" ht="30">
      <c r="A57" s="59" t="s">
        <v>71</v>
      </c>
      <c r="B57" s="58" t="s">
        <v>72</v>
      </c>
      <c r="C57" s="34">
        <f>[50]С2!F14</f>
        <v>113455</v>
      </c>
    </row>
    <row r="58" spans="1:3" ht="15.75">
      <c r="A58" s="59" t="s">
        <v>73</v>
      </c>
      <c r="B58" s="60" t="s">
        <v>74</v>
      </c>
      <c r="C58" s="40">
        <f>[50]С2!F15</f>
        <v>1.071</v>
      </c>
    </row>
    <row r="59" spans="1:3" ht="15.75">
      <c r="A59" s="59" t="s">
        <v>75</v>
      </c>
      <c r="B59" s="60" t="s">
        <v>76</v>
      </c>
      <c r="C59" s="40">
        <f>[50]С2!F16</f>
        <v>1</v>
      </c>
    </row>
    <row r="60" spans="1:3" ht="17.25">
      <c r="A60" s="59" t="s">
        <v>77</v>
      </c>
      <c r="B60" s="58" t="s">
        <v>78</v>
      </c>
      <c r="C60" s="34">
        <f>[50]С2!F17</f>
        <v>1.01</v>
      </c>
    </row>
    <row r="61" spans="1:3" s="63" customFormat="1" ht="14.25">
      <c r="A61" s="59" t="s">
        <v>79</v>
      </c>
      <c r="B61" s="61" t="s">
        <v>80</v>
      </c>
      <c r="C61" s="62">
        <f>[50]С2!F33</f>
        <v>10</v>
      </c>
    </row>
    <row r="62" spans="1:3" ht="30">
      <c r="A62" s="59" t="s">
        <v>81</v>
      </c>
      <c r="B62" s="64" t="s">
        <v>82</v>
      </c>
      <c r="C62" s="34">
        <f>[50]С2!F26</f>
        <v>2416.4994928434235</v>
      </c>
    </row>
    <row r="63" spans="1:3" ht="17.25">
      <c r="A63" s="59" t="s">
        <v>83</v>
      </c>
      <c r="B63" s="53" t="s">
        <v>84</v>
      </c>
      <c r="C63" s="34">
        <f>[50]С2!F27</f>
        <v>0.34662649000000001</v>
      </c>
    </row>
    <row r="64" spans="1:3" ht="17.25">
      <c r="A64" s="59" t="s">
        <v>85</v>
      </c>
      <c r="B64" s="58" t="s">
        <v>86</v>
      </c>
      <c r="C64" s="62">
        <f>[50]С2!F28</f>
        <v>4200</v>
      </c>
    </row>
    <row r="65" spans="1:3" ht="42.75">
      <c r="A65" s="59" t="s">
        <v>87</v>
      </c>
      <c r="B65" s="33" t="s">
        <v>88</v>
      </c>
      <c r="C65" s="34">
        <f>[50]С2!F22</f>
        <v>42890.921752741691</v>
      </c>
    </row>
    <row r="66" spans="1:3" ht="30">
      <c r="A66" s="59" t="s">
        <v>89</v>
      </c>
      <c r="B66" s="60" t="s">
        <v>90</v>
      </c>
      <c r="C66" s="34">
        <f>[50]С2!F23</f>
        <v>1990</v>
      </c>
    </row>
    <row r="67" spans="1:3" ht="30">
      <c r="A67" s="59" t="s">
        <v>91</v>
      </c>
      <c r="B67" s="53" t="s">
        <v>92</v>
      </c>
      <c r="C67" s="34">
        <f>[50]С2.1!E27</f>
        <v>14307.876789999998</v>
      </c>
    </row>
    <row r="68" spans="1:3" ht="38.25">
      <c r="A68" s="59" t="s">
        <v>93</v>
      </c>
      <c r="B68" s="65" t="s">
        <v>94</v>
      </c>
      <c r="C68" s="52">
        <f>[50]С2.3!E21</f>
        <v>0</v>
      </c>
    </row>
    <row r="69" spans="1:3" ht="25.5">
      <c r="A69" s="59" t="s">
        <v>95</v>
      </c>
      <c r="B69" s="66" t="s">
        <v>96</v>
      </c>
      <c r="C69" s="67">
        <f>[50]С2.3!E11</f>
        <v>9.89</v>
      </c>
    </row>
    <row r="70" spans="1:3" ht="25.5">
      <c r="A70" s="59" t="s">
        <v>97</v>
      </c>
      <c r="B70" s="66" t="s">
        <v>98</v>
      </c>
      <c r="C70" s="62">
        <f>[50]С2.3!E13</f>
        <v>300</v>
      </c>
    </row>
    <row r="71" spans="1:3" ht="25.5">
      <c r="A71" s="59" t="s">
        <v>99</v>
      </c>
      <c r="B71" s="65" t="s">
        <v>100</v>
      </c>
      <c r="C71" s="68">
        <f>IF([50]С2.3!E22&gt;0,[50]С2.3!E22,[50]С2.3!E14)</f>
        <v>61211</v>
      </c>
    </row>
    <row r="72" spans="1:3" ht="38.25">
      <c r="A72" s="59" t="s">
        <v>101</v>
      </c>
      <c r="B72" s="65" t="s">
        <v>102</v>
      </c>
      <c r="C72" s="68">
        <f>IF([50]С2.3!E23&gt;0,[50]С2.3!E23,[50]С2.3!E15)</f>
        <v>45675</v>
      </c>
    </row>
    <row r="73" spans="1:3" ht="30">
      <c r="A73" s="59" t="s">
        <v>103</v>
      </c>
      <c r="B73" s="53" t="s">
        <v>104</v>
      </c>
      <c r="C73" s="34">
        <f>[50]С2.1!E28</f>
        <v>9541.9567200000001</v>
      </c>
    </row>
    <row r="74" spans="1:3" ht="38.25">
      <c r="A74" s="59" t="s">
        <v>105</v>
      </c>
      <c r="B74" s="65" t="s">
        <v>106</v>
      </c>
      <c r="C74" s="52">
        <f>[50]С2.3!E25</f>
        <v>0</v>
      </c>
    </row>
    <row r="75" spans="1:3" ht="25.5">
      <c r="A75" s="59" t="s">
        <v>107</v>
      </c>
      <c r="B75" s="66" t="s">
        <v>108</v>
      </c>
      <c r="C75" s="67">
        <f>[50]С2.3!E12</f>
        <v>0.56000000000000005</v>
      </c>
    </row>
    <row r="76" spans="1:3" ht="25.5">
      <c r="A76" s="59" t="s">
        <v>109</v>
      </c>
      <c r="B76" s="66" t="s">
        <v>98</v>
      </c>
      <c r="C76" s="62">
        <f>[50]С2.3!E13</f>
        <v>300</v>
      </c>
    </row>
    <row r="77" spans="1:3" ht="25.5">
      <c r="A77" s="59" t="s">
        <v>110</v>
      </c>
      <c r="B77" s="69" t="s">
        <v>111</v>
      </c>
      <c r="C77" s="68">
        <f>IF([50]С2.3!E26&gt;0,[50]С2.3!E26,[50]С2.3!E16)</f>
        <v>65637</v>
      </c>
    </row>
    <row r="78" spans="1:3" ht="38.25">
      <c r="A78" s="59" t="s">
        <v>112</v>
      </c>
      <c r="B78" s="69" t="s">
        <v>113</v>
      </c>
      <c r="C78" s="68">
        <f>IF([50]С2.3!E27&gt;0,[50]С2.3!E27,[50]С2.3!E17)</f>
        <v>31684</v>
      </c>
    </row>
    <row r="79" spans="1:3" ht="17.25">
      <c r="A79" s="59" t="s">
        <v>114</v>
      </c>
      <c r="B79" s="33" t="s">
        <v>115</v>
      </c>
      <c r="C79" s="35">
        <f>[50]С2!F29</f>
        <v>0.17804631770487722</v>
      </c>
    </row>
    <row r="80" spans="1:3" ht="30">
      <c r="A80" s="59" t="s">
        <v>116</v>
      </c>
      <c r="B80" s="53" t="s">
        <v>117</v>
      </c>
      <c r="C80" s="70">
        <f>[50]С2!F30</f>
        <v>0.1652189781021898</v>
      </c>
    </row>
    <row r="81" spans="1:3" ht="17.25">
      <c r="A81" s="59" t="s">
        <v>118</v>
      </c>
      <c r="B81" s="71" t="s">
        <v>119</v>
      </c>
      <c r="C81" s="35">
        <f>[50]С2!F31</f>
        <v>0.13880000000000001</v>
      </c>
    </row>
    <row r="82" spans="1:3" s="63" customFormat="1" ht="18" thickBot="1">
      <c r="A82" s="72" t="s">
        <v>120</v>
      </c>
      <c r="B82" s="73" t="s">
        <v>121</v>
      </c>
      <c r="C82" s="74">
        <f>[50]С2!F32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[50]С3!F14</f>
        <v>14863.184658749575</v>
      </c>
    </row>
    <row r="86" spans="1:3" s="63" customFormat="1" ht="42.75">
      <c r="A86" s="77" t="s">
        <v>126</v>
      </c>
      <c r="B86" s="53" t="s">
        <v>127</v>
      </c>
      <c r="C86" s="78">
        <f>[50]С3!F15</f>
        <v>0.25</v>
      </c>
    </row>
    <row r="87" spans="1:3" s="63" customFormat="1" ht="14.25">
      <c r="A87" s="77" t="s">
        <v>128</v>
      </c>
      <c r="B87" s="79" t="s">
        <v>129</v>
      </c>
      <c r="C87" s="62">
        <f>[50]С3!F18</f>
        <v>15</v>
      </c>
    </row>
    <row r="88" spans="1:3" s="63" customFormat="1" ht="17.25">
      <c r="A88" s="77" t="s">
        <v>130</v>
      </c>
      <c r="B88" s="33" t="s">
        <v>131</v>
      </c>
      <c r="C88" s="34">
        <f>[50]С3!F19</f>
        <v>4187.478806422544</v>
      </c>
    </row>
    <row r="89" spans="1:3" s="63" customFormat="1" ht="55.5">
      <c r="A89" s="77" t="s">
        <v>132</v>
      </c>
      <c r="B89" s="53" t="s">
        <v>133</v>
      </c>
      <c r="C89" s="80">
        <f>[50]С3!F20</f>
        <v>2.1999999999999999E-2</v>
      </c>
    </row>
    <row r="90" spans="1:3" s="63" customFormat="1" ht="14.25">
      <c r="A90" s="77" t="s">
        <v>134</v>
      </c>
      <c r="B90" s="58" t="s">
        <v>80</v>
      </c>
      <c r="C90" s="62">
        <f>[50]С3!F21</f>
        <v>10</v>
      </c>
    </row>
    <row r="91" spans="1:3" s="63" customFormat="1" ht="17.25">
      <c r="A91" s="77" t="s">
        <v>135</v>
      </c>
      <c r="B91" s="33" t="s">
        <v>136</v>
      </c>
      <c r="C91" s="34">
        <f>[50]С3!F22</f>
        <v>7.2494984785302705</v>
      </c>
    </row>
    <row r="92" spans="1:3" s="63" customFormat="1" ht="55.5">
      <c r="A92" s="77" t="s">
        <v>137</v>
      </c>
      <c r="B92" s="53" t="s">
        <v>138</v>
      </c>
      <c r="C92" s="80">
        <f>[50]С3!F23</f>
        <v>3.0000000000000001E-3</v>
      </c>
    </row>
    <row r="93" spans="1:3" s="63" customFormat="1" ht="27.75" thickBot="1">
      <c r="A93" s="81" t="s">
        <v>139</v>
      </c>
      <c r="B93" s="82" t="s">
        <v>140</v>
      </c>
      <c r="C93" s="83">
        <f>[50]С3!F24</f>
        <v>2416.4994928434235</v>
      </c>
    </row>
    <row r="94" spans="1:3" ht="13.5" thickBot="1">
      <c r="A94" s="47"/>
      <c r="B94" s="75"/>
      <c r="C94" s="15"/>
    </row>
    <row r="95" spans="1:3" ht="38.25" customHeight="1">
      <c r="A95" s="84" t="s">
        <v>141</v>
      </c>
      <c r="B95" s="146" t="s">
        <v>142</v>
      </c>
      <c r="C95" s="146"/>
    </row>
    <row r="96" spans="1:3" ht="30">
      <c r="A96" s="59" t="s">
        <v>143</v>
      </c>
      <c r="B96" s="33" t="s">
        <v>144</v>
      </c>
      <c r="C96" s="34">
        <f>[50]С4!F16</f>
        <v>1652.5</v>
      </c>
    </row>
    <row r="97" spans="1:3" ht="30">
      <c r="A97" s="59" t="s">
        <v>145</v>
      </c>
      <c r="B97" s="58" t="s">
        <v>146</v>
      </c>
      <c r="C97" s="34">
        <f>[50]С4!F17</f>
        <v>73547</v>
      </c>
    </row>
    <row r="98" spans="1:3" ht="17.25">
      <c r="A98" s="59" t="s">
        <v>147</v>
      </c>
      <c r="B98" s="58" t="s">
        <v>148</v>
      </c>
      <c r="C98" s="40">
        <f>[50]С4!F18</f>
        <v>0.02</v>
      </c>
    </row>
    <row r="99" spans="1:3" ht="30">
      <c r="A99" s="59" t="s">
        <v>149</v>
      </c>
      <c r="B99" s="58" t="s">
        <v>150</v>
      </c>
      <c r="C99" s="34">
        <f>[50]С4!F19</f>
        <v>12104</v>
      </c>
    </row>
    <row r="100" spans="1:3" ht="31.5">
      <c r="A100" s="59" t="s">
        <v>151</v>
      </c>
      <c r="B100" s="58" t="s">
        <v>152</v>
      </c>
      <c r="C100" s="40">
        <f>[50]С4!F20</f>
        <v>1.4999999999999999E-2</v>
      </c>
    </row>
    <row r="101" spans="1:3" ht="30">
      <c r="A101" s="59" t="s">
        <v>153</v>
      </c>
      <c r="B101" s="33" t="s">
        <v>154</v>
      </c>
      <c r="C101" s="34">
        <f>[50]С4!F21</f>
        <v>1933.1949342509995</v>
      </c>
    </row>
    <row r="102" spans="1:3" ht="24" customHeight="1">
      <c r="A102" s="59" t="s">
        <v>155</v>
      </c>
      <c r="B102" s="53" t="s">
        <v>156</v>
      </c>
      <c r="C102" s="85">
        <f>IF([50]С4.2!F8="да",[50]С4.2!D21,[50]С4.2!D15)</f>
        <v>0</v>
      </c>
    </row>
    <row r="103" spans="1:3" ht="68.25">
      <c r="A103" s="59" t="s">
        <v>157</v>
      </c>
      <c r="B103" s="53" t="s">
        <v>158</v>
      </c>
      <c r="C103" s="34">
        <f>[50]С4!F22</f>
        <v>3.6112641666666665</v>
      </c>
    </row>
    <row r="104" spans="1:3" ht="30">
      <c r="A104" s="59" t="s">
        <v>159</v>
      </c>
      <c r="B104" s="58" t="s">
        <v>160</v>
      </c>
      <c r="C104" s="34">
        <f>[50]С4!F23</f>
        <v>180</v>
      </c>
    </row>
    <row r="105" spans="1:3" ht="14.25">
      <c r="A105" s="59" t="s">
        <v>161</v>
      </c>
      <c r="B105" s="53" t="s">
        <v>162</v>
      </c>
      <c r="C105" s="34">
        <f>[50]С4!F24</f>
        <v>8497.1999999999989</v>
      </c>
    </row>
    <row r="106" spans="1:3" ht="14.25">
      <c r="A106" s="59" t="s">
        <v>163</v>
      </c>
      <c r="B106" s="58" t="s">
        <v>164</v>
      </c>
      <c r="C106" s="40">
        <f>[50]С4!F25</f>
        <v>0.35</v>
      </c>
    </row>
    <row r="107" spans="1:3" ht="17.25">
      <c r="A107" s="59" t="s">
        <v>165</v>
      </c>
      <c r="B107" s="33" t="s">
        <v>166</v>
      </c>
      <c r="C107" s="34">
        <f>[50]С4!F26</f>
        <v>49.542749999999998</v>
      </c>
    </row>
    <row r="108" spans="1:3" ht="25.5">
      <c r="A108" s="59" t="s">
        <v>167</v>
      </c>
      <c r="B108" s="53" t="s">
        <v>94</v>
      </c>
      <c r="C108" s="85">
        <f>[50]С4.3!E16</f>
        <v>0</v>
      </c>
    </row>
    <row r="109" spans="1:3" ht="25.5">
      <c r="A109" s="59" t="s">
        <v>168</v>
      </c>
      <c r="B109" s="53" t="s">
        <v>169</v>
      </c>
      <c r="C109" s="34">
        <f>[50]С4.3!E17</f>
        <v>12.85</v>
      </c>
    </row>
    <row r="110" spans="1:3" ht="38.25">
      <c r="A110" s="59" t="s">
        <v>170</v>
      </c>
      <c r="B110" s="53" t="s">
        <v>106</v>
      </c>
      <c r="C110" s="85">
        <f>[50]С4.3!E18</f>
        <v>0</v>
      </c>
    </row>
    <row r="111" spans="1:3">
      <c r="A111" s="59" t="s">
        <v>171</v>
      </c>
      <c r="B111" s="53" t="s">
        <v>172</v>
      </c>
      <c r="C111" s="34">
        <f>[50]С4.3!E19</f>
        <v>21.95</v>
      </c>
    </row>
    <row r="112" spans="1:3">
      <c r="A112" s="59" t="s">
        <v>173</v>
      </c>
      <c r="B112" s="58" t="s">
        <v>174</v>
      </c>
      <c r="C112" s="34">
        <f>[50]С4.3!E11</f>
        <v>1871</v>
      </c>
    </row>
    <row r="113" spans="1:3">
      <c r="A113" s="59" t="s">
        <v>175</v>
      </c>
      <c r="B113" s="58" t="s">
        <v>176</v>
      </c>
      <c r="C113" s="52">
        <f>[50]С4.3!E12</f>
        <v>1636</v>
      </c>
    </row>
    <row r="114" spans="1:3">
      <c r="A114" s="59" t="s">
        <v>177</v>
      </c>
      <c r="B114" s="58" t="s">
        <v>178</v>
      </c>
      <c r="C114" s="52">
        <f>[50]С4.3!E13</f>
        <v>204</v>
      </c>
    </row>
    <row r="115" spans="1:3" ht="30">
      <c r="A115" s="59" t="s">
        <v>179</v>
      </c>
      <c r="B115" s="33" t="s">
        <v>180</v>
      </c>
      <c r="C115" s="34">
        <f>[50]С4!F27</f>
        <v>1291.2863994686898</v>
      </c>
    </row>
    <row r="116" spans="1:3" ht="25.5">
      <c r="A116" s="59" t="s">
        <v>181</v>
      </c>
      <c r="B116" s="53" t="s">
        <v>182</v>
      </c>
      <c r="C116" s="34">
        <f>[50]С4!F28</f>
        <v>991.77142816335618</v>
      </c>
    </row>
    <row r="117" spans="1:3" ht="42.75">
      <c r="A117" s="59" t="s">
        <v>183</v>
      </c>
      <c r="B117" s="53" t="s">
        <v>184</v>
      </c>
      <c r="C117" s="34">
        <f>[50]С4!F29</f>
        <v>299.51497130533357</v>
      </c>
    </row>
    <row r="118" spans="1:3" ht="30">
      <c r="A118" s="59" t="s">
        <v>185</v>
      </c>
      <c r="B118" s="39" t="s">
        <v>186</v>
      </c>
      <c r="C118" s="34">
        <f>[50]С4!F30</f>
        <v>2378.0661203514319</v>
      </c>
    </row>
    <row r="119" spans="1:3" ht="42.75">
      <c r="A119" s="59" t="s">
        <v>187</v>
      </c>
      <c r="B119" s="86" t="s">
        <v>188</v>
      </c>
      <c r="C119" s="34">
        <f>[50]С4!F33</f>
        <v>1176.7426982817792</v>
      </c>
    </row>
    <row r="120" spans="1:3" ht="30">
      <c r="A120" s="59" t="s">
        <v>189</v>
      </c>
      <c r="B120" s="87" t="s">
        <v>190</v>
      </c>
      <c r="C120" s="34">
        <f>[50]С4!F35</f>
        <v>17.040680999999999</v>
      </c>
    </row>
    <row r="121" spans="1:3" ht="14.25">
      <c r="A121" s="59" t="s">
        <v>191</v>
      </c>
      <c r="B121" s="56" t="s">
        <v>192</v>
      </c>
      <c r="C121" s="34">
        <f>[50]С4!F36</f>
        <v>14319.9</v>
      </c>
    </row>
    <row r="122" spans="1:3" ht="28.5" thickBot="1">
      <c r="A122" s="72" t="s">
        <v>193</v>
      </c>
      <c r="B122" s="88" t="s">
        <v>194</v>
      </c>
      <c r="C122" s="83">
        <f>[50]С4!F37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[50]С5!F17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[50]С2!F37</f>
        <v>20.818139999999996</v>
      </c>
    </row>
    <row r="136" spans="1:4" ht="14.25">
      <c r="A136" s="59" t="s">
        <v>216</v>
      </c>
      <c r="B136" s="101" t="s">
        <v>217</v>
      </c>
      <c r="C136" s="34">
        <f>[50]С2!F38</f>
        <v>7</v>
      </c>
    </row>
    <row r="137" spans="1:4" ht="17.25">
      <c r="A137" s="59" t="s">
        <v>218</v>
      </c>
      <c r="B137" s="101" t="s">
        <v>219</v>
      </c>
      <c r="C137" s="34">
        <f>[50]С2!F40</f>
        <v>0.97</v>
      </c>
    </row>
    <row r="138" spans="1:4" ht="15" thickBot="1">
      <c r="A138" s="72" t="s">
        <v>220</v>
      </c>
      <c r="B138" s="102" t="s">
        <v>221</v>
      </c>
      <c r="C138" s="46">
        <f>[50]С2!F42</f>
        <v>0.35</v>
      </c>
    </row>
    <row r="139" spans="1:4" s="89" customFormat="1" ht="13.5" thickBot="1">
      <c r="A139" s="47"/>
      <c r="B139" s="75"/>
      <c r="C139" s="15"/>
    </row>
    <row r="140" spans="1:4" ht="30">
      <c r="A140" s="84" t="s">
        <v>222</v>
      </c>
      <c r="B140" s="103" t="s">
        <v>223</v>
      </c>
      <c r="C140" s="104">
        <f>[50]С2!F35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[50]С2.5!$E$11</f>
        <v>-2.9000000000000026E-2</v>
      </c>
      <c r="D143" s="89"/>
    </row>
    <row r="144" spans="1:4">
      <c r="A144" s="105"/>
      <c r="B144" s="110">
        <f>B143+1</f>
        <v>2021</v>
      </c>
      <c r="C144" s="111">
        <f>[50]С2.5!$F$11</f>
        <v>0.245</v>
      </c>
      <c r="D144" s="89"/>
    </row>
    <row r="145" spans="1:4">
      <c r="A145" s="105"/>
      <c r="B145" s="110">
        <f t="shared" ref="B145:B208" si="0">B144+1</f>
        <v>2022</v>
      </c>
      <c r="C145" s="111">
        <f>[50]С2.5!$G$11</f>
        <v>0.114</v>
      </c>
      <c r="D145" s="89"/>
    </row>
    <row r="146" spans="1:4" ht="13.5" thickBot="1">
      <c r="A146" s="105"/>
      <c r="B146" s="112">
        <f t="shared" si="0"/>
        <v>2023</v>
      </c>
      <c r="C146" s="113">
        <f>[50]С2.5!$H$11</f>
        <v>0.04</v>
      </c>
      <c r="D146" s="89"/>
    </row>
    <row r="147" spans="1:4">
      <c r="A147" s="105"/>
      <c r="B147" s="114">
        <f t="shared" si="0"/>
        <v>2024</v>
      </c>
      <c r="C147" s="115">
        <f>[50]С2.5!$I$11</f>
        <v>0.11700000000000001</v>
      </c>
      <c r="D147" s="89"/>
    </row>
    <row r="148" spans="1:4">
      <c r="A148" s="105"/>
      <c r="B148" s="110">
        <f t="shared" si="0"/>
        <v>2025</v>
      </c>
      <c r="C148" s="111">
        <f>[50]С2.5!$J$11</f>
        <v>6.0999999999999999E-2</v>
      </c>
      <c r="D148" s="89"/>
    </row>
    <row r="149" spans="1:4" hidden="1">
      <c r="A149" s="105"/>
      <c r="B149" s="110">
        <f t="shared" si="0"/>
        <v>2026</v>
      </c>
      <c r="C149" s="111">
        <f>[50]С2.5!$K$11</f>
        <v>3.5813361771260002E-2</v>
      </c>
      <c r="D149" s="89"/>
    </row>
    <row r="150" spans="1:4" hidden="1">
      <c r="A150" s="105"/>
      <c r="B150" s="110">
        <f t="shared" si="0"/>
        <v>2027</v>
      </c>
      <c r="C150" s="111">
        <f>[50]С2.5!$L$11</f>
        <v>3.2682303599220003E-2</v>
      </c>
      <c r="D150" s="89"/>
    </row>
    <row r="151" spans="1:4" hidden="1">
      <c r="A151" s="105"/>
      <c r="B151" s="110">
        <f t="shared" si="0"/>
        <v>2028</v>
      </c>
      <c r="C151" s="111">
        <f>[50]С2.5!$M$11</f>
        <v>0</v>
      </c>
      <c r="D151" s="89"/>
    </row>
    <row r="152" spans="1:4" hidden="1">
      <c r="A152" s="105"/>
      <c r="B152" s="110">
        <f t="shared" si="0"/>
        <v>2029</v>
      </c>
      <c r="C152" s="111">
        <f>[50]С2.5!$N$11</f>
        <v>0</v>
      </c>
      <c r="D152" s="89"/>
    </row>
    <row r="153" spans="1:4" hidden="1">
      <c r="A153" s="105"/>
      <c r="B153" s="110">
        <f t="shared" si="0"/>
        <v>2030</v>
      </c>
      <c r="C153" s="111">
        <f>[50]С2.5!$O$11</f>
        <v>0</v>
      </c>
      <c r="D153" s="89"/>
    </row>
    <row r="154" spans="1:4" hidden="1">
      <c r="A154" s="105"/>
      <c r="B154" s="110">
        <f t="shared" si="0"/>
        <v>2031</v>
      </c>
      <c r="C154" s="111">
        <f>[50]С2.5!$P$11</f>
        <v>0</v>
      </c>
      <c r="D154" s="89"/>
    </row>
    <row r="155" spans="1:4" hidden="1">
      <c r="A155" s="89"/>
      <c r="B155" s="110">
        <f t="shared" si="0"/>
        <v>2032</v>
      </c>
      <c r="C155" s="111">
        <f>[50]С2.5!$Q$11</f>
        <v>0</v>
      </c>
      <c r="D155" s="89"/>
    </row>
    <row r="156" spans="1:4" hidden="1">
      <c r="A156" s="89"/>
      <c r="B156" s="110">
        <f t="shared" si="0"/>
        <v>2033</v>
      </c>
      <c r="C156" s="111">
        <f>[50]С2.5!$R$11</f>
        <v>0</v>
      </c>
      <c r="D156" s="89"/>
    </row>
    <row r="157" spans="1:4" hidden="1">
      <c r="B157" s="110">
        <f t="shared" si="0"/>
        <v>2034</v>
      </c>
      <c r="C157" s="111">
        <f>[50]С2.5!$S$11</f>
        <v>0</v>
      </c>
    </row>
    <row r="158" spans="1:4" hidden="1">
      <c r="B158" s="110">
        <f t="shared" si="0"/>
        <v>2035</v>
      </c>
      <c r="C158" s="111">
        <f>[50]С2.5!$T$11</f>
        <v>0</v>
      </c>
    </row>
    <row r="159" spans="1:4" hidden="1">
      <c r="B159" s="110">
        <f t="shared" si="0"/>
        <v>2036</v>
      </c>
      <c r="C159" s="111">
        <f>[50]С2.5!$U$11</f>
        <v>0</v>
      </c>
    </row>
    <row r="160" spans="1:4" hidden="1">
      <c r="B160" s="110">
        <f t="shared" si="0"/>
        <v>2037</v>
      </c>
      <c r="C160" s="111">
        <f>[50]С2.5!$V$11</f>
        <v>0</v>
      </c>
    </row>
    <row r="161" spans="2:3" hidden="1">
      <c r="B161" s="110">
        <f t="shared" si="0"/>
        <v>2038</v>
      </c>
      <c r="C161" s="111">
        <f>[50]С2.5!$W$11</f>
        <v>0</v>
      </c>
    </row>
    <row r="162" spans="2:3" hidden="1">
      <c r="B162" s="110">
        <f t="shared" si="0"/>
        <v>2039</v>
      </c>
      <c r="C162" s="111">
        <f>[50]С2.5!$X$11</f>
        <v>0</v>
      </c>
    </row>
    <row r="163" spans="2:3" hidden="1">
      <c r="B163" s="110">
        <f t="shared" si="0"/>
        <v>2040</v>
      </c>
      <c r="C163" s="111">
        <f>[50]С2.5!$Y$11</f>
        <v>0</v>
      </c>
    </row>
    <row r="164" spans="2:3" hidden="1">
      <c r="B164" s="110">
        <f t="shared" si="0"/>
        <v>2041</v>
      </c>
      <c r="C164" s="111">
        <f>[50]С2.5!$Z$11</f>
        <v>0</v>
      </c>
    </row>
    <row r="165" spans="2:3" hidden="1">
      <c r="B165" s="110">
        <f t="shared" si="0"/>
        <v>2042</v>
      </c>
      <c r="C165" s="111">
        <f>[50]С2.5!$AA$11</f>
        <v>0</v>
      </c>
    </row>
    <row r="166" spans="2:3" hidden="1">
      <c r="B166" s="110">
        <f t="shared" si="0"/>
        <v>2043</v>
      </c>
      <c r="C166" s="111">
        <f>[50]С2.5!$AB$11</f>
        <v>0</v>
      </c>
    </row>
    <row r="167" spans="2:3" hidden="1">
      <c r="B167" s="110">
        <f t="shared" si="0"/>
        <v>2044</v>
      </c>
      <c r="C167" s="111">
        <f>[50]С2.5!$AC$11</f>
        <v>0</v>
      </c>
    </row>
    <row r="168" spans="2:3" hidden="1">
      <c r="B168" s="110">
        <f t="shared" si="0"/>
        <v>2045</v>
      </c>
      <c r="C168" s="111">
        <f>[50]С2.5!$AD$11</f>
        <v>0</v>
      </c>
    </row>
    <row r="169" spans="2:3" hidden="1">
      <c r="B169" s="110">
        <f t="shared" si="0"/>
        <v>2046</v>
      </c>
      <c r="C169" s="111">
        <f>[50]С2.5!$AE$11</f>
        <v>0</v>
      </c>
    </row>
    <row r="170" spans="2:3" hidden="1">
      <c r="B170" s="110">
        <f t="shared" si="0"/>
        <v>2047</v>
      </c>
      <c r="C170" s="111">
        <f>[50]С2.5!$AF$11</f>
        <v>0</v>
      </c>
    </row>
    <row r="171" spans="2:3" hidden="1">
      <c r="B171" s="110">
        <f t="shared" si="0"/>
        <v>2048</v>
      </c>
      <c r="C171" s="111">
        <f>[50]С2.5!$AG$11</f>
        <v>0</v>
      </c>
    </row>
    <row r="172" spans="2:3" hidden="1">
      <c r="B172" s="110">
        <f t="shared" si="0"/>
        <v>2049</v>
      </c>
      <c r="C172" s="111">
        <f>[50]С2.5!$AH$11</f>
        <v>0</v>
      </c>
    </row>
    <row r="173" spans="2:3" hidden="1">
      <c r="B173" s="110">
        <f t="shared" si="0"/>
        <v>2050</v>
      </c>
      <c r="C173" s="111">
        <f>[50]С2.5!$AI$11</f>
        <v>0</v>
      </c>
    </row>
    <row r="174" spans="2:3" hidden="1">
      <c r="B174" s="110">
        <f t="shared" si="0"/>
        <v>2051</v>
      </c>
      <c r="C174" s="111">
        <f>[50]С2.5!$AJ$11</f>
        <v>0</v>
      </c>
    </row>
    <row r="175" spans="2:3" hidden="1">
      <c r="B175" s="110">
        <f t="shared" si="0"/>
        <v>2052</v>
      </c>
      <c r="C175" s="111">
        <f>[50]С2.5!$AK$11</f>
        <v>0</v>
      </c>
    </row>
    <row r="176" spans="2:3" hidden="1">
      <c r="B176" s="110">
        <f t="shared" si="0"/>
        <v>2053</v>
      </c>
      <c r="C176" s="111">
        <f>[50]С2.5!$AL$11</f>
        <v>0</v>
      </c>
    </row>
    <row r="177" spans="2:3" hidden="1">
      <c r="B177" s="110">
        <f t="shared" si="0"/>
        <v>2054</v>
      </c>
      <c r="C177" s="111">
        <f>[50]С2.5!$AM$11</f>
        <v>0</v>
      </c>
    </row>
    <row r="178" spans="2:3" hidden="1">
      <c r="B178" s="110">
        <f t="shared" si="0"/>
        <v>2055</v>
      </c>
      <c r="C178" s="111">
        <f>[50]С2.5!$AN$11</f>
        <v>0</v>
      </c>
    </row>
    <row r="179" spans="2:3" hidden="1">
      <c r="B179" s="110">
        <f t="shared" si="0"/>
        <v>2056</v>
      </c>
      <c r="C179" s="111">
        <f>[50]С2.5!$AO$11</f>
        <v>0</v>
      </c>
    </row>
    <row r="180" spans="2:3" hidden="1">
      <c r="B180" s="110">
        <f t="shared" si="0"/>
        <v>2057</v>
      </c>
      <c r="C180" s="111">
        <f>[50]С2.5!$AP$11</f>
        <v>0</v>
      </c>
    </row>
    <row r="181" spans="2:3" hidden="1">
      <c r="B181" s="110">
        <f t="shared" si="0"/>
        <v>2058</v>
      </c>
      <c r="C181" s="111">
        <f>[50]С2.5!$AQ$11</f>
        <v>0</v>
      </c>
    </row>
    <row r="182" spans="2:3" hidden="1">
      <c r="B182" s="110">
        <f t="shared" si="0"/>
        <v>2059</v>
      </c>
      <c r="C182" s="111">
        <f>[50]С2.5!$AR$11</f>
        <v>0</v>
      </c>
    </row>
    <row r="183" spans="2:3" hidden="1">
      <c r="B183" s="110">
        <f t="shared" si="0"/>
        <v>2060</v>
      </c>
      <c r="C183" s="111">
        <f>[50]С2.5!$AS$11</f>
        <v>0</v>
      </c>
    </row>
    <row r="184" spans="2:3" hidden="1">
      <c r="B184" s="110">
        <f t="shared" si="0"/>
        <v>2061</v>
      </c>
      <c r="C184" s="111">
        <f>[50]С2.5!$AT$11</f>
        <v>0</v>
      </c>
    </row>
    <row r="185" spans="2:3" hidden="1">
      <c r="B185" s="110">
        <f t="shared" si="0"/>
        <v>2062</v>
      </c>
      <c r="C185" s="111">
        <f>[50]С2.5!$AU$11</f>
        <v>0</v>
      </c>
    </row>
    <row r="186" spans="2:3" hidden="1">
      <c r="B186" s="110">
        <f t="shared" si="0"/>
        <v>2063</v>
      </c>
      <c r="C186" s="111">
        <f>[50]С2.5!$AV$11</f>
        <v>0</v>
      </c>
    </row>
    <row r="187" spans="2:3" hidden="1">
      <c r="B187" s="110">
        <f t="shared" si="0"/>
        <v>2064</v>
      </c>
      <c r="C187" s="111">
        <f>[50]С2.5!$AW$11</f>
        <v>0</v>
      </c>
    </row>
    <row r="188" spans="2:3" hidden="1">
      <c r="B188" s="110">
        <f t="shared" si="0"/>
        <v>2065</v>
      </c>
      <c r="C188" s="111">
        <f>[50]С2.5!$AX$11</f>
        <v>0</v>
      </c>
    </row>
    <row r="189" spans="2:3" hidden="1">
      <c r="B189" s="110">
        <f t="shared" si="0"/>
        <v>2066</v>
      </c>
      <c r="C189" s="111">
        <f>[50]С2.5!$AY$11</f>
        <v>0</v>
      </c>
    </row>
    <row r="190" spans="2:3" hidden="1">
      <c r="B190" s="110">
        <f t="shared" si="0"/>
        <v>2067</v>
      </c>
      <c r="C190" s="111">
        <f>[50]С2.5!$AZ$11</f>
        <v>0</v>
      </c>
    </row>
    <row r="191" spans="2:3" hidden="1">
      <c r="B191" s="110">
        <f t="shared" si="0"/>
        <v>2068</v>
      </c>
      <c r="C191" s="111">
        <f>[50]С2.5!$BA$11</f>
        <v>0</v>
      </c>
    </row>
    <row r="192" spans="2:3" hidden="1">
      <c r="B192" s="110">
        <f t="shared" si="0"/>
        <v>2069</v>
      </c>
      <c r="C192" s="111">
        <f>[50]С2.5!$BB$11</f>
        <v>0</v>
      </c>
    </row>
    <row r="193" spans="2:3" hidden="1">
      <c r="B193" s="110">
        <f t="shared" si="0"/>
        <v>2070</v>
      </c>
      <c r="C193" s="111">
        <f>[50]С2.5!$BC$11</f>
        <v>0</v>
      </c>
    </row>
    <row r="194" spans="2:3" hidden="1">
      <c r="B194" s="110">
        <f t="shared" si="0"/>
        <v>2071</v>
      </c>
      <c r="C194" s="111">
        <f>[50]С2.5!$BD$11</f>
        <v>0</v>
      </c>
    </row>
    <row r="195" spans="2:3" hidden="1">
      <c r="B195" s="110">
        <f t="shared" si="0"/>
        <v>2072</v>
      </c>
      <c r="C195" s="111">
        <f>[50]С2.5!$BE$11</f>
        <v>0</v>
      </c>
    </row>
    <row r="196" spans="2:3" hidden="1">
      <c r="B196" s="110">
        <f t="shared" si="0"/>
        <v>2073</v>
      </c>
      <c r="C196" s="111">
        <f>[50]С2.5!$BF$11</f>
        <v>0</v>
      </c>
    </row>
    <row r="197" spans="2:3" hidden="1">
      <c r="B197" s="110">
        <f t="shared" si="0"/>
        <v>2074</v>
      </c>
      <c r="C197" s="111">
        <f>[50]С2.5!$BG$11</f>
        <v>0</v>
      </c>
    </row>
    <row r="198" spans="2:3" hidden="1">
      <c r="B198" s="110">
        <f t="shared" si="0"/>
        <v>2075</v>
      </c>
      <c r="C198" s="111">
        <f>[50]С2.5!$BH$11</f>
        <v>0</v>
      </c>
    </row>
    <row r="199" spans="2:3" hidden="1">
      <c r="B199" s="110">
        <f t="shared" si="0"/>
        <v>2076</v>
      </c>
      <c r="C199" s="111">
        <f>[50]С2.5!$BI$11</f>
        <v>0</v>
      </c>
    </row>
    <row r="200" spans="2:3" hidden="1">
      <c r="B200" s="110">
        <f t="shared" si="0"/>
        <v>2077</v>
      </c>
      <c r="C200" s="111">
        <f>[50]С2.5!$BJ$11</f>
        <v>0</v>
      </c>
    </row>
    <row r="201" spans="2:3" hidden="1">
      <c r="B201" s="110">
        <f t="shared" si="0"/>
        <v>2078</v>
      </c>
      <c r="C201" s="111">
        <f>[50]С2.5!$BK$11</f>
        <v>0</v>
      </c>
    </row>
    <row r="202" spans="2:3" hidden="1">
      <c r="B202" s="110">
        <f t="shared" si="0"/>
        <v>2079</v>
      </c>
      <c r="C202" s="111">
        <f>[50]С2.5!$BL$11</f>
        <v>0</v>
      </c>
    </row>
    <row r="203" spans="2:3" hidden="1">
      <c r="B203" s="110">
        <f t="shared" si="0"/>
        <v>2080</v>
      </c>
      <c r="C203" s="111">
        <f>[50]С2.5!$BM$11</f>
        <v>0</v>
      </c>
    </row>
    <row r="204" spans="2:3" hidden="1">
      <c r="B204" s="110">
        <f t="shared" si="0"/>
        <v>2081</v>
      </c>
      <c r="C204" s="111">
        <f>[50]С2.5!$BN$11</f>
        <v>0</v>
      </c>
    </row>
    <row r="205" spans="2:3" hidden="1">
      <c r="B205" s="110">
        <f t="shared" si="0"/>
        <v>2082</v>
      </c>
      <c r="C205" s="111">
        <f>[50]С2.5!$BO$11</f>
        <v>0</v>
      </c>
    </row>
    <row r="206" spans="2:3" hidden="1">
      <c r="B206" s="110">
        <f t="shared" si="0"/>
        <v>2083</v>
      </c>
      <c r="C206" s="111">
        <f>[50]С2.5!$BP$11</f>
        <v>0</v>
      </c>
    </row>
    <row r="207" spans="2:3" hidden="1">
      <c r="B207" s="110">
        <f t="shared" si="0"/>
        <v>2084</v>
      </c>
      <c r="C207" s="111">
        <f>[50]С2.5!$BQ$11</f>
        <v>0</v>
      </c>
    </row>
    <row r="208" spans="2:3" hidden="1">
      <c r="B208" s="110">
        <f t="shared" si="0"/>
        <v>2085</v>
      </c>
      <c r="C208" s="111">
        <f>[50]С2.5!$BR$11</f>
        <v>0</v>
      </c>
    </row>
    <row r="209" spans="2:3" hidden="1">
      <c r="B209" s="110">
        <f t="shared" ref="B209:B223" si="1">B208+1</f>
        <v>2086</v>
      </c>
      <c r="C209" s="111">
        <f>[50]С2.5!$BS$11</f>
        <v>0</v>
      </c>
    </row>
    <row r="210" spans="2:3" hidden="1">
      <c r="B210" s="110">
        <f t="shared" si="1"/>
        <v>2087</v>
      </c>
      <c r="C210" s="111">
        <f>[50]С2.5!$BT$11</f>
        <v>0</v>
      </c>
    </row>
    <row r="211" spans="2:3" hidden="1">
      <c r="B211" s="110">
        <f t="shared" si="1"/>
        <v>2088</v>
      </c>
      <c r="C211" s="111">
        <f>[50]С2.5!$BU$11</f>
        <v>0</v>
      </c>
    </row>
    <row r="212" spans="2:3" hidden="1">
      <c r="B212" s="110">
        <f t="shared" si="1"/>
        <v>2089</v>
      </c>
      <c r="C212" s="111">
        <f>[50]С2.5!$BV$11</f>
        <v>0</v>
      </c>
    </row>
    <row r="213" spans="2:3" hidden="1">
      <c r="B213" s="110">
        <f t="shared" si="1"/>
        <v>2090</v>
      </c>
      <c r="C213" s="111">
        <f>[50]С2.5!$BW$11</f>
        <v>0</v>
      </c>
    </row>
    <row r="214" spans="2:3" hidden="1">
      <c r="B214" s="110">
        <f t="shared" si="1"/>
        <v>2091</v>
      </c>
      <c r="C214" s="111">
        <f>[50]С2.5!$BX$11</f>
        <v>0</v>
      </c>
    </row>
    <row r="215" spans="2:3" hidden="1">
      <c r="B215" s="110">
        <f t="shared" si="1"/>
        <v>2092</v>
      </c>
      <c r="C215" s="111">
        <f>[50]С2.5!$BY$11</f>
        <v>0</v>
      </c>
    </row>
    <row r="216" spans="2:3" hidden="1">
      <c r="B216" s="110">
        <f t="shared" si="1"/>
        <v>2093</v>
      </c>
      <c r="C216" s="111">
        <f>[50]С2.5!$BZ$11</f>
        <v>0</v>
      </c>
    </row>
    <row r="217" spans="2:3" hidden="1">
      <c r="B217" s="110">
        <f t="shared" si="1"/>
        <v>2094</v>
      </c>
      <c r="C217" s="111">
        <f>[50]С2.5!$CA$11</f>
        <v>0</v>
      </c>
    </row>
    <row r="218" spans="2:3" hidden="1">
      <c r="B218" s="110">
        <f t="shared" si="1"/>
        <v>2095</v>
      </c>
      <c r="C218" s="111">
        <f>[50]С2.5!$CB$11</f>
        <v>0</v>
      </c>
    </row>
    <row r="219" spans="2:3" hidden="1">
      <c r="B219" s="110">
        <f t="shared" si="1"/>
        <v>2096</v>
      </c>
      <c r="C219" s="111">
        <f>[50]С2.5!$CC$11</f>
        <v>0</v>
      </c>
    </row>
    <row r="220" spans="2:3" hidden="1">
      <c r="B220" s="110">
        <f t="shared" si="1"/>
        <v>2097</v>
      </c>
      <c r="C220" s="111">
        <f>[50]С2.5!$CD$11</f>
        <v>0</v>
      </c>
    </row>
    <row r="221" spans="2:3" hidden="1">
      <c r="B221" s="110">
        <f t="shared" si="1"/>
        <v>2098</v>
      </c>
      <c r="C221" s="111">
        <f>[50]С2.5!$CE$11</f>
        <v>0</v>
      </c>
    </row>
    <row r="222" spans="2:3" hidden="1">
      <c r="B222" s="110">
        <f t="shared" si="1"/>
        <v>2099</v>
      </c>
      <c r="C222" s="111">
        <f>[50]С2.5!$CF$11</f>
        <v>0</v>
      </c>
    </row>
    <row r="223" spans="2:3" ht="13.5" hidden="1" thickBot="1">
      <c r="B223" s="112">
        <f t="shared" si="1"/>
        <v>2100</v>
      </c>
      <c r="C223" s="113">
        <f>[50]С2.5!$CG$11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30" r:id="rId3" name="Button 2">
              <controlPr defaultSize="0" print="0" autoFill="0" autoPict="0" macro="[4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2531" r:id="rId4" name="Button 3">
              <controlPr defaultSize="0" print="0" autoFill="0" autoPict="0" macro="[5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K7" sqref="K7"/>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45687</v>
      </c>
    </row>
    <row r="3" spans="1:3">
      <c r="A3" s="3"/>
      <c r="B3" s="6" t="s">
        <v>2</v>
      </c>
    </row>
    <row r="4" spans="1:3" ht="25.5">
      <c r="A4" s="8"/>
      <c r="B4" s="9" t="str">
        <f>[51]И1!D13</f>
        <v>Субъект Российской Федерации</v>
      </c>
      <c r="C4" s="10" t="str">
        <f>[51]И1!E13</f>
        <v>Новосибирская область</v>
      </c>
    </row>
    <row r="5" spans="1:3" ht="46.9" customHeight="1">
      <c r="A5" s="8"/>
      <c r="B5" s="9" t="str">
        <f>[51]И1!D14</f>
        <v>Тип муниципального образования (выберите из списка)</v>
      </c>
      <c r="C5" s="10" t="str">
        <f>[51]И1!E14</f>
        <v>поселок Шахта, Тогучинский муниципальный район</v>
      </c>
    </row>
    <row r="6" spans="1:3">
      <c r="A6" s="8"/>
      <c r="B6" s="9" t="str">
        <f>IF([51]И1!E15="","",[51]И1!D15)</f>
        <v/>
      </c>
      <c r="C6" s="10" t="str">
        <f>IF([51]И1!E15="","",[51]И1!E15)</f>
        <v/>
      </c>
    </row>
    <row r="7" spans="1:3">
      <c r="A7" s="8"/>
      <c r="B7" s="9" t="str">
        <f>[51]И1!D16</f>
        <v>Код ОКТМО</v>
      </c>
      <c r="C7" s="11" t="str">
        <f>[51]И1!E16</f>
        <v>50652452101</v>
      </c>
    </row>
    <row r="8" spans="1:3">
      <c r="A8" s="8"/>
      <c r="B8" s="12" t="str">
        <f>[51]И1!D17</f>
        <v>Система теплоснабжения</v>
      </c>
      <c r="C8" s="13">
        <f>[51]И1!E17</f>
        <v>0</v>
      </c>
    </row>
    <row r="9" spans="1:3">
      <c r="A9" s="8"/>
      <c r="B9" s="9" t="str">
        <f>[51]И1!D8</f>
        <v>Период регулирования (i)-й</v>
      </c>
      <c r="C9" s="14">
        <f>[51]И1!E8</f>
        <v>2025</v>
      </c>
    </row>
    <row r="10" spans="1:3">
      <c r="A10" s="8"/>
      <c r="B10" s="9" t="str">
        <f>[51]И1!D9</f>
        <v>Период регулирования (i-1)-й</v>
      </c>
      <c r="C10" s="14">
        <f>[51]И1!E9</f>
        <v>2024</v>
      </c>
    </row>
    <row r="11" spans="1:3">
      <c r="A11" s="8"/>
      <c r="B11" s="9" t="str">
        <f>[51]И1!D10</f>
        <v>Период регулирования (i-2)-й</v>
      </c>
      <c r="C11" s="14">
        <f>[51]И1!E10</f>
        <v>2023</v>
      </c>
    </row>
    <row r="12" spans="1:3">
      <c r="A12" s="8"/>
      <c r="B12" s="9" t="str">
        <f>[51]И1!D11</f>
        <v>Базовый год (б)</v>
      </c>
      <c r="C12" s="14">
        <f>[51]И1!E11</f>
        <v>2019</v>
      </c>
    </row>
    <row r="13" spans="1:3" ht="38.25">
      <c r="A13" s="8"/>
      <c r="B13" s="9" t="str">
        <f>[51]И1!D18</f>
        <v>Вид топлива, использование которого преобладает в системе теплоснабжения</v>
      </c>
      <c r="C13" s="15" t="str">
        <f>[51]С1.1!E13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5382.3382364414902</v>
      </c>
    </row>
    <row r="18" spans="1:3" ht="42.75">
      <c r="A18" s="22" t="s">
        <v>8</v>
      </c>
      <c r="B18" s="25" t="s">
        <v>9</v>
      </c>
      <c r="C18" s="26">
        <f>[51]С1!F12</f>
        <v>795.80460480398301</v>
      </c>
    </row>
    <row r="19" spans="1:3" ht="42.75">
      <c r="A19" s="22" t="s">
        <v>10</v>
      </c>
      <c r="B19" s="25" t="s">
        <v>11</v>
      </c>
      <c r="C19" s="26">
        <f>[51]С2!F12</f>
        <v>3056.1591261705735</v>
      </c>
    </row>
    <row r="20" spans="1:3" ht="30">
      <c r="A20" s="22" t="s">
        <v>12</v>
      </c>
      <c r="B20" s="25" t="s">
        <v>13</v>
      </c>
      <c r="C20" s="26">
        <f>[51]С3!F12</f>
        <v>915.44743976410246</v>
      </c>
    </row>
    <row r="21" spans="1:3" ht="42.75">
      <c r="A21" s="22" t="s">
        <v>14</v>
      </c>
      <c r="B21" s="25" t="s">
        <v>15</v>
      </c>
      <c r="C21" s="26">
        <f>[51]С4!F12</f>
        <v>509.39102185103758</v>
      </c>
    </row>
    <row r="22" spans="1:3" ht="30">
      <c r="A22" s="22" t="s">
        <v>16</v>
      </c>
      <c r="B22" s="25" t="s">
        <v>17</v>
      </c>
      <c r="C22" s="26">
        <f>[51]С5!F12</f>
        <v>105.53604385179393</v>
      </c>
    </row>
    <row r="23" spans="1:3" ht="43.5" thickBot="1">
      <c r="A23" s="27" t="s">
        <v>18</v>
      </c>
      <c r="B23" s="141" t="s">
        <v>19</v>
      </c>
      <c r="C23" s="28" t="str">
        <f>[51]С6!F12</f>
        <v>-</v>
      </c>
    </row>
    <row r="24" spans="1:3" ht="13.5" thickBot="1">
      <c r="A24" s="3"/>
    </row>
    <row r="25" spans="1:3">
      <c r="A25" s="16" t="s">
        <v>4</v>
      </c>
      <c r="B25" s="29" t="s">
        <v>5</v>
      </c>
      <c r="C25" s="30" t="s">
        <v>6</v>
      </c>
    </row>
    <row r="26" spans="1:3">
      <c r="A26" s="19">
        <v>1</v>
      </c>
      <c r="B26" s="31">
        <v>2</v>
      </c>
      <c r="C26" s="32">
        <v>3</v>
      </c>
    </row>
    <row r="27" spans="1:3" ht="35.25" customHeight="1">
      <c r="A27" s="22">
        <v>1</v>
      </c>
      <c r="B27" s="145" t="s">
        <v>20</v>
      </c>
      <c r="C27" s="145"/>
    </row>
    <row r="28" spans="1:3">
      <c r="A28" s="22" t="s">
        <v>8</v>
      </c>
      <c r="B28" s="33" t="s">
        <v>21</v>
      </c>
      <c r="C28" s="34">
        <f>[51]С1.1!E16</f>
        <v>5100</v>
      </c>
    </row>
    <row r="29" spans="1:3" ht="42.75">
      <c r="A29" s="22" t="s">
        <v>10</v>
      </c>
      <c r="B29" s="33" t="s">
        <v>22</v>
      </c>
      <c r="C29" s="34">
        <f>[51]С1.1!E27</f>
        <v>2870.67</v>
      </c>
    </row>
    <row r="30" spans="1:3" ht="17.25">
      <c r="A30" s="22" t="s">
        <v>12</v>
      </c>
      <c r="B30" s="33" t="s">
        <v>23</v>
      </c>
      <c r="C30" s="35">
        <f>[51]С1.1!E19</f>
        <v>1.4E-2</v>
      </c>
    </row>
    <row r="31" spans="1:3" ht="17.25">
      <c r="A31" s="22" t="s">
        <v>14</v>
      </c>
      <c r="B31" s="33" t="s">
        <v>24</v>
      </c>
      <c r="C31" s="35">
        <f>[51]С1.1!E20</f>
        <v>0.04</v>
      </c>
    </row>
    <row r="32" spans="1:3" ht="30">
      <c r="A32" s="22" t="s">
        <v>16</v>
      </c>
      <c r="B32" s="36" t="s">
        <v>25</v>
      </c>
      <c r="C32" s="37">
        <f>[51]С1!F13</f>
        <v>176.4</v>
      </c>
    </row>
    <row r="33" spans="1:3">
      <c r="A33" s="22" t="s">
        <v>18</v>
      </c>
      <c r="B33" s="36" t="s">
        <v>26</v>
      </c>
      <c r="C33" s="38">
        <f>[51]С1!F16</f>
        <v>7000</v>
      </c>
    </row>
    <row r="34" spans="1:3" ht="14.25">
      <c r="A34" s="22" t="s">
        <v>27</v>
      </c>
      <c r="B34" s="39" t="s">
        <v>28</v>
      </c>
      <c r="C34" s="40">
        <f>[51]С1!F17</f>
        <v>0.72857142857142854</v>
      </c>
    </row>
    <row r="35" spans="1:3" ht="15.75">
      <c r="A35" s="41" t="s">
        <v>29</v>
      </c>
      <c r="B35" s="42" t="s">
        <v>30</v>
      </c>
      <c r="C35" s="40">
        <f>[51]С1!F20</f>
        <v>21.588411179999994</v>
      </c>
    </row>
    <row r="36" spans="1:3" ht="15.75">
      <c r="A36" s="41" t="s">
        <v>31</v>
      </c>
      <c r="B36" s="43" t="s">
        <v>32</v>
      </c>
      <c r="C36" s="40">
        <f>[51]С1!F21</f>
        <v>20.818139999999996</v>
      </c>
    </row>
    <row r="37" spans="1:3" ht="14.25">
      <c r="A37" s="41" t="s">
        <v>33</v>
      </c>
      <c r="B37" s="44" t="s">
        <v>34</v>
      </c>
      <c r="C37" s="40">
        <f>[51]С1!F22</f>
        <v>1.0369999999999999</v>
      </c>
    </row>
    <row r="38" spans="1:3" ht="53.25" thickBot="1">
      <c r="A38" s="27" t="s">
        <v>35</v>
      </c>
      <c r="B38" s="45" t="s">
        <v>36</v>
      </c>
      <c r="C38" s="46">
        <f>[51]С1!F23</f>
        <v>1.0469999999999999</v>
      </c>
    </row>
    <row r="39" spans="1:3" ht="13.5" thickBot="1">
      <c r="A39" s="47"/>
      <c r="B39" s="48"/>
      <c r="C39" s="49"/>
    </row>
    <row r="40" spans="1:3" ht="42.75" customHeight="1">
      <c r="A40" s="50" t="s">
        <v>37</v>
      </c>
      <c r="B40" s="146" t="s">
        <v>38</v>
      </c>
      <c r="C40" s="146"/>
    </row>
    <row r="41" spans="1:3" ht="25.5">
      <c r="A41" s="22" t="s">
        <v>39</v>
      </c>
      <c r="B41" s="36" t="s">
        <v>40</v>
      </c>
      <c r="C41" s="51" t="str">
        <f>[51]С2.1!E12</f>
        <v>V</v>
      </c>
    </row>
    <row r="42" spans="1:3" ht="25.5">
      <c r="A42" s="22" t="s">
        <v>41</v>
      </c>
      <c r="B42" s="33" t="s">
        <v>42</v>
      </c>
      <c r="C42" s="51" t="str">
        <f>[51]С2.1!E13</f>
        <v>6 и менее баллов</v>
      </c>
    </row>
    <row r="43" spans="1:3" ht="25.5">
      <c r="A43" s="22" t="s">
        <v>43</v>
      </c>
      <c r="B43" s="33" t="s">
        <v>44</v>
      </c>
      <c r="C43" s="51" t="str">
        <f>[51]С2.1!E14</f>
        <v>от 200 до 500</v>
      </c>
    </row>
    <row r="44" spans="1:3" ht="25.5">
      <c r="A44" s="22" t="s">
        <v>45</v>
      </c>
      <c r="B44" s="33" t="s">
        <v>46</v>
      </c>
      <c r="C44" s="52" t="str">
        <f>[51]С2.1!E15</f>
        <v>нет</v>
      </c>
    </row>
    <row r="45" spans="1:3" ht="30">
      <c r="A45" s="22" t="s">
        <v>47</v>
      </c>
      <c r="B45" s="33" t="s">
        <v>48</v>
      </c>
      <c r="C45" s="34">
        <f>[51]С2!F18</f>
        <v>38910.02669467502</v>
      </c>
    </row>
    <row r="46" spans="1:3" ht="30">
      <c r="A46" s="22" t="s">
        <v>49</v>
      </c>
      <c r="B46" s="53" t="s">
        <v>50</v>
      </c>
      <c r="C46" s="34">
        <f>IF([51]С2!F19&gt;0,[51]С2!F19,[51]С2!F20)</f>
        <v>23441.524932855718</v>
      </c>
    </row>
    <row r="47" spans="1:3" ht="25.5">
      <c r="A47" s="22" t="s">
        <v>51</v>
      </c>
      <c r="B47" s="54" t="s">
        <v>52</v>
      </c>
      <c r="C47" s="34">
        <f>[51]С2.1!E19</f>
        <v>-38</v>
      </c>
    </row>
    <row r="48" spans="1:3" ht="25.5">
      <c r="A48" s="22" t="s">
        <v>53</v>
      </c>
      <c r="B48" s="54" t="s">
        <v>54</v>
      </c>
      <c r="C48" s="34" t="str">
        <f>[51]С2.1!E22</f>
        <v>нет</v>
      </c>
    </row>
    <row r="49" spans="1:3" ht="38.25">
      <c r="A49" s="22" t="s">
        <v>55</v>
      </c>
      <c r="B49" s="55" t="s">
        <v>56</v>
      </c>
      <c r="C49" s="34">
        <f>[51]С2.2!E10</f>
        <v>1287</v>
      </c>
    </row>
    <row r="50" spans="1:3" ht="25.5">
      <c r="A50" s="22" t="s">
        <v>57</v>
      </c>
      <c r="B50" s="56" t="s">
        <v>58</v>
      </c>
      <c r="C50" s="34">
        <f>[51]С2.2!E12</f>
        <v>5.97</v>
      </c>
    </row>
    <row r="51" spans="1:3" ht="52.5">
      <c r="A51" s="22" t="s">
        <v>59</v>
      </c>
      <c r="B51" s="57" t="s">
        <v>60</v>
      </c>
      <c r="C51" s="34">
        <f>[51]С2.2!E13</f>
        <v>1</v>
      </c>
    </row>
    <row r="52" spans="1:3" ht="27.75">
      <c r="A52" s="22" t="s">
        <v>61</v>
      </c>
      <c r="B52" s="56" t="s">
        <v>62</v>
      </c>
      <c r="C52" s="34">
        <f>[51]С2.2!E14</f>
        <v>12104</v>
      </c>
    </row>
    <row r="53" spans="1:3" ht="25.5">
      <c r="A53" s="22" t="s">
        <v>63</v>
      </c>
      <c r="B53" s="57" t="s">
        <v>64</v>
      </c>
      <c r="C53" s="35">
        <f>[51]С2.2!E15</f>
        <v>4.8000000000000001E-2</v>
      </c>
    </row>
    <row r="54" spans="1:3">
      <c r="A54" s="22" t="s">
        <v>65</v>
      </c>
      <c r="B54" s="57" t="s">
        <v>66</v>
      </c>
      <c r="C54" s="34">
        <f>[51]С2.2!E16</f>
        <v>1</v>
      </c>
    </row>
    <row r="55" spans="1:3" ht="15.75">
      <c r="A55" s="22" t="s">
        <v>67</v>
      </c>
      <c r="B55" s="58" t="s">
        <v>68</v>
      </c>
      <c r="C55" s="34">
        <f>[51]С2!F21</f>
        <v>1</v>
      </c>
    </row>
    <row r="56" spans="1:3" ht="30">
      <c r="A56" s="59" t="s">
        <v>69</v>
      </c>
      <c r="B56" s="33" t="s">
        <v>70</v>
      </c>
      <c r="C56" s="34">
        <f>[51]С2!F13</f>
        <v>203708.97017230222</v>
      </c>
    </row>
    <row r="57" spans="1:3" ht="30">
      <c r="A57" s="59" t="s">
        <v>71</v>
      </c>
      <c r="B57" s="58" t="s">
        <v>72</v>
      </c>
      <c r="C57" s="34">
        <f>[51]С2!F14</f>
        <v>113455</v>
      </c>
    </row>
    <row r="58" spans="1:3" ht="15.75">
      <c r="A58" s="59" t="s">
        <v>73</v>
      </c>
      <c r="B58" s="60" t="s">
        <v>74</v>
      </c>
      <c r="C58" s="40">
        <f>[51]С2!F15</f>
        <v>1.071</v>
      </c>
    </row>
    <row r="59" spans="1:3" ht="15.75">
      <c r="A59" s="59" t="s">
        <v>75</v>
      </c>
      <c r="B59" s="60" t="s">
        <v>76</v>
      </c>
      <c r="C59" s="40">
        <f>[51]С2!F16</f>
        <v>1</v>
      </c>
    </row>
    <row r="60" spans="1:3" ht="17.25">
      <c r="A60" s="59" t="s">
        <v>77</v>
      </c>
      <c r="B60" s="58" t="s">
        <v>78</v>
      </c>
      <c r="C60" s="34">
        <f>[51]С2!F17</f>
        <v>1.01</v>
      </c>
    </row>
    <row r="61" spans="1:3" s="63" customFormat="1" ht="14.25">
      <c r="A61" s="59" t="s">
        <v>79</v>
      </c>
      <c r="B61" s="61" t="s">
        <v>80</v>
      </c>
      <c r="C61" s="62">
        <f>[51]С2!F33</f>
        <v>10</v>
      </c>
    </row>
    <row r="62" spans="1:3" ht="30">
      <c r="A62" s="59" t="s">
        <v>81</v>
      </c>
      <c r="B62" s="64" t="s">
        <v>82</v>
      </c>
      <c r="C62" s="34">
        <f>[51]С2!F26</f>
        <v>2416.4994928434235</v>
      </c>
    </row>
    <row r="63" spans="1:3" ht="17.25">
      <c r="A63" s="59" t="s">
        <v>83</v>
      </c>
      <c r="B63" s="53" t="s">
        <v>84</v>
      </c>
      <c r="C63" s="34">
        <f>[51]С2!F27</f>
        <v>0.34662649000000001</v>
      </c>
    </row>
    <row r="64" spans="1:3" ht="17.25">
      <c r="A64" s="59" t="s">
        <v>85</v>
      </c>
      <c r="B64" s="58" t="s">
        <v>86</v>
      </c>
      <c r="C64" s="62">
        <f>[51]С2!F28</f>
        <v>4200</v>
      </c>
    </row>
    <row r="65" spans="1:3" ht="42.75">
      <c r="A65" s="59" t="s">
        <v>87</v>
      </c>
      <c r="B65" s="33" t="s">
        <v>88</v>
      </c>
      <c r="C65" s="34">
        <f>[51]С2!F22</f>
        <v>42890.921752741691</v>
      </c>
    </row>
    <row r="66" spans="1:3" ht="30">
      <c r="A66" s="59" t="s">
        <v>89</v>
      </c>
      <c r="B66" s="60" t="s">
        <v>90</v>
      </c>
      <c r="C66" s="34">
        <f>[51]С2!F23</f>
        <v>1990</v>
      </c>
    </row>
    <row r="67" spans="1:3" ht="30">
      <c r="A67" s="59" t="s">
        <v>91</v>
      </c>
      <c r="B67" s="53" t="s">
        <v>92</v>
      </c>
      <c r="C67" s="34">
        <f>[51]С2.1!E27</f>
        <v>14307.876789999998</v>
      </c>
    </row>
    <row r="68" spans="1:3" ht="38.25">
      <c r="A68" s="59" t="s">
        <v>93</v>
      </c>
      <c r="B68" s="65" t="s">
        <v>94</v>
      </c>
      <c r="C68" s="52">
        <f>[51]С2.3!E21</f>
        <v>0</v>
      </c>
    </row>
    <row r="69" spans="1:3" ht="25.5">
      <c r="A69" s="59" t="s">
        <v>95</v>
      </c>
      <c r="B69" s="66" t="s">
        <v>96</v>
      </c>
      <c r="C69" s="67">
        <f>[51]С2.3!E11</f>
        <v>9.89</v>
      </c>
    </row>
    <row r="70" spans="1:3" ht="25.5">
      <c r="A70" s="59" t="s">
        <v>97</v>
      </c>
      <c r="B70" s="66" t="s">
        <v>98</v>
      </c>
      <c r="C70" s="62">
        <f>[51]С2.3!E13</f>
        <v>300</v>
      </c>
    </row>
    <row r="71" spans="1:3" ht="25.5">
      <c r="A71" s="59" t="s">
        <v>99</v>
      </c>
      <c r="B71" s="65" t="s">
        <v>100</v>
      </c>
      <c r="C71" s="68">
        <f>IF([51]С2.3!E22&gt;0,[51]С2.3!E22,[51]С2.3!E14)</f>
        <v>61211</v>
      </c>
    </row>
    <row r="72" spans="1:3" ht="38.25">
      <c r="A72" s="59" t="s">
        <v>101</v>
      </c>
      <c r="B72" s="65" t="s">
        <v>102</v>
      </c>
      <c r="C72" s="68">
        <f>IF([51]С2.3!E23&gt;0,[51]С2.3!E23,[51]С2.3!E15)</f>
        <v>45675</v>
      </c>
    </row>
    <row r="73" spans="1:3" ht="30">
      <c r="A73" s="59" t="s">
        <v>103</v>
      </c>
      <c r="B73" s="53" t="s">
        <v>104</v>
      </c>
      <c r="C73" s="34">
        <f>[51]С2.1!E28</f>
        <v>9541.9567200000001</v>
      </c>
    </row>
    <row r="74" spans="1:3" ht="38.25">
      <c r="A74" s="59" t="s">
        <v>105</v>
      </c>
      <c r="B74" s="65" t="s">
        <v>106</v>
      </c>
      <c r="C74" s="52">
        <f>[51]С2.3!E25</f>
        <v>0</v>
      </c>
    </row>
    <row r="75" spans="1:3" ht="25.5">
      <c r="A75" s="59" t="s">
        <v>107</v>
      </c>
      <c r="B75" s="66" t="s">
        <v>108</v>
      </c>
      <c r="C75" s="67">
        <f>[51]С2.3!E12</f>
        <v>0.56000000000000005</v>
      </c>
    </row>
    <row r="76" spans="1:3" ht="25.5">
      <c r="A76" s="59" t="s">
        <v>109</v>
      </c>
      <c r="B76" s="66" t="s">
        <v>98</v>
      </c>
      <c r="C76" s="62">
        <f>[51]С2.3!E13</f>
        <v>300</v>
      </c>
    </row>
    <row r="77" spans="1:3" ht="25.5">
      <c r="A77" s="59" t="s">
        <v>110</v>
      </c>
      <c r="B77" s="69" t="s">
        <v>111</v>
      </c>
      <c r="C77" s="68">
        <f>IF([51]С2.3!E26&gt;0,[51]С2.3!E26,[51]С2.3!E16)</f>
        <v>65637</v>
      </c>
    </row>
    <row r="78" spans="1:3" ht="38.25">
      <c r="A78" s="59" t="s">
        <v>112</v>
      </c>
      <c r="B78" s="69" t="s">
        <v>113</v>
      </c>
      <c r="C78" s="68">
        <f>IF([51]С2.3!E27&gt;0,[51]С2.3!E27,[51]С2.3!E17)</f>
        <v>31684</v>
      </c>
    </row>
    <row r="79" spans="1:3" ht="17.25">
      <c r="A79" s="59" t="s">
        <v>114</v>
      </c>
      <c r="B79" s="33" t="s">
        <v>115</v>
      </c>
      <c r="C79" s="35">
        <f>[51]С2!F29</f>
        <v>0.17804631770487722</v>
      </c>
    </row>
    <row r="80" spans="1:3" ht="30">
      <c r="A80" s="59" t="s">
        <v>116</v>
      </c>
      <c r="B80" s="53" t="s">
        <v>117</v>
      </c>
      <c r="C80" s="70">
        <f>[51]С2!F30</f>
        <v>0.1652189781021898</v>
      </c>
    </row>
    <row r="81" spans="1:3" ht="17.25">
      <c r="A81" s="59" t="s">
        <v>118</v>
      </c>
      <c r="B81" s="71" t="s">
        <v>119</v>
      </c>
      <c r="C81" s="35">
        <f>[51]С2!F31</f>
        <v>0.13880000000000001</v>
      </c>
    </row>
    <row r="82" spans="1:3" s="63" customFormat="1" ht="18" thickBot="1">
      <c r="A82" s="72" t="s">
        <v>120</v>
      </c>
      <c r="B82" s="73" t="s">
        <v>121</v>
      </c>
      <c r="C82" s="74">
        <f>[51]С2!F32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[51]С3!F14</f>
        <v>14863.184658749575</v>
      </c>
    </row>
    <row r="86" spans="1:3" s="63" customFormat="1" ht="42.75">
      <c r="A86" s="77" t="s">
        <v>126</v>
      </c>
      <c r="B86" s="53" t="s">
        <v>127</v>
      </c>
      <c r="C86" s="78">
        <f>[51]С3!F15</f>
        <v>0.25</v>
      </c>
    </row>
    <row r="87" spans="1:3" s="63" customFormat="1" ht="14.25">
      <c r="A87" s="77" t="s">
        <v>128</v>
      </c>
      <c r="B87" s="79" t="s">
        <v>129</v>
      </c>
      <c r="C87" s="62">
        <f>[51]С3!F18</f>
        <v>15</v>
      </c>
    </row>
    <row r="88" spans="1:3" s="63" customFormat="1" ht="17.25">
      <c r="A88" s="77" t="s">
        <v>130</v>
      </c>
      <c r="B88" s="33" t="s">
        <v>131</v>
      </c>
      <c r="C88" s="34">
        <f>[51]С3!F19</f>
        <v>4187.478806422544</v>
      </c>
    </row>
    <row r="89" spans="1:3" s="63" customFormat="1" ht="55.5">
      <c r="A89" s="77" t="s">
        <v>132</v>
      </c>
      <c r="B89" s="53" t="s">
        <v>133</v>
      </c>
      <c r="C89" s="80">
        <f>[51]С3!F20</f>
        <v>2.1999999999999999E-2</v>
      </c>
    </row>
    <row r="90" spans="1:3" s="63" customFormat="1" ht="14.25">
      <c r="A90" s="77" t="s">
        <v>134</v>
      </c>
      <c r="B90" s="58" t="s">
        <v>80</v>
      </c>
      <c r="C90" s="62">
        <f>[51]С3!F21</f>
        <v>10</v>
      </c>
    </row>
    <row r="91" spans="1:3" s="63" customFormat="1" ht="17.25">
      <c r="A91" s="77" t="s">
        <v>135</v>
      </c>
      <c r="B91" s="33" t="s">
        <v>136</v>
      </c>
      <c r="C91" s="34">
        <f>[51]С3!F22</f>
        <v>7.2494984785302705</v>
      </c>
    </row>
    <row r="92" spans="1:3" s="63" customFormat="1" ht="55.5">
      <c r="A92" s="77" t="s">
        <v>137</v>
      </c>
      <c r="B92" s="53" t="s">
        <v>138</v>
      </c>
      <c r="C92" s="80">
        <f>[51]С3!F23</f>
        <v>3.0000000000000001E-3</v>
      </c>
    </row>
    <row r="93" spans="1:3" s="63" customFormat="1" ht="27.75" thickBot="1">
      <c r="A93" s="81" t="s">
        <v>139</v>
      </c>
      <c r="B93" s="82" t="s">
        <v>140</v>
      </c>
      <c r="C93" s="83">
        <f>[51]С3!F24</f>
        <v>2416.4994928434235</v>
      </c>
    </row>
    <row r="94" spans="1:3" ht="13.5" thickBot="1">
      <c r="A94" s="47"/>
      <c r="B94" s="75"/>
      <c r="C94" s="15"/>
    </row>
    <row r="95" spans="1:3" ht="41.25" customHeight="1">
      <c r="A95" s="84" t="s">
        <v>141</v>
      </c>
      <c r="B95" s="146" t="s">
        <v>142</v>
      </c>
      <c r="C95" s="146"/>
    </row>
    <row r="96" spans="1:3" ht="30">
      <c r="A96" s="59" t="s">
        <v>143</v>
      </c>
      <c r="B96" s="33" t="s">
        <v>144</v>
      </c>
      <c r="C96" s="34">
        <f>[51]С4!F16</f>
        <v>1652.5</v>
      </c>
    </row>
    <row r="97" spans="1:3" ht="30">
      <c r="A97" s="59" t="s">
        <v>145</v>
      </c>
      <c r="B97" s="58" t="s">
        <v>146</v>
      </c>
      <c r="C97" s="34">
        <f>[51]С4!F17</f>
        <v>73547</v>
      </c>
    </row>
    <row r="98" spans="1:3" ht="17.25">
      <c r="A98" s="59" t="s">
        <v>147</v>
      </c>
      <c r="B98" s="58" t="s">
        <v>148</v>
      </c>
      <c r="C98" s="40">
        <f>[51]С4!F18</f>
        <v>0.02</v>
      </c>
    </row>
    <row r="99" spans="1:3" ht="30">
      <c r="A99" s="59" t="s">
        <v>149</v>
      </c>
      <c r="B99" s="58" t="s">
        <v>150</v>
      </c>
      <c r="C99" s="34">
        <f>[51]С4!F19</f>
        <v>12104</v>
      </c>
    </row>
    <row r="100" spans="1:3" ht="31.5">
      <c r="A100" s="59" t="s">
        <v>151</v>
      </c>
      <c r="B100" s="58" t="s">
        <v>152</v>
      </c>
      <c r="C100" s="40">
        <f>[51]С4!F20</f>
        <v>1.4999999999999999E-2</v>
      </c>
    </row>
    <row r="101" spans="1:3" ht="30">
      <c r="A101" s="59" t="s">
        <v>153</v>
      </c>
      <c r="B101" s="33" t="s">
        <v>154</v>
      </c>
      <c r="C101" s="34">
        <f>[51]С4!F21</f>
        <v>1933.1949342509995</v>
      </c>
    </row>
    <row r="102" spans="1:3" ht="24" customHeight="1">
      <c r="A102" s="59" t="s">
        <v>155</v>
      </c>
      <c r="B102" s="53" t="s">
        <v>156</v>
      </c>
      <c r="C102" s="85">
        <f>IF([51]С4.2!F8="да",[51]С4.2!D21,[51]С4.2!D15)</f>
        <v>0</v>
      </c>
    </row>
    <row r="103" spans="1:3" ht="68.25">
      <c r="A103" s="59" t="s">
        <v>157</v>
      </c>
      <c r="B103" s="53" t="s">
        <v>158</v>
      </c>
      <c r="C103" s="34">
        <f>[51]С4!F22</f>
        <v>3.6112641666666665</v>
      </c>
    </row>
    <row r="104" spans="1:3" ht="30">
      <c r="A104" s="59" t="s">
        <v>159</v>
      </c>
      <c r="B104" s="58" t="s">
        <v>160</v>
      </c>
      <c r="C104" s="34">
        <f>[51]С4!F23</f>
        <v>180</v>
      </c>
    </row>
    <row r="105" spans="1:3" ht="14.25">
      <c r="A105" s="59" t="s">
        <v>161</v>
      </c>
      <c r="B105" s="53" t="s">
        <v>162</v>
      </c>
      <c r="C105" s="34">
        <f>[51]С4!F24</f>
        <v>8497.1999999999989</v>
      </c>
    </row>
    <row r="106" spans="1:3" ht="14.25">
      <c r="A106" s="59" t="s">
        <v>163</v>
      </c>
      <c r="B106" s="58" t="s">
        <v>164</v>
      </c>
      <c r="C106" s="40">
        <f>[51]С4!F25</f>
        <v>0.35</v>
      </c>
    </row>
    <row r="107" spans="1:3" ht="17.25">
      <c r="A107" s="59" t="s">
        <v>165</v>
      </c>
      <c r="B107" s="33" t="s">
        <v>166</v>
      </c>
      <c r="C107" s="34">
        <f>[51]С4!F26</f>
        <v>77.707770000000025</v>
      </c>
    </row>
    <row r="108" spans="1:3" ht="25.5">
      <c r="A108" s="59" t="s">
        <v>167</v>
      </c>
      <c r="B108" s="53" t="s">
        <v>94</v>
      </c>
      <c r="C108" s="85">
        <f>[51]С4.3!E16</f>
        <v>0</v>
      </c>
    </row>
    <row r="109" spans="1:3" ht="25.5">
      <c r="A109" s="59" t="s">
        <v>168</v>
      </c>
      <c r="B109" s="53" t="s">
        <v>169</v>
      </c>
      <c r="C109" s="34">
        <f>[51]С4.3!E17</f>
        <v>20.350000000000001</v>
      </c>
    </row>
    <row r="110" spans="1:3" ht="38.25">
      <c r="A110" s="59" t="s">
        <v>170</v>
      </c>
      <c r="B110" s="53" t="s">
        <v>106</v>
      </c>
      <c r="C110" s="85">
        <f>[51]С4.3!E18</f>
        <v>0</v>
      </c>
    </row>
    <row r="111" spans="1:3">
      <c r="A111" s="59" t="s">
        <v>171</v>
      </c>
      <c r="B111" s="53" t="s">
        <v>172</v>
      </c>
      <c r="C111" s="34">
        <f>[51]С4.3!E19</f>
        <v>31.08</v>
      </c>
    </row>
    <row r="112" spans="1:3">
      <c r="A112" s="59" t="s">
        <v>173</v>
      </c>
      <c r="B112" s="58" t="s">
        <v>174</v>
      </c>
      <c r="C112" s="34">
        <f>[51]С4.3!E11</f>
        <v>1871</v>
      </c>
    </row>
    <row r="113" spans="1:3">
      <c r="A113" s="59" t="s">
        <v>175</v>
      </c>
      <c r="B113" s="58" t="s">
        <v>176</v>
      </c>
      <c r="C113" s="52">
        <f>[51]С4.3!E12</f>
        <v>1636</v>
      </c>
    </row>
    <row r="114" spans="1:3">
      <c r="A114" s="59" t="s">
        <v>177</v>
      </c>
      <c r="B114" s="58" t="s">
        <v>178</v>
      </c>
      <c r="C114" s="52">
        <f>[51]С4.3!E13</f>
        <v>204</v>
      </c>
    </row>
    <row r="115" spans="1:3" ht="30">
      <c r="A115" s="59" t="s">
        <v>179</v>
      </c>
      <c r="B115" s="33" t="s">
        <v>180</v>
      </c>
      <c r="C115" s="34">
        <f>[51]С4!F27</f>
        <v>1291.2863994686898</v>
      </c>
    </row>
    <row r="116" spans="1:3" ht="25.5">
      <c r="A116" s="59" t="s">
        <v>181</v>
      </c>
      <c r="B116" s="53" t="s">
        <v>182</v>
      </c>
      <c r="C116" s="34">
        <f>[51]С4!F28</f>
        <v>991.77142816335618</v>
      </c>
    </row>
    <row r="117" spans="1:3" ht="42.75">
      <c r="A117" s="59" t="s">
        <v>183</v>
      </c>
      <c r="B117" s="53" t="s">
        <v>184</v>
      </c>
      <c r="C117" s="34">
        <f>[51]С4!F29</f>
        <v>299.51497130533357</v>
      </c>
    </row>
    <row r="118" spans="1:3" ht="30">
      <c r="A118" s="59" t="s">
        <v>185</v>
      </c>
      <c r="B118" s="39" t="s">
        <v>186</v>
      </c>
      <c r="C118" s="34">
        <f>[51]С4!F30</f>
        <v>2380.4036425117756</v>
      </c>
    </row>
    <row r="119" spans="1:3" ht="42.75">
      <c r="A119" s="59" t="s">
        <v>187</v>
      </c>
      <c r="B119" s="86" t="s">
        <v>188</v>
      </c>
      <c r="C119" s="34">
        <f>[51]С4!F33</f>
        <v>1176.7426982817792</v>
      </c>
    </row>
    <row r="120" spans="1:3" ht="30">
      <c r="A120" s="59" t="s">
        <v>189</v>
      </c>
      <c r="B120" s="87" t="s">
        <v>190</v>
      </c>
      <c r="C120" s="34">
        <f>[51]С4!F35</f>
        <v>17.040680999999999</v>
      </c>
    </row>
    <row r="121" spans="1:3" ht="14.25">
      <c r="A121" s="59" t="s">
        <v>191</v>
      </c>
      <c r="B121" s="56" t="s">
        <v>192</v>
      </c>
      <c r="C121" s="34">
        <f>[51]С4!F36</f>
        <v>14319.9</v>
      </c>
    </row>
    <row r="122" spans="1:3" ht="28.5" thickBot="1">
      <c r="A122" s="72" t="s">
        <v>193</v>
      </c>
      <c r="B122" s="88" t="s">
        <v>194</v>
      </c>
      <c r="C122" s="83">
        <f>[51]С4!F37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[51]С5!F17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[51]С2!F37</f>
        <v>20.818139999999996</v>
      </c>
    </row>
    <row r="136" spans="1:4" ht="14.25">
      <c r="A136" s="59" t="s">
        <v>216</v>
      </c>
      <c r="B136" s="101" t="s">
        <v>217</v>
      </c>
      <c r="C136" s="34">
        <f>[51]С2!F38</f>
        <v>7</v>
      </c>
    </row>
    <row r="137" spans="1:4" ht="17.25">
      <c r="A137" s="59" t="s">
        <v>218</v>
      </c>
      <c r="B137" s="101" t="s">
        <v>219</v>
      </c>
      <c r="C137" s="34">
        <f>[51]С2!F40</f>
        <v>0.97</v>
      </c>
    </row>
    <row r="138" spans="1:4" ht="15" thickBot="1">
      <c r="A138" s="72" t="s">
        <v>220</v>
      </c>
      <c r="B138" s="102" t="s">
        <v>221</v>
      </c>
      <c r="C138" s="46">
        <f>[51]С2!F42</f>
        <v>0.35</v>
      </c>
    </row>
    <row r="139" spans="1:4" s="89" customFormat="1" ht="13.5" thickBot="1">
      <c r="A139" s="47"/>
      <c r="B139" s="75"/>
      <c r="C139" s="15"/>
    </row>
    <row r="140" spans="1:4" ht="30">
      <c r="A140" s="84" t="s">
        <v>222</v>
      </c>
      <c r="B140" s="103" t="s">
        <v>223</v>
      </c>
      <c r="C140" s="104">
        <f>[51]С2!F35</f>
        <v>1.6598760876745948</v>
      </c>
      <c r="D140" s="89"/>
    </row>
    <row r="141" spans="1:4" ht="22.7" customHeight="1" thickBot="1">
      <c r="A141" s="72" t="s">
        <v>224</v>
      </c>
      <c r="B141" s="142" t="s">
        <v>225</v>
      </c>
      <c r="C141" s="142"/>
      <c r="D141" s="89"/>
    </row>
    <row r="142" spans="1:4" ht="13.5" thickBot="1">
      <c r="A142" s="105"/>
      <c r="B142" s="106" t="s">
        <v>226</v>
      </c>
      <c r="C142" s="107"/>
      <c r="D142" s="89"/>
    </row>
    <row r="143" spans="1:4">
      <c r="A143" s="105"/>
      <c r="B143" s="108">
        <v>2020</v>
      </c>
      <c r="C143" s="109">
        <f>[51]С2.5!$E$11</f>
        <v>-2.9000000000000026E-2</v>
      </c>
      <c r="D143" s="89"/>
    </row>
    <row r="144" spans="1:4">
      <c r="A144" s="105"/>
      <c r="B144" s="110">
        <f>B143+1</f>
        <v>2021</v>
      </c>
      <c r="C144" s="111">
        <f>[51]С2.5!$F$11</f>
        <v>0.245</v>
      </c>
      <c r="D144" s="89"/>
    </row>
    <row r="145" spans="1:4">
      <c r="A145" s="105"/>
      <c r="B145" s="110">
        <f t="shared" ref="B145:B208" si="0">B144+1</f>
        <v>2022</v>
      </c>
      <c r="C145" s="111">
        <f>[51]С2.5!$G$11</f>
        <v>0.114</v>
      </c>
      <c r="D145" s="89"/>
    </row>
    <row r="146" spans="1:4" ht="13.5" thickBot="1">
      <c r="A146" s="105"/>
      <c r="B146" s="112">
        <f t="shared" si="0"/>
        <v>2023</v>
      </c>
      <c r="C146" s="113">
        <f>[51]С2.5!$H$11</f>
        <v>0.04</v>
      </c>
      <c r="D146" s="89"/>
    </row>
    <row r="147" spans="1:4">
      <c r="A147" s="105"/>
      <c r="B147" s="114">
        <f t="shared" si="0"/>
        <v>2024</v>
      </c>
      <c r="C147" s="115">
        <f>[51]С2.5!$I$11</f>
        <v>0.11700000000000001</v>
      </c>
      <c r="D147" s="89"/>
    </row>
    <row r="148" spans="1:4">
      <c r="A148" s="105"/>
      <c r="B148" s="110">
        <f t="shared" si="0"/>
        <v>2025</v>
      </c>
      <c r="C148" s="111">
        <f>[51]С2.5!$J$11</f>
        <v>6.0999999999999999E-2</v>
      </c>
      <c r="D148" s="89"/>
    </row>
    <row r="149" spans="1:4" hidden="1">
      <c r="A149" s="105"/>
      <c r="B149" s="110">
        <f t="shared" si="0"/>
        <v>2026</v>
      </c>
      <c r="C149" s="111">
        <f>[51]С2.5!$K$11</f>
        <v>3.5813361771260002E-2</v>
      </c>
      <c r="D149" s="89"/>
    </row>
    <row r="150" spans="1:4" hidden="1">
      <c r="A150" s="105"/>
      <c r="B150" s="110">
        <f t="shared" si="0"/>
        <v>2027</v>
      </c>
      <c r="C150" s="111">
        <f>[51]С2.5!$L$11</f>
        <v>3.2682303599220003E-2</v>
      </c>
      <c r="D150" s="89"/>
    </row>
    <row r="151" spans="1:4" hidden="1">
      <c r="A151" s="105"/>
      <c r="B151" s="110">
        <f t="shared" si="0"/>
        <v>2028</v>
      </c>
      <c r="C151" s="111">
        <f>[51]С2.5!$M$11</f>
        <v>0</v>
      </c>
      <c r="D151" s="89"/>
    </row>
    <row r="152" spans="1:4" hidden="1">
      <c r="A152" s="105"/>
      <c r="B152" s="110">
        <f t="shared" si="0"/>
        <v>2029</v>
      </c>
      <c r="C152" s="111">
        <f>[51]С2.5!$N$11</f>
        <v>0</v>
      </c>
      <c r="D152" s="89"/>
    </row>
    <row r="153" spans="1:4" hidden="1">
      <c r="A153" s="105"/>
      <c r="B153" s="110">
        <f t="shared" si="0"/>
        <v>2030</v>
      </c>
      <c r="C153" s="111">
        <f>[51]С2.5!$O$11</f>
        <v>0</v>
      </c>
      <c r="D153" s="89"/>
    </row>
    <row r="154" spans="1:4" hidden="1">
      <c r="A154" s="105"/>
      <c r="B154" s="110">
        <f t="shared" si="0"/>
        <v>2031</v>
      </c>
      <c r="C154" s="111">
        <f>[51]С2.5!$P$11</f>
        <v>0</v>
      </c>
      <c r="D154" s="89"/>
    </row>
    <row r="155" spans="1:4" hidden="1">
      <c r="A155" s="89"/>
      <c r="B155" s="110">
        <f t="shared" si="0"/>
        <v>2032</v>
      </c>
      <c r="C155" s="111">
        <f>[51]С2.5!$Q$11</f>
        <v>0</v>
      </c>
      <c r="D155" s="89"/>
    </row>
    <row r="156" spans="1:4" hidden="1">
      <c r="A156" s="89"/>
      <c r="B156" s="110">
        <f t="shared" si="0"/>
        <v>2033</v>
      </c>
      <c r="C156" s="111">
        <f>[51]С2.5!$R$11</f>
        <v>0</v>
      </c>
      <c r="D156" s="89"/>
    </row>
    <row r="157" spans="1:4" hidden="1">
      <c r="B157" s="110">
        <f t="shared" si="0"/>
        <v>2034</v>
      </c>
      <c r="C157" s="111">
        <f>[51]С2.5!$S$11</f>
        <v>0</v>
      </c>
    </row>
    <row r="158" spans="1:4" hidden="1">
      <c r="B158" s="110">
        <f t="shared" si="0"/>
        <v>2035</v>
      </c>
      <c r="C158" s="111">
        <f>[51]С2.5!$T$11</f>
        <v>0</v>
      </c>
    </row>
    <row r="159" spans="1:4" hidden="1">
      <c r="B159" s="110">
        <f t="shared" si="0"/>
        <v>2036</v>
      </c>
      <c r="C159" s="111">
        <f>[51]С2.5!$U$11</f>
        <v>0</v>
      </c>
    </row>
    <row r="160" spans="1:4" hidden="1">
      <c r="B160" s="110">
        <f t="shared" si="0"/>
        <v>2037</v>
      </c>
      <c r="C160" s="111">
        <f>[51]С2.5!$V$11</f>
        <v>0</v>
      </c>
    </row>
    <row r="161" spans="2:3" hidden="1">
      <c r="B161" s="110">
        <f t="shared" si="0"/>
        <v>2038</v>
      </c>
      <c r="C161" s="111">
        <f>[51]С2.5!$W$11</f>
        <v>0</v>
      </c>
    </row>
    <row r="162" spans="2:3" hidden="1">
      <c r="B162" s="110">
        <f t="shared" si="0"/>
        <v>2039</v>
      </c>
      <c r="C162" s="111">
        <f>[51]С2.5!$X$11</f>
        <v>0</v>
      </c>
    </row>
    <row r="163" spans="2:3" hidden="1">
      <c r="B163" s="110">
        <f t="shared" si="0"/>
        <v>2040</v>
      </c>
      <c r="C163" s="111">
        <f>[51]С2.5!$Y$11</f>
        <v>0</v>
      </c>
    </row>
    <row r="164" spans="2:3" hidden="1">
      <c r="B164" s="110">
        <f t="shared" si="0"/>
        <v>2041</v>
      </c>
      <c r="C164" s="111">
        <f>[51]С2.5!$Z$11</f>
        <v>0</v>
      </c>
    </row>
    <row r="165" spans="2:3" hidden="1">
      <c r="B165" s="110">
        <f t="shared" si="0"/>
        <v>2042</v>
      </c>
      <c r="C165" s="111">
        <f>[51]С2.5!$AA$11</f>
        <v>0</v>
      </c>
    </row>
    <row r="166" spans="2:3" hidden="1">
      <c r="B166" s="110">
        <f t="shared" si="0"/>
        <v>2043</v>
      </c>
      <c r="C166" s="111">
        <f>[51]С2.5!$AB$11</f>
        <v>0</v>
      </c>
    </row>
    <row r="167" spans="2:3" hidden="1">
      <c r="B167" s="110">
        <f t="shared" si="0"/>
        <v>2044</v>
      </c>
      <c r="C167" s="111">
        <f>[51]С2.5!$AC$11</f>
        <v>0</v>
      </c>
    </row>
    <row r="168" spans="2:3" hidden="1">
      <c r="B168" s="110">
        <f t="shared" si="0"/>
        <v>2045</v>
      </c>
      <c r="C168" s="111">
        <f>[51]С2.5!$AD$11</f>
        <v>0</v>
      </c>
    </row>
    <row r="169" spans="2:3" hidden="1">
      <c r="B169" s="110">
        <f t="shared" si="0"/>
        <v>2046</v>
      </c>
      <c r="C169" s="111">
        <f>[51]С2.5!$AE$11</f>
        <v>0</v>
      </c>
    </row>
    <row r="170" spans="2:3" hidden="1">
      <c r="B170" s="110">
        <f t="shared" si="0"/>
        <v>2047</v>
      </c>
      <c r="C170" s="111">
        <f>[51]С2.5!$AF$11</f>
        <v>0</v>
      </c>
    </row>
    <row r="171" spans="2:3" hidden="1">
      <c r="B171" s="110">
        <f t="shared" si="0"/>
        <v>2048</v>
      </c>
      <c r="C171" s="111">
        <f>[51]С2.5!$AG$11</f>
        <v>0</v>
      </c>
    </row>
    <row r="172" spans="2:3" hidden="1">
      <c r="B172" s="110">
        <f t="shared" si="0"/>
        <v>2049</v>
      </c>
      <c r="C172" s="111">
        <f>[51]С2.5!$AH$11</f>
        <v>0</v>
      </c>
    </row>
    <row r="173" spans="2:3" hidden="1">
      <c r="B173" s="110">
        <f t="shared" si="0"/>
        <v>2050</v>
      </c>
      <c r="C173" s="111">
        <f>[51]С2.5!$AI$11</f>
        <v>0</v>
      </c>
    </row>
    <row r="174" spans="2:3" hidden="1">
      <c r="B174" s="110">
        <f t="shared" si="0"/>
        <v>2051</v>
      </c>
      <c r="C174" s="111">
        <f>[51]С2.5!$AJ$11</f>
        <v>0</v>
      </c>
    </row>
    <row r="175" spans="2:3" hidden="1">
      <c r="B175" s="110">
        <f t="shared" si="0"/>
        <v>2052</v>
      </c>
      <c r="C175" s="111">
        <f>[51]С2.5!$AK$11</f>
        <v>0</v>
      </c>
    </row>
    <row r="176" spans="2:3" hidden="1">
      <c r="B176" s="110">
        <f t="shared" si="0"/>
        <v>2053</v>
      </c>
      <c r="C176" s="111">
        <f>[51]С2.5!$AL$11</f>
        <v>0</v>
      </c>
    </row>
    <row r="177" spans="2:3" hidden="1">
      <c r="B177" s="110">
        <f t="shared" si="0"/>
        <v>2054</v>
      </c>
      <c r="C177" s="111">
        <f>[51]С2.5!$AM$11</f>
        <v>0</v>
      </c>
    </row>
    <row r="178" spans="2:3" hidden="1">
      <c r="B178" s="110">
        <f t="shared" si="0"/>
        <v>2055</v>
      </c>
      <c r="C178" s="111">
        <f>[51]С2.5!$AN$11</f>
        <v>0</v>
      </c>
    </row>
    <row r="179" spans="2:3" hidden="1">
      <c r="B179" s="110">
        <f t="shared" si="0"/>
        <v>2056</v>
      </c>
      <c r="C179" s="111">
        <f>[51]С2.5!$AO$11</f>
        <v>0</v>
      </c>
    </row>
    <row r="180" spans="2:3" hidden="1">
      <c r="B180" s="110">
        <f t="shared" si="0"/>
        <v>2057</v>
      </c>
      <c r="C180" s="111">
        <f>[51]С2.5!$AP$11</f>
        <v>0</v>
      </c>
    </row>
    <row r="181" spans="2:3" hidden="1">
      <c r="B181" s="110">
        <f t="shared" si="0"/>
        <v>2058</v>
      </c>
      <c r="C181" s="111">
        <f>[51]С2.5!$AQ$11</f>
        <v>0</v>
      </c>
    </row>
    <row r="182" spans="2:3" hidden="1">
      <c r="B182" s="110">
        <f t="shared" si="0"/>
        <v>2059</v>
      </c>
      <c r="C182" s="111">
        <f>[51]С2.5!$AR$11</f>
        <v>0</v>
      </c>
    </row>
    <row r="183" spans="2:3" hidden="1">
      <c r="B183" s="110">
        <f t="shared" si="0"/>
        <v>2060</v>
      </c>
      <c r="C183" s="111">
        <f>[51]С2.5!$AS$11</f>
        <v>0</v>
      </c>
    </row>
    <row r="184" spans="2:3" hidden="1">
      <c r="B184" s="110">
        <f t="shared" si="0"/>
        <v>2061</v>
      </c>
      <c r="C184" s="111">
        <f>[51]С2.5!$AT$11</f>
        <v>0</v>
      </c>
    </row>
    <row r="185" spans="2:3" hidden="1">
      <c r="B185" s="110">
        <f t="shared" si="0"/>
        <v>2062</v>
      </c>
      <c r="C185" s="111">
        <f>[51]С2.5!$AU$11</f>
        <v>0</v>
      </c>
    </row>
    <row r="186" spans="2:3" hidden="1">
      <c r="B186" s="110">
        <f t="shared" si="0"/>
        <v>2063</v>
      </c>
      <c r="C186" s="111">
        <f>[51]С2.5!$AV$11</f>
        <v>0</v>
      </c>
    </row>
    <row r="187" spans="2:3" hidden="1">
      <c r="B187" s="110">
        <f t="shared" si="0"/>
        <v>2064</v>
      </c>
      <c r="C187" s="111">
        <f>[51]С2.5!$AW$11</f>
        <v>0</v>
      </c>
    </row>
    <row r="188" spans="2:3" hidden="1">
      <c r="B188" s="110">
        <f t="shared" si="0"/>
        <v>2065</v>
      </c>
      <c r="C188" s="111">
        <f>[51]С2.5!$AX$11</f>
        <v>0</v>
      </c>
    </row>
    <row r="189" spans="2:3" hidden="1">
      <c r="B189" s="110">
        <f t="shared" si="0"/>
        <v>2066</v>
      </c>
      <c r="C189" s="111">
        <f>[51]С2.5!$AY$11</f>
        <v>0</v>
      </c>
    </row>
    <row r="190" spans="2:3" hidden="1">
      <c r="B190" s="110">
        <f t="shared" si="0"/>
        <v>2067</v>
      </c>
      <c r="C190" s="111">
        <f>[51]С2.5!$AZ$11</f>
        <v>0</v>
      </c>
    </row>
    <row r="191" spans="2:3" hidden="1">
      <c r="B191" s="110">
        <f t="shared" si="0"/>
        <v>2068</v>
      </c>
      <c r="C191" s="111">
        <f>[51]С2.5!$BA$11</f>
        <v>0</v>
      </c>
    </row>
    <row r="192" spans="2:3" hidden="1">
      <c r="B192" s="110">
        <f t="shared" si="0"/>
        <v>2069</v>
      </c>
      <c r="C192" s="111">
        <f>[51]С2.5!$BB$11</f>
        <v>0</v>
      </c>
    </row>
    <row r="193" spans="2:3" hidden="1">
      <c r="B193" s="110">
        <f t="shared" si="0"/>
        <v>2070</v>
      </c>
      <c r="C193" s="111">
        <f>[51]С2.5!$BC$11</f>
        <v>0</v>
      </c>
    </row>
    <row r="194" spans="2:3" hidden="1">
      <c r="B194" s="110">
        <f t="shared" si="0"/>
        <v>2071</v>
      </c>
      <c r="C194" s="111">
        <f>[51]С2.5!$BD$11</f>
        <v>0</v>
      </c>
    </row>
    <row r="195" spans="2:3" hidden="1">
      <c r="B195" s="110">
        <f t="shared" si="0"/>
        <v>2072</v>
      </c>
      <c r="C195" s="111">
        <f>[51]С2.5!$BE$11</f>
        <v>0</v>
      </c>
    </row>
    <row r="196" spans="2:3" hidden="1">
      <c r="B196" s="110">
        <f t="shared" si="0"/>
        <v>2073</v>
      </c>
      <c r="C196" s="111">
        <f>[51]С2.5!$BF$11</f>
        <v>0</v>
      </c>
    </row>
    <row r="197" spans="2:3" hidden="1">
      <c r="B197" s="110">
        <f t="shared" si="0"/>
        <v>2074</v>
      </c>
      <c r="C197" s="111">
        <f>[51]С2.5!$BG$11</f>
        <v>0</v>
      </c>
    </row>
    <row r="198" spans="2:3" hidden="1">
      <c r="B198" s="110">
        <f t="shared" si="0"/>
        <v>2075</v>
      </c>
      <c r="C198" s="111">
        <f>[51]С2.5!$BH$11</f>
        <v>0</v>
      </c>
    </row>
    <row r="199" spans="2:3" hidden="1">
      <c r="B199" s="110">
        <f t="shared" si="0"/>
        <v>2076</v>
      </c>
      <c r="C199" s="111">
        <f>[51]С2.5!$BI$11</f>
        <v>0</v>
      </c>
    </row>
    <row r="200" spans="2:3" hidden="1">
      <c r="B200" s="110">
        <f t="shared" si="0"/>
        <v>2077</v>
      </c>
      <c r="C200" s="111">
        <f>[51]С2.5!$BJ$11</f>
        <v>0</v>
      </c>
    </row>
    <row r="201" spans="2:3" hidden="1">
      <c r="B201" s="110">
        <f t="shared" si="0"/>
        <v>2078</v>
      </c>
      <c r="C201" s="111">
        <f>[51]С2.5!$BK$11</f>
        <v>0</v>
      </c>
    </row>
    <row r="202" spans="2:3" hidden="1">
      <c r="B202" s="110">
        <f t="shared" si="0"/>
        <v>2079</v>
      </c>
      <c r="C202" s="111">
        <f>[51]С2.5!$BL$11</f>
        <v>0</v>
      </c>
    </row>
    <row r="203" spans="2:3" hidden="1">
      <c r="B203" s="110">
        <f t="shared" si="0"/>
        <v>2080</v>
      </c>
      <c r="C203" s="111">
        <f>[51]С2.5!$BM$11</f>
        <v>0</v>
      </c>
    </row>
    <row r="204" spans="2:3" hidden="1">
      <c r="B204" s="110">
        <f t="shared" si="0"/>
        <v>2081</v>
      </c>
      <c r="C204" s="111">
        <f>[51]С2.5!$BN$11</f>
        <v>0</v>
      </c>
    </row>
    <row r="205" spans="2:3" hidden="1">
      <c r="B205" s="110">
        <f t="shared" si="0"/>
        <v>2082</v>
      </c>
      <c r="C205" s="111">
        <f>[51]С2.5!$BO$11</f>
        <v>0</v>
      </c>
    </row>
    <row r="206" spans="2:3" hidden="1">
      <c r="B206" s="110">
        <f t="shared" si="0"/>
        <v>2083</v>
      </c>
      <c r="C206" s="111">
        <f>[51]С2.5!$BP$11</f>
        <v>0</v>
      </c>
    </row>
    <row r="207" spans="2:3" hidden="1">
      <c r="B207" s="110">
        <f t="shared" si="0"/>
        <v>2084</v>
      </c>
      <c r="C207" s="111">
        <f>[51]С2.5!$BQ$11</f>
        <v>0</v>
      </c>
    </row>
    <row r="208" spans="2:3" hidden="1">
      <c r="B208" s="110">
        <f t="shared" si="0"/>
        <v>2085</v>
      </c>
      <c r="C208" s="111">
        <f>[51]С2.5!$BR$11</f>
        <v>0</v>
      </c>
    </row>
    <row r="209" spans="2:3" hidden="1">
      <c r="B209" s="110">
        <f t="shared" ref="B209:B223" si="1">B208+1</f>
        <v>2086</v>
      </c>
      <c r="C209" s="111">
        <f>[51]С2.5!$BS$11</f>
        <v>0</v>
      </c>
    </row>
    <row r="210" spans="2:3" hidden="1">
      <c r="B210" s="110">
        <f t="shared" si="1"/>
        <v>2087</v>
      </c>
      <c r="C210" s="111">
        <f>[51]С2.5!$BT$11</f>
        <v>0</v>
      </c>
    </row>
    <row r="211" spans="2:3" hidden="1">
      <c r="B211" s="110">
        <f t="shared" si="1"/>
        <v>2088</v>
      </c>
      <c r="C211" s="111">
        <f>[51]С2.5!$BU$11</f>
        <v>0</v>
      </c>
    </row>
    <row r="212" spans="2:3" hidden="1">
      <c r="B212" s="110">
        <f t="shared" si="1"/>
        <v>2089</v>
      </c>
      <c r="C212" s="111">
        <f>[51]С2.5!$BV$11</f>
        <v>0</v>
      </c>
    </row>
    <row r="213" spans="2:3" hidden="1">
      <c r="B213" s="110">
        <f t="shared" si="1"/>
        <v>2090</v>
      </c>
      <c r="C213" s="111">
        <f>[51]С2.5!$BW$11</f>
        <v>0</v>
      </c>
    </row>
    <row r="214" spans="2:3" hidden="1">
      <c r="B214" s="110">
        <f t="shared" si="1"/>
        <v>2091</v>
      </c>
      <c r="C214" s="111">
        <f>[51]С2.5!$BX$11</f>
        <v>0</v>
      </c>
    </row>
    <row r="215" spans="2:3" hidden="1">
      <c r="B215" s="110">
        <f t="shared" si="1"/>
        <v>2092</v>
      </c>
      <c r="C215" s="111">
        <f>[51]С2.5!$BY$11</f>
        <v>0</v>
      </c>
    </row>
    <row r="216" spans="2:3" hidden="1">
      <c r="B216" s="110">
        <f t="shared" si="1"/>
        <v>2093</v>
      </c>
      <c r="C216" s="111">
        <f>[51]С2.5!$BZ$11</f>
        <v>0</v>
      </c>
    </row>
    <row r="217" spans="2:3" hidden="1">
      <c r="B217" s="110">
        <f t="shared" si="1"/>
        <v>2094</v>
      </c>
      <c r="C217" s="111">
        <f>[51]С2.5!$CA$11</f>
        <v>0</v>
      </c>
    </row>
    <row r="218" spans="2:3" hidden="1">
      <c r="B218" s="110">
        <f t="shared" si="1"/>
        <v>2095</v>
      </c>
      <c r="C218" s="111">
        <f>[51]С2.5!$CB$11</f>
        <v>0</v>
      </c>
    </row>
    <row r="219" spans="2:3" hidden="1">
      <c r="B219" s="110">
        <f t="shared" si="1"/>
        <v>2096</v>
      </c>
      <c r="C219" s="111">
        <f>[51]С2.5!$CC$11</f>
        <v>0</v>
      </c>
    </row>
    <row r="220" spans="2:3" hidden="1">
      <c r="B220" s="110">
        <f t="shared" si="1"/>
        <v>2097</v>
      </c>
      <c r="C220" s="111">
        <f>[51]С2.5!$CD$11</f>
        <v>0</v>
      </c>
    </row>
    <row r="221" spans="2:3" hidden="1">
      <c r="B221" s="110">
        <f t="shared" si="1"/>
        <v>2098</v>
      </c>
      <c r="C221" s="111">
        <f>[51]С2.5!$CE$11</f>
        <v>0</v>
      </c>
    </row>
    <row r="222" spans="2:3" hidden="1">
      <c r="B222" s="110">
        <f t="shared" si="1"/>
        <v>2099</v>
      </c>
      <c r="C222" s="111">
        <f>[51]С2.5!$CF$11</f>
        <v>0</v>
      </c>
    </row>
    <row r="223" spans="2:3" ht="13.5" hidden="1" thickBot="1">
      <c r="B223" s="112">
        <f t="shared" si="1"/>
        <v>2100</v>
      </c>
      <c r="C223" s="113">
        <f>[51]С2.5!$CG$11</f>
        <v>0</v>
      </c>
    </row>
    <row r="224" spans="2:3" hidden="1">
      <c r="C224" s="116"/>
    </row>
    <row r="225" spans="3:3" hidden="1">
      <c r="C225" s="116"/>
    </row>
    <row r="226" spans="3:3">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4" r:id="rId3" name="Button 2">
              <controlPr defaultSize="0" print="0" autoFill="0" autoPict="0" macro="[4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3555" r:id="rId4" name="Button 3">
              <controlPr defaultSize="0" print="0" autoFill="0" autoPict="0" macro="[5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г. Тогучин</vt:lpstr>
      <vt:lpstr>р.п. Горный газ </vt:lpstr>
      <vt:lpstr>р.п. Горный уголь</vt:lpstr>
      <vt:lpstr>Борцовский</vt:lpstr>
      <vt:lpstr>Буготакский</vt:lpstr>
      <vt:lpstr>Вассинский</vt:lpstr>
      <vt:lpstr>Гутовский</vt:lpstr>
      <vt:lpstr>Завьяловский</vt:lpstr>
      <vt:lpstr>Заречный </vt:lpstr>
      <vt:lpstr>Киикский</vt:lpstr>
      <vt:lpstr>Кировский</vt:lpstr>
      <vt:lpstr>Коуракский</vt:lpstr>
      <vt:lpstr>Кудельно-Ключевской</vt:lpstr>
      <vt:lpstr>Кудринский</vt:lpstr>
      <vt:lpstr>Лебедевский</vt:lpstr>
      <vt:lpstr>Мирновский</vt:lpstr>
      <vt:lpstr>Нечаевский</vt:lpstr>
      <vt:lpstr>Репьевский</vt:lpstr>
      <vt:lpstr>Степногутовский</vt:lpstr>
      <vt:lpstr>Сурковский</vt:lpstr>
      <vt:lpstr>Усть-Каменский</vt:lpstr>
      <vt:lpstr>Чемской</vt:lpstr>
      <vt:lpstr>Шахтинский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2023-01-18T05:20:50Z</dcterms:created>
  <dcterms:modified xsi:type="dcterms:W3CDTF">2025-01-28T02:57:28Z</dcterms:modified>
</cp:coreProperties>
</file>