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27795" windowHeight="10815"/>
  </bookViews>
  <sheets>
    <sheet name="Борисоглебский" sheetId="32" r:id="rId1"/>
    <sheet name="Владимировский " sheetId="33" r:id="rId2"/>
    <sheet name="Гандичевский" sheetId="34" r:id="rId3"/>
    <sheet name="Ермолаевский " sheetId="35" r:id="rId4"/>
    <sheet name="Кожурлинский" sheetId="36" r:id="rId5"/>
    <sheet name="Колмаковский " sheetId="37" r:id="rId6"/>
    <sheet name="Крещенский" sheetId="38" r:id="rId7"/>
    <sheet name="Круглоозерный" sheetId="39" r:id="rId8"/>
    <sheet name="Кундранский " sheetId="40" r:id="rId9"/>
    <sheet name="Невский" sheetId="41" r:id="rId10"/>
    <sheet name="Новодубровский" sheetId="42" r:id="rId11"/>
    <sheet name="Орловский" sheetId="43" r:id="rId12"/>
    <sheet name="Пешковский" sheetId="44" r:id="rId13"/>
    <sheet name="Раисинский" sheetId="45" r:id="rId14"/>
    <sheet name="Убинский (газ)" sheetId="46" r:id="rId15"/>
    <sheet name="Черномысинский" sheetId="47" r:id="rId16"/>
    <sheet name="Убинский (уголь)" sheetId="48"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48" l="1"/>
  <c r="C222" i="48"/>
  <c r="C221" i="48"/>
  <c r="C220" i="48"/>
  <c r="C219" i="48"/>
  <c r="C218" i="48"/>
  <c r="C217" i="48"/>
  <c r="C216" i="48"/>
  <c r="C215" i="48"/>
  <c r="C214" i="48"/>
  <c r="C213" i="48"/>
  <c r="C212" i="48"/>
  <c r="C211" i="48"/>
  <c r="C210" i="48"/>
  <c r="C209" i="48"/>
  <c r="C208" i="48"/>
  <c r="C207" i="48"/>
  <c r="C206" i="48"/>
  <c r="C205" i="48"/>
  <c r="C204" i="48"/>
  <c r="C203" i="48"/>
  <c r="C202" i="48"/>
  <c r="C201" i="48"/>
  <c r="C200" i="48"/>
  <c r="C199" i="48"/>
  <c r="C198" i="48"/>
  <c r="C197" i="48"/>
  <c r="C196" i="48"/>
  <c r="C195" i="48"/>
  <c r="C194" i="48"/>
  <c r="C193" i="48"/>
  <c r="C192" i="48"/>
  <c r="C191" i="48"/>
  <c r="C190" i="48"/>
  <c r="C189" i="48"/>
  <c r="C188" i="48"/>
  <c r="C187" i="48"/>
  <c r="C186" i="48"/>
  <c r="C185" i="48"/>
  <c r="C184" i="48"/>
  <c r="C183" i="48"/>
  <c r="C182" i="48"/>
  <c r="C181" i="48"/>
  <c r="C180" i="48"/>
  <c r="C179" i="48"/>
  <c r="C178" i="48"/>
  <c r="C177" i="48"/>
  <c r="C176" i="48"/>
  <c r="C175" i="48"/>
  <c r="C174" i="48"/>
  <c r="C173" i="48"/>
  <c r="C172" i="48"/>
  <c r="C171" i="48"/>
  <c r="C170" i="48"/>
  <c r="C169" i="48"/>
  <c r="C168" i="48"/>
  <c r="C167" i="48"/>
  <c r="C166" i="48"/>
  <c r="C165" i="48"/>
  <c r="C164" i="48"/>
  <c r="C163" i="48"/>
  <c r="C162" i="48"/>
  <c r="C161" i="48"/>
  <c r="C160" i="48"/>
  <c r="C159" i="48"/>
  <c r="C158" i="48"/>
  <c r="C157" i="48"/>
  <c r="C156" i="48"/>
  <c r="C155" i="48"/>
  <c r="C154" i="48"/>
  <c r="C153" i="48"/>
  <c r="C152" i="48"/>
  <c r="C151" i="48"/>
  <c r="C150" i="48"/>
  <c r="C149" i="48"/>
  <c r="C148" i="48"/>
  <c r="C147" i="48"/>
  <c r="C146" i="48"/>
  <c r="C145" i="48"/>
  <c r="C144" i="48"/>
  <c r="B144" i="48"/>
  <c r="B145" i="48" s="1"/>
  <c r="B146" i="48" s="1"/>
  <c r="B147" i="48" s="1"/>
  <c r="B148" i="48" s="1"/>
  <c r="B149" i="48" s="1"/>
  <c r="B150" i="48" s="1"/>
  <c r="B151" i="48" s="1"/>
  <c r="B152" i="48" s="1"/>
  <c r="B153" i="48" s="1"/>
  <c r="B154" i="48" s="1"/>
  <c r="B155" i="48" s="1"/>
  <c r="B156" i="48" s="1"/>
  <c r="B157" i="48" s="1"/>
  <c r="B158" i="48" s="1"/>
  <c r="B159" i="48" s="1"/>
  <c r="B160" i="48" s="1"/>
  <c r="B161" i="48" s="1"/>
  <c r="B162" i="48" s="1"/>
  <c r="B163" i="48" s="1"/>
  <c r="B164" i="48" s="1"/>
  <c r="B165" i="48" s="1"/>
  <c r="B166" i="48" s="1"/>
  <c r="B167" i="48" s="1"/>
  <c r="B168" i="48" s="1"/>
  <c r="B169" i="48" s="1"/>
  <c r="B170" i="48" s="1"/>
  <c r="B171" i="48" s="1"/>
  <c r="B172" i="48" s="1"/>
  <c r="B173" i="48" s="1"/>
  <c r="B174" i="48" s="1"/>
  <c r="B175" i="48" s="1"/>
  <c r="B176" i="48" s="1"/>
  <c r="B177" i="48" s="1"/>
  <c r="B178" i="48" s="1"/>
  <c r="B179" i="48" s="1"/>
  <c r="B180" i="48" s="1"/>
  <c r="B181" i="48" s="1"/>
  <c r="B182" i="48" s="1"/>
  <c r="B183" i="48" s="1"/>
  <c r="B184" i="48" s="1"/>
  <c r="B185" i="48" s="1"/>
  <c r="B186" i="48" s="1"/>
  <c r="B187" i="48" s="1"/>
  <c r="B188" i="48" s="1"/>
  <c r="B189" i="48" s="1"/>
  <c r="B190" i="48" s="1"/>
  <c r="B191" i="48" s="1"/>
  <c r="B192" i="48" s="1"/>
  <c r="B193" i="48" s="1"/>
  <c r="B194" i="48" s="1"/>
  <c r="B195" i="48" s="1"/>
  <c r="B196" i="48" s="1"/>
  <c r="B197" i="48" s="1"/>
  <c r="B198" i="48" s="1"/>
  <c r="B199" i="48" s="1"/>
  <c r="B200" i="48" s="1"/>
  <c r="B201" i="48" s="1"/>
  <c r="B202" i="48" s="1"/>
  <c r="B203" i="48" s="1"/>
  <c r="B204" i="48" s="1"/>
  <c r="B205" i="48" s="1"/>
  <c r="B206" i="48" s="1"/>
  <c r="B207" i="48" s="1"/>
  <c r="B208" i="48" s="1"/>
  <c r="B209" i="48" s="1"/>
  <c r="B210" i="48" s="1"/>
  <c r="B211" i="48" s="1"/>
  <c r="B212" i="48" s="1"/>
  <c r="B213" i="48" s="1"/>
  <c r="B214" i="48" s="1"/>
  <c r="B215" i="48" s="1"/>
  <c r="B216" i="48" s="1"/>
  <c r="B217" i="48" s="1"/>
  <c r="B218" i="48" s="1"/>
  <c r="B219" i="48" s="1"/>
  <c r="B220" i="48" s="1"/>
  <c r="B221" i="48" s="1"/>
  <c r="B222" i="48" s="1"/>
  <c r="B223" i="48" s="1"/>
  <c r="C143" i="48"/>
  <c r="C140" i="48"/>
  <c r="C138" i="48"/>
  <c r="C137" i="48"/>
  <c r="C136" i="48"/>
  <c r="C135" i="48"/>
  <c r="C125" i="48"/>
  <c r="C122" i="48"/>
  <c r="C121" i="48"/>
  <c r="C120" i="48"/>
  <c r="C119" i="48"/>
  <c r="C118" i="48"/>
  <c r="C117" i="48"/>
  <c r="C116" i="48"/>
  <c r="C115" i="48"/>
  <c r="C114" i="48"/>
  <c r="C113" i="48"/>
  <c r="C112" i="48"/>
  <c r="C111" i="48"/>
  <c r="C110" i="48"/>
  <c r="C109" i="48"/>
  <c r="C108" i="48"/>
  <c r="C107" i="48"/>
  <c r="C106" i="48"/>
  <c r="C105" i="48"/>
  <c r="C104" i="48"/>
  <c r="C103" i="48"/>
  <c r="C102" i="48"/>
  <c r="C101" i="48"/>
  <c r="C100" i="48"/>
  <c r="C99" i="48"/>
  <c r="C98" i="48"/>
  <c r="C97" i="48"/>
  <c r="C96" i="48"/>
  <c r="C93" i="48"/>
  <c r="C92" i="48"/>
  <c r="C91" i="48"/>
  <c r="C90" i="48"/>
  <c r="C89" i="48"/>
  <c r="C88" i="48"/>
  <c r="C87" i="48"/>
  <c r="C86" i="48"/>
  <c r="C85" i="48"/>
  <c r="C82" i="48"/>
  <c r="C81" i="48"/>
  <c r="C80" i="48"/>
  <c r="C79" i="48"/>
  <c r="C78" i="48"/>
  <c r="C77" i="48"/>
  <c r="C76" i="48"/>
  <c r="C75" i="48"/>
  <c r="C74" i="48"/>
  <c r="C73" i="48"/>
  <c r="C72" i="48"/>
  <c r="C71" i="48"/>
  <c r="C70" i="48"/>
  <c r="C69" i="48"/>
  <c r="C68" i="48"/>
  <c r="C67" i="48"/>
  <c r="C66" i="48"/>
  <c r="C65" i="48"/>
  <c r="C64" i="48"/>
  <c r="C63" i="48"/>
  <c r="C62" i="48"/>
  <c r="C61" i="48"/>
  <c r="C60" i="48"/>
  <c r="C59" i="48"/>
  <c r="C58" i="48"/>
  <c r="C57" i="48"/>
  <c r="C56" i="48"/>
  <c r="C55" i="48"/>
  <c r="C54" i="48"/>
  <c r="C53" i="48"/>
  <c r="C52" i="48"/>
  <c r="C51" i="48"/>
  <c r="C50" i="48"/>
  <c r="C49" i="48"/>
  <c r="C48" i="48"/>
  <c r="C47" i="48"/>
  <c r="C46" i="48"/>
  <c r="C45" i="48"/>
  <c r="C44" i="48"/>
  <c r="C43" i="48"/>
  <c r="C42" i="48"/>
  <c r="C41" i="48"/>
  <c r="C38" i="48"/>
  <c r="C37" i="48"/>
  <c r="C36" i="48"/>
  <c r="C35" i="48"/>
  <c r="C34" i="48"/>
  <c r="C33" i="48"/>
  <c r="C32" i="48"/>
  <c r="C31" i="48"/>
  <c r="C30" i="48"/>
  <c r="C29" i="48"/>
  <c r="C28" i="48"/>
  <c r="C23" i="48"/>
  <c r="C22" i="48"/>
  <c r="C21" i="48"/>
  <c r="C20" i="48"/>
  <c r="C19" i="48"/>
  <c r="C18" i="48"/>
  <c r="C13" i="48"/>
  <c r="B13" i="48"/>
  <c r="C12" i="48"/>
  <c r="B12" i="48"/>
  <c r="C11" i="48"/>
  <c r="B11" i="48"/>
  <c r="C10" i="48"/>
  <c r="B10" i="48"/>
  <c r="C9" i="48"/>
  <c r="B9" i="48"/>
  <c r="C8" i="48"/>
  <c r="B8" i="48"/>
  <c r="C7" i="48"/>
  <c r="B7" i="48"/>
  <c r="C6" i="48"/>
  <c r="B6" i="48"/>
  <c r="C5" i="48"/>
  <c r="B5" i="48"/>
  <c r="C4" i="48"/>
  <c r="B4" i="48"/>
  <c r="C17" i="48" l="1"/>
  <c r="C223" i="47" l="1"/>
  <c r="C222" i="47"/>
  <c r="C221" i="47"/>
  <c r="C220" i="47"/>
  <c r="C219" i="47"/>
  <c r="C218" i="47"/>
  <c r="C217" i="47"/>
  <c r="C216" i="47"/>
  <c r="C215" i="47"/>
  <c r="C214" i="47"/>
  <c r="C213" i="47"/>
  <c r="C212" i="47"/>
  <c r="C211" i="47"/>
  <c r="C210" i="47"/>
  <c r="C209" i="47"/>
  <c r="C208" i="47"/>
  <c r="C207" i="47"/>
  <c r="C206" i="47"/>
  <c r="C205" i="47"/>
  <c r="C204" i="47"/>
  <c r="C203" i="47"/>
  <c r="C202" i="47"/>
  <c r="C201" i="47"/>
  <c r="C200" i="47"/>
  <c r="C199" i="47"/>
  <c r="C198" i="47"/>
  <c r="C197" i="47"/>
  <c r="C196" i="47"/>
  <c r="C195" i="47"/>
  <c r="C194" i="47"/>
  <c r="C193" i="47"/>
  <c r="C192" i="47"/>
  <c r="C191" i="47"/>
  <c r="C190" i="47"/>
  <c r="C189" i="47"/>
  <c r="C188" i="47"/>
  <c r="C187" i="47"/>
  <c r="C186" i="47"/>
  <c r="C185" i="47"/>
  <c r="C184" i="47"/>
  <c r="C183" i="47"/>
  <c r="C182" i="47"/>
  <c r="C181" i="47"/>
  <c r="C180" i="47"/>
  <c r="C179" i="47"/>
  <c r="C178" i="47"/>
  <c r="C177" i="47"/>
  <c r="C176" i="47"/>
  <c r="C175" i="47"/>
  <c r="C174" i="47"/>
  <c r="C173" i="47"/>
  <c r="C172" i="47"/>
  <c r="C171" i="47"/>
  <c r="C170" i="47"/>
  <c r="C169" i="47"/>
  <c r="C168" i="47"/>
  <c r="C167" i="47"/>
  <c r="C166" i="47"/>
  <c r="C165" i="47"/>
  <c r="C164" i="47"/>
  <c r="C163" i="47"/>
  <c r="C162" i="47"/>
  <c r="C161" i="47"/>
  <c r="C160" i="47"/>
  <c r="C159" i="47"/>
  <c r="C158" i="47"/>
  <c r="C157" i="47"/>
  <c r="C156" i="47"/>
  <c r="C155" i="47"/>
  <c r="C154" i="47"/>
  <c r="C153" i="47"/>
  <c r="C152" i="47"/>
  <c r="C151" i="47"/>
  <c r="C150" i="47"/>
  <c r="C149" i="47"/>
  <c r="C148" i="47"/>
  <c r="C147" i="47"/>
  <c r="C146" i="47"/>
  <c r="C145" i="47"/>
  <c r="C144" i="47"/>
  <c r="B144" i="47"/>
  <c r="B145" i="47" s="1"/>
  <c r="B146" i="47" s="1"/>
  <c r="B147" i="47" s="1"/>
  <c r="B148" i="47" s="1"/>
  <c r="B149" i="47" s="1"/>
  <c r="B150" i="47" s="1"/>
  <c r="B151" i="47" s="1"/>
  <c r="B152" i="47" s="1"/>
  <c r="B153" i="47" s="1"/>
  <c r="B154" i="47" s="1"/>
  <c r="B155" i="47" s="1"/>
  <c r="B156" i="47" s="1"/>
  <c r="B157" i="47" s="1"/>
  <c r="B158" i="47" s="1"/>
  <c r="B159" i="47" s="1"/>
  <c r="B160" i="47" s="1"/>
  <c r="B161" i="47" s="1"/>
  <c r="B162" i="47" s="1"/>
  <c r="B163" i="47" s="1"/>
  <c r="B164" i="47" s="1"/>
  <c r="B165" i="47" s="1"/>
  <c r="B166" i="47" s="1"/>
  <c r="B167" i="47" s="1"/>
  <c r="B168" i="47" s="1"/>
  <c r="B169" i="47" s="1"/>
  <c r="B170" i="47" s="1"/>
  <c r="B171" i="47" s="1"/>
  <c r="B172" i="47" s="1"/>
  <c r="B173" i="47" s="1"/>
  <c r="B174" i="47" s="1"/>
  <c r="B175" i="47" s="1"/>
  <c r="B176" i="47" s="1"/>
  <c r="B177" i="47" s="1"/>
  <c r="B178" i="47" s="1"/>
  <c r="B179" i="47" s="1"/>
  <c r="B180" i="47" s="1"/>
  <c r="B181" i="47" s="1"/>
  <c r="B182" i="47" s="1"/>
  <c r="B183" i="47" s="1"/>
  <c r="B184" i="47" s="1"/>
  <c r="B185" i="47" s="1"/>
  <c r="B186" i="47" s="1"/>
  <c r="B187" i="47" s="1"/>
  <c r="B188" i="47" s="1"/>
  <c r="B189" i="47" s="1"/>
  <c r="B190" i="47" s="1"/>
  <c r="B191" i="47" s="1"/>
  <c r="B192" i="47" s="1"/>
  <c r="B193" i="47" s="1"/>
  <c r="B194" i="47" s="1"/>
  <c r="B195" i="47" s="1"/>
  <c r="B196" i="47" s="1"/>
  <c r="B197" i="47" s="1"/>
  <c r="B198" i="47" s="1"/>
  <c r="B199" i="47" s="1"/>
  <c r="B200" i="47" s="1"/>
  <c r="B201" i="47" s="1"/>
  <c r="B202" i="47" s="1"/>
  <c r="B203" i="47" s="1"/>
  <c r="B204" i="47" s="1"/>
  <c r="B205" i="47" s="1"/>
  <c r="B206" i="47" s="1"/>
  <c r="B207" i="47" s="1"/>
  <c r="B208" i="47" s="1"/>
  <c r="B209" i="47" s="1"/>
  <c r="B210" i="47" s="1"/>
  <c r="B211" i="47" s="1"/>
  <c r="B212" i="47" s="1"/>
  <c r="B213" i="47" s="1"/>
  <c r="B214" i="47" s="1"/>
  <c r="B215" i="47" s="1"/>
  <c r="B216" i="47" s="1"/>
  <c r="B217" i="47" s="1"/>
  <c r="B218" i="47" s="1"/>
  <c r="B219" i="47" s="1"/>
  <c r="B220" i="47" s="1"/>
  <c r="B221" i="47" s="1"/>
  <c r="B222" i="47" s="1"/>
  <c r="B223" i="47" s="1"/>
  <c r="C143" i="47"/>
  <c r="C140" i="47"/>
  <c r="C138" i="47"/>
  <c r="C137" i="47"/>
  <c r="C136" i="47"/>
  <c r="C135" i="47"/>
  <c r="C125" i="47"/>
  <c r="C122" i="47"/>
  <c r="C121" i="47"/>
  <c r="C120" i="47"/>
  <c r="C119" i="47"/>
  <c r="C118" i="47"/>
  <c r="C117" i="47"/>
  <c r="C116" i="47"/>
  <c r="C115" i="47"/>
  <c r="C114" i="47"/>
  <c r="C113" i="47"/>
  <c r="C112" i="47"/>
  <c r="C111" i="47"/>
  <c r="C110" i="47"/>
  <c r="C109" i="47"/>
  <c r="C108" i="47"/>
  <c r="C107" i="47"/>
  <c r="C106" i="47"/>
  <c r="C105" i="47"/>
  <c r="C104" i="47"/>
  <c r="C103" i="47"/>
  <c r="C102" i="47"/>
  <c r="C101" i="47"/>
  <c r="C100" i="47"/>
  <c r="C99" i="47"/>
  <c r="C98" i="47"/>
  <c r="C97" i="47"/>
  <c r="C96" i="47"/>
  <c r="C93" i="47"/>
  <c r="C92" i="47"/>
  <c r="C91" i="47"/>
  <c r="C90" i="47"/>
  <c r="C89" i="47"/>
  <c r="C88" i="47"/>
  <c r="C87" i="47"/>
  <c r="C86" i="47"/>
  <c r="C85" i="47"/>
  <c r="C82" i="47"/>
  <c r="C81" i="47"/>
  <c r="C80" i="47"/>
  <c r="C79" i="47"/>
  <c r="C78" i="47"/>
  <c r="C77" i="47"/>
  <c r="C76" i="47"/>
  <c r="C75" i="47"/>
  <c r="C74" i="47"/>
  <c r="C73" i="47"/>
  <c r="C72" i="47"/>
  <c r="C71" i="47"/>
  <c r="C70" i="47"/>
  <c r="C69" i="47"/>
  <c r="C68" i="47"/>
  <c r="C67" i="47"/>
  <c r="C66" i="47"/>
  <c r="C65" i="47"/>
  <c r="C64" i="47"/>
  <c r="C63" i="47"/>
  <c r="C62" i="47"/>
  <c r="C61" i="47"/>
  <c r="C60" i="47"/>
  <c r="C59" i="47"/>
  <c r="C58" i="47"/>
  <c r="C57" i="47"/>
  <c r="C56" i="47"/>
  <c r="C55" i="47"/>
  <c r="C54" i="47"/>
  <c r="C53" i="47"/>
  <c r="C52" i="47"/>
  <c r="C51" i="47"/>
  <c r="C50" i="47"/>
  <c r="C49" i="47"/>
  <c r="C48" i="47"/>
  <c r="C47" i="47"/>
  <c r="C46" i="47"/>
  <c r="C45" i="47"/>
  <c r="C44" i="47"/>
  <c r="C43" i="47"/>
  <c r="C42" i="47"/>
  <c r="C41" i="47"/>
  <c r="C38" i="47"/>
  <c r="C37" i="47"/>
  <c r="C36" i="47"/>
  <c r="C35" i="47"/>
  <c r="C34" i="47"/>
  <c r="C33" i="47"/>
  <c r="C32" i="47"/>
  <c r="C31" i="47"/>
  <c r="C30" i="47"/>
  <c r="C29" i="47"/>
  <c r="C28" i="47"/>
  <c r="C23" i="47"/>
  <c r="C22" i="47"/>
  <c r="C21" i="47"/>
  <c r="C20" i="47"/>
  <c r="C19" i="47"/>
  <c r="C18" i="47"/>
  <c r="C13" i="47"/>
  <c r="B13" i="47"/>
  <c r="C12" i="47"/>
  <c r="B12" i="47"/>
  <c r="C11" i="47"/>
  <c r="B11" i="47"/>
  <c r="C10" i="47"/>
  <c r="B10" i="47"/>
  <c r="C9" i="47"/>
  <c r="B9" i="47"/>
  <c r="C8" i="47"/>
  <c r="B8" i="47"/>
  <c r="C7" i="47"/>
  <c r="B7" i="47"/>
  <c r="C6" i="47"/>
  <c r="B6" i="47"/>
  <c r="C5" i="47"/>
  <c r="B5" i="47"/>
  <c r="C4" i="47"/>
  <c r="B4" i="47"/>
  <c r="C17" i="47" l="1"/>
  <c r="C225" i="46" l="1"/>
  <c r="C224" i="46"/>
  <c r="C223" i="46"/>
  <c r="C222" i="46"/>
  <c r="C221" i="46"/>
  <c r="C220" i="46"/>
  <c r="C219" i="46"/>
  <c r="C218" i="46"/>
  <c r="C217" i="46"/>
  <c r="C216" i="46"/>
  <c r="C215" i="46"/>
  <c r="C214" i="46"/>
  <c r="C213" i="46"/>
  <c r="C212" i="46"/>
  <c r="C211" i="46"/>
  <c r="C210" i="46"/>
  <c r="C209" i="46"/>
  <c r="C208" i="46"/>
  <c r="C207" i="46"/>
  <c r="C206" i="46"/>
  <c r="C205" i="46"/>
  <c r="C204" i="46"/>
  <c r="C203" i="46"/>
  <c r="C202" i="46"/>
  <c r="C201" i="46"/>
  <c r="C200" i="46"/>
  <c r="C199" i="46"/>
  <c r="C198" i="46"/>
  <c r="C197" i="46"/>
  <c r="C196" i="46"/>
  <c r="C195" i="46"/>
  <c r="C194" i="46"/>
  <c r="C193" i="46"/>
  <c r="C192" i="46"/>
  <c r="C191" i="46"/>
  <c r="C190" i="46"/>
  <c r="C189" i="46"/>
  <c r="C188" i="46"/>
  <c r="C187" i="46"/>
  <c r="C186" i="46"/>
  <c r="C185" i="46"/>
  <c r="C184" i="46"/>
  <c r="C183" i="46"/>
  <c r="C182" i="46"/>
  <c r="C181" i="46"/>
  <c r="C180" i="46"/>
  <c r="C179" i="46"/>
  <c r="C178" i="46"/>
  <c r="C177" i="46"/>
  <c r="C176" i="46"/>
  <c r="C175" i="46"/>
  <c r="C174" i="46"/>
  <c r="C173" i="46"/>
  <c r="C172" i="46"/>
  <c r="C171" i="46"/>
  <c r="C170" i="46"/>
  <c r="C169" i="46"/>
  <c r="C168" i="46"/>
  <c r="C167" i="46"/>
  <c r="C166" i="46"/>
  <c r="C165" i="46"/>
  <c r="C164" i="46"/>
  <c r="C163" i="46"/>
  <c r="C162" i="46"/>
  <c r="C161" i="46"/>
  <c r="C160" i="46"/>
  <c r="C159" i="46"/>
  <c r="C158" i="46"/>
  <c r="C157" i="46"/>
  <c r="C156" i="46"/>
  <c r="C155" i="46"/>
  <c r="C154" i="46"/>
  <c r="C153" i="46"/>
  <c r="C152" i="46"/>
  <c r="C151" i="46"/>
  <c r="C150" i="46"/>
  <c r="C149" i="46"/>
  <c r="C148" i="46"/>
  <c r="C147" i="46"/>
  <c r="C146" i="46"/>
  <c r="B146" i="46"/>
  <c r="B147" i="46" s="1"/>
  <c r="B148" i="46" s="1"/>
  <c r="B149" i="46" s="1"/>
  <c r="B150" i="46" s="1"/>
  <c r="B151" i="46" s="1"/>
  <c r="B152" i="46" s="1"/>
  <c r="B153" i="46" s="1"/>
  <c r="B154" i="46" s="1"/>
  <c r="B155" i="46" s="1"/>
  <c r="B156" i="46" s="1"/>
  <c r="B157" i="46" s="1"/>
  <c r="B158" i="46" s="1"/>
  <c r="B159" i="46" s="1"/>
  <c r="B160" i="46" s="1"/>
  <c r="B161" i="46" s="1"/>
  <c r="B162" i="46" s="1"/>
  <c r="C145" i="46"/>
  <c r="C142" i="46"/>
  <c r="C140" i="46"/>
  <c r="C139" i="46"/>
  <c r="C138" i="46"/>
  <c r="C137" i="46"/>
  <c r="C135" i="46"/>
  <c r="C134" i="46"/>
  <c r="C133" i="46"/>
  <c r="C132" i="46"/>
  <c r="C131" i="46"/>
  <c r="C130" i="46"/>
  <c r="C127" i="46"/>
  <c r="C124" i="46"/>
  <c r="C123" i="46"/>
  <c r="C122" i="46"/>
  <c r="C121" i="46"/>
  <c r="C120" i="46"/>
  <c r="C119" i="46"/>
  <c r="C118" i="46"/>
  <c r="C117" i="46"/>
  <c r="C116" i="46"/>
  <c r="C115" i="46"/>
  <c r="C114" i="46"/>
  <c r="C113" i="46"/>
  <c r="C112" i="46"/>
  <c r="C111" i="46"/>
  <c r="C110" i="46"/>
  <c r="C109" i="46"/>
  <c r="C108" i="46"/>
  <c r="C107" i="46"/>
  <c r="C106" i="46"/>
  <c r="C105" i="46"/>
  <c r="C104" i="46"/>
  <c r="C103" i="46"/>
  <c r="C102" i="46"/>
  <c r="C99" i="46"/>
  <c r="C98" i="46"/>
  <c r="C97" i="46"/>
  <c r="C96" i="46"/>
  <c r="C95" i="46"/>
  <c r="C94" i="46"/>
  <c r="C93" i="46"/>
  <c r="C92" i="46"/>
  <c r="C91" i="46"/>
  <c r="C88" i="46"/>
  <c r="C87" i="46"/>
  <c r="C86" i="46"/>
  <c r="C85" i="46"/>
  <c r="C84" i="46"/>
  <c r="C83" i="46"/>
  <c r="C82" i="46"/>
  <c r="C81" i="46"/>
  <c r="C80" i="46"/>
  <c r="C79" i="46"/>
  <c r="C78" i="46"/>
  <c r="C77" i="46"/>
  <c r="C76" i="46"/>
  <c r="C75" i="46"/>
  <c r="C74" i="46"/>
  <c r="C73" i="46"/>
  <c r="C72" i="46"/>
  <c r="C71" i="46"/>
  <c r="C70" i="46"/>
  <c r="C69" i="46"/>
  <c r="C68" i="46"/>
  <c r="C67" i="46"/>
  <c r="C66" i="46"/>
  <c r="C65" i="46"/>
  <c r="C64" i="46"/>
  <c r="C63" i="46"/>
  <c r="C62" i="46"/>
  <c r="C61" i="46"/>
  <c r="C60" i="46"/>
  <c r="C59" i="46"/>
  <c r="C58" i="46"/>
  <c r="C57" i="46"/>
  <c r="C56" i="46"/>
  <c r="C55" i="46"/>
  <c r="C54" i="46"/>
  <c r="C53" i="46"/>
  <c r="C52" i="46"/>
  <c r="C51" i="46"/>
  <c r="C50" i="46"/>
  <c r="C49" i="46"/>
  <c r="C48" i="46"/>
  <c r="C47" i="46"/>
  <c r="C46" i="46"/>
  <c r="C43" i="46"/>
  <c r="C42" i="46"/>
  <c r="C41" i="46"/>
  <c r="C40" i="46"/>
  <c r="C39" i="46"/>
  <c r="C38" i="46"/>
  <c r="C37" i="46"/>
  <c r="C36" i="46"/>
  <c r="C35" i="46"/>
  <c r="C34" i="46"/>
  <c r="B34" i="46"/>
  <c r="C33" i="46"/>
  <c r="B33" i="46"/>
  <c r="C32" i="46"/>
  <c r="B32" i="46"/>
  <c r="C31" i="46"/>
  <c r="B31" i="46"/>
  <c r="C30" i="46"/>
  <c r="C29" i="46"/>
  <c r="C28" i="46"/>
  <c r="C23" i="46"/>
  <c r="C22" i="46"/>
  <c r="C21" i="46"/>
  <c r="C20" i="46"/>
  <c r="C19" i="46"/>
  <c r="C18" i="46"/>
  <c r="C13" i="46"/>
  <c r="B13" i="46"/>
  <c r="C12" i="46"/>
  <c r="B12" i="46"/>
  <c r="C11" i="46"/>
  <c r="B11" i="46"/>
  <c r="C10" i="46"/>
  <c r="B10" i="46"/>
  <c r="C9" i="46"/>
  <c r="B9" i="46"/>
  <c r="C8" i="46"/>
  <c r="B8" i="46"/>
  <c r="C7" i="46"/>
  <c r="B7" i="46"/>
  <c r="C6" i="46"/>
  <c r="B6" i="46"/>
  <c r="C5" i="46"/>
  <c r="B5" i="46"/>
  <c r="C4" i="46"/>
  <c r="B4" i="46"/>
  <c r="C17" i="46" l="1"/>
  <c r="B225" i="46"/>
  <c r="B163" i="46"/>
  <c r="B164" i="46" s="1"/>
  <c r="B165" i="46" s="1"/>
  <c r="B166" i="46" s="1"/>
  <c r="B167" i="46" s="1"/>
  <c r="B168" i="46" s="1"/>
  <c r="B169" i="46" s="1"/>
  <c r="B170" i="46" s="1"/>
  <c r="B171" i="46" s="1"/>
  <c r="B172" i="46" s="1"/>
  <c r="B173" i="46" s="1"/>
  <c r="B174" i="46" s="1"/>
  <c r="B175" i="46" s="1"/>
  <c r="B176" i="46" s="1"/>
  <c r="B177" i="46" s="1"/>
  <c r="B178" i="46" s="1"/>
  <c r="B179" i="46" s="1"/>
  <c r="B180" i="46" s="1"/>
  <c r="B181" i="46" s="1"/>
  <c r="B182" i="46" s="1"/>
  <c r="B183" i="46" s="1"/>
  <c r="B184" i="46" s="1"/>
  <c r="B185" i="46" s="1"/>
  <c r="B186" i="46" s="1"/>
  <c r="B187" i="46" s="1"/>
  <c r="B188" i="46" s="1"/>
  <c r="B189" i="46" s="1"/>
  <c r="B190" i="46" s="1"/>
  <c r="B191" i="46" s="1"/>
  <c r="B192" i="46" s="1"/>
  <c r="B193" i="46" s="1"/>
  <c r="B194" i="46" s="1"/>
  <c r="B195" i="46" s="1"/>
  <c r="B196" i="46" s="1"/>
  <c r="B197" i="46" s="1"/>
  <c r="B198" i="46" s="1"/>
  <c r="B199" i="46" s="1"/>
  <c r="B200" i="46" s="1"/>
  <c r="B201" i="46" s="1"/>
  <c r="B202" i="46" s="1"/>
  <c r="B203" i="46" s="1"/>
  <c r="B204" i="46" s="1"/>
  <c r="B205" i="46" s="1"/>
  <c r="B206" i="46" s="1"/>
  <c r="B207" i="46" s="1"/>
  <c r="B208" i="46" s="1"/>
  <c r="B209" i="46" s="1"/>
  <c r="B210" i="46" s="1"/>
  <c r="B211" i="46" s="1"/>
  <c r="B212" i="46" s="1"/>
  <c r="B213" i="46" s="1"/>
  <c r="B214" i="46" s="1"/>
  <c r="B215" i="46" s="1"/>
  <c r="B216" i="46" s="1"/>
  <c r="B217" i="46" s="1"/>
  <c r="B218" i="46" s="1"/>
  <c r="B219" i="46" s="1"/>
  <c r="B220" i="46" s="1"/>
  <c r="B221" i="46" s="1"/>
  <c r="B222" i="46" s="1"/>
  <c r="B223" i="46" s="1"/>
  <c r="B224" i="46" s="1"/>
  <c r="C223" i="45" l="1"/>
  <c r="C222" i="45"/>
  <c r="C221" i="45"/>
  <c r="C220" i="45"/>
  <c r="C219" i="45"/>
  <c r="C218" i="45"/>
  <c r="C217" i="45"/>
  <c r="C216" i="45"/>
  <c r="C215" i="45"/>
  <c r="C214" i="45"/>
  <c r="C213" i="45"/>
  <c r="C212" i="45"/>
  <c r="C211" i="45"/>
  <c r="C210" i="45"/>
  <c r="C209" i="45"/>
  <c r="C208" i="45"/>
  <c r="C207" i="45"/>
  <c r="C206" i="45"/>
  <c r="C205" i="45"/>
  <c r="C204" i="45"/>
  <c r="C203" i="45"/>
  <c r="C202" i="45"/>
  <c r="C201" i="45"/>
  <c r="C200" i="45"/>
  <c r="C199" i="45"/>
  <c r="C198" i="45"/>
  <c r="C197" i="45"/>
  <c r="C196" i="45"/>
  <c r="C195" i="45"/>
  <c r="C194" i="45"/>
  <c r="C193" i="45"/>
  <c r="C192" i="45"/>
  <c r="C191" i="45"/>
  <c r="C190" i="45"/>
  <c r="C189" i="45"/>
  <c r="C188" i="45"/>
  <c r="C187" i="45"/>
  <c r="C186" i="45"/>
  <c r="C185" i="45"/>
  <c r="C184" i="45"/>
  <c r="C183" i="45"/>
  <c r="C182" i="45"/>
  <c r="C181" i="45"/>
  <c r="C180" i="45"/>
  <c r="C179" i="45"/>
  <c r="C178" i="45"/>
  <c r="C177" i="45"/>
  <c r="C176" i="45"/>
  <c r="C175" i="45"/>
  <c r="C174" i="45"/>
  <c r="C173" i="45"/>
  <c r="C172" i="45"/>
  <c r="C171" i="45"/>
  <c r="C170" i="45"/>
  <c r="C169" i="45"/>
  <c r="C168" i="45"/>
  <c r="C167" i="45"/>
  <c r="C166" i="45"/>
  <c r="C165" i="45"/>
  <c r="C164" i="45"/>
  <c r="C163" i="45"/>
  <c r="C162" i="45"/>
  <c r="C161" i="45"/>
  <c r="C160" i="45"/>
  <c r="C159" i="45"/>
  <c r="C158" i="45"/>
  <c r="C157" i="45"/>
  <c r="C156" i="45"/>
  <c r="C155" i="45"/>
  <c r="C154" i="45"/>
  <c r="C153" i="45"/>
  <c r="C152" i="45"/>
  <c r="C151" i="45"/>
  <c r="C150" i="45"/>
  <c r="C149" i="45"/>
  <c r="C148" i="45"/>
  <c r="C147" i="45"/>
  <c r="C146" i="45"/>
  <c r="C145" i="45"/>
  <c r="C144" i="45"/>
  <c r="B144" i="45"/>
  <c r="B145" i="45" s="1"/>
  <c r="B146" i="45" s="1"/>
  <c r="B147" i="45" s="1"/>
  <c r="B148" i="45" s="1"/>
  <c r="B149" i="45" s="1"/>
  <c r="B150" i="45" s="1"/>
  <c r="B151" i="45" s="1"/>
  <c r="B152" i="45" s="1"/>
  <c r="B153" i="45" s="1"/>
  <c r="B154" i="45" s="1"/>
  <c r="B155" i="45" s="1"/>
  <c r="B156" i="45" s="1"/>
  <c r="B157" i="45" s="1"/>
  <c r="B158" i="45" s="1"/>
  <c r="B159" i="45" s="1"/>
  <c r="B160" i="45" s="1"/>
  <c r="B161" i="45" s="1"/>
  <c r="B162" i="45" s="1"/>
  <c r="B163" i="45" s="1"/>
  <c r="B164" i="45" s="1"/>
  <c r="B165" i="45" s="1"/>
  <c r="B166" i="45" s="1"/>
  <c r="B167" i="45" s="1"/>
  <c r="B168" i="45" s="1"/>
  <c r="B169" i="45" s="1"/>
  <c r="B170" i="45" s="1"/>
  <c r="B171" i="45" s="1"/>
  <c r="B172" i="45" s="1"/>
  <c r="B173" i="45" s="1"/>
  <c r="B174" i="45" s="1"/>
  <c r="B175" i="45" s="1"/>
  <c r="B176" i="45" s="1"/>
  <c r="B177" i="45" s="1"/>
  <c r="B178" i="45" s="1"/>
  <c r="B179" i="45" s="1"/>
  <c r="B180" i="45" s="1"/>
  <c r="B181" i="45" s="1"/>
  <c r="B182" i="45" s="1"/>
  <c r="B183" i="45" s="1"/>
  <c r="B184" i="45" s="1"/>
  <c r="B185" i="45" s="1"/>
  <c r="B186" i="45" s="1"/>
  <c r="B187" i="45" s="1"/>
  <c r="B188" i="45" s="1"/>
  <c r="B189" i="45" s="1"/>
  <c r="B190" i="45" s="1"/>
  <c r="B191" i="45" s="1"/>
  <c r="B192" i="45" s="1"/>
  <c r="B193" i="45" s="1"/>
  <c r="B194" i="45" s="1"/>
  <c r="B195" i="45" s="1"/>
  <c r="B196" i="45" s="1"/>
  <c r="B197" i="45" s="1"/>
  <c r="B198" i="45" s="1"/>
  <c r="B199" i="45" s="1"/>
  <c r="B200" i="45" s="1"/>
  <c r="B201" i="45" s="1"/>
  <c r="B202" i="45" s="1"/>
  <c r="B203" i="45" s="1"/>
  <c r="B204" i="45" s="1"/>
  <c r="B205" i="45" s="1"/>
  <c r="B206" i="45" s="1"/>
  <c r="B207" i="45" s="1"/>
  <c r="B208" i="45" s="1"/>
  <c r="B209" i="45" s="1"/>
  <c r="B210" i="45" s="1"/>
  <c r="B211" i="45" s="1"/>
  <c r="B212" i="45" s="1"/>
  <c r="B213" i="45" s="1"/>
  <c r="B214" i="45" s="1"/>
  <c r="B215" i="45" s="1"/>
  <c r="B216" i="45" s="1"/>
  <c r="B217" i="45" s="1"/>
  <c r="B218" i="45" s="1"/>
  <c r="B219" i="45" s="1"/>
  <c r="B220" i="45" s="1"/>
  <c r="B221" i="45" s="1"/>
  <c r="B222" i="45" s="1"/>
  <c r="B223" i="45" s="1"/>
  <c r="C143" i="45"/>
  <c r="C140" i="45"/>
  <c r="C138" i="45"/>
  <c r="C137" i="45"/>
  <c r="C136" i="45"/>
  <c r="C135" i="45"/>
  <c r="C125" i="45"/>
  <c r="C122" i="45"/>
  <c r="C121" i="45"/>
  <c r="C120" i="45"/>
  <c r="C119" i="45"/>
  <c r="C118" i="45"/>
  <c r="C117" i="45"/>
  <c r="C116" i="45"/>
  <c r="C115" i="45"/>
  <c r="C114" i="45"/>
  <c r="C113" i="45"/>
  <c r="C112" i="45"/>
  <c r="C111" i="45"/>
  <c r="C110" i="45"/>
  <c r="C109" i="45"/>
  <c r="C108" i="45"/>
  <c r="C107" i="45"/>
  <c r="C106" i="45"/>
  <c r="C105" i="45"/>
  <c r="C104" i="45"/>
  <c r="C103" i="45"/>
  <c r="C102" i="45"/>
  <c r="C101" i="45"/>
  <c r="C100" i="45"/>
  <c r="C99" i="45"/>
  <c r="C98" i="45"/>
  <c r="C97" i="45"/>
  <c r="C96" i="45"/>
  <c r="C93" i="45"/>
  <c r="C92" i="45"/>
  <c r="C91" i="45"/>
  <c r="C90" i="45"/>
  <c r="C89" i="45"/>
  <c r="C88" i="45"/>
  <c r="C87" i="45"/>
  <c r="C86" i="45"/>
  <c r="C85" i="45"/>
  <c r="C82" i="45"/>
  <c r="C81" i="45"/>
  <c r="C80" i="45"/>
  <c r="C79" i="45"/>
  <c r="C78" i="45"/>
  <c r="C77" i="45"/>
  <c r="C76" i="45"/>
  <c r="C75" i="45"/>
  <c r="C74" i="45"/>
  <c r="C73" i="45"/>
  <c r="C72" i="45"/>
  <c r="C71" i="45"/>
  <c r="C70" i="45"/>
  <c r="C69" i="45"/>
  <c r="C68" i="45"/>
  <c r="C67" i="45"/>
  <c r="C66" i="45"/>
  <c r="C65" i="45"/>
  <c r="C64" i="45"/>
  <c r="C63" i="45"/>
  <c r="C62" i="45"/>
  <c r="C61" i="45"/>
  <c r="C60" i="45"/>
  <c r="C59" i="45"/>
  <c r="C58" i="45"/>
  <c r="C57" i="45"/>
  <c r="C56" i="45"/>
  <c r="C55" i="45"/>
  <c r="C54" i="45"/>
  <c r="C53" i="45"/>
  <c r="C52" i="45"/>
  <c r="C51" i="45"/>
  <c r="C50" i="45"/>
  <c r="C49" i="45"/>
  <c r="C48" i="45"/>
  <c r="C47" i="45"/>
  <c r="C46" i="45"/>
  <c r="C45" i="45"/>
  <c r="C44" i="45"/>
  <c r="C43" i="45"/>
  <c r="C42" i="45"/>
  <c r="C41" i="45"/>
  <c r="C38" i="45"/>
  <c r="C37" i="45"/>
  <c r="C36" i="45"/>
  <c r="C35" i="45"/>
  <c r="C34" i="45"/>
  <c r="C33" i="45"/>
  <c r="C32" i="45"/>
  <c r="C31" i="45"/>
  <c r="C30" i="45"/>
  <c r="C29" i="45"/>
  <c r="C28" i="45"/>
  <c r="C23" i="45"/>
  <c r="C22" i="45"/>
  <c r="C21" i="45"/>
  <c r="C20" i="45"/>
  <c r="C19" i="45"/>
  <c r="C18" i="45"/>
  <c r="C13" i="45"/>
  <c r="B13" i="45"/>
  <c r="C12" i="45"/>
  <c r="B12" i="45"/>
  <c r="C11" i="45"/>
  <c r="B11" i="45"/>
  <c r="C10" i="45"/>
  <c r="B10" i="45"/>
  <c r="C9" i="45"/>
  <c r="B9" i="45"/>
  <c r="C8" i="45"/>
  <c r="B8" i="45"/>
  <c r="C7" i="45"/>
  <c r="B7" i="45"/>
  <c r="C6" i="45"/>
  <c r="B6" i="45"/>
  <c r="C5" i="45"/>
  <c r="B5" i="45"/>
  <c r="C4" i="45"/>
  <c r="B4" i="45"/>
  <c r="C17" i="45" l="1"/>
  <c r="C223" i="44"/>
  <c r="C222" i="44"/>
  <c r="C221" i="44"/>
  <c r="C220" i="44"/>
  <c r="C219" i="44"/>
  <c r="C218" i="44"/>
  <c r="C217" i="44"/>
  <c r="C216" i="44"/>
  <c r="C215" i="44"/>
  <c r="C214" i="44"/>
  <c r="C213" i="44"/>
  <c r="C212" i="44"/>
  <c r="C211" i="44"/>
  <c r="C210" i="44"/>
  <c r="C209" i="44"/>
  <c r="C208" i="44"/>
  <c r="C207" i="44"/>
  <c r="C206" i="44"/>
  <c r="C205" i="44"/>
  <c r="C204" i="44"/>
  <c r="C203" i="44"/>
  <c r="C202" i="44"/>
  <c r="C201" i="44"/>
  <c r="C200" i="44"/>
  <c r="C199" i="44"/>
  <c r="C198" i="44"/>
  <c r="C197" i="44"/>
  <c r="C196" i="44"/>
  <c r="C195" i="44"/>
  <c r="C194" i="44"/>
  <c r="C193" i="44"/>
  <c r="C192" i="44"/>
  <c r="C191" i="44"/>
  <c r="C190" i="44"/>
  <c r="C189" i="44"/>
  <c r="C188" i="44"/>
  <c r="C187" i="44"/>
  <c r="C186" i="44"/>
  <c r="C185" i="44"/>
  <c r="C184" i="44"/>
  <c r="C183" i="44"/>
  <c r="C182" i="44"/>
  <c r="C181" i="44"/>
  <c r="C180" i="44"/>
  <c r="C179" i="44"/>
  <c r="C178" i="44"/>
  <c r="C177" i="44"/>
  <c r="C176" i="44"/>
  <c r="C175" i="44"/>
  <c r="C174" i="44"/>
  <c r="C173" i="44"/>
  <c r="C172" i="44"/>
  <c r="C171" i="44"/>
  <c r="C170" i="44"/>
  <c r="C169" i="44"/>
  <c r="C168" i="44"/>
  <c r="C167" i="44"/>
  <c r="C166" i="44"/>
  <c r="C165" i="44"/>
  <c r="C164" i="44"/>
  <c r="C163" i="44"/>
  <c r="C162" i="44"/>
  <c r="C161" i="44"/>
  <c r="C160" i="44"/>
  <c r="C159" i="44"/>
  <c r="C158" i="44"/>
  <c r="C157" i="44"/>
  <c r="C156" i="44"/>
  <c r="C155" i="44"/>
  <c r="C154" i="44"/>
  <c r="C153" i="44"/>
  <c r="C152" i="44"/>
  <c r="C151" i="44"/>
  <c r="C150" i="44"/>
  <c r="C149" i="44"/>
  <c r="C148" i="44"/>
  <c r="C147" i="44"/>
  <c r="C146" i="44"/>
  <c r="C145" i="44"/>
  <c r="C144" i="44"/>
  <c r="B144" i="44"/>
  <c r="B145" i="44" s="1"/>
  <c r="B146" i="44" s="1"/>
  <c r="B147" i="44" s="1"/>
  <c r="B148" i="44" s="1"/>
  <c r="B149" i="44" s="1"/>
  <c r="B150" i="44" s="1"/>
  <c r="B151" i="44" s="1"/>
  <c r="B152" i="44" s="1"/>
  <c r="B153" i="44" s="1"/>
  <c r="B154" i="44" s="1"/>
  <c r="B155" i="44" s="1"/>
  <c r="B156" i="44" s="1"/>
  <c r="B157" i="44" s="1"/>
  <c r="B158" i="44" s="1"/>
  <c r="B159" i="44" s="1"/>
  <c r="B160" i="44" s="1"/>
  <c r="B161" i="44" s="1"/>
  <c r="B162" i="44" s="1"/>
  <c r="B163" i="44" s="1"/>
  <c r="B164" i="44" s="1"/>
  <c r="B165" i="44" s="1"/>
  <c r="B166" i="44" s="1"/>
  <c r="B167" i="44" s="1"/>
  <c r="B168" i="44" s="1"/>
  <c r="B169" i="44" s="1"/>
  <c r="B170" i="44" s="1"/>
  <c r="B171" i="44" s="1"/>
  <c r="B172" i="44" s="1"/>
  <c r="B173" i="44" s="1"/>
  <c r="B174" i="44" s="1"/>
  <c r="B175" i="44" s="1"/>
  <c r="B176" i="44" s="1"/>
  <c r="B177" i="44" s="1"/>
  <c r="B178" i="44" s="1"/>
  <c r="B179" i="44" s="1"/>
  <c r="B180" i="44" s="1"/>
  <c r="B181" i="44" s="1"/>
  <c r="B182" i="44" s="1"/>
  <c r="B183" i="44" s="1"/>
  <c r="B184" i="44" s="1"/>
  <c r="B185" i="44" s="1"/>
  <c r="B186" i="44" s="1"/>
  <c r="B187" i="44" s="1"/>
  <c r="B188" i="44" s="1"/>
  <c r="B189" i="44" s="1"/>
  <c r="B190" i="44" s="1"/>
  <c r="B191" i="44" s="1"/>
  <c r="B192" i="44" s="1"/>
  <c r="B193" i="44" s="1"/>
  <c r="B194" i="44" s="1"/>
  <c r="B195" i="44" s="1"/>
  <c r="B196" i="44" s="1"/>
  <c r="B197" i="44" s="1"/>
  <c r="B198" i="44" s="1"/>
  <c r="B199" i="44" s="1"/>
  <c r="B200" i="44" s="1"/>
  <c r="B201" i="44" s="1"/>
  <c r="B202" i="44" s="1"/>
  <c r="B203" i="44" s="1"/>
  <c r="B204" i="44" s="1"/>
  <c r="B205" i="44" s="1"/>
  <c r="B206" i="44" s="1"/>
  <c r="B207" i="44" s="1"/>
  <c r="B208" i="44" s="1"/>
  <c r="B209" i="44" s="1"/>
  <c r="B210" i="44" s="1"/>
  <c r="B211" i="44" s="1"/>
  <c r="B212" i="44" s="1"/>
  <c r="B213" i="44" s="1"/>
  <c r="B214" i="44" s="1"/>
  <c r="B215" i="44" s="1"/>
  <c r="B216" i="44" s="1"/>
  <c r="B217" i="44" s="1"/>
  <c r="B218" i="44" s="1"/>
  <c r="B219" i="44" s="1"/>
  <c r="B220" i="44" s="1"/>
  <c r="B221" i="44" s="1"/>
  <c r="B222" i="44" s="1"/>
  <c r="B223" i="44" s="1"/>
  <c r="C143" i="44"/>
  <c r="C140" i="44"/>
  <c r="C138" i="44"/>
  <c r="C137" i="44"/>
  <c r="C136" i="44"/>
  <c r="C135" i="44"/>
  <c r="C125" i="44"/>
  <c r="C122" i="44"/>
  <c r="C121" i="44"/>
  <c r="C120" i="44"/>
  <c r="C119" i="44"/>
  <c r="C118" i="44"/>
  <c r="C117" i="44"/>
  <c r="C116" i="44"/>
  <c r="C115" i="44"/>
  <c r="C114" i="44"/>
  <c r="C113" i="44"/>
  <c r="C112" i="44"/>
  <c r="C111" i="44"/>
  <c r="C110" i="44"/>
  <c r="C109" i="44"/>
  <c r="C108" i="44"/>
  <c r="C107" i="44"/>
  <c r="C106" i="44"/>
  <c r="C105" i="44"/>
  <c r="C104" i="44"/>
  <c r="C103" i="44"/>
  <c r="C102" i="44"/>
  <c r="C101" i="44"/>
  <c r="C100" i="44"/>
  <c r="C99" i="44"/>
  <c r="C98" i="44"/>
  <c r="C97" i="44"/>
  <c r="C96" i="44"/>
  <c r="C93" i="44"/>
  <c r="C92" i="44"/>
  <c r="C91" i="44"/>
  <c r="C90" i="44"/>
  <c r="C89" i="44"/>
  <c r="C88" i="44"/>
  <c r="C87" i="44"/>
  <c r="C86" i="44"/>
  <c r="C85" i="44"/>
  <c r="C82" i="44"/>
  <c r="C81" i="44"/>
  <c r="C80" i="44"/>
  <c r="C79" i="44"/>
  <c r="C78" i="44"/>
  <c r="C77" i="44"/>
  <c r="C76" i="44"/>
  <c r="C75" i="44"/>
  <c r="C74" i="44"/>
  <c r="C73" i="44"/>
  <c r="C72" i="44"/>
  <c r="C71" i="44"/>
  <c r="C70" i="44"/>
  <c r="C69" i="44"/>
  <c r="C68" i="44"/>
  <c r="C67" i="44"/>
  <c r="C66" i="44"/>
  <c r="C65" i="44"/>
  <c r="C64" i="44"/>
  <c r="C63" i="44"/>
  <c r="C62" i="44"/>
  <c r="C61" i="44"/>
  <c r="C60" i="44"/>
  <c r="C59" i="44"/>
  <c r="C58" i="44"/>
  <c r="C57" i="44"/>
  <c r="C56" i="44"/>
  <c r="C55" i="44"/>
  <c r="C54" i="44"/>
  <c r="C53" i="44"/>
  <c r="C52" i="44"/>
  <c r="C51" i="44"/>
  <c r="C50" i="44"/>
  <c r="C49" i="44"/>
  <c r="C48" i="44"/>
  <c r="C47" i="44"/>
  <c r="C46" i="44"/>
  <c r="C45" i="44"/>
  <c r="C44" i="44"/>
  <c r="C43" i="44"/>
  <c r="C42" i="44"/>
  <c r="C41" i="44"/>
  <c r="C38" i="44"/>
  <c r="C37" i="44"/>
  <c r="C36" i="44"/>
  <c r="C35" i="44"/>
  <c r="C34" i="44"/>
  <c r="C33" i="44"/>
  <c r="C32" i="44"/>
  <c r="C31" i="44"/>
  <c r="C30" i="44"/>
  <c r="C29" i="44"/>
  <c r="C28" i="44"/>
  <c r="C23" i="44"/>
  <c r="C22" i="44"/>
  <c r="C21" i="44"/>
  <c r="C20" i="44"/>
  <c r="C19" i="44"/>
  <c r="C18" i="44"/>
  <c r="C13" i="44"/>
  <c r="B13" i="44"/>
  <c r="C12" i="44"/>
  <c r="B12" i="44"/>
  <c r="C11" i="44"/>
  <c r="B11" i="44"/>
  <c r="C10" i="44"/>
  <c r="B10" i="44"/>
  <c r="C9" i="44"/>
  <c r="B9" i="44"/>
  <c r="C8" i="44"/>
  <c r="B8" i="44"/>
  <c r="C7" i="44"/>
  <c r="B7" i="44"/>
  <c r="C6" i="44"/>
  <c r="B6" i="44"/>
  <c r="C5" i="44"/>
  <c r="B5" i="44"/>
  <c r="C4" i="44"/>
  <c r="B4" i="44"/>
  <c r="C17" i="44" l="1"/>
  <c r="C223" i="43" l="1"/>
  <c r="C222" i="43"/>
  <c r="C221" i="43"/>
  <c r="C220" i="43"/>
  <c r="C219" i="43"/>
  <c r="C218" i="43"/>
  <c r="C217" i="43"/>
  <c r="C216" i="43"/>
  <c r="C215" i="43"/>
  <c r="C214" i="43"/>
  <c r="C213" i="43"/>
  <c r="C212" i="43"/>
  <c r="C211" i="43"/>
  <c r="C210" i="43"/>
  <c r="C209" i="43"/>
  <c r="C208" i="43"/>
  <c r="C207" i="43"/>
  <c r="C206" i="43"/>
  <c r="C205" i="43"/>
  <c r="C204" i="43"/>
  <c r="C203" i="43"/>
  <c r="C202" i="43"/>
  <c r="C201" i="43"/>
  <c r="C200" i="43"/>
  <c r="C199" i="43"/>
  <c r="C198" i="43"/>
  <c r="C197" i="43"/>
  <c r="C196" i="43"/>
  <c r="C195" i="43"/>
  <c r="C194" i="43"/>
  <c r="C193" i="43"/>
  <c r="C192" i="43"/>
  <c r="C191" i="43"/>
  <c r="C190" i="43"/>
  <c r="C189" i="43"/>
  <c r="C188" i="43"/>
  <c r="C187" i="43"/>
  <c r="C186" i="43"/>
  <c r="C185" i="43"/>
  <c r="C184" i="43"/>
  <c r="C183" i="43"/>
  <c r="C182" i="43"/>
  <c r="C181" i="43"/>
  <c r="C180" i="43"/>
  <c r="C179" i="43"/>
  <c r="C178" i="43"/>
  <c r="C177" i="43"/>
  <c r="C176" i="43"/>
  <c r="C175" i="43"/>
  <c r="C174" i="43"/>
  <c r="C173" i="43"/>
  <c r="C172" i="43"/>
  <c r="C171" i="43"/>
  <c r="C170" i="43"/>
  <c r="C169" i="43"/>
  <c r="C168" i="43"/>
  <c r="C167" i="43"/>
  <c r="C166" i="43"/>
  <c r="C165" i="43"/>
  <c r="C164" i="43"/>
  <c r="C163" i="43"/>
  <c r="C162" i="43"/>
  <c r="C161" i="43"/>
  <c r="C160" i="43"/>
  <c r="C159" i="43"/>
  <c r="C158" i="43"/>
  <c r="C157" i="43"/>
  <c r="C156" i="43"/>
  <c r="C155" i="43"/>
  <c r="C154" i="43"/>
  <c r="C153" i="43"/>
  <c r="C152" i="43"/>
  <c r="C151" i="43"/>
  <c r="C150" i="43"/>
  <c r="C149" i="43"/>
  <c r="C148" i="43"/>
  <c r="C147" i="43"/>
  <c r="C146" i="43"/>
  <c r="C145" i="43"/>
  <c r="C144" i="43"/>
  <c r="B144" i="43"/>
  <c r="B145" i="43" s="1"/>
  <c r="B146" i="43" s="1"/>
  <c r="B147" i="43" s="1"/>
  <c r="B148" i="43" s="1"/>
  <c r="B149" i="43" s="1"/>
  <c r="B150" i="43" s="1"/>
  <c r="B151" i="43" s="1"/>
  <c r="B152" i="43" s="1"/>
  <c r="B153" i="43" s="1"/>
  <c r="B154" i="43" s="1"/>
  <c r="B155" i="43" s="1"/>
  <c r="B156" i="43" s="1"/>
  <c r="B157" i="43" s="1"/>
  <c r="B158" i="43" s="1"/>
  <c r="B159" i="43" s="1"/>
  <c r="B160" i="43" s="1"/>
  <c r="B161" i="43" s="1"/>
  <c r="B162" i="43" s="1"/>
  <c r="B163" i="43" s="1"/>
  <c r="B164" i="43" s="1"/>
  <c r="B165" i="43" s="1"/>
  <c r="B166" i="43" s="1"/>
  <c r="B167" i="43" s="1"/>
  <c r="B168" i="43" s="1"/>
  <c r="B169" i="43" s="1"/>
  <c r="B170" i="43" s="1"/>
  <c r="B171" i="43" s="1"/>
  <c r="B172" i="43" s="1"/>
  <c r="B173" i="43" s="1"/>
  <c r="B174" i="43" s="1"/>
  <c r="B175" i="43" s="1"/>
  <c r="B176" i="43" s="1"/>
  <c r="B177" i="43" s="1"/>
  <c r="B178" i="43" s="1"/>
  <c r="B179" i="43" s="1"/>
  <c r="B180" i="43" s="1"/>
  <c r="B181" i="43" s="1"/>
  <c r="B182" i="43" s="1"/>
  <c r="B183" i="43" s="1"/>
  <c r="B184" i="43" s="1"/>
  <c r="B185" i="43" s="1"/>
  <c r="B186" i="43" s="1"/>
  <c r="B187" i="43" s="1"/>
  <c r="B188" i="43" s="1"/>
  <c r="B189" i="43" s="1"/>
  <c r="B190" i="43" s="1"/>
  <c r="B191" i="43" s="1"/>
  <c r="B192" i="43" s="1"/>
  <c r="B193" i="43" s="1"/>
  <c r="B194" i="43" s="1"/>
  <c r="B195" i="43" s="1"/>
  <c r="B196" i="43" s="1"/>
  <c r="B197" i="43" s="1"/>
  <c r="B198" i="43" s="1"/>
  <c r="B199" i="43" s="1"/>
  <c r="B200" i="43" s="1"/>
  <c r="B201" i="43" s="1"/>
  <c r="B202" i="43" s="1"/>
  <c r="B203" i="43" s="1"/>
  <c r="B204" i="43" s="1"/>
  <c r="B205" i="43" s="1"/>
  <c r="B206" i="43" s="1"/>
  <c r="B207" i="43" s="1"/>
  <c r="B208" i="43" s="1"/>
  <c r="B209" i="43" s="1"/>
  <c r="B210" i="43" s="1"/>
  <c r="B211" i="43" s="1"/>
  <c r="B212" i="43" s="1"/>
  <c r="B213" i="43" s="1"/>
  <c r="B214" i="43" s="1"/>
  <c r="B215" i="43" s="1"/>
  <c r="B216" i="43" s="1"/>
  <c r="B217" i="43" s="1"/>
  <c r="B218" i="43" s="1"/>
  <c r="B219" i="43" s="1"/>
  <c r="B220" i="43" s="1"/>
  <c r="B221" i="43" s="1"/>
  <c r="B222" i="43" s="1"/>
  <c r="B223" i="43" s="1"/>
  <c r="C143" i="43"/>
  <c r="C140" i="43"/>
  <c r="C138" i="43"/>
  <c r="C137" i="43"/>
  <c r="C136" i="43"/>
  <c r="C135" i="43"/>
  <c r="C125" i="43"/>
  <c r="C122" i="43"/>
  <c r="C121" i="43"/>
  <c r="C120" i="43"/>
  <c r="C119" i="43"/>
  <c r="C118" i="43"/>
  <c r="C117" i="43"/>
  <c r="C116" i="43"/>
  <c r="C115" i="43"/>
  <c r="C114" i="43"/>
  <c r="C113" i="43"/>
  <c r="C112" i="43"/>
  <c r="C111" i="43"/>
  <c r="C110" i="43"/>
  <c r="C109" i="43"/>
  <c r="C108" i="43"/>
  <c r="C107" i="43"/>
  <c r="C106" i="43"/>
  <c r="C105" i="43"/>
  <c r="C104" i="43"/>
  <c r="C103" i="43"/>
  <c r="C102" i="43"/>
  <c r="C101" i="43"/>
  <c r="C100" i="43"/>
  <c r="C99" i="43"/>
  <c r="C98" i="43"/>
  <c r="C97" i="43"/>
  <c r="C96" i="43"/>
  <c r="C93" i="43"/>
  <c r="C92" i="43"/>
  <c r="C91" i="43"/>
  <c r="C90" i="43"/>
  <c r="C89" i="43"/>
  <c r="C88" i="43"/>
  <c r="C87" i="43"/>
  <c r="C86" i="43"/>
  <c r="C85" i="43"/>
  <c r="C82" i="43"/>
  <c r="C81" i="43"/>
  <c r="C80" i="43"/>
  <c r="C79" i="43"/>
  <c r="C78" i="43"/>
  <c r="C77" i="43"/>
  <c r="C76" i="43"/>
  <c r="C75" i="43"/>
  <c r="C74" i="43"/>
  <c r="C73" i="43"/>
  <c r="C72" i="43"/>
  <c r="C71" i="43"/>
  <c r="C70" i="43"/>
  <c r="C69" i="43"/>
  <c r="C68" i="43"/>
  <c r="C67" i="43"/>
  <c r="C66" i="43"/>
  <c r="C65" i="43"/>
  <c r="C64" i="43"/>
  <c r="C63" i="43"/>
  <c r="C62" i="43"/>
  <c r="C61" i="43"/>
  <c r="C60" i="43"/>
  <c r="C59" i="43"/>
  <c r="C58" i="43"/>
  <c r="C57" i="43"/>
  <c r="C56" i="43"/>
  <c r="C55" i="43"/>
  <c r="C54" i="43"/>
  <c r="C53" i="43"/>
  <c r="C52" i="43"/>
  <c r="C51" i="43"/>
  <c r="C50" i="43"/>
  <c r="C49" i="43"/>
  <c r="C48" i="43"/>
  <c r="C47" i="43"/>
  <c r="C46" i="43"/>
  <c r="C45" i="43"/>
  <c r="C44" i="43"/>
  <c r="C43" i="43"/>
  <c r="C42" i="43"/>
  <c r="C41" i="43"/>
  <c r="C38" i="43"/>
  <c r="C37" i="43"/>
  <c r="C36" i="43"/>
  <c r="C35" i="43"/>
  <c r="C34" i="43"/>
  <c r="C33" i="43"/>
  <c r="C32" i="43"/>
  <c r="C31" i="43"/>
  <c r="C30" i="43"/>
  <c r="C29" i="43"/>
  <c r="C28" i="43"/>
  <c r="C23" i="43"/>
  <c r="C22" i="43"/>
  <c r="C21" i="43"/>
  <c r="C20" i="43"/>
  <c r="C19" i="43"/>
  <c r="C18" i="43"/>
  <c r="C13" i="43"/>
  <c r="B13" i="43"/>
  <c r="C12" i="43"/>
  <c r="B12" i="43"/>
  <c r="C11" i="43"/>
  <c r="B11" i="43"/>
  <c r="C10" i="43"/>
  <c r="B10" i="43"/>
  <c r="C9" i="43"/>
  <c r="B9" i="43"/>
  <c r="C8" i="43"/>
  <c r="B8" i="43"/>
  <c r="C7" i="43"/>
  <c r="B7" i="43"/>
  <c r="C6" i="43"/>
  <c r="B6" i="43"/>
  <c r="C5" i="43"/>
  <c r="B5" i="43"/>
  <c r="C4" i="43"/>
  <c r="B4" i="43"/>
  <c r="C17" i="43" l="1"/>
  <c r="C223" i="42" l="1"/>
  <c r="C222" i="42"/>
  <c r="C221" i="42"/>
  <c r="C220" i="42"/>
  <c r="C219" i="42"/>
  <c r="C218" i="42"/>
  <c r="C217" i="42"/>
  <c r="C216" i="42"/>
  <c r="C215" i="42"/>
  <c r="C214" i="42"/>
  <c r="C213" i="42"/>
  <c r="C212" i="42"/>
  <c r="C211" i="42"/>
  <c r="C210" i="42"/>
  <c r="C209" i="42"/>
  <c r="C208" i="42"/>
  <c r="C207" i="42"/>
  <c r="C206" i="42"/>
  <c r="C205" i="42"/>
  <c r="C204" i="42"/>
  <c r="C203" i="42"/>
  <c r="C202" i="42"/>
  <c r="C201" i="42"/>
  <c r="C200" i="42"/>
  <c r="C199" i="42"/>
  <c r="C198" i="42"/>
  <c r="C197" i="42"/>
  <c r="C196" i="42"/>
  <c r="C195" i="42"/>
  <c r="C194" i="42"/>
  <c r="C193" i="42"/>
  <c r="C192" i="42"/>
  <c r="C191" i="42"/>
  <c r="C190" i="42"/>
  <c r="C189" i="42"/>
  <c r="C188" i="42"/>
  <c r="C187" i="42"/>
  <c r="C186" i="42"/>
  <c r="C185" i="42"/>
  <c r="C184" i="42"/>
  <c r="C183" i="42"/>
  <c r="C182" i="42"/>
  <c r="C181" i="42"/>
  <c r="C180" i="42"/>
  <c r="C179" i="42"/>
  <c r="C178" i="42"/>
  <c r="C177" i="42"/>
  <c r="C176" i="42"/>
  <c r="C175" i="42"/>
  <c r="C174" i="42"/>
  <c r="C173" i="42"/>
  <c r="C172" i="42"/>
  <c r="C171" i="42"/>
  <c r="C170" i="42"/>
  <c r="C169" i="42"/>
  <c r="C168" i="42"/>
  <c r="C167" i="42"/>
  <c r="C166" i="42"/>
  <c r="C165" i="42"/>
  <c r="C164" i="42"/>
  <c r="C163" i="42"/>
  <c r="C162" i="42"/>
  <c r="C161" i="42"/>
  <c r="C160" i="42"/>
  <c r="C159" i="42"/>
  <c r="C158" i="42"/>
  <c r="C157" i="42"/>
  <c r="C156" i="42"/>
  <c r="C155" i="42"/>
  <c r="C154" i="42"/>
  <c r="C153" i="42"/>
  <c r="C152" i="42"/>
  <c r="C151" i="42"/>
  <c r="C150" i="42"/>
  <c r="C149" i="42"/>
  <c r="C148" i="42"/>
  <c r="C147" i="42"/>
  <c r="C146" i="42"/>
  <c r="C145" i="42"/>
  <c r="C144" i="42"/>
  <c r="B144" i="42"/>
  <c r="B145" i="42" s="1"/>
  <c r="B146" i="42" s="1"/>
  <c r="B147" i="42" s="1"/>
  <c r="B148" i="42" s="1"/>
  <c r="B149" i="42" s="1"/>
  <c r="B150" i="42" s="1"/>
  <c r="B151" i="42" s="1"/>
  <c r="B152" i="42" s="1"/>
  <c r="B153" i="42" s="1"/>
  <c r="B154" i="42" s="1"/>
  <c r="B155" i="42" s="1"/>
  <c r="B156" i="42" s="1"/>
  <c r="B157" i="42" s="1"/>
  <c r="B158" i="42" s="1"/>
  <c r="B159" i="42" s="1"/>
  <c r="B160" i="42" s="1"/>
  <c r="B161" i="42" s="1"/>
  <c r="B162" i="42" s="1"/>
  <c r="B163" i="42" s="1"/>
  <c r="B164" i="42" s="1"/>
  <c r="B165" i="42" s="1"/>
  <c r="B166" i="42" s="1"/>
  <c r="B167" i="42" s="1"/>
  <c r="B168" i="42" s="1"/>
  <c r="B169" i="42" s="1"/>
  <c r="B170" i="42" s="1"/>
  <c r="B171" i="42" s="1"/>
  <c r="B172" i="42" s="1"/>
  <c r="B173" i="42" s="1"/>
  <c r="B174" i="42" s="1"/>
  <c r="B175" i="42" s="1"/>
  <c r="B176" i="42" s="1"/>
  <c r="B177" i="42" s="1"/>
  <c r="B178" i="42" s="1"/>
  <c r="B179" i="42" s="1"/>
  <c r="B180" i="42" s="1"/>
  <c r="B181" i="42" s="1"/>
  <c r="B182" i="42" s="1"/>
  <c r="B183" i="42" s="1"/>
  <c r="B184" i="42" s="1"/>
  <c r="B185" i="42" s="1"/>
  <c r="B186" i="42" s="1"/>
  <c r="B187" i="42" s="1"/>
  <c r="B188" i="42" s="1"/>
  <c r="B189" i="42" s="1"/>
  <c r="B190" i="42" s="1"/>
  <c r="B191" i="42" s="1"/>
  <c r="B192" i="42" s="1"/>
  <c r="B193" i="42" s="1"/>
  <c r="B194" i="42" s="1"/>
  <c r="B195" i="42" s="1"/>
  <c r="B196" i="42" s="1"/>
  <c r="B197" i="42" s="1"/>
  <c r="B198" i="42" s="1"/>
  <c r="B199" i="42" s="1"/>
  <c r="B200" i="42" s="1"/>
  <c r="B201" i="42" s="1"/>
  <c r="B202" i="42" s="1"/>
  <c r="B203" i="42" s="1"/>
  <c r="B204" i="42" s="1"/>
  <c r="B205" i="42" s="1"/>
  <c r="B206" i="42" s="1"/>
  <c r="B207" i="42" s="1"/>
  <c r="B208" i="42" s="1"/>
  <c r="B209" i="42" s="1"/>
  <c r="B210" i="42" s="1"/>
  <c r="B211" i="42" s="1"/>
  <c r="B212" i="42" s="1"/>
  <c r="B213" i="42" s="1"/>
  <c r="B214" i="42" s="1"/>
  <c r="B215" i="42" s="1"/>
  <c r="B216" i="42" s="1"/>
  <c r="B217" i="42" s="1"/>
  <c r="B218" i="42" s="1"/>
  <c r="B219" i="42" s="1"/>
  <c r="B220" i="42" s="1"/>
  <c r="B221" i="42" s="1"/>
  <c r="B222" i="42" s="1"/>
  <c r="B223" i="42" s="1"/>
  <c r="C143" i="42"/>
  <c r="C140" i="42"/>
  <c r="C138" i="42"/>
  <c r="C137" i="42"/>
  <c r="C136" i="42"/>
  <c r="C135" i="42"/>
  <c r="C125" i="42"/>
  <c r="C122" i="42"/>
  <c r="C121" i="42"/>
  <c r="C120" i="42"/>
  <c r="C119" i="42"/>
  <c r="C118" i="42"/>
  <c r="C117" i="42"/>
  <c r="C116" i="42"/>
  <c r="C115" i="42"/>
  <c r="C114" i="42"/>
  <c r="C113" i="42"/>
  <c r="C112" i="42"/>
  <c r="C111" i="42"/>
  <c r="C110" i="42"/>
  <c r="C109" i="42"/>
  <c r="C108" i="42"/>
  <c r="C107" i="42"/>
  <c r="C106" i="42"/>
  <c r="C105" i="42"/>
  <c r="C104" i="42"/>
  <c r="C103" i="42"/>
  <c r="C102" i="42"/>
  <c r="C101" i="42"/>
  <c r="C100" i="42"/>
  <c r="C99" i="42"/>
  <c r="C98" i="42"/>
  <c r="C97" i="42"/>
  <c r="C96" i="42"/>
  <c r="C93" i="42"/>
  <c r="C92" i="42"/>
  <c r="C91" i="42"/>
  <c r="C90" i="42"/>
  <c r="C89" i="42"/>
  <c r="C88" i="42"/>
  <c r="C87" i="42"/>
  <c r="C86" i="42"/>
  <c r="C85" i="42"/>
  <c r="C82" i="42"/>
  <c r="C81" i="42"/>
  <c r="C80" i="42"/>
  <c r="C79" i="42"/>
  <c r="C78" i="42"/>
  <c r="C77" i="42"/>
  <c r="C76" i="42"/>
  <c r="C75" i="42"/>
  <c r="C74" i="42"/>
  <c r="C73" i="42"/>
  <c r="C72" i="42"/>
  <c r="C71" i="42"/>
  <c r="C70" i="42"/>
  <c r="C69" i="42"/>
  <c r="C68" i="42"/>
  <c r="C67" i="42"/>
  <c r="C66" i="42"/>
  <c r="C65" i="42"/>
  <c r="C64" i="42"/>
  <c r="C63" i="42"/>
  <c r="C62" i="42"/>
  <c r="C61" i="42"/>
  <c r="C60" i="42"/>
  <c r="C59" i="42"/>
  <c r="C58" i="42"/>
  <c r="C57" i="42"/>
  <c r="C56" i="42"/>
  <c r="C55" i="42"/>
  <c r="C54" i="42"/>
  <c r="C53" i="42"/>
  <c r="C52" i="42"/>
  <c r="C51" i="42"/>
  <c r="C50" i="42"/>
  <c r="C49" i="42"/>
  <c r="C48" i="42"/>
  <c r="C47" i="42"/>
  <c r="C46" i="42"/>
  <c r="C45" i="42"/>
  <c r="C44" i="42"/>
  <c r="C43" i="42"/>
  <c r="C42" i="42"/>
  <c r="C41" i="42"/>
  <c r="C38" i="42"/>
  <c r="C37" i="42"/>
  <c r="C36" i="42"/>
  <c r="C35" i="42"/>
  <c r="C34" i="42"/>
  <c r="C33" i="42"/>
  <c r="C32" i="42"/>
  <c r="C31" i="42"/>
  <c r="C30" i="42"/>
  <c r="C29" i="42"/>
  <c r="C28" i="42"/>
  <c r="C23" i="42"/>
  <c r="C22" i="42"/>
  <c r="C21" i="42"/>
  <c r="C20" i="42"/>
  <c r="C19" i="42"/>
  <c r="C18" i="42"/>
  <c r="C13" i="42"/>
  <c r="B13" i="42"/>
  <c r="C12" i="42"/>
  <c r="B12" i="42"/>
  <c r="C11" i="42"/>
  <c r="B11" i="42"/>
  <c r="C10" i="42"/>
  <c r="B10" i="42"/>
  <c r="C9" i="42"/>
  <c r="B9" i="42"/>
  <c r="C8" i="42"/>
  <c r="B8" i="42"/>
  <c r="C7" i="42"/>
  <c r="B7" i="42"/>
  <c r="C6" i="42"/>
  <c r="B6" i="42"/>
  <c r="C5" i="42"/>
  <c r="B5" i="42"/>
  <c r="C4" i="42"/>
  <c r="B4" i="42"/>
  <c r="C17" i="42" l="1"/>
  <c r="C223" i="41" l="1"/>
  <c r="C222" i="41"/>
  <c r="C221" i="41"/>
  <c r="C220" i="41"/>
  <c r="C219" i="41"/>
  <c r="C218" i="41"/>
  <c r="C217" i="41"/>
  <c r="C216" i="41"/>
  <c r="C215" i="41"/>
  <c r="C214" i="41"/>
  <c r="C213" i="41"/>
  <c r="C212" i="41"/>
  <c r="C211" i="41"/>
  <c r="C210" i="41"/>
  <c r="C209" i="41"/>
  <c r="C208" i="41"/>
  <c r="C207" i="41"/>
  <c r="C206" i="41"/>
  <c r="C205" i="41"/>
  <c r="C204" i="41"/>
  <c r="C203" i="41"/>
  <c r="C202" i="41"/>
  <c r="C201" i="41"/>
  <c r="C200" i="41"/>
  <c r="C199" i="41"/>
  <c r="C198" i="41"/>
  <c r="C197" i="41"/>
  <c r="C196" i="41"/>
  <c r="C195" i="41"/>
  <c r="C194" i="41"/>
  <c r="C193" i="41"/>
  <c r="C192" i="41"/>
  <c r="C191" i="41"/>
  <c r="C190" i="41"/>
  <c r="C189" i="41"/>
  <c r="C188" i="41"/>
  <c r="C187" i="41"/>
  <c r="C186" i="41"/>
  <c r="C185" i="41"/>
  <c r="C184" i="41"/>
  <c r="C183" i="41"/>
  <c r="C182" i="41"/>
  <c r="C181" i="41"/>
  <c r="C180" i="41"/>
  <c r="C179" i="41"/>
  <c r="C178" i="41"/>
  <c r="C177" i="41"/>
  <c r="C176" i="41"/>
  <c r="C175" i="41"/>
  <c r="C174" i="41"/>
  <c r="C173" i="41"/>
  <c r="C172" i="41"/>
  <c r="C171" i="41"/>
  <c r="C170" i="41"/>
  <c r="C169" i="41"/>
  <c r="C168" i="41"/>
  <c r="C167" i="41"/>
  <c r="C166" i="41"/>
  <c r="C165" i="41"/>
  <c r="C164" i="41"/>
  <c r="C163" i="41"/>
  <c r="C162" i="41"/>
  <c r="C161" i="41"/>
  <c r="C160" i="41"/>
  <c r="C159" i="41"/>
  <c r="C158" i="41"/>
  <c r="C157" i="41"/>
  <c r="C156" i="41"/>
  <c r="C155" i="41"/>
  <c r="C154" i="41"/>
  <c r="C153" i="41"/>
  <c r="C152" i="41"/>
  <c r="C151" i="41"/>
  <c r="C150" i="41"/>
  <c r="C149" i="41"/>
  <c r="C148" i="41"/>
  <c r="C147" i="41"/>
  <c r="C146" i="41"/>
  <c r="C145" i="41"/>
  <c r="C144" i="41"/>
  <c r="B144" i="41"/>
  <c r="B145" i="41" s="1"/>
  <c r="B146" i="41" s="1"/>
  <c r="B147" i="41" s="1"/>
  <c r="B148" i="41" s="1"/>
  <c r="B149" i="41" s="1"/>
  <c r="B150" i="41" s="1"/>
  <c r="B151" i="41" s="1"/>
  <c r="B152" i="41" s="1"/>
  <c r="B153" i="41" s="1"/>
  <c r="B154" i="41" s="1"/>
  <c r="B155" i="41" s="1"/>
  <c r="B156" i="41" s="1"/>
  <c r="B157" i="41" s="1"/>
  <c r="B158" i="41" s="1"/>
  <c r="B159" i="41" s="1"/>
  <c r="B160" i="41" s="1"/>
  <c r="B161" i="41" s="1"/>
  <c r="B162" i="41" s="1"/>
  <c r="B163" i="41" s="1"/>
  <c r="B164" i="41" s="1"/>
  <c r="B165" i="41" s="1"/>
  <c r="B166" i="41" s="1"/>
  <c r="B167" i="41" s="1"/>
  <c r="B168" i="41" s="1"/>
  <c r="B169" i="41" s="1"/>
  <c r="B170" i="41" s="1"/>
  <c r="B171" i="41" s="1"/>
  <c r="B172" i="41" s="1"/>
  <c r="B173" i="41" s="1"/>
  <c r="B174" i="41" s="1"/>
  <c r="B175" i="41" s="1"/>
  <c r="B176" i="41" s="1"/>
  <c r="B177" i="41" s="1"/>
  <c r="B178" i="41" s="1"/>
  <c r="B179" i="41" s="1"/>
  <c r="B180" i="41" s="1"/>
  <c r="B181" i="41" s="1"/>
  <c r="B182" i="41" s="1"/>
  <c r="B183" i="41" s="1"/>
  <c r="B184" i="41" s="1"/>
  <c r="B185" i="41" s="1"/>
  <c r="B186" i="41" s="1"/>
  <c r="B187" i="41" s="1"/>
  <c r="B188" i="41" s="1"/>
  <c r="B189" i="41" s="1"/>
  <c r="B190" i="41" s="1"/>
  <c r="B191" i="41" s="1"/>
  <c r="B192" i="41" s="1"/>
  <c r="B193" i="41" s="1"/>
  <c r="B194" i="41" s="1"/>
  <c r="B195" i="41" s="1"/>
  <c r="B196" i="41" s="1"/>
  <c r="B197" i="41" s="1"/>
  <c r="B198" i="41" s="1"/>
  <c r="B199" i="41" s="1"/>
  <c r="B200" i="41" s="1"/>
  <c r="B201" i="41" s="1"/>
  <c r="B202" i="41" s="1"/>
  <c r="B203" i="41" s="1"/>
  <c r="B204" i="41" s="1"/>
  <c r="B205" i="41" s="1"/>
  <c r="B206" i="41" s="1"/>
  <c r="B207" i="41" s="1"/>
  <c r="B208" i="41" s="1"/>
  <c r="B209" i="41" s="1"/>
  <c r="B210" i="41" s="1"/>
  <c r="B211" i="41" s="1"/>
  <c r="B212" i="41" s="1"/>
  <c r="B213" i="41" s="1"/>
  <c r="B214" i="41" s="1"/>
  <c r="B215" i="41" s="1"/>
  <c r="B216" i="41" s="1"/>
  <c r="B217" i="41" s="1"/>
  <c r="B218" i="41" s="1"/>
  <c r="B219" i="41" s="1"/>
  <c r="B220" i="41" s="1"/>
  <c r="B221" i="41" s="1"/>
  <c r="B222" i="41" s="1"/>
  <c r="B223" i="41" s="1"/>
  <c r="C143" i="41"/>
  <c r="C140" i="41"/>
  <c r="C138" i="41"/>
  <c r="C137" i="41"/>
  <c r="C136" i="41"/>
  <c r="C135" i="41"/>
  <c r="C125" i="41"/>
  <c r="C122" i="41"/>
  <c r="C121" i="41"/>
  <c r="C120" i="41"/>
  <c r="C119" i="41"/>
  <c r="C118" i="41"/>
  <c r="C117" i="41"/>
  <c r="C116" i="41"/>
  <c r="C115" i="41"/>
  <c r="C114" i="41"/>
  <c r="C113" i="41"/>
  <c r="C112" i="41"/>
  <c r="C111" i="41"/>
  <c r="C110" i="41"/>
  <c r="C109" i="41"/>
  <c r="C108" i="41"/>
  <c r="C107" i="41"/>
  <c r="C106" i="41"/>
  <c r="C105" i="41"/>
  <c r="C104" i="41"/>
  <c r="C103" i="41"/>
  <c r="C102" i="41"/>
  <c r="C101" i="41"/>
  <c r="C100" i="41"/>
  <c r="C99" i="41"/>
  <c r="C98" i="41"/>
  <c r="C97" i="41"/>
  <c r="C96" i="41"/>
  <c r="C93" i="41"/>
  <c r="C92" i="41"/>
  <c r="C91" i="41"/>
  <c r="C90" i="41"/>
  <c r="C89" i="41"/>
  <c r="C88" i="41"/>
  <c r="C87" i="41"/>
  <c r="C86" i="41"/>
  <c r="C85" i="41"/>
  <c r="C82" i="41"/>
  <c r="C81" i="41"/>
  <c r="C80" i="41"/>
  <c r="C79" i="41"/>
  <c r="C78" i="41"/>
  <c r="C77" i="41"/>
  <c r="C76" i="41"/>
  <c r="C75" i="41"/>
  <c r="C74" i="41"/>
  <c r="C73" i="41"/>
  <c r="C72" i="41"/>
  <c r="C71" i="41"/>
  <c r="C70" i="41"/>
  <c r="C69" i="41"/>
  <c r="C68" i="41"/>
  <c r="C67" i="41"/>
  <c r="C66" i="41"/>
  <c r="C65" i="41"/>
  <c r="C64" i="41"/>
  <c r="C63" i="41"/>
  <c r="C62" i="41"/>
  <c r="C61" i="41"/>
  <c r="C60" i="41"/>
  <c r="C59" i="41"/>
  <c r="C58" i="41"/>
  <c r="C57" i="41"/>
  <c r="C56" i="41"/>
  <c r="C55" i="41"/>
  <c r="C54" i="41"/>
  <c r="C53" i="41"/>
  <c r="C52" i="41"/>
  <c r="C51" i="41"/>
  <c r="C50" i="41"/>
  <c r="C49" i="41"/>
  <c r="C48" i="41"/>
  <c r="C47" i="41"/>
  <c r="C46" i="41"/>
  <c r="C45" i="41"/>
  <c r="C44" i="41"/>
  <c r="C43" i="41"/>
  <c r="C42" i="41"/>
  <c r="C41" i="41"/>
  <c r="C38" i="41"/>
  <c r="C37" i="41"/>
  <c r="C36" i="41"/>
  <c r="C35" i="41"/>
  <c r="C34" i="41"/>
  <c r="C33" i="41"/>
  <c r="C32" i="41"/>
  <c r="C31" i="41"/>
  <c r="C30" i="41"/>
  <c r="C29" i="41"/>
  <c r="C28" i="41"/>
  <c r="C23" i="41"/>
  <c r="C22" i="41"/>
  <c r="C21" i="41"/>
  <c r="C20" i="41"/>
  <c r="C19" i="41"/>
  <c r="C18" i="41"/>
  <c r="C13" i="41"/>
  <c r="B13" i="41"/>
  <c r="C12" i="41"/>
  <c r="B12" i="41"/>
  <c r="C11" i="41"/>
  <c r="B11" i="41"/>
  <c r="C10" i="41"/>
  <c r="B10" i="41"/>
  <c r="C9" i="41"/>
  <c r="B9" i="41"/>
  <c r="C8" i="41"/>
  <c r="B8" i="41"/>
  <c r="C7" i="41"/>
  <c r="B7" i="41"/>
  <c r="C6" i="41"/>
  <c r="B6" i="41"/>
  <c r="C5" i="41"/>
  <c r="B5" i="41"/>
  <c r="C4" i="41"/>
  <c r="B4" i="41"/>
  <c r="C17" i="41" l="1"/>
  <c r="C223" i="40" l="1"/>
  <c r="C222" i="40"/>
  <c r="C221" i="40"/>
  <c r="C220" i="40"/>
  <c r="C219" i="40"/>
  <c r="C218" i="40"/>
  <c r="C217" i="40"/>
  <c r="C216" i="40"/>
  <c r="C215" i="40"/>
  <c r="C214" i="40"/>
  <c r="C213" i="40"/>
  <c r="C212" i="40"/>
  <c r="C211" i="40"/>
  <c r="C210" i="40"/>
  <c r="C209" i="40"/>
  <c r="C208" i="40"/>
  <c r="C207" i="40"/>
  <c r="C206" i="40"/>
  <c r="C205" i="40"/>
  <c r="C204" i="40"/>
  <c r="C203" i="40"/>
  <c r="C202" i="40"/>
  <c r="C201" i="40"/>
  <c r="C200" i="40"/>
  <c r="C199" i="40"/>
  <c r="C198" i="40"/>
  <c r="C197" i="40"/>
  <c r="C196" i="40"/>
  <c r="C195" i="40"/>
  <c r="C194" i="40"/>
  <c r="C193" i="40"/>
  <c r="C192" i="40"/>
  <c r="C191" i="40"/>
  <c r="C190" i="40"/>
  <c r="C189" i="40"/>
  <c r="C188" i="40"/>
  <c r="C187" i="40"/>
  <c r="C186" i="40"/>
  <c r="C185" i="40"/>
  <c r="C184" i="40"/>
  <c r="C183" i="40"/>
  <c r="C182" i="40"/>
  <c r="C181" i="40"/>
  <c r="C180" i="40"/>
  <c r="C179" i="40"/>
  <c r="C178" i="40"/>
  <c r="C177" i="40"/>
  <c r="C176" i="40"/>
  <c r="C175" i="40"/>
  <c r="C174" i="40"/>
  <c r="C173" i="40"/>
  <c r="C172" i="40"/>
  <c r="C171" i="40"/>
  <c r="C170" i="40"/>
  <c r="C169" i="40"/>
  <c r="C168" i="40"/>
  <c r="C167" i="40"/>
  <c r="C166" i="40"/>
  <c r="C165" i="40"/>
  <c r="C164" i="40"/>
  <c r="C163" i="40"/>
  <c r="C162" i="40"/>
  <c r="C161" i="40"/>
  <c r="C160" i="40"/>
  <c r="C159" i="40"/>
  <c r="C158" i="40"/>
  <c r="C157" i="40"/>
  <c r="C156" i="40"/>
  <c r="C155" i="40"/>
  <c r="C154" i="40"/>
  <c r="C153" i="40"/>
  <c r="C152" i="40"/>
  <c r="C151" i="40"/>
  <c r="C150" i="40"/>
  <c r="C149" i="40"/>
  <c r="C148" i="40"/>
  <c r="C147" i="40"/>
  <c r="C146" i="40"/>
  <c r="C145" i="40"/>
  <c r="C144" i="40"/>
  <c r="B144" i="40"/>
  <c r="B145" i="40" s="1"/>
  <c r="B146" i="40" s="1"/>
  <c r="B147" i="40" s="1"/>
  <c r="B148" i="40" s="1"/>
  <c r="B149" i="40" s="1"/>
  <c r="B150" i="40" s="1"/>
  <c r="B151" i="40" s="1"/>
  <c r="B152" i="40" s="1"/>
  <c r="B153" i="40" s="1"/>
  <c r="B154" i="40" s="1"/>
  <c r="B155" i="40" s="1"/>
  <c r="B156" i="40" s="1"/>
  <c r="B157" i="40" s="1"/>
  <c r="B158" i="40" s="1"/>
  <c r="B159" i="40" s="1"/>
  <c r="B160" i="40" s="1"/>
  <c r="B161" i="40" s="1"/>
  <c r="B162" i="40" s="1"/>
  <c r="B163" i="40" s="1"/>
  <c r="B164" i="40" s="1"/>
  <c r="B165" i="40" s="1"/>
  <c r="B166" i="40" s="1"/>
  <c r="B167" i="40" s="1"/>
  <c r="B168" i="40" s="1"/>
  <c r="B169" i="40" s="1"/>
  <c r="B170" i="40" s="1"/>
  <c r="B171" i="40" s="1"/>
  <c r="B172" i="40" s="1"/>
  <c r="B173" i="40" s="1"/>
  <c r="B174" i="40" s="1"/>
  <c r="B175" i="40" s="1"/>
  <c r="B176" i="40" s="1"/>
  <c r="B177" i="40" s="1"/>
  <c r="B178" i="40" s="1"/>
  <c r="B179" i="40" s="1"/>
  <c r="B180" i="40" s="1"/>
  <c r="B181" i="40" s="1"/>
  <c r="B182" i="40" s="1"/>
  <c r="B183" i="40" s="1"/>
  <c r="B184" i="40" s="1"/>
  <c r="B185" i="40" s="1"/>
  <c r="B186" i="40" s="1"/>
  <c r="B187" i="40" s="1"/>
  <c r="B188" i="40" s="1"/>
  <c r="B189" i="40" s="1"/>
  <c r="B190" i="40" s="1"/>
  <c r="B191" i="40" s="1"/>
  <c r="B192" i="40" s="1"/>
  <c r="B193" i="40" s="1"/>
  <c r="B194" i="40" s="1"/>
  <c r="B195" i="40" s="1"/>
  <c r="B196" i="40" s="1"/>
  <c r="B197" i="40" s="1"/>
  <c r="B198" i="40" s="1"/>
  <c r="B199" i="40" s="1"/>
  <c r="B200" i="40" s="1"/>
  <c r="B201" i="40" s="1"/>
  <c r="B202" i="40" s="1"/>
  <c r="B203" i="40" s="1"/>
  <c r="B204" i="40" s="1"/>
  <c r="B205" i="40" s="1"/>
  <c r="B206" i="40" s="1"/>
  <c r="B207" i="40" s="1"/>
  <c r="B208" i="40" s="1"/>
  <c r="B209" i="40" s="1"/>
  <c r="B210" i="40" s="1"/>
  <c r="B211" i="40" s="1"/>
  <c r="B212" i="40" s="1"/>
  <c r="B213" i="40" s="1"/>
  <c r="B214" i="40" s="1"/>
  <c r="B215" i="40" s="1"/>
  <c r="B216" i="40" s="1"/>
  <c r="B217" i="40" s="1"/>
  <c r="B218" i="40" s="1"/>
  <c r="B219" i="40" s="1"/>
  <c r="B220" i="40" s="1"/>
  <c r="B221" i="40" s="1"/>
  <c r="B222" i="40" s="1"/>
  <c r="B223" i="40" s="1"/>
  <c r="C143" i="40"/>
  <c r="C140" i="40"/>
  <c r="C138" i="40"/>
  <c r="C137" i="40"/>
  <c r="C136" i="40"/>
  <c r="C135" i="40"/>
  <c r="C125" i="40"/>
  <c r="C122" i="40"/>
  <c r="C121" i="40"/>
  <c r="C120" i="40"/>
  <c r="C119" i="40"/>
  <c r="C118" i="40"/>
  <c r="C117" i="40"/>
  <c r="C116" i="40"/>
  <c r="C115" i="40"/>
  <c r="C114" i="40"/>
  <c r="C113" i="40"/>
  <c r="C112" i="40"/>
  <c r="C111" i="40"/>
  <c r="C110" i="40"/>
  <c r="C109" i="40"/>
  <c r="C108" i="40"/>
  <c r="C107" i="40"/>
  <c r="C106" i="40"/>
  <c r="C105" i="40"/>
  <c r="C104" i="40"/>
  <c r="C103" i="40"/>
  <c r="C102" i="40"/>
  <c r="C101" i="40"/>
  <c r="C100" i="40"/>
  <c r="C99" i="40"/>
  <c r="C98" i="40"/>
  <c r="C97" i="40"/>
  <c r="C96" i="40"/>
  <c r="C93" i="40"/>
  <c r="C92" i="40"/>
  <c r="C91" i="40"/>
  <c r="C90" i="40"/>
  <c r="C89" i="40"/>
  <c r="C88" i="40"/>
  <c r="C87" i="40"/>
  <c r="C86" i="40"/>
  <c r="C85" i="40"/>
  <c r="C82" i="40"/>
  <c r="C81" i="40"/>
  <c r="C80" i="40"/>
  <c r="C79" i="40"/>
  <c r="C78" i="40"/>
  <c r="C77" i="40"/>
  <c r="C76" i="40"/>
  <c r="C75" i="40"/>
  <c r="C74" i="40"/>
  <c r="C73" i="40"/>
  <c r="C72" i="40"/>
  <c r="C71" i="40"/>
  <c r="C70" i="40"/>
  <c r="C69" i="40"/>
  <c r="C68" i="40"/>
  <c r="C67" i="40"/>
  <c r="C66" i="40"/>
  <c r="C65" i="40"/>
  <c r="C64" i="40"/>
  <c r="C63" i="40"/>
  <c r="C62" i="40"/>
  <c r="C61" i="40"/>
  <c r="C60" i="40"/>
  <c r="C59" i="40"/>
  <c r="C58" i="40"/>
  <c r="C57" i="40"/>
  <c r="C56" i="40"/>
  <c r="C55" i="40"/>
  <c r="C54" i="40"/>
  <c r="C53" i="40"/>
  <c r="C52" i="40"/>
  <c r="C51" i="40"/>
  <c r="C50" i="40"/>
  <c r="C49" i="40"/>
  <c r="C48" i="40"/>
  <c r="C47" i="40"/>
  <c r="C46" i="40"/>
  <c r="C45" i="40"/>
  <c r="C44" i="40"/>
  <c r="C43" i="40"/>
  <c r="C42" i="40"/>
  <c r="C41" i="40"/>
  <c r="C38" i="40"/>
  <c r="C37" i="40"/>
  <c r="C36" i="40"/>
  <c r="C35" i="40"/>
  <c r="C34" i="40"/>
  <c r="C33" i="40"/>
  <c r="C32" i="40"/>
  <c r="C31" i="40"/>
  <c r="C30" i="40"/>
  <c r="C29" i="40"/>
  <c r="C28" i="40"/>
  <c r="C23" i="40"/>
  <c r="C22" i="40"/>
  <c r="C21" i="40"/>
  <c r="C20" i="40"/>
  <c r="C19" i="40"/>
  <c r="C18" i="40"/>
  <c r="C13" i="40"/>
  <c r="B13" i="40"/>
  <c r="C12" i="40"/>
  <c r="B12" i="40"/>
  <c r="C11" i="40"/>
  <c r="B11" i="40"/>
  <c r="C10" i="40"/>
  <c r="B10" i="40"/>
  <c r="C9" i="40"/>
  <c r="B9" i="40"/>
  <c r="C8" i="40"/>
  <c r="B8" i="40"/>
  <c r="C7" i="40"/>
  <c r="B7" i="40"/>
  <c r="C6" i="40"/>
  <c r="B6" i="40"/>
  <c r="C5" i="40"/>
  <c r="B5" i="40"/>
  <c r="C4" i="40"/>
  <c r="B4" i="40"/>
  <c r="C17" i="40" l="1"/>
  <c r="C223" i="39" l="1"/>
  <c r="C222" i="39"/>
  <c r="C221" i="39"/>
  <c r="C220" i="39"/>
  <c r="C219" i="39"/>
  <c r="C218" i="39"/>
  <c r="C217" i="39"/>
  <c r="C216" i="39"/>
  <c r="C215" i="39"/>
  <c r="C214" i="39"/>
  <c r="C213" i="39"/>
  <c r="C212" i="39"/>
  <c r="C211" i="39"/>
  <c r="C210" i="39"/>
  <c r="C209" i="39"/>
  <c r="C208" i="39"/>
  <c r="C207" i="39"/>
  <c r="C206" i="39"/>
  <c r="C205" i="39"/>
  <c r="C204" i="39"/>
  <c r="C203" i="39"/>
  <c r="C202" i="39"/>
  <c r="C201" i="39"/>
  <c r="C200" i="39"/>
  <c r="C199" i="39"/>
  <c r="C198" i="39"/>
  <c r="C197" i="39"/>
  <c r="C196" i="39"/>
  <c r="C195" i="39"/>
  <c r="C194" i="39"/>
  <c r="C193" i="39"/>
  <c r="C192" i="39"/>
  <c r="C191" i="39"/>
  <c r="C190" i="39"/>
  <c r="C189" i="39"/>
  <c r="C188" i="39"/>
  <c r="C187" i="39"/>
  <c r="C186" i="39"/>
  <c r="C185" i="39"/>
  <c r="C184" i="39"/>
  <c r="C183" i="39"/>
  <c r="C182" i="39"/>
  <c r="C181" i="39"/>
  <c r="C180" i="39"/>
  <c r="C179" i="39"/>
  <c r="C178" i="39"/>
  <c r="C177" i="39"/>
  <c r="C176" i="39"/>
  <c r="C175" i="39"/>
  <c r="C174" i="39"/>
  <c r="C173" i="39"/>
  <c r="C172" i="39"/>
  <c r="C171" i="39"/>
  <c r="C170" i="39"/>
  <c r="C169" i="39"/>
  <c r="C168" i="39"/>
  <c r="C167" i="39"/>
  <c r="C166" i="39"/>
  <c r="C165" i="39"/>
  <c r="C164" i="39"/>
  <c r="C163" i="39"/>
  <c r="C162" i="39"/>
  <c r="C161" i="39"/>
  <c r="C160" i="39"/>
  <c r="C159" i="39"/>
  <c r="C158" i="39"/>
  <c r="C157" i="39"/>
  <c r="C156" i="39"/>
  <c r="C155" i="39"/>
  <c r="C154" i="39"/>
  <c r="C153" i="39"/>
  <c r="C152" i="39"/>
  <c r="C151" i="39"/>
  <c r="C150" i="39"/>
  <c r="C149" i="39"/>
  <c r="C148" i="39"/>
  <c r="C147" i="39"/>
  <c r="C146" i="39"/>
  <c r="C145" i="39"/>
  <c r="B145" i="39"/>
  <c r="B146" i="39" s="1"/>
  <c r="B147" i="39" s="1"/>
  <c r="B148" i="39" s="1"/>
  <c r="B149" i="39" s="1"/>
  <c r="B150" i="39" s="1"/>
  <c r="B151" i="39" s="1"/>
  <c r="B152" i="39" s="1"/>
  <c r="B153" i="39" s="1"/>
  <c r="B154" i="39" s="1"/>
  <c r="B155" i="39" s="1"/>
  <c r="B156" i="39" s="1"/>
  <c r="B157" i="39" s="1"/>
  <c r="B158" i="39" s="1"/>
  <c r="B159" i="39" s="1"/>
  <c r="B160" i="39" s="1"/>
  <c r="B161" i="39" s="1"/>
  <c r="B162" i="39" s="1"/>
  <c r="B163" i="39" s="1"/>
  <c r="B164" i="39" s="1"/>
  <c r="B165" i="39" s="1"/>
  <c r="B166" i="39" s="1"/>
  <c r="B167" i="39" s="1"/>
  <c r="B168" i="39" s="1"/>
  <c r="B169" i="39" s="1"/>
  <c r="B170" i="39" s="1"/>
  <c r="B171" i="39" s="1"/>
  <c r="B172" i="39" s="1"/>
  <c r="B173" i="39" s="1"/>
  <c r="B174" i="39" s="1"/>
  <c r="B175" i="39" s="1"/>
  <c r="B176" i="39" s="1"/>
  <c r="B177" i="39" s="1"/>
  <c r="B178" i="39" s="1"/>
  <c r="B179" i="39" s="1"/>
  <c r="B180" i="39" s="1"/>
  <c r="B181" i="39" s="1"/>
  <c r="B182" i="39" s="1"/>
  <c r="B183" i="39" s="1"/>
  <c r="B184" i="39" s="1"/>
  <c r="B185" i="39" s="1"/>
  <c r="B186" i="39" s="1"/>
  <c r="B187" i="39" s="1"/>
  <c r="B188" i="39" s="1"/>
  <c r="B189" i="39" s="1"/>
  <c r="B190" i="39" s="1"/>
  <c r="B191" i="39" s="1"/>
  <c r="B192" i="39" s="1"/>
  <c r="B193" i="39" s="1"/>
  <c r="B194" i="39" s="1"/>
  <c r="B195" i="39" s="1"/>
  <c r="B196" i="39" s="1"/>
  <c r="B197" i="39" s="1"/>
  <c r="B198" i="39" s="1"/>
  <c r="B199" i="39" s="1"/>
  <c r="B200" i="39" s="1"/>
  <c r="B201" i="39" s="1"/>
  <c r="B202" i="39" s="1"/>
  <c r="B203" i="39" s="1"/>
  <c r="B204" i="39" s="1"/>
  <c r="B205" i="39" s="1"/>
  <c r="B206" i="39" s="1"/>
  <c r="B207" i="39" s="1"/>
  <c r="B208" i="39" s="1"/>
  <c r="B209" i="39" s="1"/>
  <c r="B210" i="39" s="1"/>
  <c r="B211" i="39" s="1"/>
  <c r="B212" i="39" s="1"/>
  <c r="B213" i="39" s="1"/>
  <c r="B214" i="39" s="1"/>
  <c r="B215" i="39" s="1"/>
  <c r="B216" i="39" s="1"/>
  <c r="B217" i="39" s="1"/>
  <c r="B218" i="39" s="1"/>
  <c r="B219" i="39" s="1"/>
  <c r="B220" i="39" s="1"/>
  <c r="B221" i="39" s="1"/>
  <c r="B222" i="39" s="1"/>
  <c r="B223" i="39" s="1"/>
  <c r="C144" i="39"/>
  <c r="B144" i="39"/>
  <c r="C143" i="39"/>
  <c r="C140" i="39"/>
  <c r="C138" i="39"/>
  <c r="C137" i="39"/>
  <c r="C136" i="39"/>
  <c r="C135" i="39"/>
  <c r="C125" i="39"/>
  <c r="C122" i="39"/>
  <c r="C121" i="39"/>
  <c r="C120" i="39"/>
  <c r="C119" i="39"/>
  <c r="C118" i="39"/>
  <c r="C117" i="39"/>
  <c r="C116" i="39"/>
  <c r="C115" i="39"/>
  <c r="C114" i="39"/>
  <c r="C113" i="39"/>
  <c r="C112" i="39"/>
  <c r="C111" i="39"/>
  <c r="C110" i="39"/>
  <c r="C109" i="39"/>
  <c r="C108" i="39"/>
  <c r="C107" i="39"/>
  <c r="C106" i="39"/>
  <c r="C105" i="39"/>
  <c r="C104" i="39"/>
  <c r="C103" i="39"/>
  <c r="C102" i="39"/>
  <c r="C101" i="39"/>
  <c r="C100" i="39"/>
  <c r="C99" i="39"/>
  <c r="C98" i="39"/>
  <c r="C97" i="39"/>
  <c r="C96" i="39"/>
  <c r="C93" i="39"/>
  <c r="C92" i="39"/>
  <c r="C91" i="39"/>
  <c r="C90" i="39"/>
  <c r="C89" i="39"/>
  <c r="C88" i="39"/>
  <c r="C87" i="39"/>
  <c r="C86" i="39"/>
  <c r="C85" i="39"/>
  <c r="C82" i="39"/>
  <c r="C81" i="39"/>
  <c r="C80" i="39"/>
  <c r="C79" i="39"/>
  <c r="C78" i="39"/>
  <c r="C77" i="39"/>
  <c r="C76" i="39"/>
  <c r="C75" i="39"/>
  <c r="C74" i="39"/>
  <c r="C73" i="39"/>
  <c r="C72" i="39"/>
  <c r="C71" i="39"/>
  <c r="C70" i="39"/>
  <c r="C69" i="39"/>
  <c r="C68" i="39"/>
  <c r="C67" i="39"/>
  <c r="C66" i="39"/>
  <c r="C65" i="39"/>
  <c r="C64" i="39"/>
  <c r="C63" i="39"/>
  <c r="C62" i="39"/>
  <c r="C61" i="39"/>
  <c r="C60" i="39"/>
  <c r="C59" i="39"/>
  <c r="C58" i="39"/>
  <c r="C57" i="39"/>
  <c r="C56" i="39"/>
  <c r="C55" i="39"/>
  <c r="C54" i="39"/>
  <c r="C53" i="39"/>
  <c r="C52" i="39"/>
  <c r="C51" i="39"/>
  <c r="C50" i="39"/>
  <c r="C49" i="39"/>
  <c r="C48" i="39"/>
  <c r="C47" i="39"/>
  <c r="C46" i="39"/>
  <c r="C45" i="39"/>
  <c r="C44" i="39"/>
  <c r="C43" i="39"/>
  <c r="C42" i="39"/>
  <c r="C41" i="39"/>
  <c r="C38" i="39"/>
  <c r="C37" i="39"/>
  <c r="C36" i="39"/>
  <c r="C35" i="39"/>
  <c r="C34" i="39"/>
  <c r="C33" i="39"/>
  <c r="C32" i="39"/>
  <c r="C31" i="39"/>
  <c r="C30" i="39"/>
  <c r="C29" i="39"/>
  <c r="C28" i="39"/>
  <c r="C23" i="39"/>
  <c r="C22" i="39"/>
  <c r="C21" i="39"/>
  <c r="C20" i="39"/>
  <c r="C19" i="39"/>
  <c r="C18" i="39"/>
  <c r="C13" i="39"/>
  <c r="B13" i="39"/>
  <c r="C12" i="39"/>
  <c r="B12" i="39"/>
  <c r="C11" i="39"/>
  <c r="B11" i="39"/>
  <c r="C10" i="39"/>
  <c r="B10" i="39"/>
  <c r="C9" i="39"/>
  <c r="B9" i="39"/>
  <c r="C8" i="39"/>
  <c r="B8" i="39"/>
  <c r="C7" i="39"/>
  <c r="B7" i="39"/>
  <c r="C6" i="39"/>
  <c r="B6" i="39"/>
  <c r="C5" i="39"/>
  <c r="B5" i="39"/>
  <c r="C4" i="39"/>
  <c r="B4" i="39"/>
  <c r="C17" i="39" l="1"/>
  <c r="C223" i="38" l="1"/>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17" i="38" l="1"/>
  <c r="C223" i="37" l="1"/>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C144" i="37"/>
  <c r="B144" i="37"/>
  <c r="B145" i="37" s="1"/>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3" i="37"/>
  <c r="C140" i="37"/>
  <c r="C138" i="37"/>
  <c r="C137" i="37"/>
  <c r="C136" i="37"/>
  <c r="C135" i="37"/>
  <c r="C125" i="37"/>
  <c r="C122" i="37"/>
  <c r="C121" i="37"/>
  <c r="C120" i="37"/>
  <c r="C119" i="37"/>
  <c r="C118" i="37"/>
  <c r="C117" i="37"/>
  <c r="C116" i="37"/>
  <c r="C115" i="37"/>
  <c r="C114" i="37"/>
  <c r="C113" i="37"/>
  <c r="C112" i="37"/>
  <c r="C111" i="37"/>
  <c r="C110" i="37"/>
  <c r="C109" i="37"/>
  <c r="C108" i="37"/>
  <c r="C107" i="37"/>
  <c r="C106" i="37"/>
  <c r="C105" i="37"/>
  <c r="C104" i="37"/>
  <c r="C103" i="37"/>
  <c r="C102" i="37"/>
  <c r="C101" i="37"/>
  <c r="C100" i="37"/>
  <c r="C99" i="37"/>
  <c r="C98" i="37"/>
  <c r="C97" i="37"/>
  <c r="C96" i="37"/>
  <c r="C93" i="37"/>
  <c r="C92" i="37"/>
  <c r="C91" i="37"/>
  <c r="C90" i="37"/>
  <c r="C89" i="37"/>
  <c r="C88" i="37"/>
  <c r="C87" i="37"/>
  <c r="C86" i="37"/>
  <c r="C85" i="37"/>
  <c r="C82" i="37"/>
  <c r="C81" i="37"/>
  <c r="C80" i="37"/>
  <c r="C79" i="37"/>
  <c r="C78" i="37"/>
  <c r="C77" i="37"/>
  <c r="C76" i="37"/>
  <c r="C75" i="37"/>
  <c r="C74" i="37"/>
  <c r="C73" i="37"/>
  <c r="C72" i="37"/>
  <c r="C71" i="37"/>
  <c r="C70" i="37"/>
  <c r="C69" i="37"/>
  <c r="C68" i="37"/>
  <c r="C67" i="37"/>
  <c r="C66" i="37"/>
  <c r="C65" i="37"/>
  <c r="C64" i="37"/>
  <c r="C63" i="37"/>
  <c r="C62" i="37"/>
  <c r="C61" i="37"/>
  <c r="C60" i="37"/>
  <c r="C59" i="37"/>
  <c r="C58" i="37"/>
  <c r="C57" i="37"/>
  <c r="C56" i="37"/>
  <c r="C55" i="37"/>
  <c r="C54" i="37"/>
  <c r="C53" i="37"/>
  <c r="C52" i="37"/>
  <c r="C51" i="37"/>
  <c r="C50" i="37"/>
  <c r="C49" i="37"/>
  <c r="C48" i="37"/>
  <c r="C47" i="37"/>
  <c r="C46" i="37"/>
  <c r="C45" i="37"/>
  <c r="C44" i="37"/>
  <c r="C43" i="37"/>
  <c r="C42" i="37"/>
  <c r="C41" i="37"/>
  <c r="C38" i="37"/>
  <c r="C37" i="37"/>
  <c r="C36" i="37"/>
  <c r="C35" i="37"/>
  <c r="C34" i="37"/>
  <c r="C33" i="37"/>
  <c r="C32" i="37"/>
  <c r="C31" i="37"/>
  <c r="C30" i="37"/>
  <c r="C29" i="37"/>
  <c r="C28" i="37"/>
  <c r="C23" i="37"/>
  <c r="C22" i="37"/>
  <c r="C21" i="37"/>
  <c r="C20" i="37"/>
  <c r="C19" i="37"/>
  <c r="C18" i="37"/>
  <c r="C13" i="37"/>
  <c r="B13" i="37"/>
  <c r="C12" i="37"/>
  <c r="B12" i="37"/>
  <c r="C11" i="37"/>
  <c r="B11" i="37"/>
  <c r="C10" i="37"/>
  <c r="B10" i="37"/>
  <c r="C9" i="37"/>
  <c r="B9" i="37"/>
  <c r="C8" i="37"/>
  <c r="B8" i="37"/>
  <c r="C7" i="37"/>
  <c r="B7" i="37"/>
  <c r="C6" i="37"/>
  <c r="B6" i="37"/>
  <c r="C5" i="37"/>
  <c r="B5" i="37"/>
  <c r="C4" i="37"/>
  <c r="B4" i="37"/>
  <c r="C17" i="37" l="1"/>
  <c r="C223" i="36" l="1"/>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8" i="36"/>
  <c r="C13" i="36"/>
  <c r="B13" i="36"/>
  <c r="C12" i="36"/>
  <c r="B12" i="36"/>
  <c r="C11" i="36"/>
  <c r="B11" i="36"/>
  <c r="C10" i="36"/>
  <c r="B10" i="36"/>
  <c r="C9" i="36"/>
  <c r="B9" i="36"/>
  <c r="C8" i="36"/>
  <c r="B8" i="36"/>
  <c r="C7" i="36"/>
  <c r="B7" i="36"/>
  <c r="C6" i="36"/>
  <c r="B6" i="36"/>
  <c r="C5" i="36"/>
  <c r="B5" i="36"/>
  <c r="C4" i="36"/>
  <c r="B4" i="36"/>
  <c r="C17" i="36" l="1"/>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17" i="35" l="1"/>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8" i="34"/>
  <c r="C13" i="34"/>
  <c r="B13" i="34"/>
  <c r="C12" i="34"/>
  <c r="B12" i="34"/>
  <c r="C11" i="34"/>
  <c r="B11" i="34"/>
  <c r="C10" i="34"/>
  <c r="B10" i="34"/>
  <c r="C9" i="34"/>
  <c r="B9" i="34"/>
  <c r="C8" i="34"/>
  <c r="B8" i="34"/>
  <c r="C7" i="34"/>
  <c r="B7" i="34"/>
  <c r="C6" i="34"/>
  <c r="B6" i="34"/>
  <c r="C5" i="34"/>
  <c r="B5" i="34"/>
  <c r="C4" i="34"/>
  <c r="B4" i="34"/>
  <c r="C17" i="34" l="1"/>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17" i="33" l="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17" i="32" l="1"/>
</calcChain>
</file>

<file path=xl/sharedStrings.xml><?xml version="1.0" encoding="utf-8"?>
<sst xmlns="http://schemas.openxmlformats.org/spreadsheetml/2006/main" count="4095" uniqueCount="259">
  <si>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</si>
  <si>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</si>
  <si>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</si>
  <si>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</si>
  <si>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</si>
  <si>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</si>
  <si>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</si>
  <si>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</si>
  <si>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</si>
  <si>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</si>
  <si>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</si>
  <si>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</si>
  <si>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</si>
  <si>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</si>
  <si>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t>1.5</t>
  </si>
  <si>
    <t>1.6</t>
  </si>
  <si>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</si>
  <si>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</si>
  <si>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</si>
  <si>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t>Низшая теплота сгорания 1 кг условного топлива</t>
  </si>
  <si>
    <t>1.7</t>
  </si>
  <si>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</si>
  <si>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</si>
  <si>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</si>
  <si>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</si>
  <si>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</si>
  <si>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</si>
  <si>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</si>
  <si>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</si>
  <si>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</si>
  <si>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</si>
  <si>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</si>
  <si>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</si>
  <si>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</si>
  <si>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</si>
  <si>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</si>
  <si>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2.4</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</si>
  <si>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</si>
  <si>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</si>
  <si>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</si>
  <si>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</si>
  <si>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</si>
  <si>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</si>
  <si>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</si>
  <si>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</si>
  <si>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</si>
  <si>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</si>
  <si>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</si>
  <si>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</si>
  <si>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</si>
  <si>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</si>
  <si>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</si>
  <si>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</si>
  <si>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</si>
  <si>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</si>
  <si>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</si>
  <si>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</si>
  <si>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</si>
  <si>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</si>
  <si>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</si>
  <si>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t>2.6.1</t>
  </si>
  <si>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</si>
  <si>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</si>
  <si>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</si>
  <si>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</si>
  <si>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</si>
  <si>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</si>
  <si>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</si>
  <si>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</si>
  <si>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</si>
  <si>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</si>
  <si>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</si>
  <si>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t>2.7.2</t>
  </si>
  <si>
    <t>2.8</t>
  </si>
  <si>
    <t>2.8.1</t>
  </si>
  <si>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</si>
  <si>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</si>
  <si>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</si>
  <si>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</si>
  <si>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</si>
  <si>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</si>
  <si>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</si>
  <si>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</si>
  <si>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</si>
  <si>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</si>
  <si>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</si>
  <si>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</si>
  <si>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</si>
  <si>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</si>
  <si>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</si>
  <si>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</si>
  <si>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</si>
  <si>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</si>
  <si>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</si>
  <si>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</si>
  <si>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</si>
  <si>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</si>
  <si>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</si>
  <si>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</si>
  <si>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</si>
  <si>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</si>
  <si>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</si>
  <si>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</si>
  <si>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</si>
  <si>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</si>
  <si>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</si>
  <si>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</si>
  <si>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</si>
  <si>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</si>
  <si>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</si>
  <si>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</si>
  <si>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</si>
  <si>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</si>
  <si>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</si>
  <si>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</si>
  <si>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</si>
  <si>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</si>
  <si>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</si>
  <si>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</si>
  <si>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</si>
  <si>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</si>
  <si>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</si>
  <si>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</si>
  <si>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</si>
  <si>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</si>
  <si>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</si>
  <si>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</si>
  <si>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t>4.1.1</t>
  </si>
  <si>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</si>
  <si>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</si>
  <si>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</si>
  <si>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</si>
  <si>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</si>
  <si>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</si>
  <si>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</si>
  <si>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</si>
  <si>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</si>
  <si>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</si>
  <si>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</si>
  <si>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</si>
  <si>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</si>
  <si>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</si>
  <si>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</si>
  <si>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</si>
  <si>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</si>
  <si>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</si>
  <si>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</si>
  <si>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</si>
  <si>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</si>
  <si>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</si>
  <si>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</si>
  <si>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</si>
  <si>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</si>
  <si>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</si>
  <si>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</si>
  <si>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</si>
  <si>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</si>
  <si>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</si>
  <si>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</si>
  <si>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t>4.4.1</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</si>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</sst>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9" fontId="1" fillId="0" borderId="0" applyFont="0" applyFill="0" applyBorder="0" applyAlignment="0" applyProtection="0"/>
    <xf numFmtId="0" fontId="1" fillId="0" borderId="0"/>
    <xf numFmtId="0" fontId="32" fillId="0" borderId="0"/>
    <xf numFmtId="167" fontId="37" fillId="0" borderId="0"/>
    <xf numFmtId="0" fontId="38" fillId="0" borderId="0"/>
    <xf numFmtId="167" fontId="39"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0" fontId="32" fillId="0" borderId="0"/>
    <xf numFmtId="166" fontId="41" fillId="0" borderId="0">
      <alignment vertical="top"/>
    </xf>
    <xf numFmtId="169" fontId="41" fillId="7" borderId="0">
      <alignment vertical="top"/>
    </xf>
    <xf numFmtId="166" fontId="42" fillId="8" borderId="0">
      <alignment vertical="top"/>
    </xf>
    <xf numFmtId="0" fontId="37" fillId="0" borderId="0"/>
    <xf numFmtId="167" fontId="37" fillId="0" borderId="0"/>
    <xf numFmtId="0" fontId="40" fillId="0" borderId="0" applyNumberFormat="0" applyFont="0" applyFill="0" applyBorder="0" applyAlignment="0" applyProtection="0"/>
    <xf numFmtId="167" fontId="43" fillId="0" borderId="0" applyFont="0" applyFill="0" applyBorder="0" applyAlignment="0"/>
    <xf numFmtId="167" fontId="44"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5" fillId="0" borderId="24">
      <protection locked="0"/>
    </xf>
    <xf numFmtId="0" fontId="45" fillId="0" borderId="24">
      <protection locked="0"/>
    </xf>
    <xf numFmtId="0" fontId="45" fillId="0" borderId="24">
      <protection locked="0"/>
    </xf>
    <xf numFmtId="0" fontId="46" fillId="0" borderId="0"/>
    <xf numFmtId="170" fontId="46" fillId="0" borderId="0"/>
    <xf numFmtId="170" fontId="46" fillId="0" borderId="0"/>
    <xf numFmtId="170" fontId="46" fillId="0" borderId="0"/>
    <xf numFmtId="170" fontId="38" fillId="0" borderId="0"/>
    <xf numFmtId="170" fontId="38"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0" fontId="37" fillId="0" borderId="0"/>
    <xf numFmtId="0" fontId="37"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9" fillId="0" borderId="0"/>
    <xf numFmtId="0" fontId="49" fillId="0" borderId="0"/>
    <xf numFmtId="0" fontId="49" fillId="0" borderId="0"/>
    <xf numFmtId="0" fontId="49" fillId="0" borderId="0"/>
    <xf numFmtId="0" fontId="49" fillId="0" borderId="0"/>
    <xf numFmtId="170" fontId="46" fillId="0" borderId="0"/>
    <xf numFmtId="170" fontId="46" fillId="0" borderId="0"/>
    <xf numFmtId="170" fontId="38" fillId="0" borderId="0"/>
    <xf numFmtId="170" fontId="38" fillId="0" borderId="0"/>
    <xf numFmtId="170" fontId="38" fillId="0" borderId="0"/>
    <xf numFmtId="170" fontId="38" fillId="0" borderId="0"/>
    <xf numFmtId="170" fontId="38" fillId="0" borderId="0"/>
    <xf numFmtId="0" fontId="46" fillId="0" borderId="0"/>
    <xf numFmtId="167" fontId="38" fillId="0" borderId="0"/>
    <xf numFmtId="167" fontId="50" fillId="0" borderId="0"/>
    <xf numFmtId="170" fontId="46" fillId="0" borderId="0"/>
    <xf numFmtId="170" fontId="38" fillId="0" borderId="0"/>
    <xf numFmtId="170" fontId="46" fillId="0" borderId="0"/>
    <xf numFmtId="170" fontId="38" fillId="0" borderId="0"/>
    <xf numFmtId="170"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7" fontId="32" fillId="0" borderId="0"/>
    <xf numFmtId="167" fontId="52" fillId="0" borderId="0"/>
    <xf numFmtId="167" fontId="32" fillId="0" borderId="0"/>
    <xf numFmtId="0" fontId="52" fillId="0" borderId="0"/>
    <xf numFmtId="167" fontId="32" fillId="0" borderId="0"/>
    <xf numFmtId="0" fontId="32" fillId="0" borderId="0"/>
    <xf numFmtId="170" fontId="38" fillId="0" borderId="0"/>
    <xf numFmtId="0" fontId="46" fillId="0" borderId="0"/>
    <xf numFmtId="170" fontId="38" fillId="0" borderId="0"/>
    <xf numFmtId="170" fontId="46" fillId="0" borderId="0"/>
    <xf numFmtId="170" fontId="38" fillId="0" borderId="0"/>
    <xf numFmtId="167" fontId="46" fillId="0" borderId="0"/>
    <xf numFmtId="167" fontId="52" fillId="0" borderId="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0" fontId="38" fillId="0" borderId="0"/>
    <xf numFmtId="170" fontId="46" fillId="0" borderId="0"/>
    <xf numFmtId="170" fontId="46" fillId="0" borderId="0"/>
    <xf numFmtId="170" fontId="46" fillId="0" borderId="0"/>
    <xf numFmtId="170" fontId="38" fillId="0" borderId="0"/>
    <xf numFmtId="170" fontId="46" fillId="0" borderId="0"/>
    <xf numFmtId="0" fontId="38" fillId="0" borderId="0"/>
    <xf numFmtId="167" fontId="46" fillId="0" borderId="0"/>
    <xf numFmtId="167" fontId="46"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6" fillId="0" borderId="0"/>
    <xf numFmtId="0" fontId="46" fillId="0" borderId="0"/>
    <xf numFmtId="167" fontId="38" fillId="0" borderId="0"/>
    <xf numFmtId="167" fontId="50" fillId="0" borderId="0"/>
    <xf numFmtId="171" fontId="37" fillId="0" borderId="0" applyFont="0" applyFill="0" applyBorder="0" applyAlignment="0" applyProtection="0"/>
    <xf numFmtId="167" fontId="46" fillId="0" borderId="0"/>
    <xf numFmtId="0" fontId="38" fillId="0" borderId="0"/>
    <xf numFmtId="0" fontId="54" fillId="0" borderId="0"/>
    <xf numFmtId="0" fontId="5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72" fontId="53" fillId="0" borderId="0" applyFont="0" applyFill="0" applyBorder="0" applyAlignment="0" applyProtection="0"/>
    <xf numFmtId="39" fontId="37" fillId="0" borderId="0" applyFont="0" applyFill="0" applyBorder="0" applyAlignment="0" applyProtection="0"/>
    <xf numFmtId="167" fontId="46" fillId="0" borderId="0"/>
    <xf numFmtId="167"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2" fillId="0" borderId="0"/>
    <xf numFmtId="0" fontId="46" fillId="0" borderId="0"/>
    <xf numFmtId="0" fontId="56" fillId="0" borderId="0" applyNumberFormat="0" applyFill="0" applyBorder="0" applyAlignment="0" applyProtection="0"/>
    <xf numFmtId="0" fontId="37" fillId="9" borderId="0" applyNumberFormat="0" applyFont="0" applyAlignment="0" applyProtection="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0" fontId="38" fillId="0" borderId="0"/>
    <xf numFmtId="0" fontId="38" fillId="0" borderId="0"/>
    <xf numFmtId="167" fontId="52" fillId="0" borderId="0"/>
    <xf numFmtId="0" fontId="46" fillId="0" borderId="0"/>
    <xf numFmtId="0" fontId="46" fillId="0" borderId="0"/>
    <xf numFmtId="0" fontId="46" fillId="0" borderId="0"/>
    <xf numFmtId="167" fontId="46" fillId="0" borderId="0"/>
    <xf numFmtId="167" fontId="52" fillId="0" borderId="0"/>
    <xf numFmtId="167" fontId="38" fillId="0" borderId="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74" fontId="57" fillId="0" borderId="0">
      <alignment vertical="top"/>
    </xf>
    <xf numFmtId="38" fontId="32" fillId="0" borderId="0">
      <alignment vertical="top"/>
    </xf>
    <xf numFmtId="175" fontId="48" fillId="0" borderId="0" applyFont="0" applyFill="0" applyBorder="0" applyAlignment="0" applyProtection="0"/>
    <xf numFmtId="176" fontId="53" fillId="0" borderId="0" applyFont="0" applyFill="0" applyBorder="0" applyAlignment="0" applyProtection="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7" fillId="0" borderId="0" applyNumberForma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54"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32" fillId="0" borderId="0"/>
    <xf numFmtId="167" fontId="38" fillId="0" borderId="0"/>
    <xf numFmtId="167" fontId="38" fillId="0" borderId="0"/>
    <xf numFmtId="167" fontId="38" fillId="0" borderId="0"/>
    <xf numFmtId="167" fontId="46" fillId="0" borderId="0"/>
    <xf numFmtId="167" fontId="46" fillId="0" borderId="0"/>
    <xf numFmtId="0" fontId="58" fillId="0" borderId="0" applyNumberFormat="0" applyFill="0" applyBorder="0" applyProtection="0">
      <alignment vertical="top"/>
    </xf>
    <xf numFmtId="167" fontId="38" fillId="0" borderId="0"/>
    <xf numFmtId="167" fontId="38" fillId="0" borderId="0"/>
    <xf numFmtId="167" fontId="38" fillId="0" borderId="0"/>
    <xf numFmtId="0" fontId="59" fillId="0" borderId="26" applyNumberFormat="0" applyFill="0" applyProtection="0">
      <alignment horizontal="center"/>
    </xf>
    <xf numFmtId="0" fontId="59" fillId="0" borderId="26" applyNumberFormat="0" applyFill="0" applyProtection="0">
      <alignment horizontal="center"/>
    </xf>
    <xf numFmtId="0" fontId="59" fillId="0" borderId="26" applyNumberFormat="0" applyFill="0" applyProtection="0">
      <alignment horizontal="center"/>
    </xf>
    <xf numFmtId="0" fontId="59" fillId="0" borderId="26" applyNumberFormat="0" applyFill="0" applyProtection="0">
      <alignment horizontal="center"/>
    </xf>
    <xf numFmtId="0" fontId="59" fillId="0" borderId="0" applyNumberFormat="0" applyFill="0" applyBorder="0" applyProtection="0">
      <alignment horizontal="left"/>
    </xf>
    <xf numFmtId="0" fontId="60" fillId="0" borderId="0" applyNumberFormat="0" applyFill="0" applyBorder="0" applyProtection="0">
      <alignment horizontal="centerContinuous"/>
    </xf>
    <xf numFmtId="0" fontId="46" fillId="0" borderId="0"/>
    <xf numFmtId="0" fontId="38" fillId="0" borderId="0"/>
    <xf numFmtId="167" fontId="38" fillId="0" borderId="0"/>
    <xf numFmtId="167" fontId="38" fillId="0" borderId="0"/>
    <xf numFmtId="167" fontId="38" fillId="0" borderId="0"/>
    <xf numFmtId="167" fontId="38" fillId="0" borderId="0"/>
    <xf numFmtId="4" fontId="47" fillId="0" borderId="0">
      <alignment vertical="center"/>
    </xf>
    <xf numFmtId="0" fontId="37" fillId="0" borderId="0"/>
    <xf numFmtId="167" fontId="46" fillId="0" borderId="0"/>
    <xf numFmtId="170" fontId="46" fillId="0" borderId="0"/>
    <xf numFmtId="170" fontId="46" fillId="0" borderId="0"/>
    <xf numFmtId="170" fontId="38" fillId="0" borderId="0"/>
    <xf numFmtId="167" fontId="46" fillId="0" borderId="0"/>
    <xf numFmtId="170" fontId="38" fillId="0" borderId="0"/>
    <xf numFmtId="170" fontId="46" fillId="0" borderId="0"/>
    <xf numFmtId="170" fontId="38" fillId="0" borderId="0"/>
    <xf numFmtId="0" fontId="38" fillId="0" borderId="0"/>
    <xf numFmtId="170" fontId="38" fillId="0" borderId="0"/>
    <xf numFmtId="170" fontId="38" fillId="0" borderId="0"/>
    <xf numFmtId="170" fontId="38" fillId="0" borderId="0"/>
    <xf numFmtId="170" fontId="38" fillId="0" borderId="0"/>
    <xf numFmtId="170" fontId="46" fillId="0" borderId="0"/>
    <xf numFmtId="167" fontId="54" fillId="0" borderId="0"/>
    <xf numFmtId="167" fontId="54" fillId="0" borderId="0"/>
    <xf numFmtId="167" fontId="46" fillId="0" borderId="0"/>
    <xf numFmtId="170" fontId="46" fillId="0" borderId="0"/>
    <xf numFmtId="167" fontId="46" fillId="0" borderId="0"/>
    <xf numFmtId="0" fontId="46" fillId="0" borderId="0"/>
    <xf numFmtId="0" fontId="38" fillId="0" borderId="0"/>
    <xf numFmtId="170" fontId="38" fillId="0" borderId="0"/>
    <xf numFmtId="170" fontId="38" fillId="0" borderId="0"/>
    <xf numFmtId="170" fontId="38" fillId="0" borderId="0"/>
    <xf numFmtId="170" fontId="38" fillId="0" borderId="0"/>
    <xf numFmtId="170" fontId="38" fillId="0" borderId="0"/>
    <xf numFmtId="170" fontId="46" fillId="0" borderId="0"/>
    <xf numFmtId="170" fontId="46" fillId="0" borderId="0"/>
    <xf numFmtId="170" fontId="38" fillId="0" borderId="0"/>
    <xf numFmtId="0" fontId="38" fillId="0" borderId="0"/>
    <xf numFmtId="170" fontId="38" fillId="0" borderId="0"/>
    <xf numFmtId="177" fontId="37" fillId="10" borderId="27" applyNumberFormat="0" applyFont="0">
      <alignment shrinkToFit="1"/>
      <protection locked="0"/>
    </xf>
    <xf numFmtId="177" fontId="37" fillId="10" borderId="27" applyNumberFormat="0" applyFont="0">
      <alignment shrinkToFit="1"/>
      <protection locked="0"/>
    </xf>
    <xf numFmtId="177" fontId="37" fillId="10" borderId="27" applyNumberFormat="0" applyFont="0">
      <alignment shrinkToFit="1"/>
      <protection locked="0"/>
    </xf>
    <xf numFmtId="177" fontId="37" fillId="10" borderId="27" applyNumberFormat="0" applyFont="0">
      <alignment shrinkToFit="1"/>
      <protection locked="0"/>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46" fillId="0" borderId="0"/>
    <xf numFmtId="0" fontId="38" fillId="0" borderId="0"/>
    <xf numFmtId="170" fontId="38" fillId="0" borderId="0"/>
    <xf numFmtId="170" fontId="38" fillId="0" borderId="0"/>
    <xf numFmtId="170" fontId="38" fillId="0" borderId="0"/>
    <xf numFmtId="0" fontId="38" fillId="0" borderId="0"/>
    <xf numFmtId="0" fontId="46" fillId="0" borderId="0"/>
    <xf numFmtId="4" fontId="47" fillId="0" borderId="0">
      <alignment vertical="center"/>
    </xf>
    <xf numFmtId="167" fontId="52" fillId="0" borderId="0"/>
    <xf numFmtId="167" fontId="46" fillId="0" borderId="0"/>
    <xf numFmtId="0" fontId="46" fillId="0" borderId="0"/>
    <xf numFmtId="167" fontId="53" fillId="0" borderId="0">
      <alignment vertical="center"/>
    </xf>
    <xf numFmtId="167" fontId="53" fillId="0" borderId="0">
      <alignment vertical="center"/>
    </xf>
    <xf numFmtId="167" fontId="53" fillId="0" borderId="0">
      <alignment vertical="center"/>
    </xf>
    <xf numFmtId="0" fontId="38" fillId="0" borderId="0"/>
    <xf numFmtId="0" fontId="46" fillId="0" borderId="0"/>
    <xf numFmtId="0" fontId="46" fillId="0" borderId="0"/>
    <xf numFmtId="0" fontId="46" fillId="0" borderId="0"/>
    <xf numFmtId="0" fontId="46" fillId="0" borderId="0"/>
    <xf numFmtId="0" fontId="46" fillId="0" borderId="0"/>
    <xf numFmtId="167" fontId="46" fillId="0" borderId="0"/>
    <xf numFmtId="0" fontId="46" fillId="0" borderId="0"/>
    <xf numFmtId="167" fontId="54"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46" fillId="0" borderId="0"/>
    <xf numFmtId="0" fontId="46" fillId="0" borderId="0"/>
    <xf numFmtId="0" fontId="46" fillId="0" borderId="0"/>
    <xf numFmtId="0" fontId="46" fillId="0" borderId="0"/>
    <xf numFmtId="170" fontId="38" fillId="0" borderId="0"/>
    <xf numFmtId="170" fontId="38" fillId="0" borderId="0"/>
    <xf numFmtId="170" fontId="38" fillId="0" borderId="0"/>
    <xf numFmtId="170" fontId="46" fillId="0" borderId="0"/>
    <xf numFmtId="170" fontId="46" fillId="0" borderId="0"/>
    <xf numFmtId="170" fontId="38" fillId="0" borderId="0"/>
    <xf numFmtId="167" fontId="38" fillId="0" borderId="0"/>
    <xf numFmtId="167" fontId="50" fillId="0" borderId="0"/>
    <xf numFmtId="167" fontId="38" fillId="0" borderId="0"/>
    <xf numFmtId="167" fontId="50" fillId="0" borderId="0"/>
    <xf numFmtId="170" fontId="38" fillId="0" borderId="0"/>
    <xf numFmtId="170" fontId="38" fillId="0" borderId="0"/>
    <xf numFmtId="170" fontId="38" fillId="0" borderId="0"/>
    <xf numFmtId="167" fontId="46" fillId="0" borderId="0"/>
    <xf numFmtId="4" fontId="47" fillId="0" borderId="0">
      <alignment vertical="center"/>
    </xf>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38" fillId="0" borderId="0"/>
    <xf numFmtId="0" fontId="46" fillId="0" borderId="0"/>
    <xf numFmtId="0" fontId="38" fillId="0" borderId="0"/>
    <xf numFmtId="0" fontId="46" fillId="0" borderId="0"/>
    <xf numFmtId="0" fontId="46" fillId="0" borderId="0"/>
    <xf numFmtId="0" fontId="38" fillId="0" borderId="0"/>
    <xf numFmtId="0" fontId="38" fillId="0" borderId="0"/>
    <xf numFmtId="0" fontId="38" fillId="0" borderId="0"/>
    <xf numFmtId="0" fontId="38" fillId="0" borderId="0"/>
    <xf numFmtId="170" fontId="38" fillId="0" borderId="0"/>
    <xf numFmtId="178" fontId="46" fillId="0" borderId="0"/>
    <xf numFmtId="167" fontId="46" fillId="0" borderId="0"/>
    <xf numFmtId="167" fontId="52" fillId="0" borderId="0"/>
    <xf numFmtId="0" fontId="46" fillId="0" borderId="0"/>
    <xf numFmtId="4" fontId="47" fillId="0" borderId="0">
      <alignment vertical="center"/>
    </xf>
    <xf numFmtId="167" fontId="46" fillId="0" borderId="0"/>
    <xf numFmtId="0" fontId="46" fillId="0" borderId="0"/>
    <xf numFmtId="167" fontId="46" fillId="0" borderId="0"/>
    <xf numFmtId="0" fontId="46" fillId="0" borderId="0"/>
    <xf numFmtId="177" fontId="37" fillId="0" borderId="0"/>
    <xf numFmtId="177" fontId="37" fillId="0" borderId="0"/>
    <xf numFmtId="0" fontId="37" fillId="0" borderId="0"/>
    <xf numFmtId="0" fontId="37" fillId="0" borderId="0"/>
    <xf numFmtId="177" fontId="37" fillId="0" borderId="0"/>
    <xf numFmtId="177" fontId="37" fillId="0" borderId="0"/>
    <xf numFmtId="0" fontId="37" fillId="0" borderId="0"/>
    <xf numFmtId="0" fontId="37" fillId="0" borderId="0"/>
    <xf numFmtId="170" fontId="46" fillId="0" borderId="0"/>
    <xf numFmtId="4" fontId="47" fillId="0" borderId="0">
      <alignment vertical="center"/>
    </xf>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0"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0" fontId="38" fillId="0" borderId="0"/>
    <xf numFmtId="170" fontId="46" fillId="0" borderId="0"/>
    <xf numFmtId="0" fontId="46" fillId="0" borderId="0"/>
    <xf numFmtId="0" fontId="46" fillId="0" borderId="0"/>
    <xf numFmtId="167" fontId="54" fillId="0" borderId="0"/>
    <xf numFmtId="0" fontId="46" fillId="0" borderId="0"/>
    <xf numFmtId="170" fontId="38" fillId="0" borderId="0"/>
    <xf numFmtId="170" fontId="38" fillId="0" borderId="0"/>
    <xf numFmtId="167" fontId="32" fillId="0" borderId="0"/>
    <xf numFmtId="167" fontId="52" fillId="0" borderId="0"/>
    <xf numFmtId="167" fontId="32" fillId="0" borderId="0"/>
    <xf numFmtId="0" fontId="52" fillId="0" borderId="0"/>
    <xf numFmtId="0" fontId="38" fillId="0" borderId="0"/>
    <xf numFmtId="0" fontId="51" fillId="0" borderId="0"/>
    <xf numFmtId="0" fontId="51" fillId="0" borderId="0"/>
    <xf numFmtId="0" fontId="51" fillId="0" borderId="0"/>
    <xf numFmtId="0" fontId="51" fillId="0" borderId="0"/>
    <xf numFmtId="0" fontId="51" fillId="0" borderId="0"/>
    <xf numFmtId="167" fontId="32" fillId="0" borderId="0"/>
    <xf numFmtId="0" fontId="32"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7" fontId="52" fillId="0" borderId="0"/>
    <xf numFmtId="0" fontId="38" fillId="0" borderId="0"/>
    <xf numFmtId="0" fontId="46" fillId="0" borderId="0"/>
    <xf numFmtId="167" fontId="46" fillId="0" borderId="0"/>
    <xf numFmtId="0" fontId="46" fillId="0" borderId="0"/>
    <xf numFmtId="170" fontId="38" fillId="0" borderId="0"/>
    <xf numFmtId="170" fontId="46" fillId="0" borderId="0"/>
    <xf numFmtId="0" fontId="46" fillId="0" borderId="0"/>
    <xf numFmtId="170" fontId="38" fillId="0" borderId="0"/>
    <xf numFmtId="170" fontId="38" fillId="0" borderId="0"/>
    <xf numFmtId="170" fontId="38" fillId="0" borderId="0"/>
    <xf numFmtId="170" fontId="38" fillId="0" borderId="0"/>
    <xf numFmtId="170" fontId="38" fillId="0" borderId="0"/>
    <xf numFmtId="170" fontId="46" fillId="0" borderId="0"/>
    <xf numFmtId="0" fontId="46" fillId="0" borderId="0"/>
    <xf numFmtId="0" fontId="38" fillId="0" borderId="0"/>
    <xf numFmtId="0" fontId="46" fillId="0" borderId="0"/>
    <xf numFmtId="0" fontId="38" fillId="0" borderId="0"/>
    <xf numFmtId="167" fontId="38" fillId="0" borderId="0"/>
    <xf numFmtId="0" fontId="38" fillId="0" borderId="0"/>
    <xf numFmtId="174" fontId="57" fillId="0" borderId="0">
      <alignment vertical="top"/>
    </xf>
    <xf numFmtId="167" fontId="54" fillId="0" borderId="0"/>
    <xf numFmtId="17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6" fillId="0" borderId="0"/>
    <xf numFmtId="0" fontId="38" fillId="0" borderId="0"/>
    <xf numFmtId="0" fontId="51" fillId="0" borderId="0"/>
    <xf numFmtId="0" fontId="51" fillId="0" borderId="0"/>
    <xf numFmtId="0" fontId="51" fillId="0" borderId="0"/>
    <xf numFmtId="0" fontId="51" fillId="0" borderId="0"/>
    <xf numFmtId="0" fontId="51" fillId="0" borderId="0"/>
    <xf numFmtId="0" fontId="37" fillId="0" borderId="0"/>
    <xf numFmtId="0" fontId="37" fillId="0" borderId="0"/>
    <xf numFmtId="0" fontId="37" fillId="0" borderId="0"/>
    <xf numFmtId="0" fontId="37" fillId="0" borderId="0"/>
    <xf numFmtId="0" fontId="37" fillId="0" borderId="0"/>
    <xf numFmtId="0" fontId="38" fillId="0" borderId="0"/>
    <xf numFmtId="0" fontId="38"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170" fontId="46" fillId="0" borderId="0"/>
    <xf numFmtId="170" fontId="46" fillId="0" borderId="0"/>
    <xf numFmtId="0" fontId="38" fillId="0" borderId="0"/>
    <xf numFmtId="0" fontId="38" fillId="0" borderId="0"/>
    <xf numFmtId="170" fontId="46" fillId="0" borderId="0"/>
    <xf numFmtId="167" fontId="38" fillId="0" borderId="0"/>
    <xf numFmtId="167" fontId="52" fillId="0" borderId="0"/>
    <xf numFmtId="167" fontId="52" fillId="0" borderId="0"/>
    <xf numFmtId="0" fontId="52" fillId="0" borderId="0"/>
    <xf numFmtId="0" fontId="46" fillId="0" borderId="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46" fillId="0" borderId="0"/>
    <xf numFmtId="167" fontId="46" fillId="0" borderId="0"/>
    <xf numFmtId="167" fontId="46" fillId="0" borderId="0"/>
    <xf numFmtId="167" fontId="38" fillId="0" borderId="0"/>
    <xf numFmtId="0" fontId="38" fillId="0" borderId="0"/>
    <xf numFmtId="167" fontId="46" fillId="0" borderId="0"/>
    <xf numFmtId="167" fontId="52" fillId="0" borderId="0"/>
    <xf numFmtId="167" fontId="52" fillId="0" borderId="0"/>
    <xf numFmtId="4" fontId="47" fillId="0" borderId="0">
      <alignment vertical="center"/>
    </xf>
    <xf numFmtId="170" fontId="46" fillId="0" borderId="0"/>
    <xf numFmtId="0" fontId="38" fillId="0" borderId="0"/>
    <xf numFmtId="170" fontId="46" fillId="0" borderId="0"/>
    <xf numFmtId="174" fontId="57" fillId="0" borderId="0">
      <alignment vertical="top"/>
    </xf>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49" fillId="0" borderId="0"/>
    <xf numFmtId="0" fontId="49" fillId="0" borderId="0"/>
    <xf numFmtId="0" fontId="49" fillId="0" borderId="0"/>
    <xf numFmtId="0" fontId="49"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7" fontId="53" fillId="0" borderId="0" applyFont="0" applyFill="0" applyBorder="0" applyAlignment="0" applyProtection="0">
      <alignment vertical="center"/>
    </xf>
    <xf numFmtId="167" fontId="54" fillId="0" borderId="0" applyFill="0" applyBorder="0" applyAlignment="0" applyProtection="0"/>
    <xf numFmtId="170" fontId="38" fillId="0" borderId="0"/>
    <xf numFmtId="0" fontId="46" fillId="0" borderId="0"/>
    <xf numFmtId="0" fontId="46" fillId="0" borderId="0"/>
    <xf numFmtId="0" fontId="38" fillId="0" borderId="0"/>
    <xf numFmtId="0" fontId="38" fillId="0" borderId="0"/>
    <xf numFmtId="0" fontId="46" fillId="0" borderId="0"/>
    <xf numFmtId="167" fontId="52" fillId="0" borderId="0"/>
    <xf numFmtId="0" fontId="46" fillId="0" borderId="0"/>
    <xf numFmtId="0" fontId="49" fillId="0" borderId="0"/>
    <xf numFmtId="0" fontId="49" fillId="0" borderId="0"/>
    <xf numFmtId="0" fontId="49" fillId="0" borderId="0"/>
    <xf numFmtId="0" fontId="49" fillId="0" borderId="0"/>
    <xf numFmtId="0" fontId="49" fillId="0" borderId="0"/>
    <xf numFmtId="0" fontId="38" fillId="0" borderId="0"/>
    <xf numFmtId="0" fontId="38" fillId="0" borderId="0"/>
    <xf numFmtId="167" fontId="46" fillId="0" borderId="0"/>
    <xf numFmtId="0" fontId="46" fillId="0" borderId="0"/>
    <xf numFmtId="0" fontId="46" fillId="0" borderId="0"/>
    <xf numFmtId="167" fontId="46" fillId="0" borderId="0"/>
    <xf numFmtId="167" fontId="46" fillId="0" borderId="0"/>
    <xf numFmtId="0" fontId="46" fillId="0" borderId="0"/>
    <xf numFmtId="167" fontId="46" fillId="0" borderId="0"/>
    <xf numFmtId="0" fontId="46" fillId="0" borderId="0"/>
    <xf numFmtId="0" fontId="46" fillId="0" borderId="0"/>
    <xf numFmtId="167" fontId="46" fillId="0" borderId="0"/>
    <xf numFmtId="170" fontId="38" fillId="0" borderId="0"/>
    <xf numFmtId="170" fontId="38" fillId="0" borderId="0"/>
    <xf numFmtId="170" fontId="46" fillId="0" borderId="0"/>
    <xf numFmtId="167" fontId="38" fillId="0" borderId="0"/>
    <xf numFmtId="167" fontId="50" fillId="0" borderId="0"/>
    <xf numFmtId="167" fontId="46" fillId="0" borderId="0"/>
    <xf numFmtId="0" fontId="46"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7" fontId="32" fillId="0" borderId="0"/>
    <xf numFmtId="167" fontId="37" fillId="0" borderId="0"/>
    <xf numFmtId="167" fontId="32" fillId="0" borderId="0"/>
    <xf numFmtId="0" fontId="38" fillId="0" borderId="0"/>
    <xf numFmtId="167" fontId="38" fillId="0" borderId="0"/>
    <xf numFmtId="0" fontId="38" fillId="0" borderId="0"/>
    <xf numFmtId="167" fontId="38" fillId="0" borderId="0"/>
    <xf numFmtId="0" fontId="38" fillId="0" borderId="0"/>
    <xf numFmtId="167" fontId="38" fillId="0" borderId="0"/>
    <xf numFmtId="0" fontId="38" fillId="0" borderId="0"/>
    <xf numFmtId="167" fontId="32" fillId="0" borderId="0"/>
    <xf numFmtId="0" fontId="32" fillId="0" borderId="0"/>
    <xf numFmtId="167" fontId="38" fillId="0" borderId="0"/>
    <xf numFmtId="0" fontId="38" fillId="0" borderId="0"/>
    <xf numFmtId="167" fontId="38" fillId="0" borderId="0"/>
    <xf numFmtId="0" fontId="38" fillId="0" borderId="0"/>
    <xf numFmtId="167" fontId="38" fillId="0" borderId="0"/>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170" fontId="46" fillId="0" borderId="0"/>
    <xf numFmtId="170" fontId="46" fillId="0" borderId="0"/>
    <xf numFmtId="170" fontId="46" fillId="0" borderId="0"/>
    <xf numFmtId="170" fontId="46" fillId="0" borderId="0"/>
    <xf numFmtId="170" fontId="46" fillId="0" borderId="0"/>
    <xf numFmtId="0" fontId="38" fillId="0" borderId="0"/>
    <xf numFmtId="170" fontId="38" fillId="0" borderId="0"/>
    <xf numFmtId="167" fontId="38" fillId="0" borderId="0"/>
    <xf numFmtId="170" fontId="38" fillId="0" borderId="0"/>
    <xf numFmtId="170" fontId="38" fillId="0" borderId="0"/>
    <xf numFmtId="170" fontId="38" fillId="0" borderId="0"/>
    <xf numFmtId="170" fontId="38" fillId="0" borderId="0"/>
    <xf numFmtId="167" fontId="46" fillId="0" borderId="0"/>
    <xf numFmtId="170" fontId="38" fillId="0" borderId="0"/>
    <xf numFmtId="170" fontId="38" fillId="0" borderId="0"/>
    <xf numFmtId="170" fontId="46" fillId="0" borderId="0"/>
    <xf numFmtId="170" fontId="46" fillId="0" borderId="0"/>
    <xf numFmtId="170" fontId="38" fillId="0" borderId="0"/>
    <xf numFmtId="170" fontId="38" fillId="0" borderId="0"/>
    <xf numFmtId="170" fontId="46" fillId="0" borderId="0"/>
    <xf numFmtId="170" fontId="46" fillId="0" borderId="0"/>
    <xf numFmtId="170" fontId="46" fillId="0" borderId="0"/>
    <xf numFmtId="170" fontId="46" fillId="0" borderId="0"/>
    <xf numFmtId="170" fontId="38" fillId="0" borderId="0"/>
    <xf numFmtId="170" fontId="46" fillId="0" borderId="0"/>
    <xf numFmtId="174" fontId="57" fillId="0" borderId="0">
      <alignment vertical="top"/>
    </xf>
    <xf numFmtId="174" fontId="57" fillId="0" borderId="0">
      <alignment vertical="top"/>
    </xf>
    <xf numFmtId="170" fontId="46" fillId="0" borderId="0"/>
    <xf numFmtId="167" fontId="46" fillId="0" borderId="0"/>
    <xf numFmtId="0" fontId="46" fillId="0" borderId="0"/>
    <xf numFmtId="167" fontId="32" fillId="0" borderId="0"/>
    <xf numFmtId="167" fontId="52" fillId="0" borderId="0"/>
    <xf numFmtId="167" fontId="32" fillId="0" borderId="0"/>
    <xf numFmtId="0" fontId="52" fillId="0" borderId="0"/>
    <xf numFmtId="167" fontId="32" fillId="0" borderId="0"/>
    <xf numFmtId="0" fontId="32" fillId="0" borderId="0"/>
    <xf numFmtId="170" fontId="46" fillId="0" borderId="0"/>
    <xf numFmtId="170" fontId="46" fillId="0" borderId="0"/>
    <xf numFmtId="0" fontId="46" fillId="0" borderId="0"/>
    <xf numFmtId="0" fontId="46" fillId="0" borderId="0"/>
    <xf numFmtId="170" fontId="38" fillId="0" borderId="0"/>
    <xf numFmtId="170" fontId="38" fillId="0" borderId="0"/>
    <xf numFmtId="17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38" fillId="0" borderId="0"/>
    <xf numFmtId="0" fontId="46" fillId="0" borderId="0"/>
    <xf numFmtId="0" fontId="38" fillId="0" borderId="0"/>
    <xf numFmtId="0" fontId="38" fillId="0" borderId="0"/>
    <xf numFmtId="0" fontId="46" fillId="0" borderId="0"/>
    <xf numFmtId="170" fontId="46" fillId="0" borderId="0"/>
    <xf numFmtId="170" fontId="46" fillId="0" borderId="0"/>
    <xf numFmtId="167" fontId="46" fillId="0" borderId="0"/>
    <xf numFmtId="0" fontId="38" fillId="0" borderId="0"/>
    <xf numFmtId="170" fontId="38" fillId="0" borderId="0"/>
    <xf numFmtId="0" fontId="46" fillId="0" borderId="0"/>
    <xf numFmtId="170" fontId="38" fillId="0" borderId="0"/>
    <xf numFmtId="167" fontId="46" fillId="0" borderId="0"/>
    <xf numFmtId="0" fontId="46" fillId="0" borderId="0"/>
    <xf numFmtId="167" fontId="38" fillId="0" borderId="0"/>
    <xf numFmtId="167" fontId="50" fillId="0" borderId="0"/>
    <xf numFmtId="170" fontId="46" fillId="0" borderId="0"/>
    <xf numFmtId="167" fontId="52" fillId="0" borderId="0"/>
    <xf numFmtId="0" fontId="38" fillId="0" borderId="0"/>
    <xf numFmtId="170" fontId="38" fillId="0" borderId="0"/>
    <xf numFmtId="170" fontId="46" fillId="0" borderId="0"/>
    <xf numFmtId="4" fontId="47" fillId="0" borderId="0">
      <alignment vertical="center"/>
    </xf>
    <xf numFmtId="4" fontId="47"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4" fontId="47" fillId="0" borderId="0">
      <alignment vertical="center"/>
    </xf>
    <xf numFmtId="170" fontId="38" fillId="0" borderId="0"/>
    <xf numFmtId="0" fontId="38" fillId="0" borderId="0"/>
    <xf numFmtId="4" fontId="47" fillId="0" borderId="0">
      <alignment vertical="center"/>
    </xf>
    <xf numFmtId="0" fontId="46" fillId="0" borderId="0"/>
    <xf numFmtId="0" fontId="46" fillId="0" borderId="0"/>
    <xf numFmtId="167" fontId="46" fillId="0" borderId="0"/>
    <xf numFmtId="0" fontId="38" fillId="0" borderId="0"/>
    <xf numFmtId="170" fontId="38" fillId="0" borderId="0"/>
    <xf numFmtId="0" fontId="46" fillId="0" borderId="0"/>
    <xf numFmtId="0" fontId="49" fillId="0" borderId="0"/>
    <xf numFmtId="0" fontId="49" fillId="0" borderId="0"/>
    <xf numFmtId="0" fontId="49" fillId="0" borderId="0"/>
    <xf numFmtId="0" fontId="49" fillId="0" borderId="0"/>
    <xf numFmtId="0" fontId="49" fillId="0" borderId="0"/>
    <xf numFmtId="167" fontId="52" fillId="0" borderId="0"/>
    <xf numFmtId="170" fontId="46" fillId="0" borderId="0"/>
    <xf numFmtId="167" fontId="52" fillId="0" borderId="0"/>
    <xf numFmtId="170" fontId="38" fillId="0" borderId="0"/>
    <xf numFmtId="167" fontId="46" fillId="0" borderId="0"/>
    <xf numFmtId="0" fontId="46" fillId="0" borderId="0"/>
    <xf numFmtId="167" fontId="52" fillId="0" borderId="0"/>
    <xf numFmtId="167" fontId="32" fillId="0" borderId="0"/>
    <xf numFmtId="167" fontId="52" fillId="0" borderId="0"/>
    <xf numFmtId="167" fontId="32" fillId="0" borderId="0"/>
    <xf numFmtId="0" fontId="52" fillId="0" borderId="0"/>
    <xf numFmtId="167" fontId="32" fillId="0" borderId="0"/>
    <xf numFmtId="0" fontId="32" fillId="0" borderId="0"/>
    <xf numFmtId="167" fontId="52" fillId="0" borderId="0"/>
    <xf numFmtId="167" fontId="46" fillId="0" borderId="0"/>
    <xf numFmtId="0" fontId="46" fillId="0" borderId="0"/>
    <xf numFmtId="167" fontId="46" fillId="0" borderId="0"/>
    <xf numFmtId="0" fontId="46" fillId="0" borderId="0"/>
    <xf numFmtId="167" fontId="46" fillId="0" borderId="0"/>
    <xf numFmtId="0" fontId="46" fillId="0" borderId="0"/>
    <xf numFmtId="0" fontId="38" fillId="0" borderId="0"/>
    <xf numFmtId="167" fontId="46" fillId="0" borderId="0"/>
    <xf numFmtId="167" fontId="46" fillId="0" borderId="0"/>
    <xf numFmtId="167" fontId="52" fillId="0" borderId="0"/>
    <xf numFmtId="167" fontId="46" fillId="0" borderId="0"/>
    <xf numFmtId="170" fontId="38" fillId="0" borderId="0"/>
    <xf numFmtId="170" fontId="38" fillId="0" borderId="0"/>
    <xf numFmtId="170" fontId="38" fillId="0" borderId="0"/>
    <xf numFmtId="170" fontId="38" fillId="0" borderId="0"/>
    <xf numFmtId="170" fontId="38" fillId="0" borderId="0"/>
    <xf numFmtId="167" fontId="52" fillId="0" borderId="0"/>
    <xf numFmtId="170" fontId="46" fillId="0" borderId="0"/>
    <xf numFmtId="170" fontId="46" fillId="0" borderId="0"/>
    <xf numFmtId="170" fontId="46" fillId="0" borderId="0"/>
    <xf numFmtId="170" fontId="38" fillId="0" borderId="0"/>
    <xf numFmtId="0" fontId="46" fillId="0" borderId="0"/>
    <xf numFmtId="0" fontId="46" fillId="0" borderId="0"/>
    <xf numFmtId="0" fontId="46" fillId="0" borderId="0"/>
    <xf numFmtId="167" fontId="54"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70" fontId="46" fillId="0" borderId="0"/>
    <xf numFmtId="167" fontId="32" fillId="0" borderId="0"/>
    <xf numFmtId="167" fontId="52" fillId="0" borderId="0"/>
    <xf numFmtId="167" fontId="32" fillId="0" borderId="0"/>
    <xf numFmtId="0" fontId="52" fillId="0" borderId="0"/>
    <xf numFmtId="167" fontId="32" fillId="0" borderId="0"/>
    <xf numFmtId="0" fontId="32" fillId="0" borderId="0"/>
    <xf numFmtId="0" fontId="46" fillId="0" borderId="0"/>
    <xf numFmtId="170" fontId="38" fillId="0" borderId="0"/>
    <xf numFmtId="179" fontId="37" fillId="11" borderId="0" applyFont="0" applyBorder="0">
      <alignment horizontal="center" vertical="center" shrinkToFit="1"/>
    </xf>
    <xf numFmtId="167" fontId="32" fillId="0" borderId="0"/>
    <xf numFmtId="167" fontId="52" fillId="0" borderId="0"/>
    <xf numFmtId="167" fontId="32" fillId="0" borderId="0"/>
    <xf numFmtId="0" fontId="52" fillId="0" borderId="0"/>
    <xf numFmtId="167" fontId="32" fillId="0" borderId="0"/>
    <xf numFmtId="0" fontId="32" fillId="0" borderId="0"/>
    <xf numFmtId="0" fontId="38" fillId="0" borderId="0"/>
    <xf numFmtId="0" fontId="38" fillId="0" borderId="0"/>
    <xf numFmtId="0" fontId="45" fillId="0" borderId="0">
      <protection locked="0"/>
    </xf>
    <xf numFmtId="0" fontId="45" fillId="0" borderId="0">
      <protection locked="0"/>
    </xf>
    <xf numFmtId="180" fontId="61" fillId="0" borderId="0">
      <protection locked="0"/>
    </xf>
    <xf numFmtId="181" fontId="61" fillId="0" borderId="0">
      <protection locked="0"/>
    </xf>
    <xf numFmtId="180" fontId="61" fillId="0" borderId="0">
      <protection locked="0"/>
    </xf>
    <xf numFmtId="182" fontId="61" fillId="0" borderId="0">
      <protection locked="0"/>
    </xf>
    <xf numFmtId="181" fontId="61" fillId="0" borderId="0">
      <protection locked="0"/>
    </xf>
    <xf numFmtId="182" fontId="61" fillId="0" borderId="0">
      <protection locked="0"/>
    </xf>
    <xf numFmtId="0" fontId="45" fillId="0" borderId="0">
      <protection locked="0"/>
    </xf>
    <xf numFmtId="183" fontId="61" fillId="0" borderId="0">
      <protection locked="0"/>
    </xf>
    <xf numFmtId="182" fontId="61" fillId="0" borderId="0">
      <protection locked="0"/>
    </xf>
    <xf numFmtId="0" fontId="45" fillId="0" borderId="0">
      <protection locked="0"/>
    </xf>
    <xf numFmtId="167" fontId="45" fillId="0" borderId="0">
      <protection locked="0"/>
    </xf>
    <xf numFmtId="184" fontId="62" fillId="0" borderId="0" applyFont="0" applyFill="0" applyBorder="0" applyAlignment="0" applyProtection="0"/>
    <xf numFmtId="167" fontId="63" fillId="0" borderId="0"/>
    <xf numFmtId="185" fontId="62" fillId="0" borderId="0" applyFont="0" applyFill="0" applyBorder="0" applyAlignment="0" applyProtection="0"/>
    <xf numFmtId="186" fontId="61" fillId="0" borderId="28">
      <protection locked="0"/>
    </xf>
    <xf numFmtId="0" fontId="45" fillId="0" borderId="24">
      <protection locked="0"/>
    </xf>
    <xf numFmtId="0" fontId="45" fillId="0" borderId="24">
      <protection locked="0"/>
    </xf>
    <xf numFmtId="167" fontId="37" fillId="0" borderId="0"/>
    <xf numFmtId="167" fontId="37" fillId="0" borderId="0"/>
    <xf numFmtId="167" fontId="37" fillId="0" borderId="0"/>
    <xf numFmtId="167" fontId="53" fillId="0" borderId="0">
      <alignment vertical="center"/>
    </xf>
    <xf numFmtId="167" fontId="64" fillId="0" borderId="0">
      <alignment vertical="center"/>
    </xf>
    <xf numFmtId="167" fontId="53" fillId="0" borderId="0">
      <alignment vertical="center"/>
    </xf>
    <xf numFmtId="0" fontId="65" fillId="0" borderId="0">
      <protection locked="0"/>
    </xf>
    <xf numFmtId="0" fontId="65" fillId="0" borderId="0">
      <protection locked="0"/>
    </xf>
    <xf numFmtId="186" fontId="66" fillId="0" borderId="0">
      <protection locked="0"/>
    </xf>
    <xf numFmtId="167" fontId="66" fillId="0" borderId="0">
      <protection locked="0"/>
    </xf>
    <xf numFmtId="186" fontId="66" fillId="0" borderId="0">
      <protection locked="0"/>
    </xf>
    <xf numFmtId="167" fontId="66" fillId="0" borderId="0">
      <protection locked="0"/>
    </xf>
    <xf numFmtId="0" fontId="67" fillId="0" borderId="0"/>
    <xf numFmtId="186" fontId="61" fillId="0" borderId="28">
      <protection locked="0"/>
    </xf>
    <xf numFmtId="167" fontId="61" fillId="0" borderId="28">
      <protection locked="0"/>
    </xf>
    <xf numFmtId="0" fontId="45" fillId="0" borderId="0">
      <protection locked="0"/>
    </xf>
    <xf numFmtId="0" fontId="45" fillId="0" borderId="0">
      <protection locked="0"/>
    </xf>
    <xf numFmtId="0" fontId="45"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45" fillId="0" borderId="0">
      <protection locked="0"/>
    </xf>
    <xf numFmtId="0" fontId="45"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45" fillId="0" borderId="0">
      <protection locked="0"/>
    </xf>
    <xf numFmtId="0" fontId="65" fillId="0" borderId="0">
      <protection locked="0"/>
    </xf>
    <xf numFmtId="0" fontId="65" fillId="0" borderId="0">
      <protection locked="0"/>
    </xf>
    <xf numFmtId="187" fontId="32"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9" fontId="68" fillId="0" borderId="29" applyFont="0" applyFill="0" applyBorder="0" applyAlignment="0" applyProtection="0">
      <alignment horizontal="right"/>
    </xf>
    <xf numFmtId="9" fontId="32" fillId="0" borderId="0"/>
    <xf numFmtId="9" fontId="52" fillId="0" borderId="0"/>
    <xf numFmtId="9" fontId="32" fillId="0" borderId="0"/>
    <xf numFmtId="167" fontId="63" fillId="0" borderId="0"/>
    <xf numFmtId="167" fontId="69" fillId="0" borderId="0"/>
    <xf numFmtId="190" fontId="70" fillId="0" borderId="0" applyFont="0" applyAlignment="0" applyProtection="0">
      <protection locked="0" hidden="1"/>
    </xf>
    <xf numFmtId="167" fontId="71" fillId="0" borderId="0"/>
    <xf numFmtId="167" fontId="69" fillId="0" borderId="0"/>
    <xf numFmtId="167" fontId="72" fillId="12" borderId="0"/>
    <xf numFmtId="167" fontId="72" fillId="12" borderId="0"/>
    <xf numFmtId="167" fontId="72" fillId="12" borderId="0"/>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0" fontId="73" fillId="13" borderId="19" applyNumberFormat="0" applyFill="0" applyBorder="0" applyAlignment="0">
      <alignment horizontal="left"/>
    </xf>
    <xf numFmtId="0" fontId="73" fillId="13" borderId="19" applyNumberFormat="0" applyFill="0" applyBorder="0" applyAlignment="0">
      <alignment horizontal="left"/>
    </xf>
    <xf numFmtId="167" fontId="74" fillId="13" borderId="0" applyNumberFormat="0" applyFill="0" applyBorder="0" applyAlignment="0"/>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0" fontId="75" fillId="14" borderId="19" applyNumberFormat="0" applyFill="0" applyBorder="0" applyAlignment="0">
      <alignment horizontal="left"/>
    </xf>
    <xf numFmtId="0" fontId="75" fillId="14" borderId="19" applyNumberFormat="0" applyFill="0" applyBorder="0" applyAlignment="0">
      <alignment horizontal="left"/>
    </xf>
    <xf numFmtId="167" fontId="76" fillId="15" borderId="0" applyNumberFormat="0" applyFill="0" applyBorder="0" applyAlignment="0"/>
    <xf numFmtId="167" fontId="77" fillId="0" borderId="0" applyNumberFormat="0" applyFill="0" applyBorder="0" applyAlignment="0"/>
    <xf numFmtId="167" fontId="78" fillId="0" borderId="7" applyNumberFormat="0" applyFill="0" applyBorder="0" applyAlignment="0">
      <alignment horizontal="left"/>
    </xf>
    <xf numFmtId="167" fontId="79" fillId="16" borderId="21" applyNumberFormat="0" applyFill="0" applyBorder="0" applyAlignment="0">
      <alignment horizontal="centerContinuous"/>
    </xf>
    <xf numFmtId="167" fontId="80" fillId="0" borderId="0" applyNumberFormat="0" applyFill="0" applyBorder="0" applyAlignment="0"/>
    <xf numFmtId="167" fontId="80" fillId="17" borderId="30" applyNumberFormat="0" applyFill="0" applyBorder="0" applyAlignment="0"/>
    <xf numFmtId="0" fontId="80" fillId="17" borderId="30" applyNumberFormat="0" applyFill="0" applyBorder="0" applyAlignment="0"/>
    <xf numFmtId="0" fontId="80" fillId="17" borderId="30" applyNumberFormat="0" applyFill="0" applyBorder="0" applyAlignment="0"/>
    <xf numFmtId="167" fontId="81" fillId="0" borderId="7" applyNumberFormat="0" applyFill="0" applyBorder="0" applyAlignment="0"/>
    <xf numFmtId="167" fontId="80" fillId="0" borderId="0" applyNumberFormat="0" applyFill="0" applyBorder="0" applyAlignment="0"/>
    <xf numFmtId="0" fontId="8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4" fillId="5"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0" fontId="84" fillId="5" borderId="0" applyNumberFormat="0" applyBorder="0" applyAlignment="0" applyProtection="0"/>
    <xf numFmtId="167" fontId="83" fillId="18" borderId="0" applyNumberFormat="0" applyBorder="0" applyAlignment="0" applyProtection="0"/>
    <xf numFmtId="167" fontId="3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0" fontId="82"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2"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0" fontId="82"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2"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0" fontId="8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0" fontId="82"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2"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2"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2"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2" fillId="18" borderId="0" applyNumberFormat="0" applyBorder="0" applyAlignment="0" applyProtection="0"/>
    <xf numFmtId="0" fontId="82" fillId="18" borderId="0" applyNumberFormat="0" applyBorder="0" applyAlignment="0" applyProtection="0"/>
    <xf numFmtId="0" fontId="82" fillId="18"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18"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18" borderId="0" applyNumberFormat="0" applyBorder="0" applyAlignment="0" applyProtection="0"/>
    <xf numFmtId="0" fontId="82" fillId="18" borderId="0" applyNumberFormat="0" applyBorder="0" applyAlignment="0" applyProtection="0"/>
    <xf numFmtId="167" fontId="82" fillId="18" borderId="0" applyNumberFormat="0" applyBorder="0" applyAlignment="0" applyProtection="0"/>
    <xf numFmtId="167" fontId="8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9" borderId="0" applyNumberFormat="0" applyBorder="0" applyAlignment="0" applyProtection="0"/>
    <xf numFmtId="0" fontId="82" fillId="19" borderId="0" applyNumberFormat="0" applyBorder="0" applyAlignment="0" applyProtection="0"/>
    <xf numFmtId="0" fontId="82" fillId="19"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19"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19" borderId="0" applyNumberFormat="0" applyBorder="0" applyAlignment="0" applyProtection="0"/>
    <xf numFmtId="0" fontId="82" fillId="19" borderId="0" applyNumberFormat="0" applyBorder="0" applyAlignment="0" applyProtection="0"/>
    <xf numFmtId="167" fontId="82" fillId="19" borderId="0" applyNumberFormat="0" applyBorder="0" applyAlignment="0" applyProtection="0"/>
    <xf numFmtId="167" fontId="8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20" borderId="0" applyNumberFormat="0" applyBorder="0" applyAlignment="0" applyProtection="0"/>
    <xf numFmtId="0" fontId="82" fillId="20" borderId="0" applyNumberFormat="0" applyBorder="0" applyAlignment="0" applyProtection="0"/>
    <xf numFmtId="0" fontId="82" fillId="20"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0"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0" borderId="0" applyNumberFormat="0" applyBorder="0" applyAlignment="0" applyProtection="0"/>
    <xf numFmtId="0" fontId="82" fillId="20" borderId="0" applyNumberFormat="0" applyBorder="0" applyAlignment="0" applyProtection="0"/>
    <xf numFmtId="167" fontId="82" fillId="20" borderId="0" applyNumberFormat="0" applyBorder="0" applyAlignment="0" applyProtection="0"/>
    <xf numFmtId="167" fontId="8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1"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1" borderId="0" applyNumberFormat="0" applyBorder="0" applyAlignment="0" applyProtection="0"/>
    <xf numFmtId="0" fontId="82" fillId="21" borderId="0" applyNumberFormat="0" applyBorder="0" applyAlignment="0" applyProtection="0"/>
    <xf numFmtId="167" fontId="82" fillId="21" borderId="0" applyNumberFormat="0" applyBorder="0" applyAlignment="0" applyProtection="0"/>
    <xf numFmtId="167" fontId="8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2" borderId="0" applyNumberFormat="0" applyBorder="0" applyAlignment="0" applyProtection="0"/>
    <xf numFmtId="0" fontId="82" fillId="22" borderId="0" applyNumberFormat="0" applyBorder="0" applyAlignment="0" applyProtection="0"/>
    <xf numFmtId="0"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0" fontId="85" fillId="28"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0"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3" borderId="0" applyNumberFormat="0" applyBorder="0" applyAlignment="0" applyProtection="0"/>
    <xf numFmtId="0" fontId="82" fillId="23" borderId="0" applyNumberFormat="0" applyBorder="0" applyAlignment="0" applyProtection="0"/>
    <xf numFmtId="0" fontId="82" fillId="23"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3"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3" borderId="0" applyNumberFormat="0" applyBorder="0" applyAlignment="0" applyProtection="0"/>
    <xf numFmtId="0" fontId="82" fillId="23" borderId="0" applyNumberFormat="0" applyBorder="0" applyAlignment="0" applyProtection="0"/>
    <xf numFmtId="167" fontId="82" fillId="23" borderId="0" applyNumberFormat="0" applyBorder="0" applyAlignment="0" applyProtection="0"/>
    <xf numFmtId="167" fontId="8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7" fillId="18" borderId="0" applyNumberFormat="0" applyBorder="0" applyAlignment="0" applyProtection="0">
      <alignment vertical="center"/>
    </xf>
    <xf numFmtId="0" fontId="37" fillId="18" borderId="0" applyNumberFormat="0" applyBorder="0" applyAlignment="0" applyProtection="0">
      <alignment vertical="center"/>
    </xf>
    <xf numFmtId="167" fontId="37" fillId="19" borderId="0" applyNumberFormat="0" applyBorder="0" applyAlignment="0" applyProtection="0">
      <alignment vertical="center"/>
    </xf>
    <xf numFmtId="0" fontId="37" fillId="19" borderId="0" applyNumberFormat="0" applyBorder="0" applyAlignment="0" applyProtection="0">
      <alignment vertical="center"/>
    </xf>
    <xf numFmtId="167" fontId="37" fillId="20" borderId="0" applyNumberFormat="0" applyBorder="0" applyAlignment="0" applyProtection="0">
      <alignment vertical="center"/>
    </xf>
    <xf numFmtId="0" fontId="37" fillId="20" borderId="0" applyNumberFormat="0" applyBorder="0" applyAlignment="0" applyProtection="0">
      <alignment vertical="center"/>
    </xf>
    <xf numFmtId="167" fontId="37" fillId="21" borderId="0" applyNumberFormat="0" applyBorder="0" applyAlignment="0" applyProtection="0">
      <alignment vertical="center"/>
    </xf>
    <xf numFmtId="0" fontId="37" fillId="21" borderId="0" applyNumberFormat="0" applyBorder="0" applyAlignment="0" applyProtection="0">
      <alignment vertical="center"/>
    </xf>
    <xf numFmtId="167" fontId="37" fillId="22" borderId="0" applyNumberFormat="0" applyBorder="0" applyAlignment="0" applyProtection="0">
      <alignment vertical="center"/>
    </xf>
    <xf numFmtId="0" fontId="37" fillId="22" borderId="0" applyNumberFormat="0" applyBorder="0" applyAlignment="0" applyProtection="0">
      <alignment vertical="center"/>
    </xf>
    <xf numFmtId="167" fontId="37" fillId="23" borderId="0" applyNumberFormat="0" applyBorder="0" applyAlignment="0" applyProtection="0">
      <alignment vertical="center"/>
    </xf>
    <xf numFmtId="0" fontId="37" fillId="23" borderId="0" applyNumberFormat="0" applyBorder="0" applyAlignment="0" applyProtection="0">
      <alignment vertical="center"/>
    </xf>
    <xf numFmtId="191" fontId="70" fillId="0" borderId="0" applyFill="0" applyBorder="0" applyProtection="0">
      <alignment horizontal="right"/>
    </xf>
    <xf numFmtId="167" fontId="63" fillId="0" borderId="0"/>
    <xf numFmtId="167" fontId="69" fillId="0" borderId="0"/>
    <xf numFmtId="167" fontId="63" fillId="0" borderId="0"/>
    <xf numFmtId="0" fontId="8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0" fontId="82"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2"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0" fontId="82"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2"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0" fontId="8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0" fontId="8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0" fontId="82"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2"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0" fontId="82" fillId="30" borderId="0" applyNumberFormat="0" applyBorder="0" applyAlignment="0" applyProtection="0"/>
    <xf numFmtId="167" fontId="82" fillId="30" borderId="0" applyNumberFormat="0" applyBorder="0" applyAlignment="0" applyProtection="0"/>
    <xf numFmtId="167" fontId="8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25" borderId="0" applyNumberFormat="0" applyBorder="0" applyAlignment="0" applyProtection="0"/>
    <xf numFmtId="0" fontId="82" fillId="25" borderId="0" applyNumberFormat="0" applyBorder="0" applyAlignment="0" applyProtection="0"/>
    <xf numFmtId="0" fontId="82" fillId="25"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25"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25" borderId="0" applyNumberFormat="0" applyBorder="0" applyAlignment="0" applyProtection="0"/>
    <xf numFmtId="0"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31" borderId="0" applyNumberFormat="0" applyBorder="0" applyAlignment="0" applyProtection="0"/>
    <xf numFmtId="0" fontId="82" fillId="31" borderId="0" applyNumberFormat="0" applyBorder="0" applyAlignment="0" applyProtection="0"/>
    <xf numFmtId="0" fontId="82" fillId="31"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31"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31" borderId="0" applyNumberFormat="0" applyBorder="0" applyAlignment="0" applyProtection="0"/>
    <xf numFmtId="0" fontId="82" fillId="31" borderId="0" applyNumberFormat="0" applyBorder="0" applyAlignment="0" applyProtection="0"/>
    <xf numFmtId="167" fontId="82" fillId="31" borderId="0" applyNumberFormat="0" applyBorder="0" applyAlignment="0" applyProtection="0"/>
    <xf numFmtId="167" fontId="8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21"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21" borderId="0" applyNumberFormat="0" applyBorder="0" applyAlignment="0" applyProtection="0"/>
    <xf numFmtId="0" fontId="82" fillId="21" borderId="0" applyNumberFormat="0" applyBorder="0" applyAlignment="0" applyProtection="0"/>
    <xf numFmtId="167" fontId="82" fillId="21" borderId="0" applyNumberFormat="0" applyBorder="0" applyAlignment="0" applyProtection="0"/>
    <xf numFmtId="167" fontId="8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0" fontId="82" fillId="30" borderId="0" applyNumberFormat="0" applyBorder="0" applyAlignment="0" applyProtection="0"/>
    <xf numFmtId="167" fontId="82" fillId="30" borderId="0" applyNumberFormat="0" applyBorder="0" applyAlignment="0" applyProtection="0"/>
    <xf numFmtId="167" fontId="8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26" borderId="0" applyNumberFormat="0" applyBorder="0" applyAlignment="0" applyProtection="0"/>
    <xf numFmtId="0" fontId="82" fillId="26" borderId="0" applyNumberFormat="0" applyBorder="0" applyAlignment="0" applyProtection="0"/>
    <xf numFmtId="0" fontId="82" fillId="26"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26"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26" borderId="0" applyNumberFormat="0" applyBorder="0" applyAlignment="0" applyProtection="0"/>
    <xf numFmtId="0"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7" fillId="30" borderId="0" applyNumberFormat="0" applyBorder="0" applyAlignment="0" applyProtection="0">
      <alignment vertical="center"/>
    </xf>
    <xf numFmtId="0" fontId="37" fillId="30" borderId="0" applyNumberFormat="0" applyBorder="0" applyAlignment="0" applyProtection="0">
      <alignment vertical="center"/>
    </xf>
    <xf numFmtId="167" fontId="37" fillId="25" borderId="0" applyNumberFormat="0" applyBorder="0" applyAlignment="0" applyProtection="0">
      <alignment vertical="center"/>
    </xf>
    <xf numFmtId="0" fontId="37" fillId="25" borderId="0" applyNumberFormat="0" applyBorder="0" applyAlignment="0" applyProtection="0">
      <alignment vertical="center"/>
    </xf>
    <xf numFmtId="167" fontId="37" fillId="31" borderId="0" applyNumberFormat="0" applyBorder="0" applyAlignment="0" applyProtection="0">
      <alignment vertical="center"/>
    </xf>
    <xf numFmtId="0" fontId="37" fillId="31" borderId="0" applyNumberFormat="0" applyBorder="0" applyAlignment="0" applyProtection="0">
      <alignment vertical="center"/>
    </xf>
    <xf numFmtId="167" fontId="37" fillId="21" borderId="0" applyNumberFormat="0" applyBorder="0" applyAlignment="0" applyProtection="0">
      <alignment vertical="center"/>
    </xf>
    <xf numFmtId="0" fontId="37" fillId="21" borderId="0" applyNumberFormat="0" applyBorder="0" applyAlignment="0" applyProtection="0">
      <alignment vertical="center"/>
    </xf>
    <xf numFmtId="167" fontId="37" fillId="30" borderId="0" applyNumberFormat="0" applyBorder="0" applyAlignment="0" applyProtection="0">
      <alignment vertical="center"/>
    </xf>
    <xf numFmtId="0" fontId="37" fillId="30" borderId="0" applyNumberFormat="0" applyBorder="0" applyAlignment="0" applyProtection="0">
      <alignment vertical="center"/>
    </xf>
    <xf numFmtId="167" fontId="37" fillId="26" borderId="0" applyNumberFormat="0" applyBorder="0" applyAlignment="0" applyProtection="0">
      <alignment vertical="center"/>
    </xf>
    <xf numFmtId="0" fontId="37" fillId="26" borderId="0" applyNumberFormat="0" applyBorder="0" applyAlignment="0" applyProtection="0">
      <alignment vertical="center"/>
    </xf>
    <xf numFmtId="0" fontId="86"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2"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0" fontId="86"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2"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0" fontId="86"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2"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0" fontId="86"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2"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0" fontId="86"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2"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0" fontId="86"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2"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2" fillId="35" borderId="0" applyNumberFormat="0" applyBorder="0" applyAlignment="0" applyProtection="0"/>
    <xf numFmtId="0" fontId="86" fillId="35" borderId="0" applyNumberFormat="0" applyBorder="0" applyAlignment="0" applyProtection="0"/>
    <xf numFmtId="0" fontId="86" fillId="35"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5"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5" borderId="0" applyNumberFormat="0" applyBorder="0" applyAlignment="0" applyProtection="0"/>
    <xf numFmtId="0" fontId="86" fillId="35" borderId="0" applyNumberFormat="0" applyBorder="0" applyAlignment="0" applyProtection="0"/>
    <xf numFmtId="167" fontId="86" fillId="35" borderId="0" applyNumberFormat="0" applyBorder="0" applyAlignment="0" applyProtection="0"/>
    <xf numFmtId="167" fontId="86"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25" borderId="0" applyNumberFormat="0" applyBorder="0" applyAlignment="0" applyProtection="0"/>
    <xf numFmtId="0" fontId="86" fillId="25" borderId="0" applyNumberFormat="0" applyBorder="0" applyAlignment="0" applyProtection="0"/>
    <xf numFmtId="0" fontId="86" fillId="25"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25"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25" borderId="0" applyNumberFormat="0" applyBorder="0" applyAlignment="0" applyProtection="0"/>
    <xf numFmtId="0"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31" borderId="0" applyNumberFormat="0" applyBorder="0" applyAlignment="0" applyProtection="0"/>
    <xf numFmtId="0" fontId="86" fillId="31" borderId="0" applyNumberFormat="0" applyBorder="0" applyAlignment="0" applyProtection="0"/>
    <xf numFmtId="0" fontId="86" fillId="31"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31"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31" borderId="0" applyNumberFormat="0" applyBorder="0" applyAlignment="0" applyProtection="0"/>
    <xf numFmtId="0" fontId="86" fillId="31" borderId="0" applyNumberFormat="0" applyBorder="0" applyAlignment="0" applyProtection="0"/>
    <xf numFmtId="167" fontId="86" fillId="31" borderId="0" applyNumberFormat="0" applyBorder="0" applyAlignment="0" applyProtection="0"/>
    <xf numFmtId="167" fontId="86"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6"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6" borderId="0" applyNumberFormat="0" applyBorder="0" applyAlignment="0" applyProtection="0"/>
    <xf numFmtId="0" fontId="86" fillId="36"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7"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7" borderId="0" applyNumberFormat="0" applyBorder="0" applyAlignment="0" applyProtection="0"/>
    <xf numFmtId="0" fontId="86" fillId="37"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24" borderId="0" applyNumberFormat="0" applyBorder="0" applyAlignment="0" applyProtection="0"/>
    <xf numFmtId="0" fontId="86" fillId="24" borderId="0" applyNumberFormat="0" applyBorder="0" applyAlignment="0" applyProtection="0"/>
    <xf numFmtId="0" fontId="86" fillId="24"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4"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4" borderId="0" applyNumberFormat="0" applyBorder="0" applyAlignment="0" applyProtection="0"/>
    <xf numFmtId="0" fontId="86" fillId="24" borderId="0" applyNumberFormat="0" applyBorder="0" applyAlignment="0" applyProtection="0"/>
    <xf numFmtId="167" fontId="86" fillId="24" borderId="0" applyNumberFormat="0" applyBorder="0" applyAlignment="0" applyProtection="0"/>
    <xf numFmtId="167" fontId="86"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7" fillId="35" borderId="0" applyNumberFormat="0" applyBorder="0" applyAlignment="0" applyProtection="0">
      <alignment vertical="center"/>
    </xf>
    <xf numFmtId="0" fontId="37" fillId="35" borderId="0" applyNumberFormat="0" applyBorder="0" applyAlignment="0" applyProtection="0">
      <alignment vertical="center"/>
    </xf>
    <xf numFmtId="167" fontId="37" fillId="25" borderId="0" applyNumberFormat="0" applyBorder="0" applyAlignment="0" applyProtection="0">
      <alignment vertical="center"/>
    </xf>
    <xf numFmtId="0" fontId="37" fillId="25" borderId="0" applyNumberFormat="0" applyBorder="0" applyAlignment="0" applyProtection="0">
      <alignment vertical="center"/>
    </xf>
    <xf numFmtId="167" fontId="37" fillId="31" borderId="0" applyNumberFormat="0" applyBorder="0" applyAlignment="0" applyProtection="0">
      <alignment vertical="center"/>
    </xf>
    <xf numFmtId="0" fontId="37" fillId="31" borderId="0" applyNumberFormat="0" applyBorder="0" applyAlignment="0" applyProtection="0">
      <alignment vertical="center"/>
    </xf>
    <xf numFmtId="167" fontId="37" fillId="36" borderId="0" applyNumberFormat="0" applyBorder="0" applyAlignment="0" applyProtection="0">
      <alignment vertical="center"/>
    </xf>
    <xf numFmtId="0" fontId="37" fillId="36" borderId="0" applyNumberFormat="0" applyBorder="0" applyAlignment="0" applyProtection="0">
      <alignment vertical="center"/>
    </xf>
    <xf numFmtId="167" fontId="37" fillId="37" borderId="0" applyNumberFormat="0" applyBorder="0" applyAlignment="0" applyProtection="0">
      <alignment vertical="center"/>
    </xf>
    <xf numFmtId="0" fontId="37" fillId="37" borderId="0" applyNumberFormat="0" applyBorder="0" applyAlignment="0" applyProtection="0">
      <alignment vertical="center"/>
    </xf>
    <xf numFmtId="167" fontId="37" fillId="24" borderId="0" applyNumberFormat="0" applyBorder="0" applyAlignment="0" applyProtection="0">
      <alignment vertical="center"/>
    </xf>
    <xf numFmtId="0" fontId="37" fillId="24" borderId="0" applyNumberFormat="0" applyBorder="0" applyAlignment="0" applyProtection="0">
      <alignment vertical="center"/>
    </xf>
    <xf numFmtId="192" fontId="88" fillId="0" borderId="0" applyFont="0" applyFill="0" applyBorder="0">
      <alignment horizontal="center"/>
    </xf>
    <xf numFmtId="167" fontId="89" fillId="0" borderId="0">
      <alignment horizontal="right"/>
    </xf>
    <xf numFmtId="193" fontId="37" fillId="0" borderId="0" applyFont="0" applyFill="0" applyBorder="0" applyAlignment="0" applyProtection="0"/>
    <xf numFmtId="194" fontId="37" fillId="0" borderId="0" applyFont="0" applyFill="0" applyBorder="0" applyAlignment="0" applyProtection="0"/>
    <xf numFmtId="193" fontId="37" fillId="0" borderId="0" applyFont="0" applyFill="0" applyBorder="0" applyAlignment="0" applyProtection="0"/>
    <xf numFmtId="194" fontId="37" fillId="0" borderId="0" applyFont="0" applyFill="0" applyBorder="0" applyAlignment="0" applyProtection="0"/>
    <xf numFmtId="0" fontId="86" fillId="39" borderId="0" applyNumberFormat="0" applyBorder="0" applyAlignment="0" applyProtection="0"/>
    <xf numFmtId="167" fontId="83" fillId="40" borderId="0" applyNumberFormat="0" applyBorder="0" applyAlignment="0" applyProtection="0"/>
    <xf numFmtId="167" fontId="83" fillId="40" borderId="0" applyNumberFormat="0" applyBorder="0" applyAlignment="0" applyProtection="0"/>
    <xf numFmtId="167" fontId="87" fillId="4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2"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0" fontId="86" fillId="39" borderId="0" applyNumberFormat="0" applyBorder="0" applyAlignment="0" applyProtection="0"/>
    <xf numFmtId="0" fontId="86" fillId="42" borderId="0" applyNumberFormat="0" applyBorder="0" applyAlignment="0" applyProtection="0"/>
    <xf numFmtId="167" fontId="83" fillId="43" borderId="0" applyNumberFormat="0" applyBorder="0" applyAlignment="0" applyProtection="0"/>
    <xf numFmtId="167" fontId="83" fillId="44" borderId="0" applyNumberFormat="0" applyBorder="0" applyAlignment="0" applyProtection="0"/>
    <xf numFmtId="167" fontId="87" fillId="45"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2"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0" fontId="86" fillId="42" borderId="0" applyNumberFormat="0" applyBorder="0" applyAlignment="0" applyProtection="0"/>
    <xf numFmtId="0" fontId="86" fillId="46" borderId="0" applyNumberFormat="0" applyBorder="0" applyAlignment="0" applyProtection="0"/>
    <xf numFmtId="167" fontId="83" fillId="43" borderId="0" applyNumberFormat="0" applyBorder="0" applyAlignment="0" applyProtection="0"/>
    <xf numFmtId="167" fontId="83" fillId="47" borderId="0" applyNumberFormat="0" applyBorder="0" applyAlignment="0" applyProtection="0"/>
    <xf numFmtId="167" fontId="87" fillId="44"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2"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0" fontId="86" fillId="46" borderId="0" applyNumberFormat="0" applyBorder="0" applyAlignment="0" applyProtection="0"/>
    <xf numFmtId="0" fontId="86" fillId="36" borderId="0" applyNumberFormat="0" applyBorder="0" applyAlignment="0" applyProtection="0"/>
    <xf numFmtId="167" fontId="83" fillId="40" borderId="0" applyNumberFormat="0" applyBorder="0" applyAlignment="0" applyProtection="0"/>
    <xf numFmtId="167" fontId="83" fillId="44" borderId="0" applyNumberFormat="0" applyBorder="0" applyAlignment="0" applyProtection="0"/>
    <xf numFmtId="167" fontId="87" fillId="44"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2"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0" fontId="86" fillId="36" borderId="0" applyNumberFormat="0" applyBorder="0" applyAlignment="0" applyProtection="0"/>
    <xf numFmtId="0" fontId="86" fillId="37" borderId="0" applyNumberFormat="0" applyBorder="0" applyAlignment="0" applyProtection="0"/>
    <xf numFmtId="167" fontId="83" fillId="48" borderId="0" applyNumberFormat="0" applyBorder="0" applyAlignment="0" applyProtection="0"/>
    <xf numFmtId="167" fontId="83" fillId="40" borderId="0" applyNumberFormat="0" applyBorder="0" applyAlignment="0" applyProtection="0"/>
    <xf numFmtId="167" fontId="87" fillId="4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2"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0" fontId="86" fillId="37" borderId="0" applyNumberFormat="0" applyBorder="0" applyAlignment="0" applyProtection="0"/>
    <xf numFmtId="0" fontId="86" fillId="49" borderId="0" applyNumberFormat="0" applyBorder="0" applyAlignment="0" applyProtection="0"/>
    <xf numFmtId="167" fontId="83" fillId="43" borderId="0" applyNumberFormat="0" applyBorder="0" applyAlignment="0" applyProtection="0"/>
    <xf numFmtId="167" fontId="83" fillId="50" borderId="0" applyNumberFormat="0" applyBorder="0" applyAlignment="0" applyProtection="0"/>
    <xf numFmtId="167" fontId="87" fillId="50"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2"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0" fontId="86" fillId="49" borderId="0" applyNumberFormat="0" applyBorder="0" applyAlignment="0" applyProtection="0"/>
    <xf numFmtId="195" fontId="90" fillId="51" borderId="0">
      <alignment horizontal="center" vertical="center"/>
    </xf>
    <xf numFmtId="196" fontId="91" fillId="0" borderId="31" applyFont="0" applyFill="0">
      <alignment horizontal="right" vertical="center"/>
      <protection locked="0"/>
    </xf>
    <xf numFmtId="197" fontId="37" fillId="0" borderId="0" applyFont="0" applyFill="0" applyBorder="0" applyProtection="0"/>
    <xf numFmtId="0" fontId="92" fillId="0" borderId="0" applyNumberFormat="0" applyFill="0" applyBorder="0" applyAlignment="0" applyProtection="0">
      <alignment vertical="top"/>
      <protection locked="0"/>
    </xf>
    <xf numFmtId="198" fontId="62" fillId="0" borderId="0" applyFont="0" applyFill="0" applyBorder="0" applyAlignment="0" applyProtection="0"/>
    <xf numFmtId="178" fontId="93" fillId="0" borderId="0" applyFont="0" applyFill="0" applyBorder="0" applyAlignment="0" applyProtection="0"/>
    <xf numFmtId="178" fontId="94" fillId="0" borderId="0" applyFont="0" applyFill="0" applyBorder="0" applyAlignment="0" applyProtection="0"/>
    <xf numFmtId="199" fontId="62" fillId="0" borderId="0" applyFont="0" applyFill="0" applyBorder="0" applyAlignment="0" applyProtection="0"/>
    <xf numFmtId="178" fontId="93" fillId="0" borderId="0" applyFont="0" applyFill="0" applyBorder="0" applyAlignment="0" applyProtection="0"/>
    <xf numFmtId="178" fontId="94" fillId="0" borderId="0" applyFont="0" applyFill="0" applyBorder="0" applyAlignment="0" applyProtection="0"/>
    <xf numFmtId="167" fontId="95" fillId="0" borderId="0" applyNumberFormat="0" applyFill="0" applyBorder="0" applyAlignment="0" applyProtection="0">
      <alignment vertical="top"/>
      <protection locked="0"/>
    </xf>
    <xf numFmtId="167" fontId="40" fillId="0" borderId="0"/>
    <xf numFmtId="200" fontId="54" fillId="0" borderId="32">
      <protection locked="0"/>
    </xf>
    <xf numFmtId="201" fontId="32" fillId="0" borderId="0" applyFont="0" applyFill="0" applyBorder="0" applyAlignment="0" applyProtection="0"/>
    <xf numFmtId="202" fontId="32" fillId="0" borderId="0" applyFont="0" applyFill="0" applyBorder="0" applyAlignment="0" applyProtection="0"/>
    <xf numFmtId="203" fontId="96" fillId="0" borderId="0">
      <alignment horizontal="left"/>
    </xf>
    <xf numFmtId="203" fontId="96" fillId="0" borderId="0">
      <alignment horizontal="left"/>
    </xf>
    <xf numFmtId="203" fontId="96" fillId="0" borderId="0">
      <alignment horizontal="left"/>
    </xf>
    <xf numFmtId="39" fontId="97" fillId="0" borderId="0" applyFont="0" applyFill="0">
      <alignment vertical="center"/>
    </xf>
    <xf numFmtId="204" fontId="67" fillId="0" borderId="0"/>
    <xf numFmtId="0" fontId="98" fillId="0" borderId="0">
      <alignment horizontal="right"/>
    </xf>
    <xf numFmtId="196" fontId="91" fillId="0" borderId="0" applyFont="0" applyBorder="0" applyProtection="0">
      <alignment vertical="center"/>
    </xf>
    <xf numFmtId="195" fontId="37" fillId="0" borderId="0" applyNumberFormat="0" applyFont="0" applyAlignment="0">
      <alignment horizontal="center" vertical="center"/>
    </xf>
    <xf numFmtId="167" fontId="40" fillId="0" borderId="0" applyNumberFormat="0" applyFill="0" applyBorder="0" applyAlignment="0" applyProtection="0"/>
    <xf numFmtId="167" fontId="99" fillId="0" borderId="0" applyNumberFormat="0" applyFill="0" applyBorder="0" applyAlignment="0" applyProtection="0"/>
    <xf numFmtId="205" fontId="100" fillId="8" borderId="0" applyBorder="0">
      <protection locked="0"/>
    </xf>
    <xf numFmtId="197" fontId="101" fillId="52" borderId="12"/>
    <xf numFmtId="197" fontId="101" fillId="52" borderId="12"/>
    <xf numFmtId="197" fontId="101" fillId="52" borderId="12"/>
    <xf numFmtId="178" fontId="94" fillId="0" borderId="0" applyFont="0" applyFill="0" applyBorder="0" applyAlignment="0" applyProtection="0"/>
    <xf numFmtId="178" fontId="94" fillId="0" borderId="0" applyFont="0" applyFill="0" applyBorder="0" applyAlignment="0" applyProtection="0"/>
    <xf numFmtId="0" fontId="102" fillId="0" borderId="0"/>
    <xf numFmtId="169" fontId="103" fillId="0" borderId="0"/>
    <xf numFmtId="39" fontId="104" fillId="7" borderId="0" applyNumberFormat="0" applyBorder="0">
      <alignment vertical="center"/>
    </xf>
    <xf numFmtId="0" fontId="105"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2"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53" fillId="53" borderId="0"/>
    <xf numFmtId="167" fontId="107" fillId="53" borderId="0"/>
    <xf numFmtId="0" fontId="108" fillId="0" borderId="0"/>
    <xf numFmtId="167" fontId="109" fillId="0" borderId="0" applyNumberFormat="0" applyFill="0" applyBorder="0" applyAlignment="0" applyProtection="0"/>
    <xf numFmtId="0" fontId="54" fillId="0" borderId="0">
      <alignment horizontal="left"/>
    </xf>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38" fontId="111" fillId="0" borderId="0" applyNumberFormat="0" applyFill="0" applyBorder="0" applyAlignment="0" applyProtection="0">
      <alignment horizontal="right"/>
      <protection locked="0"/>
    </xf>
    <xf numFmtId="171" fontId="103" fillId="0" borderId="0"/>
    <xf numFmtId="167" fontId="112" fillId="0" borderId="0" applyNumberFormat="0" applyFill="0" applyBorder="0" applyAlignment="0" applyProtection="0"/>
    <xf numFmtId="0" fontId="113" fillId="0" borderId="30" applyNumberFormat="0" applyFill="0" applyAlignment="0" applyProtection="0"/>
    <xf numFmtId="0" fontId="113" fillId="0" borderId="30" applyNumberFormat="0" applyFill="0" applyAlignment="0" applyProtection="0"/>
    <xf numFmtId="0" fontId="113" fillId="0" borderId="30" applyNumberFormat="0" applyFill="0" applyAlignment="0" applyProtection="0"/>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left"/>
    </xf>
    <xf numFmtId="167" fontId="104" fillId="0" borderId="0">
      <alignment horizontal="right"/>
    </xf>
    <xf numFmtId="167" fontId="63"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7" fontId="115" fillId="0" borderId="0" applyFont="0" applyFill="0" applyBorder="0" applyAlignment="0" applyProtection="0"/>
    <xf numFmtId="49" fontId="116" fillId="0" borderId="0" applyFill="0" applyBorder="0">
      <alignment horizontal="left"/>
    </xf>
    <xf numFmtId="200" fontId="117" fillId="0" borderId="0" applyFill="0" applyBorder="0">
      <alignment horizontal="left"/>
    </xf>
    <xf numFmtId="49" fontId="118" fillId="0" borderId="0" applyFill="0" applyBorder="0">
      <alignment horizontal="left"/>
    </xf>
    <xf numFmtId="2" fontId="119" fillId="0" borderId="0" applyFill="0" applyBorder="0">
      <alignment horizontal="left"/>
    </xf>
    <xf numFmtId="0" fontId="62" fillId="0" borderId="0" applyFont="0" applyFill="0" applyBorder="0" applyAlignment="0" applyProtection="0"/>
    <xf numFmtId="208" fontId="120" fillId="0" borderId="0"/>
    <xf numFmtId="167" fontId="121" fillId="0" borderId="0"/>
    <xf numFmtId="178" fontId="122" fillId="0" borderId="0"/>
    <xf numFmtId="178" fontId="94" fillId="0" borderId="0"/>
    <xf numFmtId="178" fontId="123" fillId="0" borderId="0"/>
    <xf numFmtId="178" fontId="123" fillId="0" borderId="0"/>
    <xf numFmtId="178" fontId="93" fillId="0" borderId="0"/>
    <xf numFmtId="178" fontId="94" fillId="0" borderId="0"/>
    <xf numFmtId="178" fontId="93" fillId="0" borderId="0"/>
    <xf numFmtId="178" fontId="94" fillId="0" borderId="0"/>
    <xf numFmtId="178" fontId="93" fillId="0" borderId="0"/>
    <xf numFmtId="178" fontId="94" fillId="0" borderId="0"/>
    <xf numFmtId="178" fontId="124" fillId="0" borderId="0"/>
    <xf numFmtId="209" fontId="125" fillId="0" borderId="0" applyFill="0" applyBorder="0" applyAlignment="0"/>
    <xf numFmtId="167" fontId="39" fillId="0" borderId="0" applyFill="0" applyBorder="0" applyAlignment="0"/>
    <xf numFmtId="167" fontId="39" fillId="0" borderId="0" applyFill="0" applyBorder="0" applyAlignment="0"/>
    <xf numFmtId="210" fontId="40" fillId="0" borderId="0" applyFill="0" applyBorder="0" applyAlignment="0"/>
    <xf numFmtId="171" fontId="46" fillId="0" borderId="0" applyFill="0" applyBorder="0" applyAlignment="0"/>
    <xf numFmtId="211" fontId="125" fillId="0" borderId="0" applyFill="0" applyBorder="0" applyAlignment="0"/>
    <xf numFmtId="212" fontId="40" fillId="0" borderId="0" applyFill="0" applyBorder="0" applyAlignment="0"/>
    <xf numFmtId="212" fontId="40" fillId="0" borderId="0" applyFill="0" applyBorder="0" applyAlignment="0"/>
    <xf numFmtId="213" fontId="37" fillId="0" borderId="0" applyFill="0" applyBorder="0" applyAlignment="0"/>
    <xf numFmtId="214" fontId="125" fillId="0" borderId="0" applyFill="0" applyBorder="0" applyAlignment="0"/>
    <xf numFmtId="215" fontId="40" fillId="0" borderId="0" applyFill="0" applyBorder="0" applyAlignment="0"/>
    <xf numFmtId="215" fontId="40" fillId="0" borderId="0" applyFill="0" applyBorder="0" applyAlignment="0"/>
    <xf numFmtId="216" fontId="126" fillId="0" borderId="0" applyFill="0" applyBorder="0" applyAlignment="0"/>
    <xf numFmtId="217" fontId="125" fillId="0" borderId="0" applyFill="0" applyBorder="0" applyAlignment="0"/>
    <xf numFmtId="218" fontId="40" fillId="0" borderId="0" applyFill="0" applyBorder="0" applyAlignment="0"/>
    <xf numFmtId="218" fontId="40" fillId="0" borderId="0" applyFill="0" applyBorder="0" applyAlignment="0"/>
    <xf numFmtId="219" fontId="126" fillId="0" borderId="0" applyFill="0" applyBorder="0" applyAlignment="0"/>
    <xf numFmtId="220" fontId="125" fillId="0" borderId="0" applyFill="0" applyBorder="0" applyAlignment="0"/>
    <xf numFmtId="221" fontId="40" fillId="0" borderId="0" applyFill="0" applyBorder="0" applyAlignment="0"/>
    <xf numFmtId="221" fontId="40" fillId="0" borderId="0" applyFill="0" applyBorder="0" applyAlignment="0"/>
    <xf numFmtId="222" fontId="46" fillId="0" borderId="0" applyFill="0" applyBorder="0" applyAlignment="0"/>
    <xf numFmtId="209" fontId="125"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125"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125" fillId="0" borderId="0" applyFill="0" applyBorder="0" applyAlignment="0"/>
    <xf numFmtId="212" fontId="40" fillId="0" borderId="0" applyFill="0" applyBorder="0" applyAlignment="0"/>
    <xf numFmtId="212" fontId="40" fillId="0" borderId="0" applyFill="0" applyBorder="0" applyAlignment="0"/>
    <xf numFmtId="0" fontId="127" fillId="54" borderId="34" applyNumberFormat="0" applyAlignment="0" applyProtection="0"/>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32"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32" fillId="54" borderId="34" applyNumberFormat="0" applyAlignment="0" applyProtection="0"/>
    <xf numFmtId="39" fontId="128" fillId="0" borderId="35">
      <protection locked="0"/>
    </xf>
    <xf numFmtId="39" fontId="128" fillId="0" borderId="35">
      <protection locked="0"/>
    </xf>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38" fontId="117" fillId="0" borderId="0">
      <alignment horizontal="left"/>
    </xf>
    <xf numFmtId="167" fontId="37" fillId="55" borderId="0" applyNumberFormat="0" applyFont="0" applyBorder="0" applyAlignment="0"/>
    <xf numFmtId="200" fontId="130" fillId="0" borderId="0"/>
    <xf numFmtId="167" fontId="40" fillId="0" borderId="0">
      <alignment horizontal="center" wrapText="1"/>
    </xf>
    <xf numFmtId="167" fontId="40" fillId="0" borderId="0">
      <alignment horizontal="center" wrapText="1"/>
    </xf>
    <xf numFmtId="167" fontId="113" fillId="0" borderId="30" applyNumberFormat="0" applyFont="0" applyFill="0" applyProtection="0">
      <alignment horizontal="centerContinuous" vertical="center"/>
    </xf>
    <xf numFmtId="0" fontId="113" fillId="0" borderId="30" applyNumberFormat="0" applyFont="0" applyFill="0" applyProtection="0">
      <alignment horizontal="centerContinuous" vertical="center"/>
    </xf>
    <xf numFmtId="0" fontId="113" fillId="0" borderId="30" applyNumberFormat="0" applyFont="0" applyFill="0" applyProtection="0">
      <alignment horizontal="centerContinuous" vertical="center"/>
    </xf>
    <xf numFmtId="167" fontId="131" fillId="0" borderId="0" applyFill="0" applyBorder="0" applyProtection="0">
      <alignment horizontal="center"/>
      <protection locked="0"/>
    </xf>
    <xf numFmtId="1" fontId="132" fillId="0" borderId="0"/>
    <xf numFmtId="227" fontId="54" fillId="56" borderId="36">
      <alignment vertical="center"/>
    </xf>
    <xf numFmtId="0" fontId="133"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32"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228" fontId="37" fillId="0" borderId="38" applyFont="0" applyFill="0" applyBorder="0" applyProtection="0">
      <alignment horizontal="center"/>
      <protection locked="0"/>
    </xf>
    <xf numFmtId="0" fontId="57" fillId="0" borderId="35"/>
    <xf numFmtId="0" fontId="72" fillId="0" borderId="0">
      <alignment horizontal="center" wrapText="1"/>
      <protection hidden="1"/>
    </xf>
    <xf numFmtId="167" fontId="113" fillId="0" borderId="0" applyNumberFormat="0" applyFill="0" applyBorder="0" applyProtection="0">
      <alignment horizontal="center" vertical="center"/>
    </xf>
    <xf numFmtId="0" fontId="135" fillId="0" borderId="0">
      <alignment horizontal="right"/>
    </xf>
    <xf numFmtId="167" fontId="32" fillId="0" borderId="0"/>
    <xf numFmtId="229" fontId="136" fillId="0" borderId="0"/>
    <xf numFmtId="167" fontId="32"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22" fontId="46" fillId="0" borderId="0" applyFont="0" applyFill="0" applyBorder="0" applyAlignment="0" applyProtection="0"/>
    <xf numFmtId="209" fontId="40" fillId="0" borderId="0" applyFont="0" applyFill="0" applyBorder="0" applyAlignment="0" applyProtection="0"/>
    <xf numFmtId="209" fontId="40" fillId="0" borderId="0" applyFont="0" applyFill="0" applyBorder="0" applyAlignment="0" applyProtection="0"/>
    <xf numFmtId="210" fontId="40" fillId="0" borderId="0" applyFont="0" applyFill="0" applyBorder="0" applyAlignment="0" applyProtection="0"/>
    <xf numFmtId="210" fontId="40" fillId="0" borderId="0" applyFont="0" applyFill="0" applyBorder="0" applyAlignment="0" applyProtection="0"/>
    <xf numFmtId="167" fontId="137" fillId="0" borderId="0" applyFont="0" applyFill="0" applyBorder="0" applyAlignment="0" applyProtection="0"/>
    <xf numFmtId="167" fontId="63" fillId="0" borderId="0"/>
    <xf numFmtId="167" fontId="71" fillId="0" borderId="0"/>
    <xf numFmtId="167" fontId="138" fillId="0" borderId="0" applyFont="0" applyFill="0" applyBorder="0" applyAlignment="0" applyProtection="0">
      <alignment horizontal="right"/>
    </xf>
    <xf numFmtId="167" fontId="138"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167" fontId="54" fillId="0" borderId="0" applyFill="0" applyBorder="0" applyAlignment="0" applyProtection="0"/>
    <xf numFmtId="167" fontId="139" fillId="0" borderId="0" applyFont="0" applyFill="0" applyBorder="0" applyAlignment="0" applyProtection="0"/>
    <xf numFmtId="234" fontId="32"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1"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83"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5" fontId="40" fillId="0" borderId="0" applyFill="0" applyBorder="0" applyAlignment="0" applyProtection="0"/>
    <xf numFmtId="234" fontId="32" fillId="0" borderId="0" applyFont="0" applyFill="0" applyBorder="0" applyAlignment="0" applyProtection="0"/>
    <xf numFmtId="234" fontId="40" fillId="0" borderId="0" applyFont="0" applyFill="0" applyBorder="0" applyAlignment="0" applyProtection="0">
      <alignment vertical="center"/>
    </xf>
    <xf numFmtId="167" fontId="139" fillId="0" borderId="0" applyFont="0" applyFill="0" applyBorder="0" applyAlignment="0" applyProtection="0"/>
    <xf numFmtId="167"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0" fontId="100" fillId="0" borderId="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6"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234" fontId="82"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6" fontId="84" fillId="0" borderId="0" applyFont="0" applyFill="0" applyBorder="0" applyAlignment="0" applyProtection="0"/>
    <xf numFmtId="237"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7"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6" fontId="114"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5" fontId="40" fillId="0" borderId="0" applyFill="0" applyBorder="0" applyAlignment="0" applyProtection="0"/>
    <xf numFmtId="234" fontId="83"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5" fontId="40" fillId="0" borderId="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83"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37" fillId="0" borderId="0" applyFont="0" applyFill="0" applyBorder="0" applyAlignment="0" applyProtection="0"/>
    <xf numFmtId="235" fontId="40" fillId="0" borderId="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75" fontId="140" fillId="0" borderId="0" applyFont="0" applyFill="0" applyBorder="0" applyAlignment="0" applyProtection="0"/>
    <xf numFmtId="3" fontId="72" fillId="0" borderId="0" applyNumberFormat="0" applyFont="0" applyFill="0" applyBorder="0" applyAlignment="0" applyProtection="0">
      <alignment vertical="top"/>
    </xf>
    <xf numFmtId="0" fontId="141" fillId="0" borderId="0"/>
    <xf numFmtId="0" fontId="46" fillId="0" borderId="0"/>
    <xf numFmtId="3" fontId="142" fillId="0" borderId="0" applyFont="0" applyFill="0" applyBorder="0" applyAlignment="0" applyProtection="0"/>
    <xf numFmtId="3" fontId="142" fillId="0" borderId="0" applyFont="0" applyFill="0" applyBorder="0" applyAlignment="0" applyProtection="0"/>
    <xf numFmtId="3" fontId="142"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141" fillId="0" borderId="0"/>
    <xf numFmtId="0" fontId="46" fillId="0" borderId="0"/>
    <xf numFmtId="0" fontId="143" fillId="0" borderId="0"/>
    <xf numFmtId="167" fontId="144" fillId="0" borderId="0" applyFill="0" applyBorder="0" applyAlignment="0" applyProtection="0">
      <protection locked="0"/>
    </xf>
    <xf numFmtId="200" fontId="145" fillId="0" borderId="0" applyFill="0" applyBorder="0">
      <alignment horizontal="left"/>
    </xf>
    <xf numFmtId="196" fontId="146" fillId="0" borderId="39" applyNumberFormat="0" applyFill="0" applyBorder="0" applyAlignment="0" applyProtection="0"/>
    <xf numFmtId="190" fontId="147" fillId="0" borderId="0"/>
    <xf numFmtId="238" fontId="147" fillId="0" borderId="0"/>
    <xf numFmtId="239" fontId="147" fillId="0" borderId="0"/>
    <xf numFmtId="167" fontId="148" fillId="0" borderId="29" applyNumberFormat="0" applyFill="0" applyBorder="0" applyAlignment="0" applyProtection="0">
      <alignment horizontal="left"/>
    </xf>
    <xf numFmtId="167" fontId="149" fillId="0" borderId="0" applyNumberFormat="0" applyAlignment="0">
      <alignment horizontal="left"/>
    </xf>
    <xf numFmtId="240" fontId="150" fillId="9" borderId="0" applyBorder="0"/>
    <xf numFmtId="227" fontId="150" fillId="9" borderId="35" applyBorder="0"/>
    <xf numFmtId="241" fontId="150" fillId="9" borderId="35" applyBorder="0"/>
    <xf numFmtId="9" fontId="150" fillId="9" borderId="29" applyBorder="0"/>
    <xf numFmtId="182" fontId="150" fillId="9" borderId="0" applyBorder="0"/>
    <xf numFmtId="234" fontId="150" fillId="9" borderId="40" applyBorder="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0" applyFill="0" applyBorder="0" applyProtection="0"/>
    <xf numFmtId="200" fontId="151" fillId="52" borderId="32"/>
    <xf numFmtId="3" fontId="32" fillId="0" borderId="42" applyNumberFormat="0" applyAlignment="0">
      <alignment vertical="center"/>
    </xf>
    <xf numFmtId="3" fontId="152" fillId="0" borderId="42" applyNumberFormat="0" applyAlignment="0">
      <alignment vertical="center"/>
    </xf>
    <xf numFmtId="167" fontId="152" fillId="0" borderId="43" applyNumberFormat="0" applyAlignment="0"/>
    <xf numFmtId="3" fontId="32" fillId="0" borderId="42" applyNumberFormat="0" applyAlignment="0">
      <alignment vertical="center"/>
    </xf>
    <xf numFmtId="3" fontId="152" fillId="0" borderId="42" applyNumberFormat="0" applyAlignment="0">
      <alignment vertical="center"/>
    </xf>
    <xf numFmtId="243" fontId="72" fillId="0" borderId="0" applyFill="0" applyBorder="0">
      <alignment horizontal="right"/>
      <protection locked="0"/>
    </xf>
    <xf numFmtId="167" fontId="153" fillId="0" borderId="0"/>
    <xf numFmtId="167" fontId="153" fillId="0" borderId="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171" fontId="46" fillId="0" borderId="0" applyFont="0" applyFill="0" applyBorder="0" applyAlignment="0" applyProtection="0"/>
    <xf numFmtId="211" fontId="40" fillId="0" borderId="0" applyFont="0" applyFill="0" applyBorder="0" applyAlignment="0" applyProtection="0"/>
    <xf numFmtId="211" fontId="40" fillId="0" borderId="0" applyFont="0" applyFill="0" applyBorder="0" applyAlignment="0" applyProtection="0"/>
    <xf numFmtId="212" fontId="40" fillId="0" borderId="0" applyFont="0" applyFill="0" applyBorder="0" applyAlignment="0" applyProtection="0"/>
    <xf numFmtId="212" fontId="40" fillId="0" borderId="0" applyFont="0" applyFill="0" applyBorder="0" applyAlignment="0" applyProtection="0"/>
    <xf numFmtId="245" fontId="43" fillId="0" borderId="0" applyFont="0" applyFill="0" applyBorder="0" applyAlignment="0" applyProtection="0"/>
    <xf numFmtId="246" fontId="154" fillId="0" borderId="0" applyFont="0" applyFill="0" applyBorder="0" applyProtection="0">
      <alignment horizontal="right"/>
    </xf>
    <xf numFmtId="247" fontId="154" fillId="0" borderId="0" applyFont="0" applyFill="0" applyBorder="0" applyProtection="0">
      <alignment horizontal="right"/>
    </xf>
    <xf numFmtId="167" fontId="138" fillId="0" borderId="0" applyFont="0" applyFill="0" applyBorder="0" applyAlignment="0" applyProtection="0">
      <alignment horizontal="right"/>
    </xf>
    <xf numFmtId="248" fontId="37"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37" fillId="0" borderId="0" applyFont="0" applyFill="0" applyBorder="0" applyAlignment="0" applyProtection="0"/>
    <xf numFmtId="248" fontId="40" fillId="0" borderId="0" applyFont="0" applyFill="0" applyBorder="0" applyAlignment="0" applyProtection="0"/>
    <xf numFmtId="248" fontId="37"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3"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250" fontId="67" fillId="0" borderId="0" applyFont="0" applyFill="0" applyBorder="0" applyAlignment="0" applyProtection="0"/>
    <xf numFmtId="250" fontId="67"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3"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67" fontId="138" fillId="0" borderId="0" applyFont="0" applyFill="0" applyBorder="0" applyAlignment="0" applyProtection="0">
      <alignment horizontal="right"/>
    </xf>
    <xf numFmtId="194" fontId="37" fillId="0" borderId="0" applyFont="0" applyFill="0" applyBorder="0" applyAlignment="0" applyProtection="0"/>
    <xf numFmtId="182" fontId="37" fillId="0" borderId="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84" fillId="0" borderId="0" applyFont="0" applyFill="0" applyBorder="0" applyAlignment="0" applyProtection="0"/>
    <xf numFmtId="194" fontId="32"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82" fontId="32"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37" fontId="155" fillId="0" borderId="44" applyFont="0" applyFill="0" applyBorder="0"/>
    <xf numFmtId="37" fontId="90" fillId="0" borderId="44" applyFont="0" applyFill="0" applyBorder="0">
      <protection locked="0"/>
    </xf>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90" fillId="0" borderId="44" applyFill="0" applyBorder="0">
      <protection locked="0"/>
    </xf>
    <xf numFmtId="251" fontId="72" fillId="0" borderId="0" applyNumberFormat="0" applyFont="0" applyFill="0" applyBorder="0" applyAlignment="0" applyProtection="0">
      <alignment vertical="top"/>
    </xf>
    <xf numFmtId="252" fontId="142" fillId="0" borderId="0" applyFont="0" applyFill="0" applyBorder="0" applyAlignment="0" applyProtection="0"/>
    <xf numFmtId="252" fontId="142" fillId="0" borderId="0" applyFont="0" applyFill="0" applyBorder="0" applyAlignment="0" applyProtection="0"/>
    <xf numFmtId="252" fontId="142"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1" fontId="40" fillId="0" borderId="0" applyFont="0" applyFill="0" applyBorder="0" applyAlignment="0" applyProtection="0"/>
    <xf numFmtId="251" fontId="40" fillId="0"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00" fontId="116" fillId="9" borderId="45" applyNumberFormat="0" applyBorder="0" applyProtection="0">
      <alignment horizontal="right"/>
    </xf>
    <xf numFmtId="0" fontId="72" fillId="0" borderId="0" applyFont="0" applyFill="0" applyBorder="0" applyAlignment="0">
      <protection locked="0"/>
    </xf>
    <xf numFmtId="0" fontId="157" fillId="10" borderId="46" applyNumberFormat="0" applyFont="0" applyBorder="0" applyAlignment="0" applyProtection="0"/>
    <xf numFmtId="0" fontId="37" fillId="0" borderId="0"/>
    <xf numFmtId="0" fontId="62" fillId="0" borderId="0" applyFont="0" applyFill="0" applyBorder="0" applyAlignment="0" applyProtection="0"/>
    <xf numFmtId="167" fontId="53" fillId="43" borderId="0"/>
    <xf numFmtId="167" fontId="107" fillId="59" borderId="0"/>
    <xf numFmtId="15" fontId="32" fillId="0" borderId="0"/>
    <xf numFmtId="15" fontId="158" fillId="0" borderId="0"/>
    <xf numFmtId="15" fontId="32" fillId="0" borderId="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67" fontId="138" fillId="0" borderId="0" applyFont="0" applyFill="0" applyBorder="0" applyAlignment="0" applyProtection="0"/>
    <xf numFmtId="15" fontId="159" fillId="0" borderId="47" applyFont="0" applyFill="0" applyBorder="0" applyAlignment="0">
      <alignment horizontal="centerContinuous"/>
    </xf>
    <xf numFmtId="255" fontId="159" fillId="0" borderId="47" applyFont="0" applyFill="0" applyBorder="0" applyAlignment="0">
      <alignment horizontal="centerContinuous"/>
    </xf>
    <xf numFmtId="14" fontId="125" fillId="0" borderId="0" applyFill="0" applyBorder="0" applyAlignment="0"/>
    <xf numFmtId="167" fontId="37" fillId="11" borderId="0" applyFont="0" applyFill="0" applyBorder="0" applyAlignment="0" applyProtection="0"/>
    <xf numFmtId="256" fontId="103" fillId="0" borderId="0" applyFill="0" applyBorder="0" applyProtection="0"/>
    <xf numFmtId="14" fontId="103" fillId="0" borderId="0" applyFill="0" applyBorder="0" applyProtection="0"/>
    <xf numFmtId="257"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7" fontId="37" fillId="7" borderId="7">
      <alignment horizontal="center"/>
    </xf>
    <xf numFmtId="15" fontId="120" fillId="0" borderId="0">
      <alignment vertical="center"/>
    </xf>
    <xf numFmtId="258" fontId="37" fillId="0" borderId="0" applyFont="0" applyFill="0" applyBorder="0" applyAlignment="0" applyProtection="0">
      <alignment wrapText="1"/>
    </xf>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0" applyFill="0" applyBorder="0" applyProtection="0"/>
    <xf numFmtId="167" fontId="71" fillId="0" borderId="0">
      <alignment horizontal="right"/>
    </xf>
    <xf numFmtId="167" fontId="71" fillId="0" borderId="0">
      <alignment horizontal="right"/>
      <protection locked="0"/>
    </xf>
    <xf numFmtId="167" fontId="71" fillId="0" borderId="0"/>
    <xf numFmtId="167" fontId="71" fillId="0" borderId="0">
      <alignment horizontal="right"/>
      <protection locked="0"/>
    </xf>
    <xf numFmtId="259" fontId="71" fillId="0" borderId="0"/>
    <xf numFmtId="38" fontId="48" fillId="0" borderId="0" applyFont="0" applyFill="0" applyBorder="0" applyAlignment="0" applyProtection="0"/>
    <xf numFmtId="0" fontId="54" fillId="0" borderId="0" applyNumberFormat="0" applyFill="0" applyBorder="0" applyAlignment="0" applyProtection="0"/>
    <xf numFmtId="38" fontId="72" fillId="0" borderId="48">
      <alignment vertical="center"/>
    </xf>
    <xf numFmtId="260" fontId="104" fillId="60" borderId="0" applyNumberFormat="0" applyBorder="0" applyAlignment="0" applyProtection="0"/>
    <xf numFmtId="261" fontId="37" fillId="0" borderId="0" applyFont="0" applyFill="0" applyBorder="0" applyAlignment="0" applyProtection="0"/>
    <xf numFmtId="237" fontId="37" fillId="0" borderId="0" applyFont="0" applyFill="0" applyBorder="0" applyAlignment="0" applyProtection="0"/>
    <xf numFmtId="0" fontId="45" fillId="0" borderId="0">
      <protection locked="0"/>
    </xf>
    <xf numFmtId="262" fontId="160" fillId="0" borderId="0">
      <alignment horizontal="left"/>
    </xf>
    <xf numFmtId="226" fontId="161" fillId="0" borderId="0"/>
    <xf numFmtId="263" fontId="43" fillId="0" borderId="0" applyFont="0" applyFill="0" applyBorder="0" applyAlignment="0" applyProtection="0"/>
    <xf numFmtId="200" fontId="162" fillId="0" borderId="0">
      <alignment horizontal="center"/>
    </xf>
    <xf numFmtId="200" fontId="162" fillId="0" borderId="0">
      <alignment horizontal="center"/>
    </xf>
    <xf numFmtId="200" fontId="162" fillId="0" borderId="0">
      <alignment horizontal="center"/>
    </xf>
    <xf numFmtId="167" fontId="138" fillId="0" borderId="49" applyNumberFormat="0" applyFont="0" applyFill="0" applyAlignment="0" applyProtection="0"/>
    <xf numFmtId="167" fontId="163" fillId="0" borderId="0" applyFill="0" applyBorder="0" applyAlignment="0" applyProtection="0"/>
    <xf numFmtId="167" fontId="71" fillId="0" borderId="0"/>
    <xf numFmtId="38" fontId="72" fillId="0" borderId="0" applyFont="0" applyFill="0" applyBorder="0" applyAlignment="0" applyProtection="0"/>
    <xf numFmtId="167" fontId="164" fillId="0" borderId="0" applyFont="0" applyFill="0" applyBorder="0" applyAlignment="0" applyProtection="0"/>
    <xf numFmtId="167" fontId="165" fillId="0" borderId="0" applyNumberFormat="0" applyFill="0" applyBorder="0" applyAlignment="0" applyProtection="0"/>
    <xf numFmtId="3" fontId="37" fillId="0" borderId="12"/>
    <xf numFmtId="3" fontId="37" fillId="0" borderId="12"/>
    <xf numFmtId="3" fontId="37" fillId="0" borderId="12"/>
    <xf numFmtId="38" fontId="32" fillId="0" borderId="0">
      <alignment vertical="top"/>
    </xf>
    <xf numFmtId="167" fontId="166" fillId="61" borderId="0" applyNumberFormat="0" applyBorder="0" applyAlignment="0" applyProtection="0"/>
    <xf numFmtId="167" fontId="166" fillId="62" borderId="0" applyNumberFormat="0" applyBorder="0" applyAlignment="0" applyProtection="0"/>
    <xf numFmtId="167" fontId="166" fillId="63" borderId="0" applyNumberFormat="0" applyBorder="0" applyAlignment="0" applyProtection="0"/>
    <xf numFmtId="0" fontId="65" fillId="0" borderId="0">
      <protection locked="0"/>
    </xf>
    <xf numFmtId="0" fontId="65" fillId="0" borderId="0">
      <protection locked="0"/>
    </xf>
    <xf numFmtId="222" fontId="46" fillId="0" borderId="0" applyFill="0" applyBorder="0" applyAlignment="0"/>
    <xf numFmtId="209" fontId="167"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167"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167"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167"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167" fillId="0" borderId="0" applyFill="0" applyBorder="0" applyAlignment="0"/>
    <xf numFmtId="212" fontId="40" fillId="0" borderId="0" applyFill="0" applyBorder="0" applyAlignment="0"/>
    <xf numFmtId="212" fontId="40" fillId="0" borderId="0" applyFill="0" applyBorder="0" applyAlignment="0"/>
    <xf numFmtId="167" fontId="168" fillId="0" borderId="0" applyNumberFormat="0" applyAlignment="0">
      <alignment horizontal="left"/>
    </xf>
    <xf numFmtId="177" fontId="169" fillId="0" borderId="0" applyFont="0" applyFill="0" applyBorder="0" applyAlignment="0" applyProtection="0"/>
    <xf numFmtId="177" fontId="19" fillId="0" borderId="0" applyFont="0" applyFill="0" applyBorder="0" applyAlignment="0" applyProtection="0">
      <alignment vertical="top"/>
    </xf>
    <xf numFmtId="167" fontId="62" fillId="0" borderId="0" applyFont="0" applyFill="0" applyBorder="0" applyAlignment="0" applyProtection="0"/>
    <xf numFmtId="167" fontId="62" fillId="0" borderId="0" applyFont="0" applyFill="0" applyBorder="0" applyAlignment="0" applyProtection="0"/>
    <xf numFmtId="167" fontId="62" fillId="0" borderId="0" applyFont="0" applyFill="0" applyBorder="0" applyAlignment="0" applyProtection="0"/>
    <xf numFmtId="167" fontId="37" fillId="0" borderId="0" applyFont="0" applyFill="0" applyBorder="0" applyAlignment="0" applyProtection="0"/>
    <xf numFmtId="177" fontId="46" fillId="0" borderId="0" applyFont="0" applyFill="0" applyBorder="0" applyAlignment="0" applyProtection="0"/>
    <xf numFmtId="167" fontId="46" fillId="0" borderId="0" applyFont="0" applyFill="0" applyBorder="0" applyAlignment="0" applyProtection="0"/>
    <xf numFmtId="264" fontId="170" fillId="0" borderId="0" applyBorder="0" applyProtection="0"/>
    <xf numFmtId="264" fontId="171" fillId="0" borderId="0" applyBorder="0" applyProtection="0"/>
    <xf numFmtId="0" fontId="172"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2"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49" fontId="110" fillId="0" borderId="0" applyNumberFormat="0" applyFill="0" applyBorder="0" applyProtection="0">
      <alignment horizontal="center" vertical="top"/>
    </xf>
    <xf numFmtId="265" fontId="174" fillId="0" borderId="0" applyBorder="0">
      <alignment horizontal="right" vertical="top"/>
    </xf>
    <xf numFmtId="266" fontId="110" fillId="0" borderId="0" applyBorder="0">
      <alignment horizontal="right" vertical="top"/>
    </xf>
    <xf numFmtId="266" fontId="174" fillId="0" borderId="0" applyBorder="0">
      <alignment horizontal="right" vertical="top"/>
    </xf>
    <xf numFmtId="267" fontId="110" fillId="0" borderId="0" applyFill="0" applyBorder="0">
      <alignment horizontal="right" vertical="top"/>
    </xf>
    <xf numFmtId="268" fontId="110" fillId="0" borderId="0" applyFill="0" applyBorder="0">
      <alignment horizontal="right" vertical="top"/>
    </xf>
    <xf numFmtId="269" fontId="110" fillId="0" borderId="0" applyFill="0" applyBorder="0">
      <alignment horizontal="right" vertical="top"/>
    </xf>
    <xf numFmtId="270" fontId="110" fillId="0" borderId="0" applyFill="0" applyBorder="0">
      <alignment horizontal="right" vertical="top"/>
    </xf>
    <xf numFmtId="167" fontId="175" fillId="0" borderId="0">
      <alignment horizontal="left"/>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167" fontId="177" fillId="0" borderId="0">
      <alignment vertical="center"/>
    </xf>
    <xf numFmtId="272" fontId="177" fillId="0" borderId="0">
      <alignment horizontal="left" vertical="center"/>
    </xf>
    <xf numFmtId="273" fontId="178" fillId="0" borderId="0">
      <alignment vertical="center"/>
    </xf>
    <xf numFmtId="167" fontId="80" fillId="0" borderId="0">
      <alignment vertical="center"/>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10" fillId="0" borderId="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72" fontId="99" fillId="0" borderId="0">
      <alignment horizontal="left" vertical="center"/>
    </xf>
    <xf numFmtId="271" fontId="99" fillId="0" borderId="0"/>
    <xf numFmtId="271" fontId="180" fillId="0" borderId="0"/>
    <xf numFmtId="271" fontId="181" fillId="0" borderId="0"/>
    <xf numFmtId="271" fontId="40" fillId="0" borderId="0"/>
    <xf numFmtId="271" fontId="182" fillId="0" borderId="0">
      <alignment horizontal="left" vertical="top"/>
    </xf>
    <xf numFmtId="167" fontId="110" fillId="0" borderId="0" applyFill="0" applyBorder="0">
      <alignment horizontal="left" vertical="top" wrapText="1"/>
    </xf>
    <xf numFmtId="167" fontId="183" fillId="0" borderId="0">
      <alignment horizontal="left" vertical="top" wrapText="1"/>
    </xf>
    <xf numFmtId="167" fontId="184" fillId="0" borderId="0">
      <alignment horizontal="left" vertical="top" wrapText="1"/>
    </xf>
    <xf numFmtId="167" fontId="174" fillId="0" borderId="0">
      <alignment horizontal="left" vertical="top" wrapText="1"/>
    </xf>
    <xf numFmtId="274" fontId="37" fillId="0" borderId="0" applyFont="0" applyFill="0" applyBorder="0" applyAlignment="0" applyProtection="0"/>
    <xf numFmtId="275" fontId="37" fillId="0" borderId="0" applyFont="0" applyFill="0" applyBorder="0" applyAlignment="0" applyProtection="0"/>
    <xf numFmtId="189" fontId="185" fillId="0" borderId="0" applyFill="0" applyBorder="0" applyAlignment="0" applyProtection="0"/>
    <xf numFmtId="167" fontId="45" fillId="0" borderId="0">
      <protection locked="0"/>
    </xf>
    <xf numFmtId="189" fontId="57" fillId="0" borderId="0" applyFill="0" applyBorder="0" applyAlignment="0" applyProtection="0"/>
    <xf numFmtId="189" fontId="57" fillId="0" borderId="0" applyFill="0" applyBorder="0" applyAlignment="0" applyProtection="0"/>
    <xf numFmtId="167" fontId="45" fillId="0" borderId="0">
      <protection locked="0"/>
    </xf>
    <xf numFmtId="189" fontId="186" fillId="0" borderId="0" applyFill="0" applyBorder="0" applyAlignment="0" applyProtection="0"/>
    <xf numFmtId="167" fontId="187" fillId="0" borderId="0">
      <protection locked="0"/>
    </xf>
    <xf numFmtId="189" fontId="188" fillId="0" borderId="0" applyFill="0" applyBorder="0" applyAlignment="0" applyProtection="0"/>
    <xf numFmtId="167" fontId="45" fillId="0" borderId="0">
      <protection locked="0"/>
    </xf>
    <xf numFmtId="189" fontId="189" fillId="0" borderId="0" applyFill="0" applyBorder="0" applyAlignment="0" applyProtection="0"/>
    <xf numFmtId="167" fontId="45" fillId="0" borderId="0">
      <protection locked="0"/>
    </xf>
    <xf numFmtId="189" fontId="190" fillId="0" borderId="0" applyFill="0" applyBorder="0" applyAlignment="0" applyProtection="0"/>
    <xf numFmtId="167" fontId="45" fillId="0" borderId="0">
      <protection locked="0"/>
    </xf>
    <xf numFmtId="189" fontId="191" fillId="0" borderId="0" applyFill="0" applyBorder="0" applyAlignment="0" applyProtection="0"/>
    <xf numFmtId="167" fontId="45" fillId="0" borderId="0">
      <protection locked="0"/>
    </xf>
    <xf numFmtId="276" fontId="40" fillId="0" borderId="0" applyFont="0" applyFill="0" applyBorder="0" applyAlignment="0" applyProtection="0"/>
    <xf numFmtId="167" fontId="32" fillId="0" borderId="0"/>
    <xf numFmtId="190" fontId="192" fillId="0" borderId="0"/>
    <xf numFmtId="190" fontId="193" fillId="0" borderId="0"/>
    <xf numFmtId="190" fontId="192" fillId="0" borderId="0"/>
    <xf numFmtId="190" fontId="192" fillId="0" borderId="0"/>
    <xf numFmtId="190" fontId="192" fillId="0" borderId="0"/>
    <xf numFmtId="167" fontId="32" fillId="0" borderId="0"/>
    <xf numFmtId="190" fontId="192" fillId="0" borderId="0"/>
    <xf numFmtId="0" fontId="45" fillId="0" borderId="0">
      <protection locked="0"/>
    </xf>
    <xf numFmtId="0" fontId="45" fillId="0" borderId="0">
      <protection locked="0"/>
    </xf>
    <xf numFmtId="2" fontId="142" fillId="0" borderId="0" applyFont="0" applyFill="0" applyBorder="0" applyAlignment="0" applyProtection="0"/>
    <xf numFmtId="2" fontId="142" fillId="0" borderId="0" applyFont="0" applyFill="0" applyBorder="0" applyAlignment="0" applyProtection="0"/>
    <xf numFmtId="2" fontId="142"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40" fillId="0" borderId="0" applyFont="0" applyFill="0" applyBorder="0" applyAlignment="0" applyProtection="0"/>
    <xf numFmtId="2" fontId="40" fillId="0"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0" fontId="37" fillId="0" borderId="0"/>
    <xf numFmtId="15" fontId="37" fillId="0" borderId="0">
      <alignment vertical="center"/>
    </xf>
    <xf numFmtId="167" fontId="194" fillId="0" borderId="0" applyFill="0" applyBorder="0" applyProtection="0">
      <alignment horizontal="left"/>
    </xf>
    <xf numFmtId="0" fontId="37" fillId="0" borderId="0" applyNumberFormat="0" applyFont="0">
      <alignment wrapText="1"/>
    </xf>
    <xf numFmtId="167" fontId="32" fillId="0" borderId="0"/>
    <xf numFmtId="167" fontId="195" fillId="0" borderId="0"/>
    <xf numFmtId="167" fontId="32" fillId="0" borderId="0"/>
    <xf numFmtId="0" fontId="195" fillId="0" borderId="0"/>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49" fontId="197" fillId="0" borderId="0">
      <alignment horizontal="left"/>
    </xf>
    <xf numFmtId="0" fontId="198" fillId="0" borderId="39" applyNumberFormat="0" applyFill="0" applyAlignment="0" applyProtection="0"/>
    <xf numFmtId="0" fontId="198" fillId="0" borderId="39" applyNumberFormat="0" applyFill="0" applyAlignment="0" applyProtection="0"/>
    <xf numFmtId="0" fontId="198" fillId="0" borderId="39" applyNumberFormat="0" applyFill="0" applyAlignment="0" applyProtection="0"/>
    <xf numFmtId="0" fontId="198" fillId="0" borderId="39" applyNumberFormat="0" applyFill="0" applyAlignment="0" applyProtection="0"/>
    <xf numFmtId="234" fontId="119" fillId="0" borderId="0" applyFill="0" applyBorder="0"/>
    <xf numFmtId="167" fontId="40" fillId="0" borderId="0" applyNumberFormat="0" applyFont="0" applyBorder="0" applyAlignment="0"/>
    <xf numFmtId="227" fontId="119" fillId="0" borderId="29" applyFill="0" applyBorder="0"/>
    <xf numFmtId="240" fontId="119" fillId="0" borderId="0" applyFill="0" applyBorder="0"/>
    <xf numFmtId="0" fontId="199"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2"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234" fontId="201" fillId="0" borderId="0" applyNumberFormat="0" applyFill="0" applyBorder="0" applyAlignment="0" applyProtection="0">
      <alignment horizontal="center"/>
    </xf>
    <xf numFmtId="38" fontId="120" fillId="7" borderId="0" applyNumberFormat="0" applyBorder="0" applyAlignment="0" applyProtection="0"/>
    <xf numFmtId="0" fontId="202" fillId="0" borderId="0" applyNumberFormat="0">
      <alignment horizontal="right"/>
    </xf>
    <xf numFmtId="0" fontId="203" fillId="0" borderId="0" applyNumberFormat="0">
      <alignment horizontal="right"/>
    </xf>
    <xf numFmtId="0" fontId="203" fillId="0" borderId="0" applyNumberFormat="0">
      <alignment horizontal="left"/>
    </xf>
    <xf numFmtId="0" fontId="202" fillId="0" borderId="0" applyNumberFormat="0">
      <alignment horizontal="left"/>
    </xf>
    <xf numFmtId="0" fontId="204" fillId="0" borderId="0" applyNumberFormat="0">
      <alignment horizontal="left" vertical="top"/>
    </xf>
    <xf numFmtId="166" fontId="40" fillId="8" borderId="12" applyNumberFormat="0" applyFont="0" applyBorder="0" applyAlignment="0" applyProtection="0"/>
    <xf numFmtId="166" fontId="40" fillId="8" borderId="12" applyNumberFormat="0" applyFont="0" applyBorder="0" applyAlignment="0" applyProtection="0"/>
    <xf numFmtId="166" fontId="40" fillId="8" borderId="12" applyNumberFormat="0" applyFont="0" applyBorder="0" applyAlignment="0" applyProtection="0"/>
    <xf numFmtId="171" fontId="205" fillId="0" borderId="0">
      <alignment vertical="center"/>
    </xf>
    <xf numFmtId="167" fontId="138" fillId="0" borderId="0" applyFont="0" applyFill="0" applyBorder="0" applyAlignment="0" applyProtection="0">
      <alignment horizontal="right"/>
    </xf>
    <xf numFmtId="171" fontId="206" fillId="8" borderId="0" applyNumberFormat="0" applyFont="0" applyAlignment="0"/>
    <xf numFmtId="167" fontId="207" fillId="0" borderId="0" applyProtection="0">
      <alignment horizontal="right"/>
    </xf>
    <xf numFmtId="167" fontId="208" fillId="0" borderId="51" applyNumberFormat="0" applyAlignment="0" applyProtection="0">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4" fontId="104" fillId="52" borderId="7">
      <alignment horizontal="center" vertical="center" wrapText="1"/>
    </xf>
    <xf numFmtId="0" fontId="209" fillId="0" borderId="52" applyNumberFormat="0" applyFill="0" applyAlignment="0" applyProtection="0"/>
    <xf numFmtId="0" fontId="210" fillId="0" borderId="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83" fillId="0" borderId="0"/>
    <xf numFmtId="167" fontId="212" fillId="0" borderId="1"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212" fillId="0" borderId="1" applyNumberFormat="0" applyFill="0" applyAlignment="0" applyProtection="0"/>
    <xf numFmtId="167" fontId="210" fillId="0" borderId="0" applyNumberFormat="0" applyFill="0" applyBorder="0" applyAlignment="0" applyProtection="0"/>
    <xf numFmtId="167" fontId="213" fillId="0" borderId="52" applyNumberFormat="0" applyFill="0" applyAlignment="0" applyProtection="0"/>
    <xf numFmtId="167" fontId="32" fillId="0" borderId="52"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0" fillId="0" borderId="0" applyNumberFormat="0" applyFill="0" applyBorder="0" applyAlignment="0" applyProtection="0"/>
    <xf numFmtId="167" fontId="213" fillId="0" borderId="5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214"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6" fillId="0" borderId="2"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0" fontId="216" fillId="0" borderId="2" applyNumberFormat="0" applyFill="0" applyAlignment="0" applyProtection="0"/>
    <xf numFmtId="167" fontId="217" fillId="0" borderId="0" applyNumberFormat="0" applyFill="0" applyBorder="0" applyAlignment="0" applyProtection="0"/>
    <xf numFmtId="167" fontId="2" fillId="0" borderId="2" applyNumberFormat="0" applyFill="0" applyAlignment="0" applyProtection="0"/>
    <xf numFmtId="167" fontId="218" fillId="0" borderId="53" applyNumberFormat="0" applyFill="0" applyAlignment="0" applyProtection="0"/>
    <xf numFmtId="167" fontId="32"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7" fillId="0" borderId="0" applyNumberFormat="0" applyFill="0" applyBorder="0" applyAlignment="0" applyProtection="0"/>
    <xf numFmtId="167" fontId="218" fillId="0" borderId="5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0" fontId="219"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1" fillId="0" borderId="3"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0" fontId="221" fillId="0" borderId="3" applyNumberFormat="0" applyFill="0" applyAlignment="0" applyProtection="0"/>
    <xf numFmtId="167" fontId="220" fillId="0" borderId="54" applyNumberFormat="0" applyFill="0" applyAlignment="0" applyProtection="0"/>
    <xf numFmtId="167" fontId="32"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0" fontId="219"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0" fontId="221" fillId="0" borderId="0" applyNumberFormat="0" applyFill="0" applyBorder="0" applyAlignment="0" applyProtection="0"/>
    <xf numFmtId="167" fontId="220" fillId="0" borderId="0" applyNumberFormat="0" applyFill="0" applyBorder="0" applyAlignment="0" applyProtection="0"/>
    <xf numFmtId="167" fontId="32"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99" fillId="0" borderId="0"/>
    <xf numFmtId="37" fontId="222" fillId="0" borderId="0"/>
    <xf numFmtId="167" fontId="131" fillId="0" borderId="0" applyFill="0" applyAlignment="0" applyProtection="0">
      <protection locked="0"/>
    </xf>
    <xf numFmtId="167" fontId="131" fillId="0" borderId="30" applyFill="0" applyAlignment="0" applyProtection="0">
      <protection locked="0"/>
    </xf>
    <xf numFmtId="0" fontId="223" fillId="0" borderId="0">
      <alignment horizontal="center"/>
    </xf>
    <xf numFmtId="0" fontId="224" fillId="0" borderId="0"/>
    <xf numFmtId="0" fontId="224" fillId="0" borderId="0"/>
    <xf numFmtId="0" fontId="224" fillId="0" borderId="0"/>
    <xf numFmtId="38" fontId="32" fillId="0" borderId="0">
      <alignment vertical="top"/>
    </xf>
    <xf numFmtId="0" fontId="186" fillId="0" borderId="0"/>
    <xf numFmtId="0" fontId="225" fillId="0" borderId="0"/>
    <xf numFmtId="0" fontId="131" fillId="0" borderId="0"/>
    <xf numFmtId="0" fontId="162" fillId="0" borderId="0"/>
    <xf numFmtId="167" fontId="226" fillId="0" borderId="55" applyNumberFormat="0" applyFill="0" applyBorder="0" applyAlignment="0" applyProtection="0">
      <alignment horizontal="left"/>
    </xf>
    <xf numFmtId="0" fontId="37" fillId="0" borderId="0"/>
    <xf numFmtId="0" fontId="37" fillId="0" borderId="0"/>
    <xf numFmtId="0" fontId="104" fillId="66" borderId="12">
      <alignment horizontal="center" vertical="center" wrapText="1"/>
      <protection locked="0"/>
    </xf>
    <xf numFmtId="175" fontId="227" fillId="11" borderId="0" applyNumberFormat="0" applyBorder="0" applyAlignment="0" applyProtection="0">
      <protection locked="0"/>
    </xf>
    <xf numFmtId="0" fontId="37" fillId="0" borderId="0">
      <alignment horizontal="center"/>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0" fontId="230" fillId="0" borderId="0" applyFont="0" applyFill="0" applyBorder="0" applyAlignment="0" applyProtection="0"/>
    <xf numFmtId="167" fontId="32" fillId="0" borderId="0"/>
    <xf numFmtId="200" fontId="53" fillId="0" borderId="0"/>
    <xf numFmtId="167" fontId="231" fillId="0" borderId="0"/>
    <xf numFmtId="277" fontId="232" fillId="0" borderId="0" applyFont="0" applyFill="0" applyBorder="0" applyAlignment="0" applyProtection="0"/>
    <xf numFmtId="2" fontId="233" fillId="0" borderId="0"/>
    <xf numFmtId="0" fontId="234" fillId="0" borderId="0" applyNumberFormat="0" applyFill="0" applyBorder="0" applyAlignment="0" applyProtection="0">
      <alignment vertical="top"/>
      <protection locked="0"/>
    </xf>
    <xf numFmtId="0" fontId="235" fillId="23" borderId="34" applyNumberFormat="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9" fontId="238" fillId="10" borderId="0" applyProtection="0">
      <alignment horizontal="right" vertical="center"/>
      <protection locked="0"/>
    </xf>
    <xf numFmtId="10" fontId="239" fillId="0" borderId="0">
      <protection locked="0"/>
    </xf>
    <xf numFmtId="280" fontId="240" fillId="0" borderId="0" applyFill="0" applyBorder="0" applyProtection="0"/>
    <xf numFmtId="281" fontId="240" fillId="0" borderId="0" applyFill="0" applyBorder="0" applyProtection="0"/>
    <xf numFmtId="282" fontId="240" fillId="0" borderId="0" applyFill="0" applyBorder="0" applyProtection="0"/>
    <xf numFmtId="37" fontId="140" fillId="68" borderId="0">
      <protection locked="0"/>
    </xf>
    <xf numFmtId="0" fontId="167" fillId="0" borderId="0" applyNumberFormat="0" applyFill="0" applyBorder="0" applyAlignment="0">
      <protection locked="0"/>
    </xf>
    <xf numFmtId="15" fontId="239" fillId="0" borderId="0">
      <protection locked="0"/>
    </xf>
    <xf numFmtId="2" fontId="239" fillId="0" borderId="35">
      <protection locked="0"/>
    </xf>
    <xf numFmtId="283" fontId="241" fillId="67" borderId="0" applyNumberFormat="0" applyFont="0" applyBorder="0" applyAlignment="0">
      <alignment horizontal="right"/>
      <protection locked="0"/>
    </xf>
    <xf numFmtId="174" fontId="41" fillId="0" borderId="0">
      <alignment vertical="top"/>
    </xf>
    <xf numFmtId="174" fontId="41" fillId="7" borderId="0">
      <alignment vertical="top"/>
    </xf>
    <xf numFmtId="284" fontId="41" fillId="8" borderId="0">
      <alignment vertical="top"/>
    </xf>
    <xf numFmtId="0" fontId="239" fillId="0" borderId="0">
      <protection locked="0"/>
    </xf>
    <xf numFmtId="3" fontId="70" fillId="0" borderId="0"/>
    <xf numFmtId="167" fontId="242" fillId="69" borderId="0" applyNumberFormat="0" applyBorder="0" applyAlignment="0" applyProtection="0"/>
    <xf numFmtId="285" fontId="243" fillId="0" borderId="56" applyFont="0" applyFill="0" applyBorder="0" applyAlignment="0" applyProtection="0"/>
    <xf numFmtId="285" fontId="243" fillId="0" borderId="56" applyFont="0" applyFill="0" applyBorder="0" applyAlignment="0" applyProtection="0"/>
    <xf numFmtId="285" fontId="243" fillId="0" borderId="56" applyFont="0" applyFill="0" applyBorder="0" applyAlignment="0" applyProtection="0"/>
    <xf numFmtId="167" fontId="244" fillId="0" borderId="0" applyNumberFormat="0" applyFill="0" applyBorder="0" applyAlignment="0" applyProtection="0">
      <alignment vertical="top"/>
      <protection locked="0"/>
    </xf>
    <xf numFmtId="167" fontId="245" fillId="0" borderId="0">
      <alignment vertical="center"/>
    </xf>
    <xf numFmtId="167" fontId="245" fillId="0" borderId="0">
      <alignment vertical="center"/>
    </xf>
    <xf numFmtId="167" fontId="245" fillId="0" borderId="0">
      <alignment vertical="center"/>
    </xf>
    <xf numFmtId="166" fontId="246" fillId="0" borderId="0" applyFill="0" applyBorder="0" applyProtection="0">
      <alignment vertical="top"/>
    </xf>
    <xf numFmtId="286" fontId="72" fillId="0" borderId="0" applyFill="0" applyBorder="0">
      <alignment horizontal="right"/>
      <protection locked="0"/>
    </xf>
    <xf numFmtId="0" fontId="247" fillId="70" borderId="57">
      <alignment horizontal="left" vertical="center" wrapText="1"/>
    </xf>
    <xf numFmtId="0" fontId="247" fillId="70" borderId="57">
      <alignment horizontal="left" vertical="center" wrapText="1"/>
    </xf>
    <xf numFmtId="3" fontId="248" fillId="71" borderId="57">
      <protection locked="0"/>
    </xf>
    <xf numFmtId="3" fontId="248" fillId="71" borderId="57">
      <protection locked="0"/>
    </xf>
    <xf numFmtId="165" fontId="249" fillId="72" borderId="57">
      <alignment horizontal="left"/>
      <protection locked="0"/>
    </xf>
    <xf numFmtId="165" fontId="249" fillId="72" borderId="57">
      <alignment horizontal="left"/>
      <protection locked="0"/>
    </xf>
    <xf numFmtId="287" fontId="249" fillId="72" borderId="57">
      <protection locked="0"/>
    </xf>
    <xf numFmtId="287" fontId="249" fillId="72" borderId="57">
      <protection locked="0"/>
    </xf>
    <xf numFmtId="0" fontId="249" fillId="72" borderId="57">
      <alignment horizontal="center"/>
      <protection locked="0"/>
    </xf>
    <xf numFmtId="0" fontId="249" fillId="72" borderId="57">
      <alignment horizontal="center"/>
      <protection locked="0"/>
    </xf>
    <xf numFmtId="197" fontId="37" fillId="73" borderId="12">
      <alignment vertical="center"/>
    </xf>
    <xf numFmtId="288" fontId="40" fillId="0" borderId="0"/>
    <xf numFmtId="288" fontId="40" fillId="0" borderId="0"/>
    <xf numFmtId="289" fontId="40" fillId="0" borderId="0"/>
    <xf numFmtId="289" fontId="40" fillId="0" borderId="0"/>
    <xf numFmtId="290" fontId="37" fillId="0" borderId="0" applyFont="0" applyFill="0" applyBorder="0" applyAlignment="0" applyProtection="0"/>
    <xf numFmtId="291" fontId="37" fillId="0" borderId="0" applyFont="0" applyFill="0" applyBorder="0" applyAlignment="0" applyProtection="0"/>
    <xf numFmtId="38" fontId="250" fillId="0" borderId="0"/>
    <xf numFmtId="38" fontId="251" fillId="0" borderId="0"/>
    <xf numFmtId="38" fontId="252" fillId="0" borderId="0"/>
    <xf numFmtId="38" fontId="253" fillId="0" borderId="0"/>
    <xf numFmtId="167" fontId="254" fillId="0" borderId="0"/>
    <xf numFmtId="167" fontId="254" fillId="0" borderId="0"/>
    <xf numFmtId="167" fontId="40" fillId="0" borderId="0">
      <alignment horizontal="left"/>
    </xf>
    <xf numFmtId="167" fontId="40" fillId="0" borderId="0">
      <alignment horizontal="left"/>
    </xf>
    <xf numFmtId="195" fontId="255" fillId="74" borderId="58" applyBorder="0" applyAlignment="0">
      <alignment horizontal="left" indent="1"/>
    </xf>
    <xf numFmtId="167" fontId="229" fillId="0" borderId="0" applyNumberFormat="0" applyFill="0" applyBorder="0" applyAlignment="0" applyProtection="0">
      <alignment vertical="top"/>
      <protection locked="0"/>
    </xf>
    <xf numFmtId="196" fontId="57" fillId="0" borderId="0" applyFill="0" applyBorder="0" applyAlignment="0" applyProtection="0"/>
    <xf numFmtId="197" fontId="256" fillId="0" borderId="35" applyNumberFormat="0" applyFill="0" applyBorder="0" applyAlignment="0" applyProtection="0"/>
    <xf numFmtId="222" fontId="46" fillId="0" borderId="0" applyFill="0" applyBorder="0" applyAlignment="0"/>
    <xf numFmtId="209" fontId="257"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257"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257"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257"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257" fillId="0" borderId="0" applyFill="0" applyBorder="0" applyAlignment="0"/>
    <xf numFmtId="212" fontId="40" fillId="0" borderId="0" applyFill="0" applyBorder="0" applyAlignment="0"/>
    <xf numFmtId="212" fontId="40" fillId="0" borderId="0" applyFill="0" applyBorder="0" applyAlignment="0"/>
    <xf numFmtId="0" fontId="258"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32"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9" fontId="103" fillId="0" borderId="0"/>
    <xf numFmtId="0" fontId="46" fillId="0" borderId="0"/>
    <xf numFmtId="167" fontId="99" fillId="0" borderId="0"/>
    <xf numFmtId="166" fontId="260" fillId="0" borderId="0"/>
    <xf numFmtId="0" fontId="37" fillId="0" borderId="0">
      <alignment horizontal="center"/>
    </xf>
    <xf numFmtId="200" fontId="261" fillId="0" borderId="60" applyFill="0" applyBorder="0">
      <alignment horizontal="left"/>
    </xf>
    <xf numFmtId="0" fontId="37" fillId="0" borderId="0" applyFont="0" applyFill="0" applyBorder="0" applyAlignment="0" applyProtection="0"/>
    <xf numFmtId="0" fontId="37" fillId="0" borderId="0" applyFont="0" applyFill="0" applyBorder="0" applyAlignment="0" applyProtection="0"/>
    <xf numFmtId="292" fontId="37" fillId="0" borderId="0" applyFont="0" applyFill="0" applyBorder="0" applyAlignment="0" applyProtection="0"/>
    <xf numFmtId="293" fontId="37" fillId="0" borderId="0" applyFont="0" applyFill="0" applyBorder="0" applyAlignment="0" applyProtection="0"/>
    <xf numFmtId="167" fontId="32" fillId="0" borderId="0" applyFont="0" applyFill="0" applyBorder="0" applyAlignment="0" applyProtection="0"/>
    <xf numFmtId="294" fontId="40" fillId="0" borderId="0" applyFont="0" applyFill="0" applyBorder="0" applyAlignment="0" applyProtection="0"/>
    <xf numFmtId="167" fontId="32" fillId="0" borderId="0" applyFont="0" applyFill="0" applyBorder="0" applyAlignment="0" applyProtection="0"/>
    <xf numFmtId="2" fontId="70" fillId="0" borderId="61" applyFont="0" applyFill="0" applyBorder="0" applyAlignment="0"/>
    <xf numFmtId="37" fontId="40" fillId="0" borderId="0" applyFont="0" applyFill="0" applyBorder="0" applyAlignment="0" applyProtection="0"/>
    <xf numFmtId="167" fontId="40" fillId="0" borderId="0" applyFont="0" applyFill="0" applyBorder="0" applyAlignment="0" applyProtection="0"/>
    <xf numFmtId="295" fontId="40" fillId="0" borderId="0" applyFont="0" applyFill="0" applyBorder="0" applyAlignment="0" applyProtection="0"/>
    <xf numFmtId="296" fontId="40" fillId="0" borderId="0" applyFont="0" applyFill="0" applyBorder="0" applyAlignment="0" applyProtection="0"/>
    <xf numFmtId="295" fontId="40" fillId="0" borderId="0" applyFont="0" applyFill="0" applyBorder="0" applyAlignment="0" applyProtection="0"/>
    <xf numFmtId="167" fontId="37" fillId="0" borderId="0" applyFont="0" applyFill="0" applyBorder="0" applyAlignment="0" applyProtection="0"/>
    <xf numFmtId="167" fontId="37" fillId="0" borderId="0" applyFont="0" applyFill="0" applyBorder="0" applyAlignment="0" applyProtection="0"/>
    <xf numFmtId="297" fontId="37" fillId="0" borderId="0" applyFont="0" applyFill="0" applyBorder="0" applyAlignment="0" applyProtection="0"/>
    <xf numFmtId="298" fontId="37" fillId="0" borderId="0" applyFont="0" applyFill="0" applyBorder="0" applyAlignment="0" applyProtection="0"/>
    <xf numFmtId="167" fontId="37" fillId="0" borderId="0" applyFont="0" applyFill="0" applyBorder="0" applyAlignment="0" applyProtection="0"/>
    <xf numFmtId="167" fontId="37" fillId="0" borderId="0" applyFont="0" applyFill="0" applyBorder="0" applyAlignment="0" applyProtection="0"/>
    <xf numFmtId="299" fontId="43" fillId="0" borderId="0" applyFont="0" applyFill="0" applyBorder="0" applyAlignment="0" applyProtection="0"/>
    <xf numFmtId="300" fontId="43" fillId="0" borderId="0" applyFont="0" applyFill="0" applyBorder="0" applyAlignment="0" applyProtection="0"/>
    <xf numFmtId="301" fontId="43" fillId="0" borderId="0" applyFont="0" applyFill="0" applyBorder="0" applyAlignment="0" applyProtection="0"/>
    <xf numFmtId="263" fontId="114" fillId="0" borderId="0" applyFont="0" applyFill="0" applyBorder="0" applyAlignment="0" applyProtection="0"/>
    <xf numFmtId="167" fontId="262" fillId="0" borderId="0">
      <alignment horizontal="left" vertical="center"/>
    </xf>
    <xf numFmtId="0" fontId="263"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2"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2" fillId="0" borderId="0"/>
    <xf numFmtId="167" fontId="67" fillId="0" borderId="0"/>
    <xf numFmtId="167" fontId="32" fillId="0" borderId="0"/>
    <xf numFmtId="0" fontId="67" fillId="0" borderId="0"/>
    <xf numFmtId="37" fontId="265" fillId="0" borderId="0"/>
    <xf numFmtId="167" fontId="53" fillId="0" borderId="0"/>
    <xf numFmtId="1" fontId="266" fillId="0" borderId="0" applyProtection="0"/>
    <xf numFmtId="167" fontId="72" fillId="0" borderId="27"/>
    <xf numFmtId="167" fontId="72" fillId="0" borderId="27"/>
    <xf numFmtId="167" fontId="72" fillId="0" borderId="27"/>
    <xf numFmtId="167" fontId="32" fillId="0" borderId="0"/>
    <xf numFmtId="167" fontId="37" fillId="0" borderId="0"/>
    <xf numFmtId="167" fontId="267" fillId="0" borderId="0"/>
    <xf numFmtId="167" fontId="37" fillId="0" borderId="0"/>
    <xf numFmtId="302" fontId="40" fillId="0" borderId="0"/>
    <xf numFmtId="167" fontId="32" fillId="0" borderId="0"/>
    <xf numFmtId="0" fontId="267" fillId="0" borderId="0"/>
    <xf numFmtId="167" fontId="267" fillId="0" borderId="0"/>
    <xf numFmtId="167" fontId="153" fillId="0" borderId="0"/>
    <xf numFmtId="167" fontId="153" fillId="0" borderId="0"/>
    <xf numFmtId="167" fontId="268"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40" fillId="0" borderId="0"/>
    <xf numFmtId="167" fontId="268"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125"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68"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0" fontId="40" fillId="0" borderId="0"/>
    <xf numFmtId="167" fontId="40"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3"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84" fillId="0" borderId="0"/>
    <xf numFmtId="167" fontId="67"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167" fontId="40" fillId="0" borderId="0"/>
    <xf numFmtId="0"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37"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84" fillId="0" borderId="0"/>
    <xf numFmtId="0" fontId="84" fillId="0" borderId="0"/>
    <xf numFmtId="0" fontId="84" fillId="0" borderId="0"/>
    <xf numFmtId="0" fontId="40" fillId="0" borderId="0"/>
    <xf numFmtId="0" fontId="84" fillId="0" borderId="0"/>
    <xf numFmtId="167" fontId="32" fillId="0" borderId="0"/>
    <xf numFmtId="167" fontId="40" fillId="0" borderId="0"/>
    <xf numFmtId="0" fontId="1" fillId="0" borderId="0"/>
    <xf numFmtId="0" fontId="84" fillId="0" borderId="0"/>
    <xf numFmtId="167" fontId="32" fillId="0" borderId="0"/>
    <xf numFmtId="167" fontId="40" fillId="0" borderId="0"/>
    <xf numFmtId="0" fontId="32"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32"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100" fillId="0" borderId="0" applyProtection="0"/>
    <xf numFmtId="227" fontId="269" fillId="0" borderId="0"/>
    <xf numFmtId="227" fontId="269" fillId="0" borderId="0"/>
    <xf numFmtId="227" fontId="269"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167" fontId="40" fillId="0" borderId="0"/>
    <xf numFmtId="0"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0" fontId="8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40" fillId="0" borderId="0"/>
    <xf numFmtId="167" fontId="32" fillId="0" borderId="0"/>
    <xf numFmtId="167" fontId="40" fillId="0" borderId="0"/>
    <xf numFmtId="227" fontId="37" fillId="0" borderId="0"/>
    <xf numFmtId="227" fontId="269" fillId="0" borderId="0"/>
    <xf numFmtId="227" fontId="269" fillId="0" borderId="0"/>
    <xf numFmtId="227" fontId="269" fillId="0" borderId="0"/>
    <xf numFmtId="227" fontId="269"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100" fillId="0" borderId="0" applyProtection="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0" fillId="0" borderId="0"/>
    <xf numFmtId="227" fontId="3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227" fontId="3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32" fillId="0" borderId="0"/>
    <xf numFmtId="167" fontId="32" fillId="0" borderId="0"/>
    <xf numFmtId="0" fontId="40" fillId="0" borderId="0" applyNumberFormat="0" applyFont="0" applyFill="0" applyBorder="0" applyAlignment="0" applyProtection="0"/>
    <xf numFmtId="0" fontId="100" fillId="0" borderId="0" applyProtection="0"/>
    <xf numFmtId="0" fontId="100" fillId="0" borderId="0" applyProtection="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37" fillId="0" borderId="0"/>
    <xf numFmtId="227" fontId="37" fillId="0" borderId="0"/>
    <xf numFmtId="16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100" fillId="0" borderId="0" applyProtection="0"/>
    <xf numFmtId="227" fontId="37" fillId="0" borderId="0"/>
    <xf numFmtId="0" fontId="100" fillId="0" borderId="0" applyProtection="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1"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227" fontId="269"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0" fontId="225" fillId="0" borderId="0" applyNumberFormat="0" applyFill="0" applyBorder="0" applyAlignment="0" applyProtection="0"/>
    <xf numFmtId="0" fontId="270" fillId="0" borderId="0" applyNumberFormat="0" applyFill="0" applyBorder="0" applyAlignment="0" applyProtection="0">
      <alignment vertical="top"/>
      <protection locked="0"/>
    </xf>
    <xf numFmtId="167" fontId="271" fillId="0" borderId="0"/>
    <xf numFmtId="167" fontId="40" fillId="0" borderId="0"/>
    <xf numFmtId="0" fontId="40" fillId="0" borderId="0"/>
    <xf numFmtId="167" fontId="84" fillId="0" borderId="0"/>
    <xf numFmtId="167" fontId="1" fillId="0" borderId="0"/>
    <xf numFmtId="167" fontId="84" fillId="0" borderId="0"/>
    <xf numFmtId="167" fontId="1"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37" fillId="0" borderId="0"/>
    <xf numFmtId="167" fontId="40" fillId="0" borderId="0">
      <alignment vertical="center"/>
    </xf>
    <xf numFmtId="0" fontId="1" fillId="0" borderId="0"/>
    <xf numFmtId="167" fontId="1" fillId="0" borderId="0"/>
    <xf numFmtId="0" fontId="100" fillId="0" borderId="0" applyProtection="0"/>
    <xf numFmtId="167" fontId="84"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0" fontId="225" fillId="0" borderId="0" applyNumberFormat="0" applyFill="0" applyBorder="0" applyAlignment="0" applyProtection="0"/>
    <xf numFmtId="227" fontId="40" fillId="0" borderId="0"/>
    <xf numFmtId="227" fontId="40" fillId="0" borderId="0"/>
    <xf numFmtId="167" fontId="40" fillId="0" borderId="0"/>
    <xf numFmtId="167" fontId="1" fillId="0" borderId="0"/>
    <xf numFmtId="167" fontId="40" fillId="0" borderId="0"/>
    <xf numFmtId="227" fontId="40" fillId="0" borderId="0"/>
    <xf numFmtId="0" fontId="100" fillId="0" borderId="0" applyProtection="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167" fontId="84" fillId="0" borderId="0"/>
    <xf numFmtId="167" fontId="83" fillId="0" borderId="0"/>
    <xf numFmtId="167" fontId="40" fillId="0" borderId="0"/>
    <xf numFmtId="167" fontId="83" fillId="0" borderId="0"/>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227" fontId="40" fillId="0" borderId="0"/>
    <xf numFmtId="167" fontId="84" fillId="0" borderId="0"/>
    <xf numFmtId="22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1" fillId="0" borderId="0"/>
    <xf numFmtId="167" fontId="82" fillId="0" borderId="0"/>
    <xf numFmtId="167" fontId="40" fillId="0" borderId="0"/>
    <xf numFmtId="167" fontId="84" fillId="0" borderId="0"/>
    <xf numFmtId="167" fontId="84" fillId="0" borderId="0"/>
    <xf numFmtId="167" fontId="84" fillId="0" borderId="0"/>
    <xf numFmtId="0" fontId="84" fillId="0" borderId="0"/>
    <xf numFmtId="167" fontId="84"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37" fillId="0" borderId="0"/>
    <xf numFmtId="167" fontId="40" fillId="0" borderId="0"/>
    <xf numFmtId="167" fontId="37" fillId="0" borderId="0"/>
    <xf numFmtId="167" fontId="37" fillId="0" borderId="0"/>
    <xf numFmtId="167" fontId="40" fillId="0" borderId="0"/>
    <xf numFmtId="167" fontId="37" fillId="0" borderId="0"/>
    <xf numFmtId="167" fontId="37" fillId="0" borderId="0"/>
    <xf numFmtId="167" fontId="40" fillId="0" borderId="0"/>
    <xf numFmtId="167" fontId="37" fillId="0" borderId="0"/>
    <xf numFmtId="167" fontId="40"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32"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32" fillId="0" borderId="0"/>
    <xf numFmtId="167" fontId="1"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37"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71" fillId="0" borderId="0"/>
    <xf numFmtId="0" fontId="268" fillId="0" borderId="0"/>
    <xf numFmtId="167" fontId="1" fillId="0" borderId="0"/>
    <xf numFmtId="167" fontId="40" fillId="0" borderId="0"/>
    <xf numFmtId="167" fontId="37" fillId="0" borderId="0"/>
    <xf numFmtId="0" fontId="271"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0" fontId="40"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72" fillId="0" borderId="0"/>
    <xf numFmtId="167" fontId="272" fillId="0" borderId="0"/>
    <xf numFmtId="167" fontId="272" fillId="0" borderId="0"/>
    <xf numFmtId="167" fontId="272" fillId="0" borderId="0"/>
    <xf numFmtId="0" fontId="120" fillId="0" borderId="0"/>
    <xf numFmtId="167" fontId="40" fillId="0" borderId="0"/>
    <xf numFmtId="167" fontId="120" fillId="0" borderId="0"/>
    <xf numFmtId="167" fontId="84" fillId="0" borderId="0"/>
    <xf numFmtId="167" fontId="84" fillId="0" borderId="0"/>
    <xf numFmtId="167" fontId="84" fillId="0" borderId="0"/>
    <xf numFmtId="167" fontId="84" fillId="0" borderId="0"/>
    <xf numFmtId="167" fontId="84" fillId="0" borderId="0"/>
    <xf numFmtId="167" fontId="272"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63" fillId="0" borderId="62"/>
    <xf numFmtId="167" fontId="273" fillId="0" borderId="0"/>
    <xf numFmtId="0" fontId="89" fillId="0" borderId="0"/>
    <xf numFmtId="167" fontId="89" fillId="0" borderId="0"/>
    <xf numFmtId="178" fontId="89" fillId="0" borderId="0"/>
    <xf numFmtId="167" fontId="274" fillId="0" borderId="0"/>
    <xf numFmtId="167" fontId="46" fillId="0" borderId="0"/>
    <xf numFmtId="167" fontId="275" fillId="0" borderId="0"/>
    <xf numFmtId="0" fontId="46" fillId="0" borderId="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32"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303" fontId="277" fillId="0" borderId="62"/>
    <xf numFmtId="303" fontId="278" fillId="0" borderId="62"/>
    <xf numFmtId="304" fontId="37" fillId="11" borderId="0"/>
    <xf numFmtId="305" fontId="279" fillId="0" borderId="0"/>
    <xf numFmtId="227" fontId="231" fillId="0" borderId="0" applyFont="0" applyFill="0" applyBorder="0" applyAlignment="0" applyProtection="0"/>
    <xf numFmtId="234" fontId="231" fillId="0" borderId="0" applyFont="0" applyFill="0" applyBorder="0" applyAlignment="0" applyProtection="0"/>
    <xf numFmtId="241" fontId="119" fillId="0" borderId="0" applyFill="0" applyBorder="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32"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32" fillId="54" borderId="64" applyNumberFormat="0" applyAlignment="0" applyProtection="0"/>
    <xf numFmtId="167" fontId="281" fillId="54" borderId="64" applyNumberFormat="0" applyAlignment="0" applyProtection="0"/>
    <xf numFmtId="167" fontId="281" fillId="54" borderId="64" applyNumberFormat="0" applyAlignment="0" applyProtection="0"/>
    <xf numFmtId="40" fontId="125" fillId="27" borderId="0">
      <alignment horizontal="right"/>
    </xf>
    <xf numFmtId="167" fontId="282" fillId="70" borderId="0">
      <alignment horizontal="center"/>
    </xf>
    <xf numFmtId="167" fontId="283" fillId="75" borderId="0"/>
    <xf numFmtId="167" fontId="284" fillId="27" borderId="0" applyBorder="0">
      <alignment horizontal="centerContinuous"/>
    </xf>
    <xf numFmtId="167" fontId="285" fillId="75" borderId="0" applyBorder="0">
      <alignment horizontal="centerContinuous"/>
    </xf>
    <xf numFmtId="167" fontId="208" fillId="0" borderId="0" applyNumberFormat="0" applyFill="0" applyBorder="0" applyAlignment="0" applyProtection="0"/>
    <xf numFmtId="178" fontId="102" fillId="0" borderId="0">
      <alignment vertical="center"/>
    </xf>
    <xf numFmtId="167" fontId="286" fillId="0" borderId="0"/>
    <xf numFmtId="167" fontId="286" fillId="0" borderId="0"/>
    <xf numFmtId="167" fontId="286" fillId="0" borderId="0"/>
    <xf numFmtId="1" fontId="287" fillId="0" borderId="0" applyProtection="0">
      <alignment horizontal="right" vertical="center"/>
    </xf>
    <xf numFmtId="167" fontId="288" fillId="11" borderId="0"/>
    <xf numFmtId="200" fontId="289" fillId="0" borderId="30">
      <alignment vertical="center"/>
    </xf>
    <xf numFmtId="306" fontId="37" fillId="0" borderId="0" applyFont="0" applyFill="0" applyBorder="0" applyAlignment="0" applyProtection="0"/>
    <xf numFmtId="307" fontId="37"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219" fontId="126"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221" fontId="40" fillId="0" borderId="0" applyFont="0" applyFill="0" applyBorder="0" applyAlignment="0" applyProtection="0"/>
    <xf numFmtId="221" fontId="40" fillId="0" borderId="0" applyFont="0" applyFill="0" applyBorder="0" applyAlignment="0" applyProtection="0"/>
    <xf numFmtId="292" fontId="126"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2" fontId="40" fillId="0" borderId="0" applyFont="0" applyFill="0" applyBorder="0" applyAlignment="0" applyProtection="0"/>
    <xf numFmtId="312" fontId="40" fillId="0" borderId="0" applyFont="0" applyFill="0" applyBorder="0" applyAlignment="0" applyProtection="0"/>
    <xf numFmtId="166" fontId="62" fillId="0" borderId="0" applyFont="0" applyFill="0" applyBorder="0" applyAlignment="0" applyProtection="0"/>
    <xf numFmtId="10" fontId="37"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32" fillId="0" borderId="0" applyFont="0" applyFill="0" applyBorder="0" applyAlignment="0" applyProtection="0"/>
    <xf numFmtId="9" fontId="67" fillId="0" borderId="0" applyFont="0" applyFill="0" applyBorder="0" applyAlignment="0" applyProtection="0"/>
    <xf numFmtId="9" fontId="67"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40" fillId="0" borderId="0" applyFill="0" applyBorder="0" applyAlignment="0" applyProtection="0"/>
    <xf numFmtId="9" fontId="67" fillId="0" borderId="0" applyFont="0" applyFill="0" applyBorder="0" applyAlignment="0" applyProtection="0"/>
    <xf numFmtId="167" fontId="71" fillId="0" borderId="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319" fontId="120" fillId="44" borderId="65"/>
    <xf numFmtId="320" fontId="120" fillId="0" borderId="65" applyFont="0" applyFill="0" applyBorder="0" applyAlignment="0" applyProtection="0">
      <protection locked="0"/>
    </xf>
    <xf numFmtId="167" fontId="63" fillId="0" borderId="0"/>
    <xf numFmtId="167" fontId="63" fillId="0" borderId="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9" fontId="119" fillId="0" borderId="29" applyFill="0" applyBorder="0"/>
    <xf numFmtId="182" fontId="119" fillId="0" borderId="0" applyFill="0" applyBorder="0"/>
    <xf numFmtId="234" fontId="119" fillId="0" borderId="0" applyFill="0" applyBorder="0"/>
    <xf numFmtId="321" fontId="46" fillId="0" borderId="0"/>
    <xf numFmtId="322" fontId="46" fillId="0" borderId="0"/>
    <xf numFmtId="222" fontId="46" fillId="0" borderId="0" applyFill="0" applyBorder="0" applyAlignment="0"/>
    <xf numFmtId="209" fontId="290"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290"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290"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290"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290" fillId="0" borderId="0" applyFill="0" applyBorder="0" applyAlignment="0"/>
    <xf numFmtId="212" fontId="40" fillId="0" borderId="0" applyFill="0" applyBorder="0" applyAlignment="0"/>
    <xf numFmtId="212" fontId="40" fillId="0" borderId="0" applyFill="0" applyBorder="0" applyAlignment="0"/>
    <xf numFmtId="3" fontId="32" fillId="0" borderId="0"/>
    <xf numFmtId="3" fontId="192" fillId="0" borderId="0"/>
    <xf numFmtId="3" fontId="193" fillId="0" borderId="0"/>
    <xf numFmtId="3" fontId="192" fillId="0" borderId="0"/>
    <xf numFmtId="3" fontId="192" fillId="0" borderId="0"/>
    <xf numFmtId="3" fontId="192" fillId="0" borderId="0"/>
    <xf numFmtId="3" fontId="32" fillId="0" borderId="0"/>
    <xf numFmtId="3" fontId="192" fillId="0" borderId="0"/>
    <xf numFmtId="167" fontId="286" fillId="0" borderId="0"/>
    <xf numFmtId="167" fontId="286" fillId="0" borderId="0"/>
    <xf numFmtId="167" fontId="286" fillId="0" borderId="0"/>
    <xf numFmtId="167" fontId="291" fillId="0" borderId="0" applyNumberFormat="0" applyFill="0" applyBorder="0" applyAlignment="0" applyProtection="0">
      <alignment horizontal="left"/>
      <protection locked="0"/>
    </xf>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277" fillId="0" borderId="0"/>
    <xf numFmtId="167" fontId="292" fillId="0" borderId="0"/>
    <xf numFmtId="167" fontId="293" fillId="0" borderId="0"/>
    <xf numFmtId="167" fontId="278" fillId="0" borderId="0"/>
    <xf numFmtId="323" fontId="70" fillId="0" borderId="0" applyNumberFormat="0" applyFill="0" applyBorder="0" applyAlignment="0" applyProtection="0">
      <alignment horizontal="left"/>
    </xf>
    <xf numFmtId="324" fontId="71" fillId="0" borderId="0"/>
    <xf numFmtId="3" fontId="54" fillId="0" borderId="0" applyFont="0" applyFill="0" applyBorder="0" applyAlignment="0"/>
    <xf numFmtId="167" fontId="32" fillId="0" borderId="0">
      <alignment horizontal="right"/>
    </xf>
    <xf numFmtId="166" fontId="294" fillId="0" borderId="0">
      <alignment horizontal="right"/>
    </xf>
    <xf numFmtId="167" fontId="32" fillId="0" borderId="0">
      <alignment horizontal="right"/>
    </xf>
    <xf numFmtId="166" fontId="295" fillId="0" borderId="0">
      <alignment horizontal="right"/>
    </xf>
    <xf numFmtId="178" fontId="296" fillId="0" borderId="0"/>
    <xf numFmtId="178" fontId="296" fillId="0" borderId="66">
      <alignment horizontal="centerContinuous"/>
    </xf>
    <xf numFmtId="167" fontId="297" fillId="0" borderId="67">
      <alignment vertical="center"/>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167" fontId="298" fillId="0" borderId="0">
      <alignment horizontal="left" vertical="top" wrapText="1"/>
    </xf>
    <xf numFmtId="167" fontId="32" fillId="0" borderId="0"/>
    <xf numFmtId="167" fontId="299" fillId="0" borderId="0"/>
    <xf numFmtId="167" fontId="32" fillId="0" borderId="0"/>
    <xf numFmtId="0" fontId="300" fillId="0" borderId="0"/>
    <xf numFmtId="167" fontId="71" fillId="0" borderId="23"/>
    <xf numFmtId="167" fontId="32" fillId="0" borderId="0">
      <alignment horizontal="right"/>
    </xf>
    <xf numFmtId="326" fontId="57" fillId="0" borderId="0">
      <alignment horizontal="right"/>
    </xf>
    <xf numFmtId="167" fontId="32" fillId="0" borderId="0">
      <alignment horizontal="right"/>
    </xf>
    <xf numFmtId="327" fontId="301" fillId="0" borderId="0">
      <alignment horizontal="right"/>
    </xf>
    <xf numFmtId="167" fontId="32" fillId="0" borderId="0">
      <alignment horizontal="right"/>
    </xf>
    <xf numFmtId="328" fontId="294" fillId="0" borderId="0">
      <alignment horizontal="right"/>
    </xf>
    <xf numFmtId="167" fontId="32" fillId="0" borderId="0">
      <alignment horizontal="right"/>
    </xf>
    <xf numFmtId="329" fontId="295" fillId="0" borderId="0">
      <alignment horizontal="right"/>
    </xf>
    <xf numFmtId="167" fontId="63" fillId="78" borderId="0" applyFont="0"/>
    <xf numFmtId="167" fontId="302" fillId="0" borderId="0" applyNumberFormat="0" applyFill="0" applyBorder="0" applyAlignment="0" applyProtection="0"/>
    <xf numFmtId="167" fontId="32" fillId="0" borderId="62"/>
    <xf numFmtId="167" fontId="195" fillId="0" borderId="62"/>
    <xf numFmtId="167" fontId="32" fillId="0" borderId="62"/>
    <xf numFmtId="0" fontId="195" fillId="0" borderId="62"/>
    <xf numFmtId="167" fontId="32" fillId="0" borderId="0">
      <alignment horizontal="right"/>
    </xf>
    <xf numFmtId="166" fontId="303" fillId="0" borderId="0">
      <alignment horizontal="right"/>
    </xf>
    <xf numFmtId="166" fontId="304" fillId="0" borderId="0">
      <alignment horizontal="right"/>
    </xf>
    <xf numFmtId="166" fontId="303" fillId="0" borderId="0">
      <alignment horizontal="right"/>
    </xf>
    <xf numFmtId="166" fontId="303" fillId="0" borderId="0">
      <alignment horizontal="right"/>
    </xf>
    <xf numFmtId="166" fontId="303" fillId="0" borderId="0">
      <alignment horizontal="right"/>
    </xf>
    <xf numFmtId="167" fontId="32" fillId="0" borderId="0">
      <alignment horizontal="right"/>
    </xf>
    <xf numFmtId="166" fontId="303" fillId="0" borderId="0">
      <alignment horizontal="right"/>
    </xf>
    <xf numFmtId="167" fontId="115" fillId="0" borderId="0" applyFill="0" applyBorder="0" applyAlignment="0" applyProtection="0"/>
    <xf numFmtId="167" fontId="89" fillId="0" borderId="0" applyNumberFormat="0" applyFill="0" applyBorder="0" applyAlignment="0" applyProtection="0">
      <alignment horizontal="center"/>
    </xf>
    <xf numFmtId="167" fontId="32" fillId="0" borderId="0"/>
    <xf numFmtId="167" fontId="301" fillId="0" borderId="0"/>
    <xf numFmtId="167" fontId="301" fillId="0" borderId="0"/>
    <xf numFmtId="167" fontId="57" fillId="0" borderId="0"/>
    <xf numFmtId="167" fontId="301" fillId="0" borderId="0"/>
    <xf numFmtId="167" fontId="301" fillId="0" borderId="0"/>
    <xf numFmtId="167" fontId="301" fillId="0" borderId="0"/>
    <xf numFmtId="167" fontId="301" fillId="0" borderId="0"/>
    <xf numFmtId="167" fontId="301" fillId="0" borderId="0"/>
    <xf numFmtId="167" fontId="301" fillId="0" borderId="0"/>
    <xf numFmtId="167" fontId="301" fillId="0" borderId="0"/>
    <xf numFmtId="167" fontId="32" fillId="0" borderId="0"/>
    <xf numFmtId="0" fontId="301" fillId="0" borderId="0"/>
    <xf numFmtId="167" fontId="301" fillId="0" borderId="0"/>
    <xf numFmtId="167" fontId="32" fillId="0" borderId="0">
      <alignment horizontal="right"/>
    </xf>
    <xf numFmtId="166" fontId="305" fillId="0" borderId="0">
      <alignment horizontal="right"/>
    </xf>
    <xf numFmtId="166" fontId="306" fillId="0" borderId="0">
      <alignment horizontal="right"/>
    </xf>
    <xf numFmtId="166" fontId="305" fillId="0" borderId="0">
      <alignment horizontal="right"/>
    </xf>
    <xf numFmtId="166" fontId="305" fillId="0" borderId="0">
      <alignment horizontal="right"/>
    </xf>
    <xf numFmtId="166" fontId="305" fillId="0" borderId="0">
      <alignment horizontal="right"/>
    </xf>
    <xf numFmtId="167" fontId="32" fillId="0" borderId="0">
      <alignment horizontal="right"/>
    </xf>
    <xf numFmtId="166" fontId="305" fillId="0" borderId="0">
      <alignment horizontal="right"/>
    </xf>
    <xf numFmtId="178" fontId="307" fillId="0" borderId="66"/>
    <xf numFmtId="330" fontId="308" fillId="0" borderId="12">
      <alignment horizontal="left" vertical="center"/>
      <protection locked="0"/>
    </xf>
    <xf numFmtId="167" fontId="84" fillId="0" borderId="0"/>
    <xf numFmtId="167" fontId="37" fillId="0" borderId="0"/>
    <xf numFmtId="167" fontId="37" fillId="0" borderId="0"/>
    <xf numFmtId="167" fontId="37"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37" fillId="0" borderId="0"/>
    <xf numFmtId="167" fontId="37"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37" fillId="0" borderId="0"/>
    <xf numFmtId="167" fontId="37" fillId="0" borderId="0"/>
    <xf numFmtId="167" fontId="37" fillId="0" borderId="0"/>
    <xf numFmtId="167" fontId="37" fillId="0" borderId="0"/>
    <xf numFmtId="167" fontId="32" fillId="0" borderId="0"/>
    <xf numFmtId="167" fontId="309" fillId="0" borderId="0"/>
    <xf numFmtId="167" fontId="32" fillId="0" borderId="0"/>
    <xf numFmtId="0" fontId="310" fillId="0" borderId="0"/>
    <xf numFmtId="167" fontId="32" fillId="0" borderId="0">
      <alignment horizontal="right"/>
    </xf>
    <xf numFmtId="327" fontId="301" fillId="0" borderId="0">
      <alignment horizontal="right"/>
    </xf>
    <xf numFmtId="327" fontId="301" fillId="0" borderId="0">
      <alignment horizontal="right"/>
    </xf>
    <xf numFmtId="326" fontId="57"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167" fontId="32" fillId="0" borderId="0">
      <alignment horizontal="right"/>
    </xf>
    <xf numFmtId="327" fontId="301" fillId="0" borderId="0">
      <alignment horizontal="right"/>
    </xf>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0"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0"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311" fillId="0" borderId="0"/>
    <xf numFmtId="167" fontId="53" fillId="0" borderId="0"/>
    <xf numFmtId="167" fontId="53" fillId="0" borderId="0"/>
    <xf numFmtId="167" fontId="53" fillId="0" borderId="0"/>
    <xf numFmtId="0" fontId="311" fillId="0" borderId="0"/>
    <xf numFmtId="167" fontId="312" fillId="0" borderId="0"/>
    <xf numFmtId="167" fontId="313" fillId="0" borderId="0"/>
    <xf numFmtId="40" fontId="314" fillId="0" borderId="0" applyBorder="0">
      <alignment horizontal="right"/>
    </xf>
    <xf numFmtId="167" fontId="32" fillId="0" borderId="0">
      <alignment horizontal="right"/>
    </xf>
    <xf numFmtId="331" fontId="57" fillId="0" borderId="0">
      <alignment horizontal="right"/>
    </xf>
    <xf numFmtId="167" fontId="32" fillId="0" borderId="0">
      <alignment horizontal="right"/>
    </xf>
    <xf numFmtId="332" fontId="301" fillId="0" borderId="0">
      <alignment horizontal="right"/>
    </xf>
    <xf numFmtId="167" fontId="315" fillId="0" borderId="0" applyBorder="0" applyProtection="0">
      <alignment vertical="center"/>
    </xf>
    <xf numFmtId="167" fontId="315" fillId="0" borderId="69" applyBorder="0" applyProtection="0">
      <alignment horizontal="right" vertical="center"/>
    </xf>
    <xf numFmtId="167" fontId="316" fillId="79" borderId="0" applyBorder="0" applyProtection="0">
      <alignment horizontal="centerContinuous" vertical="center"/>
    </xf>
    <xf numFmtId="167" fontId="316" fillId="80" borderId="69" applyBorder="0" applyProtection="0">
      <alignment horizontal="centerContinuous" vertical="center"/>
    </xf>
    <xf numFmtId="167" fontId="305" fillId="0" borderId="0"/>
    <xf numFmtId="167" fontId="104" fillId="0" borderId="69" applyAlignment="0"/>
    <xf numFmtId="167" fontId="274" fillId="0" borderId="0"/>
    <xf numFmtId="167" fontId="317" fillId="0" borderId="0" applyFill="0" applyBorder="0" applyProtection="0">
      <alignment horizontal="left"/>
    </xf>
    <xf numFmtId="167" fontId="194" fillId="0" borderId="29" applyFill="0" applyBorder="0" applyProtection="0">
      <alignment horizontal="left" vertical="top"/>
    </xf>
    <xf numFmtId="167" fontId="318" fillId="0" borderId="0">
      <alignment horizontal="centerContinuous"/>
    </xf>
    <xf numFmtId="0" fontId="12" fillId="6" borderId="22"/>
    <xf numFmtId="49" fontId="319" fillId="0" borderId="30">
      <alignment vertical="center"/>
    </xf>
    <xf numFmtId="49" fontId="40" fillId="0" borderId="0" applyFont="0" applyFill="0" applyBorder="0" applyAlignment="0" applyProtection="0"/>
    <xf numFmtId="167" fontId="320" fillId="0" borderId="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167" fontId="321" fillId="0" borderId="0"/>
    <xf numFmtId="49" fontId="125" fillId="0" borderId="0" applyFill="0" applyBorder="0" applyAlignment="0"/>
    <xf numFmtId="333" fontId="126" fillId="0" borderId="0" applyFill="0" applyBorder="0" applyAlignment="0"/>
    <xf numFmtId="277" fontId="125" fillId="0" borderId="0" applyFill="0" applyBorder="0" applyAlignment="0"/>
    <xf numFmtId="334" fontId="40" fillId="0" borderId="0" applyFill="0" applyBorder="0" applyAlignment="0"/>
    <xf numFmtId="334" fontId="40" fillId="0" borderId="0" applyFill="0" applyBorder="0" applyAlignment="0"/>
    <xf numFmtId="335" fontId="126" fillId="0" borderId="0" applyFill="0" applyBorder="0" applyAlignment="0"/>
    <xf numFmtId="336" fontId="125" fillId="0" borderId="0" applyFill="0" applyBorder="0" applyAlignment="0"/>
    <xf numFmtId="337" fontId="40" fillId="0" borderId="0" applyFill="0" applyBorder="0" applyAlignment="0"/>
    <xf numFmtId="337" fontId="40" fillId="0" borderId="0" applyFill="0" applyBorder="0" applyAlignment="0"/>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32" fillId="0" borderId="0" applyFont="0" applyFill="0" applyBorder="0" applyAlignment="0" applyProtection="0"/>
    <xf numFmtId="338" fontId="40" fillId="0" borderId="0" applyFont="0" applyFill="0" applyBorder="0" applyAlignment="0" applyProtection="0"/>
    <xf numFmtId="167" fontId="32" fillId="0" borderId="0" applyFont="0" applyFill="0" applyBorder="0" applyAlignment="0" applyProtection="0"/>
    <xf numFmtId="167" fontId="322" fillId="0" borderId="0" applyFill="0" applyBorder="0" applyProtection="0">
      <alignment horizontal="left" vertical="top"/>
    </xf>
    <xf numFmtId="200" fontId="130" fillId="0" borderId="0" applyNumberFormat="0" applyFill="0" applyBorder="0"/>
    <xf numFmtId="167" fontId="67" fillId="0" borderId="0" applyNumberFormat="0" applyFill="0" applyBorder="0" applyAlignment="0" applyProtection="0"/>
    <xf numFmtId="167" fontId="114" fillId="0" borderId="0" applyNumberFormat="0" applyFill="0" applyBorder="0" applyAlignment="0" applyProtection="0"/>
    <xf numFmtId="3" fontId="323" fillId="0" borderId="0" applyNumberFormat="0" applyFont="0" applyFill="0" applyBorder="0" applyAlignment="0"/>
    <xf numFmtId="0" fontId="324"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325"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0" fontId="325" fillId="0" borderId="0" applyNumberFormat="0" applyFill="0" applyBorder="0" applyAlignment="0" applyProtection="0"/>
    <xf numFmtId="167" fontId="326" fillId="0" borderId="0" applyNumberFormat="0" applyFill="0" applyBorder="0" applyAlignment="0" applyProtection="0"/>
    <xf numFmtId="167" fontId="32"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326"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260" fontId="290" fillId="0" borderId="0" applyNumberFormat="0" applyFill="0" applyBorder="0" applyAlignment="0" applyProtection="0"/>
    <xf numFmtId="167" fontId="32" fillId="0" borderId="0"/>
    <xf numFmtId="339" fontId="192" fillId="0" borderId="0"/>
    <xf numFmtId="339" fontId="193" fillId="0" borderId="0"/>
    <xf numFmtId="167" fontId="32" fillId="0" borderId="0"/>
    <xf numFmtId="0" fontId="327" fillId="0" borderId="70" applyNumberForma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32"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167" fontId="125" fillId="0" borderId="71" applyNumberFormat="0" applyFont="0" applyFill="0" applyAlignment="0" applyProtection="0"/>
    <xf numFmtId="167" fontId="238" fillId="0" borderId="0">
      <alignment horizontal="fill"/>
    </xf>
    <xf numFmtId="167" fontId="328" fillId="0" borderId="0">
      <alignment vertical="top"/>
    </xf>
    <xf numFmtId="167" fontId="329" fillId="0" borderId="0"/>
    <xf numFmtId="167" fontId="329" fillId="0" borderId="0"/>
    <xf numFmtId="167" fontId="329" fillId="0" borderId="0"/>
    <xf numFmtId="340" fontId="37" fillId="0" borderId="0" applyFont="0" applyFill="0" applyBorder="0" applyAlignment="0" applyProtection="0"/>
    <xf numFmtId="341" fontId="37" fillId="0" borderId="0" applyFont="0" applyFill="0" applyBorder="0" applyAlignment="0" applyProtection="0"/>
    <xf numFmtId="167" fontId="329" fillId="0" borderId="0"/>
    <xf numFmtId="167" fontId="329" fillId="0" borderId="0"/>
    <xf numFmtId="167" fontId="329" fillId="0" borderId="0"/>
    <xf numFmtId="193" fontId="37" fillId="0" borderId="0" applyFont="0" applyFill="0" applyBorder="0" applyAlignment="0" applyProtection="0"/>
    <xf numFmtId="194" fontId="37" fillId="0" borderId="0" applyFont="0" applyFill="0" applyBorder="0" applyAlignment="0" applyProtection="0"/>
    <xf numFmtId="244" fontId="72" fillId="0" borderId="0" applyFont="0" applyFill="0" applyBorder="0" applyAlignment="0" applyProtection="0"/>
    <xf numFmtId="342" fontId="72" fillId="0" borderId="0" applyFont="0" applyFill="0" applyBorder="0" applyAlignment="0" applyProtection="0"/>
    <xf numFmtId="0" fontId="330"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2"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40" fillId="31" borderId="0" applyNumberFormat="0" applyBorder="0" applyAlignment="0" applyProtection="0"/>
    <xf numFmtId="343" fontId="37"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37"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37"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7" fontId="37"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167" fontId="332" fillId="0" borderId="30" applyBorder="0" applyProtection="0">
      <alignment horizontal="right"/>
    </xf>
    <xf numFmtId="351" fontId="159" fillId="0" borderId="47" applyFont="0" applyFill="0" applyBorder="0" applyAlignment="0">
      <alignment horizontal="centerContinuous"/>
    </xf>
    <xf numFmtId="352" fontId="333" fillId="0" borderId="47" applyFont="0" applyFill="0" applyBorder="0" applyAlignment="0">
      <alignment horizontal="centerContinuous"/>
    </xf>
    <xf numFmtId="1" fontId="334" fillId="0" borderId="0" applyFill="0" applyProtection="0">
      <alignment horizontal="right"/>
    </xf>
    <xf numFmtId="353" fontId="115" fillId="0" borderId="0" applyFont="0" applyFill="0" applyBorder="0" applyAlignment="0" applyProtection="0"/>
    <xf numFmtId="354" fontId="40" fillId="0" borderId="0" applyFont="0" applyFill="0" applyBorder="0" applyAlignment="0" applyProtection="0"/>
    <xf numFmtId="167" fontId="32" fillId="39" borderId="0" applyNumberFormat="0" applyBorder="0" applyAlignment="0" applyProtection="0"/>
    <xf numFmtId="0" fontId="86" fillId="39" borderId="0" applyNumberFormat="0" applyBorder="0" applyAlignment="0" applyProtection="0"/>
    <xf numFmtId="0" fontId="86" fillId="39"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9"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9" borderId="0" applyNumberFormat="0" applyBorder="0" applyAlignment="0" applyProtection="0"/>
    <xf numFmtId="167" fontId="86" fillId="39" borderId="0" applyNumberFormat="0" applyBorder="0" applyAlignment="0" applyProtection="0"/>
    <xf numFmtId="167" fontId="86"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42" borderId="0" applyNumberFormat="0" applyBorder="0" applyAlignment="0" applyProtection="0"/>
    <xf numFmtId="0" fontId="86" fillId="42" borderId="0" applyNumberFormat="0" applyBorder="0" applyAlignment="0" applyProtection="0"/>
    <xf numFmtId="0" fontId="86" fillId="4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2" borderId="0" applyNumberFormat="0" applyBorder="0" applyAlignment="0" applyProtection="0"/>
    <xf numFmtId="167" fontId="86" fillId="42" borderId="0" applyNumberFormat="0" applyBorder="0" applyAlignment="0" applyProtection="0"/>
    <xf numFmtId="167" fontId="86"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6" borderId="0" applyNumberFormat="0" applyBorder="0" applyAlignment="0" applyProtection="0"/>
    <xf numFmtId="0" fontId="86" fillId="46" borderId="0" applyNumberFormat="0" applyBorder="0" applyAlignment="0" applyProtection="0"/>
    <xf numFmtId="0" fontId="86" fillId="46"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46"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46" borderId="0" applyNumberFormat="0" applyBorder="0" applyAlignment="0" applyProtection="0"/>
    <xf numFmtId="167" fontId="86" fillId="46" borderId="0" applyNumberFormat="0" applyBorder="0" applyAlignment="0" applyProtection="0"/>
    <xf numFmtId="167" fontId="86"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36"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7"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49" borderId="0" applyNumberFormat="0" applyBorder="0" applyAlignment="0" applyProtection="0"/>
    <xf numFmtId="0" fontId="86" fillId="49" borderId="0" applyNumberFormat="0" applyBorder="0" applyAlignment="0" applyProtection="0"/>
    <xf numFmtId="0" fontId="86" fillId="49"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9"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9" borderId="0" applyNumberFormat="0" applyBorder="0" applyAlignment="0" applyProtection="0"/>
    <xf numFmtId="167" fontId="86" fillId="49" borderId="0" applyNumberFormat="0" applyBorder="0" applyAlignment="0" applyProtection="0"/>
    <xf numFmtId="167" fontId="86"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200" fontId="54" fillId="0" borderId="32">
      <protection locked="0"/>
    </xf>
    <xf numFmtId="200" fontId="54" fillId="0" borderId="32">
      <protection locked="0"/>
    </xf>
    <xf numFmtId="0" fontId="235" fillId="23" borderId="34"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0"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0"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0" fontId="235" fillId="23" borderId="34"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3" fontId="336" fillId="0" borderId="0">
      <alignment horizontal="center" vertical="center" textRotation="90" wrapText="1"/>
    </xf>
    <xf numFmtId="3" fontId="336" fillId="0" borderId="0">
      <alignment horizontal="center" vertical="center" textRotation="90" wrapText="1"/>
    </xf>
    <xf numFmtId="3" fontId="336" fillId="0" borderId="0">
      <alignment horizontal="center" vertical="center" textRotation="90" wrapText="1"/>
    </xf>
    <xf numFmtId="167" fontId="280" fillId="54" borderId="64" applyNumberFormat="0" applyAlignment="0" applyProtection="0"/>
    <xf numFmtId="167" fontId="32" fillId="54" borderId="64" applyNumberFormat="0" applyAlignment="0" applyProtection="0"/>
    <xf numFmtId="167" fontId="32" fillId="54" borderId="64" applyNumberFormat="0" applyAlignment="0" applyProtection="0"/>
    <xf numFmtId="0" fontId="280" fillId="54" borderId="64" applyNumberFormat="0" applyAlignment="0" applyProtection="0"/>
    <xf numFmtId="0" fontId="280" fillId="54" borderId="64"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0"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0"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0" fontId="280" fillId="54" borderId="64"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32" fillId="54" borderId="34" applyNumberFormat="0" applyAlignment="0" applyProtection="0"/>
    <xf numFmtId="0" fontId="127" fillId="54" borderId="34" applyNumberFormat="0" applyAlignment="0" applyProtection="0"/>
    <xf numFmtId="0" fontId="127" fillId="54" borderId="34"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0"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0"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0" fontId="127" fillId="54" borderId="34"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32" fillId="54" borderId="34" applyNumberFormat="0" applyAlignment="0" applyProtection="0"/>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338" fillId="0" borderId="0" applyNumberFormat="0" applyFill="0" applyBorder="0" applyAlignment="0" applyProtection="0"/>
    <xf numFmtId="0" fontId="339" fillId="0" borderId="0" applyNumberFormat="0" applyFill="0" applyBorder="0" applyAlignment="0" applyProtection="0"/>
    <xf numFmtId="167" fontId="340" fillId="0" borderId="0" applyNumberFormat="0" applyFill="0" applyBorder="0" applyAlignment="0" applyProtection="0">
      <alignment vertical="top"/>
      <protection locked="0"/>
    </xf>
    <xf numFmtId="0" fontId="100" fillId="0" borderId="0"/>
    <xf numFmtId="167" fontId="95" fillId="0" borderId="0" applyNumberFormat="0" applyFill="0" applyBorder="0" applyAlignment="0" applyProtection="0">
      <alignment vertical="top"/>
      <protection locked="0"/>
    </xf>
    <xf numFmtId="0" fontId="339" fillId="0" borderId="0" applyNumberFormat="0" applyFill="0" applyBorder="0" applyAlignment="0" applyProtection="0"/>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28" fillId="0" borderId="0" applyNumberFormat="0" applyFill="0" applyBorder="0" applyAlignment="0" applyProtection="0"/>
    <xf numFmtId="0" fontId="270" fillId="0" borderId="0" applyNumberFormat="0" applyFill="0" applyBorder="0" applyAlignment="0" applyProtection="0">
      <alignment vertical="top"/>
      <protection locked="0"/>
    </xf>
    <xf numFmtId="167" fontId="340" fillId="0" borderId="0" applyNumberFormat="0" applyFill="0" applyBorder="0" applyAlignment="0" applyProtection="0">
      <alignment vertical="top"/>
      <protection locked="0"/>
    </xf>
    <xf numFmtId="0" fontId="338" fillId="0" borderId="0" applyNumberFormat="0" applyFill="0" applyBorder="0" applyAlignment="0" applyProtection="0"/>
    <xf numFmtId="167" fontId="34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159" fillId="7" borderId="36"/>
    <xf numFmtId="167" fontId="48" fillId="0" borderId="35" applyNumberFormat="0" applyFill="0" applyBorder="0" applyProtection="0">
      <alignment horizontal="right" vertical="center"/>
    </xf>
    <xf numFmtId="0" fontId="225" fillId="0" borderId="0" applyNumberFormat="0" applyFill="0" applyBorder="0" applyAlignment="0" applyProtection="0"/>
    <xf numFmtId="0" fontId="225" fillId="0" borderId="0" applyNumberFormat="0" applyFill="0" applyBorder="0" applyAlignment="0" applyProtection="0"/>
    <xf numFmtId="14" fontId="54" fillId="0" borderId="0">
      <alignment horizontal="right"/>
    </xf>
    <xf numFmtId="194" fontId="84"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2"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39" fontId="37" fillId="0" borderId="0" applyFont="0" applyFill="0" applyBorder="0" applyAlignment="0" applyProtection="0"/>
    <xf numFmtId="356" fontId="37" fillId="0" borderId="0" applyFont="0" applyFill="0" applyBorder="0" applyAlignment="0" applyProtection="0"/>
    <xf numFmtId="222" fontId="84" fillId="0" borderId="0" applyFont="0" applyFill="0" applyBorder="0" applyAlignment="0" applyProtection="0"/>
    <xf numFmtId="356" fontId="37" fillId="0" borderId="0" applyFont="0" applyFill="0" applyBorder="0" applyAlignment="0" applyProtection="0"/>
    <xf numFmtId="194" fontId="83"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182" fontId="32" fillId="0" borderId="0" applyFont="0" applyFill="0" applyBorder="0" applyAlignment="0" applyProtection="0"/>
    <xf numFmtId="165" fontId="37" fillId="0" borderId="0" applyFont="0" applyFill="0" applyBorder="0" applyAlignment="0" applyProtection="0"/>
    <xf numFmtId="229" fontId="37" fillId="0" borderId="0" applyFont="0" applyFill="0" applyBorder="0" applyAlignment="0" applyProtection="0"/>
    <xf numFmtId="240" fontId="82" fillId="0" borderId="0" applyFont="0" applyFill="0" applyBorder="0" applyAlignment="0" applyProtection="0"/>
    <xf numFmtId="229" fontId="37" fillId="0" borderId="0" applyFont="0" applyFill="0" applyBorder="0" applyAlignment="0" applyProtection="0"/>
    <xf numFmtId="229" fontId="37" fillId="0" borderId="0" applyFont="0" applyFill="0" applyBorder="0" applyAlignment="0" applyProtection="0"/>
    <xf numFmtId="357" fontId="37" fillId="0" borderId="0" applyFont="0" applyFill="0" applyBorder="0" applyAlignment="0" applyProtection="0"/>
    <xf numFmtId="194" fontId="32" fillId="0" borderId="0" applyFont="0" applyFill="0" applyBorder="0" applyAlignment="0" applyProtection="0"/>
    <xf numFmtId="0" fontId="341" fillId="0" borderId="0" applyBorder="0">
      <alignment horizontal="center" vertical="center" wrapText="1"/>
    </xf>
    <xf numFmtId="0" fontId="209" fillId="0" borderId="5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342" fillId="0" borderId="7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32" fillId="0" borderId="52" applyNumberFormat="0" applyFill="0" applyAlignment="0" applyProtection="0"/>
    <xf numFmtId="0" fontId="209" fillId="0" borderId="52" applyNumberFormat="0" applyFill="0" applyAlignment="0" applyProtection="0"/>
    <xf numFmtId="0" fontId="214" fillId="0" borderId="5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343" fillId="0" borderId="7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32" fillId="0" borderId="53" applyNumberFormat="0" applyFill="0" applyAlignment="0" applyProtection="0"/>
    <xf numFmtId="0" fontId="214" fillId="0" borderId="53" applyNumberFormat="0" applyFill="0" applyAlignment="0" applyProtection="0"/>
    <xf numFmtId="0" fontId="219" fillId="0" borderId="5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344" fillId="0" borderId="7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32" fillId="0" borderId="54" applyNumberFormat="0" applyFill="0" applyAlignment="0" applyProtection="0"/>
    <xf numFmtId="0" fontId="219" fillId="0" borderId="54" applyNumberFormat="0" applyFill="0" applyAlignment="0" applyProtection="0"/>
    <xf numFmtId="0" fontId="219"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344"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32" fillId="0" borderId="0" applyNumberFormat="0" applyFill="0" applyBorder="0" applyAlignment="0" applyProtection="0"/>
    <xf numFmtId="0" fontId="219" fillId="0" borderId="0" applyNumberFormat="0" applyFill="0" applyBorder="0" applyAlignment="0" applyProtection="0"/>
    <xf numFmtId="0" fontId="345" fillId="0" borderId="0" applyNumberFormat="0" applyFill="0" applyBorder="0" applyAlignment="0" applyProtection="0"/>
    <xf numFmtId="0" fontId="74" fillId="0" borderId="0" applyNumberFormat="0" applyFill="0" applyBorder="0" applyAlignment="0" applyProtection="0"/>
    <xf numFmtId="0" fontId="346" fillId="0" borderId="75" applyBorder="0">
      <alignment horizontal="center" vertical="center" wrapText="1"/>
    </xf>
    <xf numFmtId="200" fontId="151" fillId="52" borderId="32"/>
    <xf numFmtId="200" fontId="151" fillId="52" borderId="32"/>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0"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0" fontId="225" fillId="0" borderId="28" applyNumberFormat="0" applyFill="0" applyAlignment="0" applyProtection="0"/>
    <xf numFmtId="0" fontId="225" fillId="0" borderId="28" applyNumberFormat="0" applyFill="0" applyAlignment="0" applyProtection="0"/>
    <xf numFmtId="167" fontId="37" fillId="0" borderId="0"/>
    <xf numFmtId="167" fontId="32" fillId="57" borderId="37" applyNumberFormat="0" applyAlignment="0" applyProtection="0"/>
    <xf numFmtId="0" fontId="133" fillId="57" borderId="37" applyNumberFormat="0" applyAlignment="0" applyProtection="0"/>
    <xf numFmtId="0" fontId="133" fillId="57" borderId="37" applyNumberFormat="0" applyAlignment="0" applyProtection="0"/>
    <xf numFmtId="167" fontId="133" fillId="38" borderId="77" applyNumberFormat="0" applyAlignment="0" applyProtection="0"/>
    <xf numFmtId="167" fontId="133" fillId="38" borderId="77" applyNumberFormat="0" applyAlignment="0" applyProtection="0"/>
    <xf numFmtId="167" fontId="133" fillId="38" borderId="77" applyNumberFormat="0" applyAlignment="0" applyProtection="0"/>
    <xf numFmtId="167" fontId="133" fillId="38" borderId="77" applyNumberFormat="0" applyAlignment="0" applyProtection="0"/>
    <xf numFmtId="167" fontId="133" fillId="57" borderId="37" applyNumberFormat="0" applyAlignment="0" applyProtection="0"/>
    <xf numFmtId="167" fontId="133" fillId="38" borderId="77" applyNumberFormat="0" applyAlignment="0" applyProtection="0"/>
    <xf numFmtId="0" fontId="3" fillId="3" borderId="5" applyNumberFormat="0" applyAlignment="0" applyProtection="0"/>
    <xf numFmtId="167" fontId="133" fillId="38" borderId="77" applyNumberFormat="0" applyAlignment="0" applyProtection="0"/>
    <xf numFmtId="167" fontId="133" fillId="57" borderId="37" applyNumberFormat="0" applyAlignment="0" applyProtection="0"/>
    <xf numFmtId="167" fontId="133" fillId="57" borderId="37" applyNumberFormat="0" applyAlignment="0" applyProtection="0"/>
    <xf numFmtId="167" fontId="133" fillId="57" borderId="37" applyNumberFormat="0" applyAlignment="0" applyProtection="0"/>
    <xf numFmtId="167" fontId="32" fillId="57" borderId="37" applyNumberFormat="0" applyAlignment="0" applyProtection="0"/>
    <xf numFmtId="167" fontId="32" fillId="57" borderId="37" applyNumberFormat="0" applyAlignment="0" applyProtection="0"/>
    <xf numFmtId="167" fontId="32" fillId="57" borderId="37" applyNumberFormat="0" applyAlignment="0" applyProtection="0"/>
    <xf numFmtId="167" fontId="32" fillId="57" borderId="37" applyNumberFormat="0" applyAlignment="0" applyProtection="0"/>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74" fillId="0" borderId="0">
      <alignment horizontal="center" vertical="top" wrapText="1"/>
    </xf>
    <xf numFmtId="0" fontId="224" fillId="0" borderId="0">
      <alignment horizontal="centerContinuous" vertical="center" wrapText="1"/>
    </xf>
    <xf numFmtId="164" fontId="347" fillId="8" borderId="12">
      <alignment wrapText="1"/>
    </xf>
    <xf numFmtId="164" fontId="347" fillId="8" borderId="12">
      <alignment wrapText="1"/>
    </xf>
    <xf numFmtId="164" fontId="347" fillId="8" borderId="12">
      <alignment wrapText="1"/>
    </xf>
    <xf numFmtId="164" fontId="347" fillId="8" borderId="12">
      <alignment wrapText="1"/>
    </xf>
    <xf numFmtId="0" fontId="324"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348"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32" fillId="0" borderId="0" applyNumberFormat="0" applyFill="0" applyBorder="0" applyAlignment="0" applyProtection="0"/>
    <xf numFmtId="0" fontId="324" fillId="0" borderId="0" applyNumberFormat="0" applyFill="0" applyBorder="0" applyAlignment="0" applyProtection="0"/>
    <xf numFmtId="358" fontId="349" fillId="0" borderId="0"/>
    <xf numFmtId="167" fontId="198" fillId="11" borderId="0" applyFill="0"/>
    <xf numFmtId="0" fontId="263" fillId="9" borderId="0" applyNumberFormat="0" applyBorder="0" applyAlignment="0" applyProtection="0"/>
    <xf numFmtId="167" fontId="263" fillId="9" borderId="0" applyNumberFormat="0" applyBorder="0" applyAlignment="0" applyProtection="0"/>
    <xf numFmtId="167" fontId="263" fillId="9" borderId="0" applyNumberFormat="0" applyBorder="0" applyAlignment="0" applyProtection="0"/>
    <xf numFmtId="167" fontId="350" fillId="34" borderId="0" applyNumberFormat="0" applyBorder="0" applyAlignment="0" applyProtection="0"/>
    <xf numFmtId="167" fontId="263" fillId="9" borderId="0" applyNumberFormat="0" applyBorder="0" applyAlignment="0" applyProtection="0"/>
    <xf numFmtId="167" fontId="263" fillId="9" borderId="0" applyNumberFormat="0" applyBorder="0" applyAlignment="0" applyProtection="0"/>
    <xf numFmtId="167" fontId="32" fillId="9" borderId="0" applyNumberFormat="0" applyBorder="0" applyAlignment="0" applyProtection="0"/>
    <xf numFmtId="0" fontId="263" fillId="9" borderId="0" applyNumberFormat="0" applyBorder="0" applyAlignment="0" applyProtection="0"/>
    <xf numFmtId="49" fontId="276" fillId="0" borderId="0" applyBorder="0">
      <alignment vertical="top"/>
    </xf>
    <xf numFmtId="0" fontId="1" fillId="0" borderId="0"/>
    <xf numFmtId="0" fontId="1" fillId="0" borderId="0"/>
    <xf numFmtId="0" fontId="100" fillId="0" borderId="0" applyProtection="0"/>
    <xf numFmtId="167" fontId="1" fillId="0" borderId="0"/>
    <xf numFmtId="0" fontId="37" fillId="0" borderId="0"/>
    <xf numFmtId="167" fontId="84" fillId="0" borderId="0"/>
    <xf numFmtId="167" fontId="84" fillId="0" borderId="0"/>
    <xf numFmtId="167" fontId="82" fillId="0" borderId="0"/>
    <xf numFmtId="167" fontId="82" fillId="0" borderId="0"/>
    <xf numFmtId="167" fontId="82" fillId="0" borderId="0"/>
    <xf numFmtId="0" fontId="1" fillId="0" borderId="0"/>
    <xf numFmtId="167" fontId="82" fillId="0" borderId="0"/>
    <xf numFmtId="0" fontId="1" fillId="0" borderId="0"/>
    <xf numFmtId="167" fontId="82" fillId="0" borderId="0"/>
    <xf numFmtId="167" fontId="82" fillId="0" borderId="0"/>
    <xf numFmtId="167" fontId="82" fillId="0" borderId="0"/>
    <xf numFmtId="167" fontId="82" fillId="0" borderId="0"/>
    <xf numFmtId="167" fontId="82" fillId="0" borderId="0"/>
    <xf numFmtId="0" fontId="351" fillId="0" borderId="0"/>
    <xf numFmtId="167" fontId="32" fillId="0" borderId="0"/>
    <xf numFmtId="0" fontId="32" fillId="0" borderId="0"/>
    <xf numFmtId="167" fontId="32" fillId="0" borderId="0"/>
    <xf numFmtId="167" fontId="32" fillId="0" borderId="0"/>
    <xf numFmtId="167" fontId="32" fillId="0" borderId="0"/>
    <xf numFmtId="167" fontId="1" fillId="0" borderId="0"/>
    <xf numFmtId="178" fontId="1" fillId="0" borderId="0"/>
    <xf numFmtId="0" fontId="32" fillId="0" borderId="0"/>
    <xf numFmtId="167" fontId="40" fillId="0" borderId="0"/>
    <xf numFmtId="0" fontId="84" fillId="0" borderId="0"/>
    <xf numFmtId="178" fontId="1" fillId="0" borderId="0"/>
    <xf numFmtId="0" fontId="32" fillId="0" borderId="0"/>
    <xf numFmtId="167" fontId="37" fillId="0" borderId="0"/>
    <xf numFmtId="167" fontId="37" fillId="0" borderId="0"/>
    <xf numFmtId="167" fontId="37" fillId="0" borderId="0"/>
    <xf numFmtId="167" fontId="37" fillId="0" borderId="0"/>
    <xf numFmtId="167" fontId="37" fillId="0" borderId="0"/>
    <xf numFmtId="0" fontId="32" fillId="0" borderId="0"/>
    <xf numFmtId="167" fontId="32" fillId="0" borderId="0"/>
    <xf numFmtId="0" fontId="1" fillId="0" borderId="0"/>
    <xf numFmtId="0" fontId="32" fillId="0" borderId="0"/>
    <xf numFmtId="167" fontId="32" fillId="0" borderId="0"/>
    <xf numFmtId="167" fontId="32" fillId="0" borderId="0"/>
    <xf numFmtId="167" fontId="37" fillId="0" borderId="0"/>
    <xf numFmtId="167" fontId="37" fillId="0" borderId="0"/>
    <xf numFmtId="167" fontId="37" fillId="0" borderId="0"/>
    <xf numFmtId="167" fontId="37" fillId="0" borderId="0"/>
    <xf numFmtId="167" fontId="37" fillId="0" borderId="0"/>
    <xf numFmtId="167" fontId="37" fillId="0" borderId="0"/>
    <xf numFmtId="167" fontId="37" fillId="0" borderId="0"/>
    <xf numFmtId="167" fontId="32"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2" fillId="0" borderId="0"/>
    <xf numFmtId="0" fontId="32" fillId="0" borderId="0"/>
    <xf numFmtId="167" fontId="32" fillId="0" borderId="0"/>
    <xf numFmtId="0" fontId="1" fillId="0" borderId="0"/>
    <xf numFmtId="167" fontId="32" fillId="0" borderId="0"/>
    <xf numFmtId="0" fontId="84" fillId="0" borderId="0"/>
    <xf numFmtId="167" fontId="82" fillId="0" borderId="0"/>
    <xf numFmtId="0" fontId="32" fillId="0" borderId="0"/>
    <xf numFmtId="167" fontId="32" fillId="0" borderId="0"/>
    <xf numFmtId="0" fontId="352" fillId="0" borderId="0" applyBorder="0"/>
    <xf numFmtId="167" fontId="82" fillId="0" borderId="0"/>
    <xf numFmtId="0" fontId="32" fillId="0" borderId="0"/>
    <xf numFmtId="0" fontId="37" fillId="0" borderId="0"/>
    <xf numFmtId="167" fontId="82" fillId="0" borderId="0"/>
    <xf numFmtId="0" fontId="32" fillId="0" borderId="0"/>
    <xf numFmtId="167" fontId="32" fillId="0" borderId="0"/>
    <xf numFmtId="167" fontId="82" fillId="0" borderId="0"/>
    <xf numFmtId="0" fontId="32" fillId="0" borderId="0"/>
    <xf numFmtId="167" fontId="1" fillId="0" borderId="0"/>
    <xf numFmtId="167" fontId="32" fillId="0" borderId="0"/>
    <xf numFmtId="0" fontId="1" fillId="0" borderId="0"/>
    <xf numFmtId="167" fontId="3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359" fontId="64" fillId="0" borderId="0"/>
    <xf numFmtId="359" fontId="64" fillId="0" borderId="0"/>
    <xf numFmtId="167" fontId="82" fillId="0" borderId="0"/>
    <xf numFmtId="167" fontId="82" fillId="0" borderId="0"/>
    <xf numFmtId="167" fontId="82" fillId="0" borderId="0"/>
    <xf numFmtId="167" fontId="82" fillId="0" borderId="0"/>
    <xf numFmtId="49" fontId="276" fillId="0" borderId="0" applyBorder="0">
      <alignment vertical="top"/>
    </xf>
    <xf numFmtId="0" fontId="84" fillId="0" borderId="0"/>
    <xf numFmtId="0" fontId="37" fillId="0" borderId="0"/>
    <xf numFmtId="167" fontId="37" fillId="0" borderId="0"/>
    <xf numFmtId="0" fontId="32" fillId="0" borderId="0"/>
    <xf numFmtId="167" fontId="32" fillId="0" borderId="0"/>
    <xf numFmtId="167" fontId="37" fillId="0" borderId="0"/>
    <xf numFmtId="167" fontId="82" fillId="0" borderId="0"/>
    <xf numFmtId="167" fontId="37" fillId="0" borderId="0"/>
    <xf numFmtId="167" fontId="37" fillId="0" borderId="0"/>
    <xf numFmtId="167" fontId="1" fillId="0" borderId="0"/>
    <xf numFmtId="167" fontId="82" fillId="0" borderId="0"/>
    <xf numFmtId="0" fontId="82" fillId="0" borderId="0"/>
    <xf numFmtId="167" fontId="3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352" fillId="0" borderId="0" applyBorder="0"/>
    <xf numFmtId="0" fontId="352" fillId="0" borderId="0" applyBorder="0"/>
    <xf numFmtId="167" fontId="82" fillId="0" borderId="0"/>
    <xf numFmtId="167" fontId="82" fillId="0" borderId="0"/>
    <xf numFmtId="167" fontId="82" fillId="0" borderId="0"/>
    <xf numFmtId="167" fontId="82" fillId="0" borderId="0"/>
    <xf numFmtId="0" fontId="37" fillId="0" borderId="0"/>
    <xf numFmtId="167" fontId="37" fillId="0" borderId="0"/>
    <xf numFmtId="359" fontId="64"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1" fillId="0" borderId="0"/>
    <xf numFmtId="167" fontId="82" fillId="0" borderId="0"/>
    <xf numFmtId="167" fontId="82" fillId="0" borderId="0"/>
    <xf numFmtId="0" fontId="6"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37" fillId="0" borderId="0"/>
    <xf numFmtId="167" fontId="82" fillId="0" borderId="0"/>
    <xf numFmtId="167" fontId="82" fillId="0" borderId="0"/>
    <xf numFmtId="0" fontId="37" fillId="0" borderId="0"/>
    <xf numFmtId="167" fontId="37" fillId="0" borderId="0"/>
    <xf numFmtId="0" fontId="32" fillId="0" borderId="0"/>
    <xf numFmtId="167" fontId="82" fillId="0" borderId="0"/>
    <xf numFmtId="167" fontId="82" fillId="0" borderId="0"/>
    <xf numFmtId="167" fontId="32" fillId="0" borderId="0"/>
    <xf numFmtId="167" fontId="32" fillId="0" borderId="0"/>
    <xf numFmtId="167" fontId="37" fillId="0" borderId="0"/>
    <xf numFmtId="167" fontId="32" fillId="0" borderId="0"/>
    <xf numFmtId="167" fontId="82" fillId="0" borderId="0"/>
    <xf numFmtId="167" fontId="139" fillId="0" borderId="0"/>
    <xf numFmtId="167" fontId="1" fillId="0" borderId="0"/>
    <xf numFmtId="167" fontId="1" fillId="0" borderId="0"/>
    <xf numFmtId="167" fontId="62" fillId="0" borderId="0"/>
    <xf numFmtId="167" fontId="1" fillId="0" borderId="0"/>
    <xf numFmtId="167" fontId="1" fillId="0" borderId="0"/>
    <xf numFmtId="167" fontId="1" fillId="0" borderId="0"/>
    <xf numFmtId="167" fontId="1" fillId="0" borderId="0"/>
    <xf numFmtId="167" fontId="271" fillId="0" borderId="0"/>
    <xf numFmtId="167" fontId="1" fillId="0" borderId="0"/>
    <xf numFmtId="167" fontId="1" fillId="0" borderId="0"/>
    <xf numFmtId="167" fontId="54" fillId="0" borderId="0"/>
    <xf numFmtId="167" fontId="1" fillId="0" borderId="0"/>
    <xf numFmtId="0" fontId="354" fillId="0" borderId="0"/>
    <xf numFmtId="167" fontId="82" fillId="0" borderId="0"/>
    <xf numFmtId="0" fontId="32" fillId="0" borderId="0"/>
    <xf numFmtId="167" fontId="32" fillId="0" borderId="0"/>
    <xf numFmtId="0" fontId="37" fillId="0" borderId="0"/>
    <xf numFmtId="0" fontId="354" fillId="0" borderId="0"/>
    <xf numFmtId="167" fontId="37" fillId="0" borderId="0"/>
    <xf numFmtId="167" fontId="37" fillId="0" borderId="0"/>
    <xf numFmtId="167" fontId="37" fillId="0" borderId="0"/>
    <xf numFmtId="167" fontId="271" fillId="0" borderId="0"/>
    <xf numFmtId="167" fontId="37" fillId="0" borderId="0"/>
    <xf numFmtId="167" fontId="1" fillId="0" borderId="0"/>
    <xf numFmtId="167" fontId="84" fillId="0" borderId="0"/>
    <xf numFmtId="0" fontId="32" fillId="0" borderId="0"/>
    <xf numFmtId="167" fontId="1" fillId="0" borderId="0"/>
    <xf numFmtId="0" fontId="1" fillId="0" borderId="0"/>
    <xf numFmtId="0" fontId="1" fillId="0" borderId="0"/>
    <xf numFmtId="0" fontId="1" fillId="0" borderId="0"/>
    <xf numFmtId="0" fontId="355" fillId="0" borderId="0"/>
    <xf numFmtId="167" fontId="82" fillId="0" borderId="0"/>
    <xf numFmtId="0" fontId="37" fillId="0" borderId="0"/>
    <xf numFmtId="167" fontId="37" fillId="0" borderId="0"/>
    <xf numFmtId="0" fontId="100" fillId="0" borderId="0" applyProtection="0"/>
    <xf numFmtId="0" fontId="1" fillId="0" borderId="0"/>
    <xf numFmtId="0" fontId="1" fillId="0" borderId="0"/>
    <xf numFmtId="0" fontId="1" fillId="0" borderId="0"/>
    <xf numFmtId="0" fontId="1" fillId="0" borderId="0"/>
    <xf numFmtId="0" fontId="37" fillId="0" borderId="0"/>
    <xf numFmtId="0" fontId="1" fillId="0" borderId="0"/>
    <xf numFmtId="0" fontId="32" fillId="0" borderId="0"/>
    <xf numFmtId="0" fontId="1" fillId="0" borderId="0"/>
    <xf numFmtId="167" fontId="356"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2" fillId="19" borderId="0" applyNumberFormat="0" applyBorder="0" applyAlignment="0" applyProtection="0"/>
    <xf numFmtId="0" fontId="105" fillId="19" borderId="0" applyNumberFormat="0" applyBorder="0" applyAlignment="0" applyProtection="0"/>
    <xf numFmtId="0" fontId="105" fillId="19"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19"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19" borderId="0" applyNumberFormat="0" applyBorder="0" applyAlignment="0" applyProtection="0"/>
    <xf numFmtId="167" fontId="105" fillId="19" borderId="0" applyNumberFormat="0" applyBorder="0" applyAlignment="0" applyProtection="0"/>
    <xf numFmtId="167" fontId="105"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89" fontId="358" fillId="10" borderId="78" applyNumberFormat="0" applyBorder="0" applyAlignment="0">
      <alignment vertical="center"/>
      <protection locked="0"/>
    </xf>
    <xf numFmtId="0" fontId="172" fillId="0" borderId="0" applyNumberFormat="0" applyFill="0" applyBorder="0" applyAlignment="0" applyProtection="0"/>
    <xf numFmtId="167" fontId="172" fillId="0" borderId="0" applyNumberFormat="0" applyFill="0" applyBorder="0" applyAlignment="0" applyProtection="0"/>
    <xf numFmtId="167" fontId="172" fillId="0" borderId="0" applyNumberFormat="0" applyFill="0" applyBorder="0" applyAlignment="0" applyProtection="0"/>
    <xf numFmtId="167" fontId="359" fillId="0" borderId="0" applyNumberFormat="0" applyFill="0" applyBorder="0" applyAlignment="0" applyProtection="0"/>
    <xf numFmtId="167" fontId="172" fillId="0" borderId="0" applyNumberFormat="0" applyFill="0" applyBorder="0" applyAlignment="0" applyProtection="0"/>
    <xf numFmtId="167" fontId="172" fillId="0" borderId="0" applyNumberFormat="0" applyFill="0" applyBorder="0" applyAlignment="0" applyProtection="0"/>
    <xf numFmtId="167" fontId="32" fillId="0" borderId="0" applyNumberFormat="0" applyFill="0" applyBorder="0" applyAlignment="0" applyProtection="0"/>
    <xf numFmtId="0" fontId="172" fillId="0" borderId="0" applyNumberFormat="0" applyFill="0" applyBorder="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2" fillId="34" borderId="63"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9" fontId="82"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27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27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8" fillId="0" borderId="59" applyNumberFormat="0" applyFill="0" applyAlignment="0" applyProtection="0"/>
    <xf numFmtId="167" fontId="258" fillId="0" borderId="59" applyNumberFormat="0" applyFill="0" applyAlignment="0" applyProtection="0"/>
    <xf numFmtId="167" fontId="258" fillId="0" borderId="59" applyNumberFormat="0" applyFill="0" applyAlignment="0" applyProtection="0"/>
    <xf numFmtId="167" fontId="330" fillId="0" borderId="79" applyNumberFormat="0" applyFill="0" applyAlignment="0" applyProtection="0"/>
    <xf numFmtId="167" fontId="258" fillId="0" borderId="59" applyNumberFormat="0" applyFill="0" applyAlignment="0" applyProtection="0"/>
    <xf numFmtId="167" fontId="258" fillId="0" borderId="59" applyNumberFormat="0" applyFill="0" applyAlignment="0" applyProtection="0"/>
    <xf numFmtId="167" fontId="32" fillId="0" borderId="59" applyNumberFormat="0" applyFill="0" applyAlignment="0" applyProtection="0"/>
    <xf numFmtId="0" fontId="258" fillId="0" borderId="59" applyNumberFormat="0" applyFill="0" applyAlignment="0" applyProtection="0"/>
    <xf numFmtId="167" fontId="32" fillId="0" borderId="0"/>
    <xf numFmtId="167" fontId="361" fillId="0" borderId="0"/>
    <xf numFmtId="167" fontId="32" fillId="0" borderId="0"/>
    <xf numFmtId="0" fontId="361" fillId="0" borderId="0"/>
    <xf numFmtId="0" fontId="46" fillId="0" borderId="0"/>
    <xf numFmtId="174" fontId="57" fillId="0" borderId="0">
      <alignment vertical="top"/>
    </xf>
    <xf numFmtId="38" fontId="57" fillId="0" borderId="0">
      <alignment vertical="top"/>
    </xf>
    <xf numFmtId="167" fontId="37" fillId="0" borderId="0"/>
    <xf numFmtId="0" fontId="46" fillId="0" borderId="0"/>
    <xf numFmtId="167" fontId="46" fillId="0" borderId="0"/>
    <xf numFmtId="0" fontId="38" fillId="0" borderId="0"/>
    <xf numFmtId="167" fontId="37" fillId="0" borderId="0"/>
    <xf numFmtId="167" fontId="37" fillId="0" borderId="0"/>
    <xf numFmtId="167" fontId="52" fillId="0" borderId="0"/>
    <xf numFmtId="167" fontId="32" fillId="0" borderId="0"/>
    <xf numFmtId="0" fontId="5" fillId="84" borderId="12" applyBorder="0" applyAlignment="0">
      <alignment vertical="center"/>
    </xf>
    <xf numFmtId="167" fontId="32" fillId="0" borderId="0"/>
    <xf numFmtId="167" fontId="52" fillId="0" borderId="0"/>
    <xf numFmtId="167" fontId="72" fillId="0" borderId="0" applyNumberFormat="0" applyFont="0" applyFill="0" applyBorder="0" applyAlignment="0" applyProtection="0">
      <alignment vertical="top"/>
    </xf>
    <xf numFmtId="167" fontId="72" fillId="0" borderId="0" applyNumberFormat="0" applyFont="0" applyFill="0" applyBorder="0" applyAlignment="0" applyProtection="0">
      <alignment vertical="top"/>
    </xf>
    <xf numFmtId="167" fontId="32" fillId="0" borderId="0"/>
    <xf numFmtId="167" fontId="32" fillId="0" borderId="0"/>
    <xf numFmtId="167" fontId="32" fillId="0" borderId="0">
      <alignment vertical="justify"/>
    </xf>
    <xf numFmtId="49" fontId="362" fillId="0" borderId="0"/>
    <xf numFmtId="49" fontId="363" fillId="0" borderId="0">
      <alignment vertical="top"/>
    </xf>
    <xf numFmtId="189" fontId="225" fillId="0" borderId="0" applyFill="0" applyBorder="0" applyAlignment="0" applyProtection="0"/>
    <xf numFmtId="189" fontId="225" fillId="0" borderId="0" applyFill="0" applyBorder="0" applyAlignment="0" applyProtection="0"/>
    <xf numFmtId="167" fontId="32" fillId="0" borderId="0" applyNumberFormat="0" applyFill="0" applyBorder="0" applyAlignment="0" applyProtection="0"/>
    <xf numFmtId="0" fontId="330" fillId="0" borderId="0" applyNumberFormat="0" applyFill="0" applyBorder="0" applyAlignment="0" applyProtection="0"/>
    <xf numFmtId="0"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0" fontId="4"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49" fontId="225" fillId="0" borderId="0">
      <alignment horizontal="center"/>
    </xf>
    <xf numFmtId="49" fontId="225" fillId="0" borderId="0">
      <alignment horizontal="center"/>
    </xf>
    <xf numFmtId="49" fontId="54" fillId="0" borderId="0"/>
    <xf numFmtId="360" fontId="364" fillId="0" borderId="0"/>
    <xf numFmtId="360" fontId="364" fillId="0" borderId="0"/>
    <xf numFmtId="360" fontId="364" fillId="0" borderId="0"/>
    <xf numFmtId="38" fontId="32" fillId="0" borderId="0" applyFont="0" applyFill="0" applyBorder="0" applyAlignment="0" applyProtection="0"/>
    <xf numFmtId="3" fontId="365" fillId="0" borderId="35" applyFont="0" applyBorder="0">
      <alignment horizontal="right"/>
      <protection locked="0"/>
    </xf>
    <xf numFmtId="182" fontId="37" fillId="0" borderId="0" applyFont="0" applyFill="0" applyBorder="0" applyAlignment="0" applyProtection="0"/>
    <xf numFmtId="2" fontId="225" fillId="0" borderId="0" applyFill="0" applyBorder="0" applyAlignment="0" applyProtection="0"/>
    <xf numFmtId="2" fontId="225" fillId="0" borderId="0" applyFill="0" applyBorder="0" applyAlignment="0" applyProtection="0"/>
    <xf numFmtId="294" fontId="37"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167"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7"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165" fontId="366" fillId="0" borderId="0" applyFont="0" applyFill="0" applyBorder="0" applyAlignment="0" applyProtection="0"/>
    <xf numFmtId="189" fontId="366"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7" fillId="0" borderId="0" applyFont="0" applyFill="0" applyBorder="0" applyAlignment="0" applyProtection="0"/>
    <xf numFmtId="234" fontId="1" fillId="0" borderId="0" applyFont="0" applyFill="0" applyBorder="0" applyAlignment="0" applyProtection="0"/>
    <xf numFmtId="234" fontId="37" fillId="0" borderId="0" applyFont="0" applyFill="0" applyBorder="0" applyAlignment="0" applyProtection="0"/>
    <xf numFmtId="234" fontId="83" fillId="0" borderId="0" applyFont="0" applyFill="0" applyBorder="0" applyAlignment="0" applyProtection="0"/>
    <xf numFmtId="237" fontId="37"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37"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361" fontId="37"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2" fillId="0" borderId="0" applyFont="0" applyFill="0" applyBorder="0" applyAlignment="0" applyProtection="0"/>
    <xf numFmtId="361" fontId="37" fillId="0" borderId="0" applyFont="0" applyFill="0" applyBorder="0" applyAlignment="0" applyProtection="0"/>
    <xf numFmtId="237" fontId="37" fillId="0" borderId="0" applyFont="0" applyFill="0" applyBorder="0" applyAlignment="0" applyProtection="0"/>
    <xf numFmtId="234" fontId="32"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2" fillId="0" borderId="0" applyFont="0" applyFill="0" applyBorder="0" applyAlignment="0" applyProtection="0"/>
    <xf numFmtId="361" fontId="37" fillId="0" borderId="0" applyFont="0" applyFill="0" applyBorder="0" applyAlignment="0" applyProtection="0"/>
    <xf numFmtId="234" fontId="32" fillId="0" borderId="0" applyFont="0" applyFill="0" applyBorder="0" applyAlignment="0" applyProtection="0"/>
    <xf numFmtId="361"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362" fontId="54" fillId="0" borderId="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7" fillId="0" borderId="0" applyFont="0" applyFill="0" applyBorder="0" applyAlignment="0" applyProtection="0"/>
    <xf numFmtId="234" fontId="32" fillId="0" borderId="0" applyFont="0" applyFill="0" applyBorder="0" applyAlignment="0" applyProtection="0"/>
    <xf numFmtId="357"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363" fontId="32" fillId="0" borderId="0" applyFont="0" applyFill="0" applyBorder="0" applyAlignment="0" applyProtection="0"/>
    <xf numFmtId="229" fontId="32" fillId="0" borderId="0" applyFont="0" applyFill="0" applyBorder="0" applyAlignment="0" applyProtection="0"/>
    <xf numFmtId="229" fontId="32" fillId="0" borderId="0" applyFont="0" applyFill="0" applyBorder="0" applyAlignment="0" applyProtection="0"/>
    <xf numFmtId="234" fontId="82" fillId="0" borderId="0" applyFont="0" applyFill="0" applyBorder="0" applyAlignment="0" applyProtection="0"/>
    <xf numFmtId="36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09" fontId="37" fillId="0" borderId="0" applyFont="0" applyFill="0" applyBorder="0" applyAlignment="0" applyProtection="0"/>
    <xf numFmtId="209" fontId="37" fillId="0" borderId="0" applyFont="0" applyFill="0" applyBorder="0" applyAlignment="0" applyProtection="0"/>
    <xf numFmtId="209" fontId="37"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7"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7" fillId="0" borderId="0" applyFont="0" applyFill="0" applyBorder="0" applyAlignment="0" applyProtection="0"/>
    <xf numFmtId="234" fontId="271" fillId="0" borderId="0" applyFont="0" applyFill="0" applyBorder="0" applyAlignment="0" applyProtection="0"/>
    <xf numFmtId="180"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365" fontId="37" fillId="0" borderId="0" applyFont="0" applyFill="0" applyBorder="0" applyAlignment="0" applyProtection="0"/>
    <xf numFmtId="181"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234" fontId="8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7" fontId="1" fillId="0" borderId="0" applyFont="0" applyFill="0" applyBorder="0" applyAlignment="0" applyProtection="0"/>
    <xf numFmtId="234" fontId="83" fillId="0" borderId="0" applyFont="0" applyFill="0" applyBorder="0" applyAlignment="0" applyProtection="0"/>
    <xf numFmtId="234" fontId="82" fillId="0" borderId="0" applyFont="0" applyFill="0" applyBorder="0" applyAlignment="0" applyProtection="0"/>
    <xf numFmtId="4" fontId="276" fillId="8" borderId="0" applyBorder="0">
      <alignment horizontal="right"/>
    </xf>
    <xf numFmtId="4" fontId="276" fillId="85" borderId="8"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0" fontId="199" fillId="20" borderId="0" applyNumberFormat="0" applyBorder="0" applyAlignment="0" applyProtection="0"/>
    <xf numFmtId="167" fontId="199" fillId="20" borderId="0" applyNumberFormat="0" applyBorder="0" applyAlignment="0" applyProtection="0"/>
    <xf numFmtId="167" fontId="199" fillId="20" borderId="0" applyNumberFormat="0" applyBorder="0" applyAlignment="0" applyProtection="0"/>
    <xf numFmtId="167" fontId="367" fillId="26" borderId="0" applyNumberFormat="0" applyBorder="0" applyAlignment="0" applyProtection="0"/>
    <xf numFmtId="167" fontId="199" fillId="20" borderId="0" applyNumberFormat="0" applyBorder="0" applyAlignment="0" applyProtection="0"/>
    <xf numFmtId="167" fontId="199" fillId="20" borderId="0" applyNumberFormat="0" applyBorder="0" applyAlignment="0" applyProtection="0"/>
    <xf numFmtId="167" fontId="32" fillId="20" borderId="0" applyNumberFormat="0" applyBorder="0" applyAlignment="0" applyProtection="0"/>
    <xf numFmtId="0" fontId="199" fillId="20" borderId="0" applyNumberFormat="0" applyBorder="0" applyAlignment="0" applyProtection="0"/>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37" fontId="32" fillId="0" borderId="0" applyFont="0" applyBorder="0" applyAlignment="0" applyProtection="0"/>
    <xf numFmtId="366" fontId="61" fillId="0" borderId="0">
      <protection locked="0"/>
    </xf>
    <xf numFmtId="182" fontId="61" fillId="0" borderId="0">
      <protection locked="0"/>
    </xf>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167" fontId="37" fillId="39" borderId="0" applyNumberFormat="0" applyBorder="0" applyAlignment="0" applyProtection="0">
      <alignment vertical="center"/>
    </xf>
    <xf numFmtId="0" fontId="37" fillId="39" borderId="0" applyNumberFormat="0" applyBorder="0" applyAlignment="0" applyProtection="0">
      <alignment vertical="center"/>
    </xf>
    <xf numFmtId="167" fontId="37" fillId="42" borderId="0" applyNumberFormat="0" applyBorder="0" applyAlignment="0" applyProtection="0">
      <alignment vertical="center"/>
    </xf>
    <xf numFmtId="0" fontId="37" fillId="42" borderId="0" applyNumberFormat="0" applyBorder="0" applyAlignment="0" applyProtection="0">
      <alignment vertical="center"/>
    </xf>
    <xf numFmtId="167" fontId="37" fillId="46" borderId="0" applyNumberFormat="0" applyBorder="0" applyAlignment="0" applyProtection="0">
      <alignment vertical="center"/>
    </xf>
    <xf numFmtId="0" fontId="37" fillId="46" borderId="0" applyNumberFormat="0" applyBorder="0" applyAlignment="0" applyProtection="0">
      <alignment vertical="center"/>
    </xf>
    <xf numFmtId="167" fontId="37" fillId="36" borderId="0" applyNumberFormat="0" applyBorder="0" applyAlignment="0" applyProtection="0">
      <alignment vertical="center"/>
    </xf>
    <xf numFmtId="0" fontId="37" fillId="36" borderId="0" applyNumberFormat="0" applyBorder="0" applyAlignment="0" applyProtection="0">
      <alignment vertical="center"/>
    </xf>
    <xf numFmtId="167" fontId="37" fillId="37" borderId="0" applyNumberFormat="0" applyBorder="0" applyAlignment="0" applyProtection="0">
      <alignment vertical="center"/>
    </xf>
    <xf numFmtId="0" fontId="37" fillId="37" borderId="0" applyNumberFormat="0" applyBorder="0" applyAlignment="0" applyProtection="0">
      <alignment vertical="center"/>
    </xf>
    <xf numFmtId="167" fontId="37" fillId="49" borderId="0" applyNumberFormat="0" applyBorder="0" applyAlignment="0" applyProtection="0">
      <alignment vertical="center"/>
    </xf>
    <xf numFmtId="0" fontId="37" fillId="49" borderId="0" applyNumberFormat="0" applyBorder="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57" borderId="37" applyNumberFormat="0" applyAlignment="0" applyProtection="0">
      <alignment vertical="center"/>
    </xf>
    <xf numFmtId="0" fontId="37" fillId="57" borderId="37" applyNumberFormat="0" applyAlignment="0" applyProtection="0">
      <alignment vertical="center"/>
    </xf>
    <xf numFmtId="178" fontId="40" fillId="0" borderId="0" applyFont="0" applyFill="0" applyBorder="0" applyAlignment="0" applyProtection="0"/>
    <xf numFmtId="178" fontId="40" fillId="0" borderId="0" applyFont="0" applyFill="0" applyBorder="0" applyAlignment="0" applyProtection="0"/>
    <xf numFmtId="167" fontId="37" fillId="9" borderId="0" applyNumberFormat="0" applyBorder="0" applyAlignment="0" applyProtection="0">
      <alignment vertical="center"/>
    </xf>
    <xf numFmtId="0" fontId="37" fillId="9" borderId="0" applyNumberFormat="0" applyBorder="0" applyAlignment="0" applyProtection="0">
      <alignment vertical="center"/>
    </xf>
    <xf numFmtId="178" fontId="40" fillId="0" borderId="0" applyFont="0" applyFill="0" applyBorder="0" applyAlignment="0" applyProtection="0"/>
    <xf numFmtId="178" fontId="40" fillId="0" borderId="0" applyFont="0" applyFill="0" applyBorder="0" applyAlignment="0" applyProtection="0"/>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0"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0" borderId="59" applyNumberFormat="0" applyFill="0" applyAlignment="0" applyProtection="0">
      <alignment vertical="center"/>
    </xf>
    <xf numFmtId="0" fontId="37" fillId="0" borderId="59" applyNumberFormat="0" applyFill="0" applyAlignment="0" applyProtection="0">
      <alignment vertical="center"/>
    </xf>
    <xf numFmtId="167" fontId="37" fillId="23" borderId="34" applyNumberFormat="0" applyAlignment="0" applyProtection="0">
      <alignment vertical="center"/>
    </xf>
    <xf numFmtId="0"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0"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367" fontId="114" fillId="0" borderId="0" applyFont="0" applyFill="0" applyBorder="0" applyAlignment="0" applyProtection="0"/>
    <xf numFmtId="210" fontId="114" fillId="0" borderId="0" applyFont="0" applyFill="0" applyBorder="0" applyAlignment="0" applyProtection="0"/>
    <xf numFmtId="167" fontId="37" fillId="19" borderId="0" applyNumberFormat="0" applyBorder="0" applyAlignment="0" applyProtection="0">
      <alignment vertical="center"/>
    </xf>
    <xf numFmtId="0" fontId="37" fillId="19" borderId="0" applyNumberFormat="0" applyBorder="0" applyAlignment="0" applyProtection="0">
      <alignment vertical="center"/>
    </xf>
    <xf numFmtId="40" fontId="32" fillId="0" borderId="0" applyFont="0" applyFill="0" applyBorder="0" applyAlignment="0" applyProtection="0"/>
    <xf numFmtId="38" fontId="32" fillId="0" borderId="0" applyFont="0" applyFill="0" applyBorder="0" applyAlignment="0" applyProtection="0"/>
    <xf numFmtId="167" fontId="32" fillId="0" borderId="0"/>
    <xf numFmtId="167" fontId="37" fillId="20" borderId="0" applyNumberFormat="0" applyBorder="0" applyAlignment="0" applyProtection="0">
      <alignment vertical="center"/>
    </xf>
    <xf numFmtId="0" fontId="37" fillId="20" borderId="0" applyNumberFormat="0" applyBorder="0" applyAlignment="0" applyProtection="0">
      <alignment vertical="center"/>
    </xf>
    <xf numFmtId="167" fontId="37" fillId="0" borderId="52" applyNumberFormat="0" applyFill="0" applyAlignment="0" applyProtection="0">
      <alignment vertical="center"/>
    </xf>
    <xf numFmtId="0" fontId="37" fillId="0" borderId="52" applyNumberFormat="0" applyFill="0" applyAlignment="0" applyProtection="0">
      <alignment vertical="center"/>
    </xf>
    <xf numFmtId="167" fontId="37" fillId="0" borderId="53" applyNumberFormat="0" applyFill="0" applyAlignment="0" applyProtection="0">
      <alignment vertical="center"/>
    </xf>
    <xf numFmtId="0" fontId="37" fillId="0" borderId="53" applyNumberFormat="0" applyFill="0" applyAlignment="0" applyProtection="0">
      <alignment vertical="center"/>
    </xf>
    <xf numFmtId="167" fontId="37" fillId="0" borderId="54" applyNumberFormat="0" applyFill="0" applyAlignment="0" applyProtection="0">
      <alignment vertical="center"/>
    </xf>
    <xf numFmtId="0" fontId="37" fillId="0" borderId="54" applyNumberFormat="0" applyFill="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54" borderId="34" applyNumberFormat="0" applyAlignment="0" applyProtection="0">
      <alignment vertical="center"/>
    </xf>
    <xf numFmtId="0"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0"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cellStyleXfs>
  <cellXfs count="148">
    <xf numFmtId="0" fontId="0" fillId="0" borderId="0" xfId="0"/>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33" fillId="6" borderId="9" xfId="3"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11" xfId="2" applyFont="1" applyFill="1" applyBorder="1"/>
    <xf numFmtId="0" fontId="7" fillId="6" borderId="14" xfId="2" applyFont="1" applyFill="1" applyBorder="1"/>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39" xfId="2" applyFont="1" applyFill="1" applyBorder="1"/>
    <xf numFmtId="0" fontId="7" fillId="6" borderId="39" xfId="2" applyFont="1" applyFill="1" applyBorder="1" applyAlignment="1">
      <alignment vertical="center"/>
    </xf>
    <xf numFmtId="0" fontId="7" fillId="6" borderId="0" xfId="2" applyFont="1" applyFill="1" applyAlignment="1">
      <alignment vertical="center"/>
    </xf>
    <xf numFmtId="10" fontId="7" fillId="6" borderId="0" xfId="2" applyNumberFormat="1" applyFont="1" applyFill="1" applyAlignment="1">
      <alignment wrapText="1"/>
    </xf>
    <xf numFmtId="0" fontId="9" fillId="6" borderId="0" xfId="2" applyFont="1" applyFill="1" applyAlignment="1">
      <alignment horizontal="left"/>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 fontId="7" fillId="6" borderId="12" xfId="2" applyNumberFormat="1" applyFont="1" applyFill="1" applyBorder="1" applyAlignment="1">
      <alignment horizontal="center" vertical="center"/>
    </xf>
    <xf numFmtId="49" fontId="12" fillId="6" borderId="11" xfId="0" applyNumberFormat="1" applyFont="1" applyFill="1" applyBorder="1" applyAlignment="1">
      <alignment horizontal="right" vertical="center"/>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80" xfId="2" applyNumberFormat="1" applyFont="1" applyFill="1" applyBorder="1" applyAlignment="1">
      <alignment horizontal="right" vertical="center"/>
    </xf>
    <xf numFmtId="0" fontId="7" fillId="6" borderId="81" xfId="2" applyFont="1" applyFill="1" applyBorder="1" applyAlignment="1">
      <alignment horizontal="left" vertical="center" wrapText="1" indent="4"/>
    </xf>
    <xf numFmtId="10" fontId="7" fillId="6" borderId="81" xfId="1"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10" fontId="7" fillId="6" borderId="9" xfId="1" applyNumberFormat="1" applyFont="1" applyFill="1" applyBorder="1" applyAlignment="1">
      <alignment horizontal="center" vertical="center" wrapText="1"/>
    </xf>
    <xf numFmtId="0" fontId="7" fillId="6" borderId="83" xfId="2" applyFont="1" applyFill="1" applyBorder="1" applyAlignment="1">
      <alignment horizontal="right" wrapText="1" indent="1"/>
    </xf>
    <xf numFmtId="0" fontId="7" fillId="6" borderId="84"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10" fontId="19" fillId="6" borderId="13" xfId="2" applyNumberFormat="1" applyFont="1" applyFill="1" applyBorder="1" applyAlignment="1" applyProtection="1">
      <alignment vertical="center"/>
    </xf>
    <xf numFmtId="10" fontId="19" fillId="6" borderId="16" xfId="2" applyNumberFormat="1" applyFont="1" applyFill="1" applyBorder="1" applyAlignment="1" applyProtection="1">
      <alignment vertical="center"/>
    </xf>
    <xf numFmtId="0" fontId="7" fillId="6" borderId="80" xfId="2" applyFont="1" applyFill="1" applyBorder="1"/>
    <xf numFmtId="10" fontId="19" fillId="6" borderId="82"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8" fillId="6" borderId="0" xfId="2" applyFont="1" applyFill="1" applyBorder="1" applyAlignment="1">
      <alignment horizontal="center" vertical="center" wrapText="1"/>
    </xf>
    <xf numFmtId="0" fontId="9" fillId="6" borderId="7" xfId="2" applyFont="1" applyFill="1" applyBorder="1" applyAlignment="1">
      <alignment horizontal="left" wrapText="1"/>
    </xf>
    <xf numFmtId="0" fontId="9" fillId="6" borderId="19" xfId="2" applyFont="1" applyFill="1" applyBorder="1" applyAlignment="1">
      <alignment horizontal="left" vertical="center" wrapText="1"/>
    </xf>
    <xf numFmtId="0" fontId="9" fillId="6" borderId="7" xfId="2" applyFont="1" applyFill="1" applyBorder="1" applyAlignment="1">
      <alignment horizont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9" Type="http://schemas.openxmlformats.org/officeDocument/2006/relationships/theme" Target="theme/theme1.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externalLink" Target="externalLinks/externalLink20.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externalLink" Target="externalLinks/externalLink19.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externalLink" Target="externalLinks/externalLink18.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38" Type="http://schemas.openxmlformats.org/officeDocument/2006/relationships/externalLink" Target="externalLinks/externalLink2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41;&#1086;&#1088;&#1080;&#1089;&#1086;&#1075;&#1083;&#1077;&#1073;&#1089;&#1082;&#1080;&#1081;%20&#1089;&#108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42;&#1083;&#1072;&#1076;&#1080;&#1084;&#1080;&#1088;&#1086;&#1074;&#1089;&#1082;&#1080;&#1081;%20&#1089;&#108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43;&#1072;&#1085;&#1076;&#1080;&#1095;&#1077;&#1074;&#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45;&#1088;&#1084;&#1086;&#1083;&#1072;&#1077;&#1074;&#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0;&#1086;&#1078;&#1091;&#1088;&#1083;&#1080;&#1085;&#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0;&#1086;&#1083;&#1084;&#1072;&#1082;&#1086;&#1074;&#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0;&#1088;&#1077;&#1097;&#1077;&#1085;&#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0;&#1088;&#1091;&#1075;&#1083;&#1086;&#1086;&#1079;&#1077;&#1088;&#1085;&#1099;&#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0;&#1091;&#1085;&#1076;&#1088;&#1072;&#1085;&#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3;&#1077;&#1074;&#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3;&#1086;&#1074;&#1086;&#1076;&#1091;&#1073;&#1088;&#1086;&#1074;&#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4;&#1088;&#1083;&#1086;&#1074;&#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5;&#1077;&#1096;&#1082;&#1086;&#1074;&#1089;&#1082;&#1080;&#1081;%20&#1089;&#1089;.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6;&#1072;&#1080;&#1089;&#1080;&#1085;&#1089;&#1082;&#1080;&#1081;%20&#1089;&#1089;.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9;&#1073;&#1080;&#1085;&#1089;&#1082;&#1080;&#1081;%20&#1089;&#1089;%20(&#1075;&#1072;&#107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63;&#1077;&#1088;&#1085;&#1086;&#1084;&#1099;&#1089;&#1077;&#1085;&#1089;&#1082;&#1080;&#1081;%20&#1089;&#1089;.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PREDEL.PRICE.NCZ.WARM/2025/&#1088;&#1072;&#1089;&#1095;&#1077;&#1090;&#1099;/&#1059;&#1073;&#1080;&#1085;&#1089;&#1082;&#1080;&#1081;/&#1059;&#1073;&#1080;&#1085;&#1089;&#1082;&#1080;&#1081;%20&#1089;&#1089;%20(&#1091;&#1075;&#1086;&#1083;&#1100;).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Борисоглеб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Борисоглебка, Убинский муниципальный район</v>
          </cell>
        </row>
        <row r="15">
          <cell r="D15" t="str">
            <v/>
          </cell>
          <cell r="E15"/>
        </row>
        <row r="16">
          <cell r="D16" t="str">
            <v>Код ОКТМО</v>
          </cell>
          <cell r="E16" t="str">
            <v>50654401101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1009.0775886766846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3640</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522.07837751383113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53.394074999999994</v>
          </cell>
        </row>
        <row r="27">
          <cell r="F27">
            <v>1291.2863994686898</v>
          </cell>
        </row>
        <row r="28">
          <cell r="F28">
            <v>991.77142816335618</v>
          </cell>
        </row>
        <row r="29">
          <cell r="F29">
            <v>299.51497130533357</v>
          </cell>
        </row>
        <row r="30">
          <cell r="F30">
            <v>2684.8885098631154</v>
          </cell>
        </row>
        <row r="33">
          <cell r="F33">
            <v>1487.5389768353543</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15.225</v>
          </cell>
        </row>
        <row r="18">
          <cell r="E18"/>
        </row>
        <row r="19">
          <cell r="E19"/>
        </row>
      </sheetData>
      <sheetData sheetId="29"/>
      <sheetData sheetId="30">
        <row r="12">
          <cell r="F12">
            <v>109.7349527530004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Владимиро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Владимировское, Убинский муниципальный район</v>
          </cell>
        </row>
        <row r="15">
          <cell r="D15" t="str">
            <v/>
          </cell>
          <cell r="E15"/>
        </row>
        <row r="16">
          <cell r="D16" t="str">
            <v>Код ОКТМО</v>
          </cell>
          <cell r="E16" t="str">
            <v>50654402101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1009.0775886766846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3640</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522.67292128866802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60.495750000000001</v>
          </cell>
        </row>
        <row r="27">
          <cell r="F27">
            <v>1291.2863994686898</v>
          </cell>
        </row>
        <row r="28">
          <cell r="F28">
            <v>991.77142816335618</v>
          </cell>
        </row>
        <row r="29">
          <cell r="F29">
            <v>299.51497130533357</v>
          </cell>
        </row>
        <row r="30">
          <cell r="F30">
            <v>2685.4779048888622</v>
          </cell>
        </row>
        <row r="33">
          <cell r="F33">
            <v>1487.5389768353543</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17.25</v>
          </cell>
        </row>
        <row r="18">
          <cell r="E18"/>
        </row>
        <row r="19">
          <cell r="E19"/>
        </row>
      </sheetData>
      <sheetData sheetId="29"/>
      <sheetData sheetId="30">
        <row r="12">
          <cell r="F12">
            <v>109.74684362849712</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Гандиче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Новогандичево, Убинский муниципальный район</v>
          </cell>
        </row>
        <row r="15">
          <cell r="D15" t="str">
            <v/>
          </cell>
          <cell r="E15"/>
        </row>
        <row r="16">
          <cell r="D16" t="str">
            <v>Код ОКТМО</v>
          </cell>
          <cell r="E16" t="str">
            <v>50654404101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1085.5438619944462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3915.8333333333335</v>
          </cell>
        </row>
      </sheetData>
      <sheetData sheetId="9"/>
      <sheetData sheetId="10"/>
      <sheetData sheetId="11"/>
      <sheetData sheetId="12"/>
      <sheetData sheetId="13">
        <row r="12">
          <cell r="F12">
            <v>3012.2481724096506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0.17509446800348361</v>
          </cell>
        </row>
        <row r="30">
          <cell r="F30">
            <v>0.16229927007299269</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900.64903029838558</v>
          </cell>
        </row>
        <row r="14">
          <cell r="F14">
            <v>14558.469864440101</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527.24965802362146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57.602475000000005</v>
          </cell>
        </row>
        <row r="27">
          <cell r="F27">
            <v>1291.2863994686898</v>
          </cell>
        </row>
        <row r="28">
          <cell r="F28">
            <v>991.77142816335618</v>
          </cell>
        </row>
        <row r="29">
          <cell r="F29">
            <v>299.51497130533357</v>
          </cell>
        </row>
        <row r="30">
          <cell r="F30">
            <v>2785.5595289678331</v>
          </cell>
        </row>
        <row r="33">
          <cell r="F33">
            <v>1598.9709676598741</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16.425000000000001</v>
          </cell>
        </row>
        <row r="18">
          <cell r="E18"/>
        </row>
        <row r="19">
          <cell r="E19"/>
        </row>
      </sheetData>
      <sheetData sheetId="29"/>
      <sheetData sheetId="30">
        <row r="12">
          <cell r="F12">
            <v>110.51381445452208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Ермолае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Ермолаевка, Убинский муниципальный район</v>
          </cell>
        </row>
        <row r="15">
          <cell r="D15" t="str">
            <v/>
          </cell>
          <cell r="E15"/>
        </row>
        <row r="16">
          <cell r="D16" t="str">
            <v>Код ОКТМО</v>
          </cell>
          <cell r="E16" t="str">
            <v>50654407101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915.61778343972514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3302.8666666666668</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514.58345309818424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42.013860000000001</v>
          </cell>
        </row>
        <row r="27">
          <cell r="F27">
            <v>1291.2863994686898</v>
          </cell>
        </row>
        <row r="28">
          <cell r="F28">
            <v>991.77142816335618</v>
          </cell>
        </row>
        <row r="29">
          <cell r="F29">
            <v>299.51497130533357</v>
          </cell>
        </row>
        <row r="30">
          <cell r="F30">
            <v>2547.7478708398576</v>
          </cell>
        </row>
        <row r="33">
          <cell r="F33">
            <v>1351.3428251496514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11.98</v>
          </cell>
        </row>
        <row r="18">
          <cell r="E18"/>
        </row>
        <row r="19">
          <cell r="E19"/>
        </row>
      </sheetData>
      <sheetData sheetId="29"/>
      <sheetData sheetId="30">
        <row r="12">
          <cell r="F12">
            <v>107.71585815994825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Кожурлин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Кожурла, Убинский муниципальный район</v>
          </cell>
        </row>
        <row r="15">
          <cell r="D15" t="str">
            <v/>
          </cell>
          <cell r="E15"/>
        </row>
        <row r="16">
          <cell r="D16" t="str">
            <v>Код ОКТМО</v>
          </cell>
          <cell r="E16" t="str">
            <v>50654410101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1040.456482648744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3753.1916666666666</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525.06615711567042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62.845440000000011</v>
          </cell>
        </row>
        <row r="27">
          <cell r="F27">
            <v>1291.2863994686898</v>
          </cell>
        </row>
        <row r="28">
          <cell r="F28">
            <v>991.77142816335618</v>
          </cell>
        </row>
        <row r="29">
          <cell r="F29">
            <v>299.51497130533357</v>
          </cell>
        </row>
        <row r="30">
          <cell r="F30">
            <v>2731.4004291439687</v>
          </cell>
        </row>
        <row r="33">
          <cell r="F33">
            <v>1533.2664913782382</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17.920000000000002</v>
          </cell>
        </row>
        <row r="18">
          <cell r="E18"/>
        </row>
        <row r="19">
          <cell r="E19"/>
        </row>
      </sheetData>
      <sheetData sheetId="29"/>
      <sheetData sheetId="30">
        <row r="12">
          <cell r="F12">
            <v>110.42228622447836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Колмако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Новоселово, Убинский муниципальный район </v>
          </cell>
        </row>
        <row r="15">
          <cell r="D15" t="str">
            <v/>
          </cell>
          <cell r="E15"/>
        </row>
        <row r="16">
          <cell r="D16" t="str">
            <v>Код ОКТМО</v>
          </cell>
          <cell r="E16" t="str">
            <v>50654413101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875.99855119200265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3159.9500000000003</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513.77723933042762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65.510760000000005</v>
          </cell>
        </row>
        <row r="27">
          <cell r="F27">
            <v>1291.2863994686898</v>
          </cell>
        </row>
        <row r="28">
          <cell r="F28">
            <v>991.77142816335618</v>
          </cell>
        </row>
        <row r="29">
          <cell r="F29">
            <v>299.51497130533357</v>
          </cell>
        </row>
        <row r="30">
          <cell r="F30">
            <v>2491.9620573082898</v>
          </cell>
        </row>
        <row r="33">
          <cell r="F33">
            <v>1293.6069144958594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18.68</v>
          </cell>
        </row>
        <row r="18">
          <cell r="E18"/>
        </row>
        <row r="19">
          <cell r="E19"/>
        </row>
      </sheetData>
      <sheetData sheetId="29"/>
      <sheetData sheetId="30">
        <row r="12">
          <cell r="F12">
            <v>106.90734923963868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Крещен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Крещенское, Убинский муниципальный район</v>
          </cell>
        </row>
        <row r="15">
          <cell r="D15" t="str">
            <v/>
          </cell>
          <cell r="E15"/>
        </row>
        <row r="16">
          <cell r="D16" t="str">
            <v>Код ОКТМО</v>
          </cell>
          <cell r="E16" t="str">
            <v>50654416101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875.99855119200265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3159.9500000000003</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513.34270857153444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60.320400000000006</v>
          </cell>
        </row>
        <row r="27">
          <cell r="F27">
            <v>1291.2863994686898</v>
          </cell>
        </row>
        <row r="28">
          <cell r="F28">
            <v>991.77142816335618</v>
          </cell>
        </row>
        <row r="29">
          <cell r="F29">
            <v>299.51497130533357</v>
          </cell>
        </row>
        <row r="30">
          <cell r="F30">
            <v>2491.5312895857687</v>
          </cell>
        </row>
        <row r="33">
          <cell r="F33">
            <v>1293.6069144958594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17.200000000000003</v>
          </cell>
        </row>
        <row r="18">
          <cell r="E18"/>
        </row>
        <row r="19">
          <cell r="E19"/>
        </row>
      </sheetData>
      <sheetData sheetId="29"/>
      <sheetData sheetId="30">
        <row r="12">
          <cell r="F12">
            <v>106.89865862446082</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Круглоозерны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Круглоозерное, Убинский муниципальный район</v>
          </cell>
        </row>
        <row r="15">
          <cell r="D15" t="str">
            <v/>
          </cell>
          <cell r="E15"/>
        </row>
        <row r="16">
          <cell r="D16" t="str">
            <v>Код ОКТМО</v>
          </cell>
          <cell r="E16" t="str">
            <v>50654419101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1066.6005556136108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3847.5</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525.96258829531905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51.693179999999998</v>
          </cell>
        </row>
        <row r="27">
          <cell r="F27">
            <v>1291.2863994686898</v>
          </cell>
        </row>
        <row r="28">
          <cell r="F28">
            <v>991.77142816335618</v>
          </cell>
        </row>
        <row r="29">
          <cell r="F29">
            <v>299.51497130533357</v>
          </cell>
        </row>
        <row r="30">
          <cell r="F30">
            <v>2768.5738286397891</v>
          </cell>
        </row>
        <row r="33">
          <cell r="F33">
            <v>1571.3654593589354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14.74</v>
          </cell>
        </row>
        <row r="18">
          <cell r="E18"/>
        </row>
        <row r="19">
          <cell r="E19"/>
        </row>
      </sheetData>
      <sheetData sheetId="29"/>
      <sheetData sheetId="30">
        <row r="12">
          <cell r="F12">
            <v>110.96309630736866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Кундран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Кундран, Убинский муниципальный район</v>
          </cell>
        </row>
        <row r="15">
          <cell r="D15" t="str">
            <v/>
          </cell>
          <cell r="E15"/>
        </row>
        <row r="16">
          <cell r="D16" t="str">
            <v>Код ОКТМО</v>
          </cell>
          <cell r="E16" t="str">
            <v>50654422101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1066.6005556136108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3847.5</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526.65255267599412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59.934629999999999</v>
          </cell>
        </row>
        <row r="27">
          <cell r="F27">
            <v>1291.2863994686898</v>
          </cell>
        </row>
        <row r="28">
          <cell r="F28">
            <v>991.77142816335618</v>
          </cell>
        </row>
        <row r="29">
          <cell r="F29">
            <v>299.51497130533357</v>
          </cell>
        </row>
        <row r="30">
          <cell r="F30">
            <v>2769.2578179289276</v>
          </cell>
        </row>
        <row r="33">
          <cell r="F33">
            <v>1571.3654593589354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17.09</v>
          </cell>
        </row>
        <row r="18">
          <cell r="E18"/>
        </row>
        <row r="19">
          <cell r="E19"/>
        </row>
      </sheetData>
      <sheetData sheetId="29"/>
      <sheetData sheetId="30">
        <row r="12">
          <cell r="F12">
            <v>110.97689559498217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Не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Александро-Невское, Убинский муниципальный район</v>
          </cell>
        </row>
        <row r="15">
          <cell r="D15" t="str">
            <v/>
          </cell>
          <cell r="E15"/>
        </row>
        <row r="16">
          <cell r="D16" t="str">
            <v>Код ОКТМО</v>
          </cell>
          <cell r="E16" t="str">
            <v>50654425101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1066.6005556136108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3847.5</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526.01250061221901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52.289370000000005</v>
          </cell>
        </row>
        <row r="27">
          <cell r="F27">
            <v>1291.2863994686898</v>
          </cell>
        </row>
        <row r="28">
          <cell r="F28">
            <v>991.77142816335618</v>
          </cell>
        </row>
        <row r="29">
          <cell r="F29">
            <v>299.51497130533357</v>
          </cell>
        </row>
        <row r="30">
          <cell r="F30">
            <v>2768.6233087160249</v>
          </cell>
        </row>
        <row r="33">
          <cell r="F33">
            <v>1571.3654593589354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14.91</v>
          </cell>
        </row>
        <row r="18">
          <cell r="E18"/>
        </row>
        <row r="19">
          <cell r="E19"/>
        </row>
      </sheetData>
      <sheetData sheetId="29"/>
      <sheetData sheetId="30">
        <row r="12">
          <cell r="F12">
            <v>110.96409455370666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Новодубро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Новодубровское, Убинский муниципальный район</v>
          </cell>
        </row>
        <row r="15">
          <cell r="D15" t="str">
            <v/>
          </cell>
          <cell r="E15"/>
        </row>
        <row r="16">
          <cell r="D16" t="str">
            <v>Код ОКТМО</v>
          </cell>
          <cell r="E16" t="str">
            <v>50654428101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915.61778343972514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3302.8666666666668</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516.09550269838678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60.074909999999996</v>
          </cell>
        </row>
        <row r="27">
          <cell r="F27">
            <v>1291.2863994686898</v>
          </cell>
        </row>
        <row r="28">
          <cell r="F28">
            <v>991.77142816335618</v>
          </cell>
        </row>
        <row r="29">
          <cell r="F29">
            <v>299.51497130533357</v>
          </cell>
        </row>
        <row r="30">
          <cell r="F30">
            <v>2549.2468260905225</v>
          </cell>
        </row>
        <row r="33">
          <cell r="F33">
            <v>1351.3428251496514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17.13</v>
          </cell>
        </row>
        <row r="18">
          <cell r="E18"/>
        </row>
        <row r="19">
          <cell r="E19"/>
        </row>
      </sheetData>
      <sheetData sheetId="29"/>
      <sheetData sheetId="30">
        <row r="12">
          <cell r="F12">
            <v>107.74609915195229</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Орло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Орловское, Убинский муниципальный район </v>
          </cell>
        </row>
        <row r="15">
          <cell r="D15" t="str">
            <v/>
          </cell>
          <cell r="E15"/>
        </row>
        <row r="16">
          <cell r="D16" t="str">
            <v>Код ОКТМО</v>
          </cell>
          <cell r="E16" t="str">
            <v>50654431101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915.61778343972514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3302.8666666666668</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516.38029650658018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63.476700000000001</v>
          </cell>
        </row>
        <row r="27">
          <cell r="F27">
            <v>1291.2863994686898</v>
          </cell>
        </row>
        <row r="28">
          <cell r="F28">
            <v>991.77142816335618</v>
          </cell>
        </row>
        <row r="29">
          <cell r="F29">
            <v>299.51497130533357</v>
          </cell>
        </row>
        <row r="30">
          <cell r="F30">
            <v>2549.5291535843371</v>
          </cell>
        </row>
        <row r="33">
          <cell r="F33">
            <v>1351.3428251496514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18.100000000000001</v>
          </cell>
        </row>
        <row r="18">
          <cell r="E18"/>
        </row>
        <row r="19">
          <cell r="E19"/>
        </row>
      </sheetData>
      <sheetData sheetId="29"/>
      <sheetData sheetId="30">
        <row r="12">
          <cell r="F12">
            <v>107.75179502811618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Пешков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Пешково, Убинский муниципальный район</v>
          </cell>
        </row>
        <row r="15">
          <cell r="D15" t="str">
            <v/>
          </cell>
          <cell r="E15"/>
        </row>
        <row r="16">
          <cell r="D16" t="str">
            <v>Код ОКТМО</v>
          </cell>
          <cell r="E16" t="str">
            <v>50654437101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915.61778343972514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3302.8666666666668</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514.72438199296039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43.697220000000002</v>
          </cell>
        </row>
        <row r="27">
          <cell r="F27">
            <v>1291.2863994686898</v>
          </cell>
        </row>
        <row r="28">
          <cell r="F28">
            <v>991.77142816335618</v>
          </cell>
        </row>
        <row r="29">
          <cell r="F29">
            <v>299.51497130533357</v>
          </cell>
        </row>
        <row r="30">
          <cell r="F30">
            <v>2547.887579290405</v>
          </cell>
        </row>
        <row r="33">
          <cell r="F33">
            <v>1351.3428251496514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12.46</v>
          </cell>
        </row>
        <row r="18">
          <cell r="E18"/>
        </row>
        <row r="19">
          <cell r="E19"/>
        </row>
      </sheetData>
      <sheetData sheetId="29"/>
      <sheetData sheetId="30">
        <row r="12">
          <cell r="F12">
            <v>107.71867673784378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Раисин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Раисино, Убинский муниципальный район</v>
          </cell>
        </row>
        <row r="15">
          <cell r="D15" t="str">
            <v/>
          </cell>
          <cell r="E15"/>
        </row>
        <row r="16">
          <cell r="D16" t="str">
            <v>Код ОКТМО</v>
          </cell>
          <cell r="E16" t="str">
            <v>50654434101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979.12868332044741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3531.9666666666667</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518.82369478495286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39.558959999999999</v>
          </cell>
        </row>
        <row r="27">
          <cell r="F27">
            <v>1291.2863994686898</v>
          </cell>
        </row>
        <row r="28">
          <cell r="F28">
            <v>991.77142816335618</v>
          </cell>
        </row>
        <row r="29">
          <cell r="F29">
            <v>299.51497130533357</v>
          </cell>
        </row>
        <row r="30">
          <cell r="F30">
            <v>2640.0966457164764</v>
          </cell>
        </row>
        <row r="33">
          <cell r="F33">
            <v>1443.8953415166516</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11.28</v>
          </cell>
        </row>
        <row r="18">
          <cell r="E18"/>
        </row>
        <row r="19">
          <cell r="E19"/>
        </row>
      </sheetData>
      <sheetData sheetId="29"/>
      <sheetData sheetId="30">
        <row r="12">
          <cell r="F12">
            <v>109.07088099129807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Убинский сс (газ)"/>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Убинское, Убинский муниципальный район</v>
          </cell>
        </row>
        <row r="15">
          <cell r="D15" t="str">
            <v/>
          </cell>
          <cell r="E15"/>
        </row>
        <row r="16">
          <cell r="D16" t="str">
            <v>Код ОКТМО</v>
          </cell>
          <cell r="E16" t="str">
            <v>50654440101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sheetData sheetId="12"/>
      <sheetData sheetId="13">
        <row r="12">
          <cell r="F12">
            <v>2047.6127299749555</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154.30126777094739</v>
          </cell>
        </row>
        <row r="29">
          <cell r="F29">
            <v>0.18591902000000002</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sheetData sheetId="21"/>
      <sheetData sheetId="22">
        <row r="12">
          <cell r="F12">
            <v>612.60035438878606</v>
          </cell>
        </row>
        <row r="14">
          <cell r="F14">
            <v>10265.909076890423</v>
          </cell>
        </row>
        <row r="15">
          <cell r="F15">
            <v>0.25</v>
          </cell>
        </row>
        <row r="18">
          <cell r="F18">
            <v>15</v>
          </cell>
        </row>
        <row r="19">
          <cell r="F19">
            <v>2924.0805304518653</v>
          </cell>
        </row>
        <row r="20">
          <cell r="F20">
            <v>2.1999999999999999E-2</v>
          </cell>
        </row>
        <row r="21">
          <cell r="F21">
            <v>10</v>
          </cell>
        </row>
        <row r="22">
          <cell r="F22">
            <v>0.4629038033128422</v>
          </cell>
        </row>
        <row r="23">
          <cell r="F23">
            <v>3.0000000000000001E-3</v>
          </cell>
        </row>
        <row r="24">
          <cell r="F24">
            <v>154.30126777094739</v>
          </cell>
        </row>
      </sheetData>
      <sheetData sheetId="23"/>
      <sheetData sheetId="24">
        <row r="12">
          <cell r="F12">
            <v>299.55046252176038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29.520959999999999</v>
          </cell>
        </row>
        <row r="27">
          <cell r="F27">
            <v>1296.7467102743137</v>
          </cell>
        </row>
        <row r="28">
          <cell r="F28">
            <v>995.96521526444985</v>
          </cell>
        </row>
        <row r="29">
          <cell r="F29">
            <v>300.78149500986387</v>
          </cell>
        </row>
        <row r="30">
          <cell r="F30">
            <v>838.67327331622312</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15.28</v>
          </cell>
        </row>
        <row r="18">
          <cell r="E18"/>
        </row>
        <row r="19">
          <cell r="E19"/>
        </row>
      </sheetData>
      <sheetData sheetId="28"/>
      <sheetData sheetId="29">
        <row r="12">
          <cell r="F12">
            <v>83.21655652153251</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Черномысенский сс"/>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Черный Мыс, Убинский муниципальный район</v>
          </cell>
        </row>
        <row r="15">
          <cell r="D15" t="str">
            <v/>
          </cell>
          <cell r="E15"/>
        </row>
        <row r="16">
          <cell r="D16" t="str">
            <v>Код ОКТМО</v>
          </cell>
          <cell r="E16" t="str">
            <v>50654443101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915.61778343972514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3302.8666666666668</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515.74905249872882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55.93665</v>
          </cell>
        </row>
        <row r="27">
          <cell r="F27">
            <v>1291.2863994686898</v>
          </cell>
        </row>
        <row r="28">
          <cell r="F28">
            <v>991.77142816335618</v>
          </cell>
        </row>
        <row r="29">
          <cell r="F29">
            <v>299.51497130533357</v>
          </cell>
        </row>
        <row r="30">
          <cell r="F30">
            <v>2548.9033761495934</v>
          </cell>
        </row>
        <row r="33">
          <cell r="F33">
            <v>1351.3428251496514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15.950000000000001</v>
          </cell>
        </row>
        <row r="18">
          <cell r="E18"/>
        </row>
        <row r="19">
          <cell r="E19"/>
        </row>
      </sheetData>
      <sheetData sheetId="29"/>
      <sheetData sheetId="30">
        <row r="12">
          <cell r="F12">
            <v>107.73917014795914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Убинский сс (уголь)"/>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Убинское, Убинский муниципальный район</v>
          </cell>
        </row>
        <row r="15">
          <cell r="D15" t="str">
            <v/>
          </cell>
          <cell r="E15"/>
        </row>
        <row r="16">
          <cell r="D16" t="str">
            <v>Код ОКТМО</v>
          </cell>
          <cell r="E16" t="str">
            <v>50654440101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875.99855119200265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3159.9500000000003</v>
          </cell>
        </row>
      </sheetData>
      <sheetData sheetId="9"/>
      <sheetData sheetId="10"/>
      <sheetData sheetId="11"/>
      <sheetData sheetId="12"/>
      <sheetData sheetId="13">
        <row r="12">
          <cell r="F12">
            <v>3044.269023973251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1296.3109177946333</v>
          </cell>
        </row>
        <row r="27">
          <cell r="F27">
            <v>0.18594487800000001</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sheetData sheetId="22"/>
      <sheetData sheetId="23">
        <row r="12">
          <cell r="F12">
            <v>911.32264748625244</v>
          </cell>
        </row>
        <row r="14">
          <cell r="F14">
            <v>14780.674721363519</v>
          </cell>
        </row>
        <row r="15">
          <cell r="F15">
            <v>0.25</v>
          </cell>
        </row>
        <row r="18">
          <cell r="F18">
            <v>15</v>
          </cell>
        </row>
        <row r="19">
          <cell r="F19">
            <v>4187.478806422544</v>
          </cell>
        </row>
        <row r="20">
          <cell r="F20">
            <v>2.1999999999999999E-2</v>
          </cell>
        </row>
        <row r="21">
          <cell r="F21">
            <v>10</v>
          </cell>
        </row>
        <row r="22">
          <cell r="F22">
            <v>3.8889327533838998</v>
          </cell>
        </row>
        <row r="23">
          <cell r="F23">
            <v>3.0000000000000001E-3</v>
          </cell>
        </row>
        <row r="24">
          <cell r="F24">
            <v>1296.3109177946333</v>
          </cell>
        </row>
      </sheetData>
      <sheetData sheetId="24"/>
      <sheetData sheetId="25">
        <row r="12">
          <cell r="F12">
            <v>512.77899299242983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53.586959999999998</v>
          </cell>
        </row>
        <row r="27">
          <cell r="F27">
            <v>1291.2863994686898</v>
          </cell>
        </row>
        <row r="28">
          <cell r="F28">
            <v>991.77142816335618</v>
          </cell>
        </row>
        <row r="29">
          <cell r="F29">
            <v>299.51497130533357</v>
          </cell>
        </row>
        <row r="30">
          <cell r="F30">
            <v>2490.9724557835789</v>
          </cell>
        </row>
        <row r="33">
          <cell r="F33">
            <v>1293.6069144958594</v>
          </cell>
        </row>
        <row r="35">
          <cell r="F35">
            <v>17.040680999999999</v>
          </cell>
        </row>
        <row r="36">
          <cell r="F36">
            <v>14319.9</v>
          </cell>
        </row>
        <row r="37">
          <cell r="F37">
            <v>1.19</v>
          </cell>
        </row>
      </sheetData>
      <sheetData sheetId="26"/>
      <sheetData sheetId="27">
        <row r="8">
          <cell r="F8" t="str">
            <v>нет</v>
          </cell>
        </row>
        <row r="15">
          <cell r="D15"/>
        </row>
        <row r="21">
          <cell r="D21"/>
        </row>
      </sheetData>
      <sheetData sheetId="28">
        <row r="11">
          <cell r="E11">
            <v>1871</v>
          </cell>
        </row>
        <row r="12">
          <cell r="E12">
            <v>1636</v>
          </cell>
        </row>
        <row r="13">
          <cell r="E13">
            <v>204</v>
          </cell>
        </row>
        <row r="16">
          <cell r="E16"/>
        </row>
        <row r="17">
          <cell r="E17">
            <v>15.28</v>
          </cell>
        </row>
        <row r="18">
          <cell r="E18"/>
        </row>
        <row r="19">
          <cell r="E19"/>
        </row>
      </sheetData>
      <sheetData sheetId="29"/>
      <sheetData sheetId="30">
        <row r="12">
          <cell r="F12">
            <v>106.88738431287874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[5]И1!D13</f>
        <v>Субъект Российской Федерации</v>
      </c>
      <c r="C4" s="8" t="str">
        <f>[5]И1!E13</f>
        <v>Новосибирская область</v>
      </c>
    </row>
    <row r="5" spans="1:3" ht="46.9" customHeight="1">
      <c r="A5" s="6"/>
      <c r="B5" s="7" t="str">
        <f>[5]И1!D14</f>
        <v>Тип муниципального образования (выберите из списка)</v>
      </c>
      <c r="C5" s="8" t="str">
        <f>[5]И1!E14</f>
        <v>село Борисоглебка, Убинский муниципальный район</v>
      </c>
    </row>
    <row r="6" spans="1:3">
      <c r="A6" s="6"/>
      <c r="B6" s="7" t="str">
        <f>IF([5]И1!E15="","",[5]И1!D15)</f>
        <v/>
      </c>
      <c r="C6" s="8" t="str">
        <f>IF([5]И1!E15="","",[5]И1!E15)</f>
        <v/>
      </c>
    </row>
    <row r="7" spans="1:3">
      <c r="A7" s="6"/>
      <c r="B7" s="7" t="str">
        <f>[5]И1!D16</f>
        <v>Код ОКТМО</v>
      </c>
      <c r="C7" s="9" t="str">
        <f>[5]И1!E16</f>
        <v>50654401101</v>
      </c>
    </row>
    <row r="8" spans="1:3">
      <c r="A8" s="6"/>
      <c r="B8" s="10" t="str">
        <f>[5]И1!D17</f>
        <v>Система теплоснабжения</v>
      </c>
      <c r="C8" s="11">
        <f>[5]И1!E17</f>
        <v>0</v>
      </c>
    </row>
    <row r="9" spans="1:3">
      <c r="A9" s="6"/>
      <c r="B9" s="7" t="str">
        <f>[5]И1!D8</f>
        <v>Период регулирования (i)-й</v>
      </c>
      <c r="C9" s="12">
        <f>[5]И1!E8</f>
        <v>2025</v>
      </c>
    </row>
    <row r="10" spans="1:3">
      <c r="A10" s="6"/>
      <c r="B10" s="7" t="str">
        <f>[5]И1!D9</f>
        <v>Период регулирования (i-1)-й</v>
      </c>
      <c r="C10" s="12">
        <f>[5]И1!E9</f>
        <v>2024</v>
      </c>
    </row>
    <row r="11" spans="1:3">
      <c r="A11" s="6"/>
      <c r="B11" s="7" t="str">
        <f>[5]И1!D10</f>
        <v>Период регулирования (i-2)-й</v>
      </c>
      <c r="C11" s="12">
        <f>[5]И1!E10</f>
        <v>2023</v>
      </c>
    </row>
    <row r="12" spans="1:3">
      <c r="A12" s="6"/>
      <c r="B12" s="7" t="str">
        <f>[5]И1!D11</f>
        <v>Базовый год (б)</v>
      </c>
      <c r="C12" s="12">
        <f>[5]И1!E11</f>
        <v>2019</v>
      </c>
    </row>
    <row r="13" spans="1:3" ht="38.25">
      <c r="A13" s="6"/>
      <c r="B13" s="7" t="str">
        <f>[5]И1!D18</f>
        <v>Вид топлива, использование которого преобладает в системе теплоснабжения</v>
      </c>
      <c r="C13" s="13" t="str">
        <f>[5]С1.1!E13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5596.4825904030204</v>
      </c>
    </row>
    <row r="18" spans="1:3" ht="42.75">
      <c r="A18" s="16" t="s">
        <v>7</v>
      </c>
      <c r="B18" s="19" t="s">
        <v>8</v>
      </c>
      <c r="C18" s="20">
        <f>[5]С1!F12</f>
        <v>1009.0775886766846</v>
      </c>
    </row>
    <row r="19" spans="1:3" ht="42.75">
      <c r="A19" s="16" t="s">
        <v>9</v>
      </c>
      <c r="B19" s="19" t="s">
        <v>10</v>
      </c>
      <c r="C19" s="20">
        <f>[5]С2!F12</f>
        <v>3044.269023973251</v>
      </c>
    </row>
    <row r="20" spans="1:3" ht="30">
      <c r="A20" s="16" t="s">
        <v>11</v>
      </c>
      <c r="B20" s="19" t="s">
        <v>12</v>
      </c>
      <c r="C20" s="20">
        <f>[5]С3!F12</f>
        <v>911.32264748625244</v>
      </c>
    </row>
    <row r="21" spans="1:3" ht="42.75">
      <c r="A21" s="16" t="s">
        <v>13</v>
      </c>
      <c r="B21" s="19" t="s">
        <v>226</v>
      </c>
      <c r="C21" s="20">
        <f>[5]С4!F12</f>
        <v>522.07837751383113</v>
      </c>
    </row>
    <row r="22" spans="1:3" ht="30">
      <c r="A22" s="16" t="s">
        <v>14</v>
      </c>
      <c r="B22" s="19" t="s">
        <v>227</v>
      </c>
      <c r="C22" s="20">
        <f>[5]С5!F12</f>
        <v>109.7349527530004</v>
      </c>
    </row>
    <row r="23" spans="1:3" ht="43.5" thickBot="1">
      <c r="A23" s="21" t="s">
        <v>15</v>
      </c>
      <c r="B23" s="140" t="s">
        <v>228</v>
      </c>
      <c r="C23" s="22" t="str">
        <f>[5]С6!F12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[5]С1.1!E16</f>
        <v>5100</v>
      </c>
    </row>
    <row r="29" spans="1:3" ht="42.75">
      <c r="A29" s="16" t="s">
        <v>9</v>
      </c>
      <c r="B29" s="27" t="s">
        <v>230</v>
      </c>
      <c r="C29" s="28">
        <f>[5]С1.1!E27</f>
        <v>3640</v>
      </c>
    </row>
    <row r="30" spans="1:3" ht="17.25">
      <c r="A30" s="16" t="s">
        <v>11</v>
      </c>
      <c r="B30" s="27" t="s">
        <v>17</v>
      </c>
      <c r="C30" s="29">
        <f>[5]С1.1!E19</f>
        <v>1.4E-2</v>
      </c>
    </row>
    <row r="31" spans="1:3" ht="17.25">
      <c r="A31" s="16" t="s">
        <v>13</v>
      </c>
      <c r="B31" s="27" t="s">
        <v>18</v>
      </c>
      <c r="C31" s="29">
        <f>[5]С1.1!E20</f>
        <v>0.04</v>
      </c>
    </row>
    <row r="32" spans="1:3" ht="30">
      <c r="A32" s="16" t="s">
        <v>14</v>
      </c>
      <c r="B32" s="30" t="s">
        <v>231</v>
      </c>
      <c r="C32" s="117">
        <f>[5]С1!F13</f>
        <v>176.4</v>
      </c>
    </row>
    <row r="33" spans="1:3">
      <c r="A33" s="16" t="s">
        <v>15</v>
      </c>
      <c r="B33" s="30" t="s">
        <v>19</v>
      </c>
      <c r="C33" s="31">
        <f>[5]С1!F16</f>
        <v>7000</v>
      </c>
    </row>
    <row r="34" spans="1:3" ht="14.25">
      <c r="A34" s="16" t="s">
        <v>20</v>
      </c>
      <c r="B34" s="32" t="s">
        <v>232</v>
      </c>
      <c r="C34" s="33">
        <f>[5]С1!F17</f>
        <v>0.72857142857142854</v>
      </c>
    </row>
    <row r="35" spans="1:3" ht="15.75">
      <c r="A35" s="118" t="s">
        <v>21</v>
      </c>
      <c r="B35" s="34" t="s">
        <v>22</v>
      </c>
      <c r="C35" s="33">
        <f>[5]С1!F20</f>
        <v>21.588411179999994</v>
      </c>
    </row>
    <row r="36" spans="1:3" ht="15.75">
      <c r="A36" s="118" t="s">
        <v>23</v>
      </c>
      <c r="B36" s="35" t="s">
        <v>24</v>
      </c>
      <c r="C36" s="33">
        <f>[5]С1!F21</f>
        <v>20.818139999999996</v>
      </c>
    </row>
    <row r="37" spans="1:3" ht="14.25">
      <c r="A37" s="118" t="s">
        <v>25</v>
      </c>
      <c r="B37" s="36" t="s">
        <v>26</v>
      </c>
      <c r="C37" s="33">
        <f>[5]С1!F22</f>
        <v>1.0369999999999999</v>
      </c>
    </row>
    <row r="38" spans="1:3" ht="53.25" thickBot="1">
      <c r="A38" s="21" t="s">
        <v>27</v>
      </c>
      <c r="B38" s="37" t="s">
        <v>28</v>
      </c>
      <c r="C38" s="38">
        <f>[5]С1!F23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[5]С2.1!E12</f>
        <v>V</v>
      </c>
    </row>
    <row r="42" spans="1:3" ht="25.5">
      <c r="A42" s="16" t="s">
        <v>33</v>
      </c>
      <c r="B42" s="27" t="s">
        <v>34</v>
      </c>
      <c r="C42" s="41" t="str">
        <f>[5]С2.1!E13</f>
        <v>6 и менее баллов</v>
      </c>
    </row>
    <row r="43" spans="1:3" ht="25.5">
      <c r="A43" s="16" t="s">
        <v>35</v>
      </c>
      <c r="B43" s="27" t="s">
        <v>233</v>
      </c>
      <c r="C43" s="41" t="str">
        <f>[5]С2.1!E14</f>
        <v>от 200 до 500</v>
      </c>
    </row>
    <row r="44" spans="1:3" ht="25.5">
      <c r="A44" s="16" t="s">
        <v>36</v>
      </c>
      <c r="B44" s="27" t="s">
        <v>234</v>
      </c>
      <c r="C44" s="42" t="str">
        <f>[5]С2.1!E15</f>
        <v>нет</v>
      </c>
    </row>
    <row r="45" spans="1:3" ht="30">
      <c r="A45" s="16" t="s">
        <v>37</v>
      </c>
      <c r="B45" s="27" t="s">
        <v>38</v>
      </c>
      <c r="C45" s="28">
        <f>[5]С2!F18</f>
        <v>38910.02669467502</v>
      </c>
    </row>
    <row r="46" spans="1:3" ht="30">
      <c r="A46" s="16" t="s">
        <v>39</v>
      </c>
      <c r="B46" s="43" t="s">
        <v>40</v>
      </c>
      <c r="C46" s="28">
        <f>IF([5]С2!F19&gt;0,[5]С2!F19,[5]С2!F20)</f>
        <v>23441.524932855718</v>
      </c>
    </row>
    <row r="47" spans="1:3" ht="25.5">
      <c r="A47" s="16" t="s">
        <v>41</v>
      </c>
      <c r="B47" s="44" t="s">
        <v>42</v>
      </c>
      <c r="C47" s="28">
        <f>[5]С2.1!E19</f>
        <v>-38</v>
      </c>
    </row>
    <row r="48" spans="1:3" ht="25.5">
      <c r="A48" s="16" t="s">
        <v>43</v>
      </c>
      <c r="B48" s="44" t="s">
        <v>44</v>
      </c>
      <c r="C48" s="28" t="str">
        <f>[5]С2.1!E22</f>
        <v>нет</v>
      </c>
    </row>
    <row r="49" spans="1:3" ht="38.25">
      <c r="A49" s="16" t="s">
        <v>45</v>
      </c>
      <c r="B49" s="45" t="s">
        <v>46</v>
      </c>
      <c r="C49" s="28">
        <f>[5]С2.2!E10</f>
        <v>1287</v>
      </c>
    </row>
    <row r="50" spans="1:3" ht="25.5">
      <c r="A50" s="16" t="s">
        <v>47</v>
      </c>
      <c r="B50" s="46" t="s">
        <v>48</v>
      </c>
      <c r="C50" s="28">
        <f>[5]С2.2!E12</f>
        <v>5.97</v>
      </c>
    </row>
    <row r="51" spans="1:3" ht="52.5">
      <c r="A51" s="16" t="s">
        <v>49</v>
      </c>
      <c r="B51" s="47" t="s">
        <v>50</v>
      </c>
      <c r="C51" s="28">
        <f>[5]С2.2!E13</f>
        <v>1</v>
      </c>
    </row>
    <row r="52" spans="1:3" ht="27.75">
      <c r="A52" s="16" t="s">
        <v>51</v>
      </c>
      <c r="B52" s="46" t="s">
        <v>52</v>
      </c>
      <c r="C52" s="28">
        <f>[5]С2.2!E14</f>
        <v>12104</v>
      </c>
    </row>
    <row r="53" spans="1:3" ht="25.5">
      <c r="A53" s="16" t="s">
        <v>53</v>
      </c>
      <c r="B53" s="47" t="s">
        <v>54</v>
      </c>
      <c r="C53" s="29">
        <f>[5]С2.2!E15</f>
        <v>4.8000000000000001E-2</v>
      </c>
    </row>
    <row r="54" spans="1:3">
      <c r="A54" s="16" t="s">
        <v>55</v>
      </c>
      <c r="B54" s="47" t="s">
        <v>56</v>
      </c>
      <c r="C54" s="28">
        <f>[5]С2.2!E16</f>
        <v>1</v>
      </c>
    </row>
    <row r="55" spans="1:3" ht="15.75">
      <c r="A55" s="16" t="s">
        <v>57</v>
      </c>
      <c r="B55" s="48" t="s">
        <v>58</v>
      </c>
      <c r="C55" s="28">
        <f>[5]С2!F21</f>
        <v>1</v>
      </c>
    </row>
    <row r="56" spans="1:3" ht="30">
      <c r="A56" s="49" t="s">
        <v>59</v>
      </c>
      <c r="B56" s="27" t="s">
        <v>235</v>
      </c>
      <c r="C56" s="28">
        <f>[5]С2!F13</f>
        <v>203708.97017230222</v>
      </c>
    </row>
    <row r="57" spans="1:3" ht="30">
      <c r="A57" s="49" t="s">
        <v>60</v>
      </c>
      <c r="B57" s="48" t="s">
        <v>236</v>
      </c>
      <c r="C57" s="28">
        <f>[5]С2!F14</f>
        <v>113455</v>
      </c>
    </row>
    <row r="58" spans="1:3" ht="15.75">
      <c r="A58" s="49" t="s">
        <v>61</v>
      </c>
      <c r="B58" s="50" t="s">
        <v>62</v>
      </c>
      <c r="C58" s="33">
        <f>[5]С2!F15</f>
        <v>1.071</v>
      </c>
    </row>
    <row r="59" spans="1:3" ht="15.75">
      <c r="A59" s="49" t="s">
        <v>63</v>
      </c>
      <c r="B59" s="50" t="s">
        <v>64</v>
      </c>
      <c r="C59" s="33">
        <f>[5]С2!F16</f>
        <v>1</v>
      </c>
    </row>
    <row r="60" spans="1:3" ht="17.25">
      <c r="A60" s="49" t="s">
        <v>65</v>
      </c>
      <c r="B60" s="48" t="s">
        <v>66</v>
      </c>
      <c r="C60" s="28">
        <f>[5]С2!F17</f>
        <v>1.01</v>
      </c>
    </row>
    <row r="61" spans="1:3" s="53" customFormat="1" ht="14.25">
      <c r="A61" s="49" t="s">
        <v>67</v>
      </c>
      <c r="B61" s="51" t="s">
        <v>68</v>
      </c>
      <c r="C61" s="52">
        <f>[5]С2!F33</f>
        <v>10</v>
      </c>
    </row>
    <row r="62" spans="1:3" ht="30">
      <c r="A62" s="49" t="s">
        <v>69</v>
      </c>
      <c r="B62" s="54" t="s">
        <v>70</v>
      </c>
      <c r="C62" s="28">
        <f>[5]С2!F26</f>
        <v>1296.3109177946333</v>
      </c>
    </row>
    <row r="63" spans="1:3" ht="17.25">
      <c r="A63" s="49" t="s">
        <v>71</v>
      </c>
      <c r="B63" s="43" t="s">
        <v>237</v>
      </c>
      <c r="C63" s="28">
        <f>[5]С2!F27</f>
        <v>0.18594487800000001</v>
      </c>
    </row>
    <row r="64" spans="1:3" ht="17.25">
      <c r="A64" s="49" t="s">
        <v>72</v>
      </c>
      <c r="B64" s="48" t="s">
        <v>238</v>
      </c>
      <c r="C64" s="52">
        <f>[5]С2!F28</f>
        <v>4200</v>
      </c>
    </row>
    <row r="65" spans="1:3" ht="42.75">
      <c r="A65" s="49" t="s">
        <v>73</v>
      </c>
      <c r="B65" s="27" t="s">
        <v>239</v>
      </c>
      <c r="C65" s="28">
        <f>[5]С2!F22</f>
        <v>42890.921752741691</v>
      </c>
    </row>
    <row r="66" spans="1:3" ht="30">
      <c r="A66" s="49" t="s">
        <v>74</v>
      </c>
      <c r="B66" s="50" t="s">
        <v>240</v>
      </c>
      <c r="C66" s="28">
        <f>[5]С2!F23</f>
        <v>1990</v>
      </c>
    </row>
    <row r="67" spans="1:3" ht="30">
      <c r="A67" s="49" t="s">
        <v>75</v>
      </c>
      <c r="B67" s="43" t="s">
        <v>76</v>
      </c>
      <c r="C67" s="28">
        <f>[5]С2.1!E27</f>
        <v>14307.876789999998</v>
      </c>
    </row>
    <row r="68" spans="1:3" ht="38.25">
      <c r="A68" s="49" t="s">
        <v>77</v>
      </c>
      <c r="B68" s="55" t="s">
        <v>78</v>
      </c>
      <c r="C68" s="42">
        <f>[5]С2.3!E21</f>
        <v>0</v>
      </c>
    </row>
    <row r="69" spans="1:3" ht="25.5">
      <c r="A69" s="49" t="s">
        <v>79</v>
      </c>
      <c r="B69" s="56" t="s">
        <v>80</v>
      </c>
      <c r="C69" s="57">
        <f>[5]С2.3!E11</f>
        <v>9.89</v>
      </c>
    </row>
    <row r="70" spans="1:3" ht="25.5">
      <c r="A70" s="49" t="s">
        <v>81</v>
      </c>
      <c r="B70" s="56" t="s">
        <v>82</v>
      </c>
      <c r="C70" s="52">
        <f>[5]С2.3!E13</f>
        <v>300</v>
      </c>
    </row>
    <row r="71" spans="1:3" ht="25.5">
      <c r="A71" s="49" t="s">
        <v>83</v>
      </c>
      <c r="B71" s="55" t="s">
        <v>84</v>
      </c>
      <c r="C71" s="58">
        <f>IF([5]С2.3!E22&gt;0,[5]С2.3!E22,[5]С2.3!E14)</f>
        <v>61211</v>
      </c>
    </row>
    <row r="72" spans="1:3" ht="38.25">
      <c r="A72" s="49" t="s">
        <v>85</v>
      </c>
      <c r="B72" s="55" t="s">
        <v>86</v>
      </c>
      <c r="C72" s="58">
        <f>IF([5]С2.3!E23&gt;0,[5]С2.3!E23,[5]С2.3!E15)</f>
        <v>45675</v>
      </c>
    </row>
    <row r="73" spans="1:3" ht="30">
      <c r="A73" s="49" t="s">
        <v>87</v>
      </c>
      <c r="B73" s="43" t="s">
        <v>88</v>
      </c>
      <c r="C73" s="28">
        <f>[5]С2.1!E28</f>
        <v>9541.9567200000001</v>
      </c>
    </row>
    <row r="74" spans="1:3" ht="38.25">
      <c r="A74" s="49" t="s">
        <v>89</v>
      </c>
      <c r="B74" s="55" t="s">
        <v>90</v>
      </c>
      <c r="C74" s="42">
        <f>[5]С2.3!E25</f>
        <v>0</v>
      </c>
    </row>
    <row r="75" spans="1:3" ht="25.5">
      <c r="A75" s="49" t="s">
        <v>91</v>
      </c>
      <c r="B75" s="56" t="s">
        <v>92</v>
      </c>
      <c r="C75" s="57">
        <f>[5]С2.3!E12</f>
        <v>0.56000000000000005</v>
      </c>
    </row>
    <row r="76" spans="1:3" ht="25.5">
      <c r="A76" s="49" t="s">
        <v>93</v>
      </c>
      <c r="B76" s="56" t="s">
        <v>82</v>
      </c>
      <c r="C76" s="52">
        <f>[5]С2.3!E13</f>
        <v>300</v>
      </c>
    </row>
    <row r="77" spans="1:3" ht="25.5">
      <c r="A77" s="49" t="s">
        <v>94</v>
      </c>
      <c r="B77" s="59" t="s">
        <v>95</v>
      </c>
      <c r="C77" s="58">
        <f>IF([5]С2.3!E26&gt;0,[5]С2.3!E26,[5]С2.3!E16)</f>
        <v>65637</v>
      </c>
    </row>
    <row r="78" spans="1:3" ht="38.25">
      <c r="A78" s="49" t="s">
        <v>96</v>
      </c>
      <c r="B78" s="59" t="s">
        <v>97</v>
      </c>
      <c r="C78" s="58">
        <f>IF([5]С2.3!E27&gt;0,[5]С2.3!E27,[5]С2.3!E17)</f>
        <v>31684</v>
      </c>
    </row>
    <row r="79" spans="1:3" ht="17.25">
      <c r="A79" s="49" t="s">
        <v>98</v>
      </c>
      <c r="B79" s="27" t="s">
        <v>99</v>
      </c>
      <c r="C79" s="29">
        <f>[5]С2!F29</f>
        <v>0.17804631770487722</v>
      </c>
    </row>
    <row r="80" spans="1:3" ht="30">
      <c r="A80" s="49" t="s">
        <v>100</v>
      </c>
      <c r="B80" s="43" t="s">
        <v>101</v>
      </c>
      <c r="C80" s="60">
        <f>[5]С2!F30</f>
        <v>0.1652189781021898</v>
      </c>
    </row>
    <row r="81" spans="1:3" ht="17.25">
      <c r="A81" s="49" t="s">
        <v>102</v>
      </c>
      <c r="B81" s="61" t="s">
        <v>103</v>
      </c>
      <c r="C81" s="29">
        <f>[5]С2!F31</f>
        <v>0.13880000000000001</v>
      </c>
    </row>
    <row r="82" spans="1:3" s="53" customFormat="1" ht="18" thickBot="1">
      <c r="A82" s="62" t="s">
        <v>104</v>
      </c>
      <c r="B82" s="63" t="s">
        <v>105</v>
      </c>
      <c r="C82" s="64">
        <f>[5]С2!F32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[5]С3!F14</f>
        <v>14780.674721363519</v>
      </c>
    </row>
    <row r="86" spans="1:3" s="53" customFormat="1" ht="42.75">
      <c r="A86" s="67" t="s">
        <v>110</v>
      </c>
      <c r="B86" s="43" t="s">
        <v>111</v>
      </c>
      <c r="C86" s="68">
        <f>[5]С3!F15</f>
        <v>0.25</v>
      </c>
    </row>
    <row r="87" spans="1:3" s="53" customFormat="1" ht="14.25">
      <c r="A87" s="67" t="s">
        <v>112</v>
      </c>
      <c r="B87" s="69" t="s">
        <v>113</v>
      </c>
      <c r="C87" s="52">
        <f>[5]С3!F18</f>
        <v>15</v>
      </c>
    </row>
    <row r="88" spans="1:3" s="53" customFormat="1" ht="17.25">
      <c r="A88" s="67" t="s">
        <v>114</v>
      </c>
      <c r="B88" s="27" t="s">
        <v>115</v>
      </c>
      <c r="C88" s="28">
        <f>[5]С3!F19</f>
        <v>4187.478806422544</v>
      </c>
    </row>
    <row r="89" spans="1:3" s="53" customFormat="1" ht="55.5">
      <c r="A89" s="67" t="s">
        <v>116</v>
      </c>
      <c r="B89" s="43" t="s">
        <v>117</v>
      </c>
      <c r="C89" s="70">
        <f>[5]С3!F20</f>
        <v>2.1999999999999999E-2</v>
      </c>
    </row>
    <row r="90" spans="1:3" s="53" customFormat="1" ht="14.25">
      <c r="A90" s="67" t="s">
        <v>118</v>
      </c>
      <c r="B90" s="48" t="s">
        <v>68</v>
      </c>
      <c r="C90" s="52">
        <f>[5]С3!F21</f>
        <v>10</v>
      </c>
    </row>
    <row r="91" spans="1:3" s="53" customFormat="1" ht="17.25">
      <c r="A91" s="67" t="s">
        <v>119</v>
      </c>
      <c r="B91" s="27" t="s">
        <v>120</v>
      </c>
      <c r="C91" s="28">
        <f>[5]С3!F22</f>
        <v>3.8889327533838998</v>
      </c>
    </row>
    <row r="92" spans="1:3" s="53" customFormat="1" ht="55.5">
      <c r="A92" s="67" t="s">
        <v>121</v>
      </c>
      <c r="B92" s="43" t="s">
        <v>122</v>
      </c>
      <c r="C92" s="70">
        <f>[5]С3!F23</f>
        <v>3.0000000000000001E-3</v>
      </c>
    </row>
    <row r="93" spans="1:3" s="53" customFormat="1" ht="27.75" thickBot="1">
      <c r="A93" s="71" t="s">
        <v>123</v>
      </c>
      <c r="B93" s="72" t="s">
        <v>241</v>
      </c>
      <c r="C93" s="73">
        <f>[5]С3!F24</f>
        <v>1296.3109177946333</v>
      </c>
    </row>
    <row r="94" spans="1:3" ht="13.5" thickBot="1">
      <c r="A94" s="39"/>
      <c r="B94" s="65"/>
      <c r="C94" s="13"/>
    </row>
    <row r="95" spans="1:3" ht="30" customHeight="1">
      <c r="A95" s="74" t="s">
        <v>124</v>
      </c>
      <c r="B95" s="141" t="s">
        <v>125</v>
      </c>
      <c r="C95" s="141"/>
    </row>
    <row r="96" spans="1:3" ht="30">
      <c r="A96" s="49" t="s">
        <v>126</v>
      </c>
      <c r="B96" s="27" t="s">
        <v>242</v>
      </c>
      <c r="C96" s="28">
        <f>[5]С4!F16</f>
        <v>1652.5</v>
      </c>
    </row>
    <row r="97" spans="1:3" ht="30">
      <c r="A97" s="49" t="s">
        <v>127</v>
      </c>
      <c r="B97" s="48" t="s">
        <v>243</v>
      </c>
      <c r="C97" s="28">
        <f>[5]С4!F17</f>
        <v>73547</v>
      </c>
    </row>
    <row r="98" spans="1:3" ht="17.25">
      <c r="A98" s="49" t="s">
        <v>128</v>
      </c>
      <c r="B98" s="48" t="s">
        <v>129</v>
      </c>
      <c r="C98" s="33">
        <f>[5]С4!F18</f>
        <v>0.02</v>
      </c>
    </row>
    <row r="99" spans="1:3" ht="30">
      <c r="A99" s="49" t="s">
        <v>130</v>
      </c>
      <c r="B99" s="48" t="s">
        <v>131</v>
      </c>
      <c r="C99" s="28">
        <f>[5]С4!F19</f>
        <v>12104</v>
      </c>
    </row>
    <row r="100" spans="1:3" ht="31.5">
      <c r="A100" s="49" t="s">
        <v>132</v>
      </c>
      <c r="B100" s="48" t="s">
        <v>133</v>
      </c>
      <c r="C100" s="33">
        <f>[5]С4!F20</f>
        <v>1.4999999999999999E-2</v>
      </c>
    </row>
    <row r="101" spans="1:3" ht="30">
      <c r="A101" s="49" t="s">
        <v>134</v>
      </c>
      <c r="B101" s="27" t="s">
        <v>244</v>
      </c>
      <c r="C101" s="28">
        <f>[5]С4!F21</f>
        <v>1933.1949342509995</v>
      </c>
    </row>
    <row r="102" spans="1:3" ht="24" customHeight="1">
      <c r="A102" s="49" t="s">
        <v>135</v>
      </c>
      <c r="B102" s="43" t="s">
        <v>136</v>
      </c>
      <c r="C102" s="75">
        <f>IF([5]С4.2!F8="да",[5]С4.2!D21,[5]С4.2!D15)</f>
        <v>0</v>
      </c>
    </row>
    <row r="103" spans="1:3" ht="68.25">
      <c r="A103" s="49" t="s">
        <v>137</v>
      </c>
      <c r="B103" s="43" t="s">
        <v>138</v>
      </c>
      <c r="C103" s="28">
        <f>[5]С4!F22</f>
        <v>3.6112641666666665</v>
      </c>
    </row>
    <row r="104" spans="1:3" ht="30">
      <c r="A104" s="49" t="s">
        <v>139</v>
      </c>
      <c r="B104" s="48" t="s">
        <v>245</v>
      </c>
      <c r="C104" s="28">
        <f>[5]С4!F23</f>
        <v>180</v>
      </c>
    </row>
    <row r="105" spans="1:3" ht="14.25">
      <c r="A105" s="49" t="s">
        <v>140</v>
      </c>
      <c r="B105" s="43" t="s">
        <v>141</v>
      </c>
      <c r="C105" s="28">
        <f>[5]С4!F24</f>
        <v>8497.1999999999989</v>
      </c>
    </row>
    <row r="106" spans="1:3" ht="14.25">
      <c r="A106" s="49" t="s">
        <v>142</v>
      </c>
      <c r="B106" s="48" t="s">
        <v>143</v>
      </c>
      <c r="C106" s="33">
        <f>[5]С4!F25</f>
        <v>0.35</v>
      </c>
    </row>
    <row r="107" spans="1:3" ht="17.25">
      <c r="A107" s="49" t="s">
        <v>144</v>
      </c>
      <c r="B107" s="27" t="s">
        <v>145</v>
      </c>
      <c r="C107" s="28">
        <f>[5]С4!F26</f>
        <v>53.394074999999994</v>
      </c>
    </row>
    <row r="108" spans="1:3" ht="25.5">
      <c r="A108" s="49" t="s">
        <v>146</v>
      </c>
      <c r="B108" s="43" t="s">
        <v>78</v>
      </c>
      <c r="C108" s="75">
        <f>[5]С4.3!E16</f>
        <v>0</v>
      </c>
    </row>
    <row r="109" spans="1:3" ht="25.5">
      <c r="A109" s="49" t="s">
        <v>147</v>
      </c>
      <c r="B109" s="43" t="s">
        <v>148</v>
      </c>
      <c r="C109" s="28">
        <f>[5]С4.3!E17</f>
        <v>15.225</v>
      </c>
    </row>
    <row r="110" spans="1:3" ht="38.25">
      <c r="A110" s="49" t="s">
        <v>149</v>
      </c>
      <c r="B110" s="43" t="s">
        <v>90</v>
      </c>
      <c r="C110" s="75">
        <f>[5]С4.3!E18</f>
        <v>0</v>
      </c>
    </row>
    <row r="111" spans="1:3">
      <c r="A111" s="49" t="s">
        <v>150</v>
      </c>
      <c r="B111" s="43" t="s">
        <v>151</v>
      </c>
      <c r="C111" s="28">
        <f>[5]С4.3!E19</f>
        <v>0</v>
      </c>
    </row>
    <row r="112" spans="1:3">
      <c r="A112" s="49" t="s">
        <v>152</v>
      </c>
      <c r="B112" s="48" t="s">
        <v>153</v>
      </c>
      <c r="C112" s="28">
        <f>[5]С4.3!E11</f>
        <v>1871</v>
      </c>
    </row>
    <row r="113" spans="1:3">
      <c r="A113" s="49" t="s">
        <v>154</v>
      </c>
      <c r="B113" s="48" t="s">
        <v>155</v>
      </c>
      <c r="C113" s="42">
        <f>[5]С4.3!E12</f>
        <v>1636</v>
      </c>
    </row>
    <row r="114" spans="1:3">
      <c r="A114" s="49" t="s">
        <v>156</v>
      </c>
      <c r="B114" s="48" t="s">
        <v>157</v>
      </c>
      <c r="C114" s="42">
        <f>[5]С4.3!E13</f>
        <v>204</v>
      </c>
    </row>
    <row r="115" spans="1:3" ht="30">
      <c r="A115" s="49" t="s">
        <v>158</v>
      </c>
      <c r="B115" s="27" t="s">
        <v>246</v>
      </c>
      <c r="C115" s="28">
        <f>[5]С4!F27</f>
        <v>1291.2863994686898</v>
      </c>
    </row>
    <row r="116" spans="1:3" ht="25.5">
      <c r="A116" s="49" t="s">
        <v>159</v>
      </c>
      <c r="B116" s="43" t="s">
        <v>247</v>
      </c>
      <c r="C116" s="28">
        <f>[5]С4!F28</f>
        <v>991.77142816335618</v>
      </c>
    </row>
    <row r="117" spans="1:3" ht="42.75">
      <c r="A117" s="49" t="s">
        <v>160</v>
      </c>
      <c r="B117" s="43" t="s">
        <v>161</v>
      </c>
      <c r="C117" s="28">
        <f>[5]С4!F29</f>
        <v>299.51497130533357</v>
      </c>
    </row>
    <row r="118" spans="1:3" ht="30">
      <c r="A118" s="49" t="s">
        <v>162</v>
      </c>
      <c r="B118" s="32" t="s">
        <v>163</v>
      </c>
      <c r="C118" s="28">
        <f>[5]С4!F30</f>
        <v>2684.8885098631154</v>
      </c>
    </row>
    <row r="119" spans="1:3" ht="42.75">
      <c r="A119" s="49" t="s">
        <v>248</v>
      </c>
      <c r="B119" s="76" t="s">
        <v>249</v>
      </c>
      <c r="C119" s="28">
        <f>[5]С4!F33</f>
        <v>1487.5389768353543</v>
      </c>
    </row>
    <row r="120" spans="1:3" ht="30">
      <c r="A120" s="49" t="s">
        <v>250</v>
      </c>
      <c r="B120" s="121" t="s">
        <v>251</v>
      </c>
      <c r="C120" s="28">
        <f>[5]С4!F35</f>
        <v>17.040680999999999</v>
      </c>
    </row>
    <row r="121" spans="1:3" ht="14.25">
      <c r="A121" s="49" t="s">
        <v>252</v>
      </c>
      <c r="B121" s="46" t="s">
        <v>253</v>
      </c>
      <c r="C121" s="28">
        <f>[5]С4!F36</f>
        <v>14319.9</v>
      </c>
    </row>
    <row r="122" spans="1:3" ht="28.5" thickBot="1">
      <c r="A122" s="62" t="s">
        <v>254</v>
      </c>
      <c r="B122" s="122" t="s">
        <v>255</v>
      </c>
      <c r="C122" s="73">
        <f>[5]С4!F37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[5]С5!F17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[5]С2!F37</f>
        <v>20.818139999999996</v>
      </c>
    </row>
    <row r="136" spans="1:3" ht="14.25">
      <c r="A136" s="49" t="s">
        <v>183</v>
      </c>
      <c r="B136" s="128" t="s">
        <v>184</v>
      </c>
      <c r="C136" s="28">
        <f>[5]С2!F38</f>
        <v>7</v>
      </c>
    </row>
    <row r="137" spans="1:3" ht="17.25">
      <c r="A137" s="49" t="s">
        <v>185</v>
      </c>
      <c r="B137" s="128" t="s">
        <v>186</v>
      </c>
      <c r="C137" s="28">
        <f>[5]С2!F40</f>
        <v>0.97</v>
      </c>
    </row>
    <row r="138" spans="1:3" ht="15" thickBot="1">
      <c r="A138" s="62" t="s">
        <v>187</v>
      </c>
      <c r="B138" s="129" t="s">
        <v>188</v>
      </c>
      <c r="C138" s="38">
        <f>[5]С2!F42</f>
        <v>0.35</v>
      </c>
    </row>
    <row r="139" spans="1:3" s="77" customFormat="1" ht="13.5" thickBot="1">
      <c r="A139" s="39"/>
      <c r="B139" s="65"/>
      <c r="C139" s="13"/>
    </row>
    <row r="140" spans="1:3" ht="30">
      <c r="A140" s="74" t="s">
        <v>189</v>
      </c>
      <c r="B140" s="84" t="s">
        <v>258</v>
      </c>
      <c r="C140" s="130">
        <f>[5]С2!F35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[5]С2.5!$E$11</f>
        <v>-2.9000000000000026E-2</v>
      </c>
    </row>
    <row r="144" spans="1:3">
      <c r="A144" s="85"/>
      <c r="B144" s="86">
        <f>B143+1</f>
        <v>2021</v>
      </c>
      <c r="C144" s="135">
        <f>[5]С2.5!$F$11</f>
        <v>0.245</v>
      </c>
    </row>
    <row r="145" spans="1:3">
      <c r="A145" s="85"/>
      <c r="B145" s="86">
        <f t="shared" ref="B145:B208" si="0">B144+1</f>
        <v>2022</v>
      </c>
      <c r="C145" s="135">
        <f>[5]С2.5!$G$11</f>
        <v>0.114</v>
      </c>
    </row>
    <row r="146" spans="1:3" ht="13.5" thickBot="1">
      <c r="A146" s="85"/>
      <c r="B146" s="87">
        <f t="shared" si="0"/>
        <v>2023</v>
      </c>
      <c r="C146" s="136">
        <f>[5]С2.5!$H$11</f>
        <v>0.04</v>
      </c>
    </row>
    <row r="147" spans="1:3">
      <c r="A147" s="85"/>
      <c r="B147" s="137">
        <f t="shared" si="0"/>
        <v>2024</v>
      </c>
      <c r="C147" s="138">
        <f>[5]С2.5!$I$11</f>
        <v>0.11700000000000001</v>
      </c>
    </row>
    <row r="148" spans="1:3">
      <c r="A148" s="85"/>
      <c r="B148" s="86">
        <f t="shared" si="0"/>
        <v>2025</v>
      </c>
      <c r="C148" s="135">
        <f>[5]С2.5!$J$11</f>
        <v>6.0999999999999999E-2</v>
      </c>
    </row>
    <row r="149" spans="1:3" hidden="1">
      <c r="A149" s="85"/>
      <c r="B149" s="86">
        <f t="shared" si="0"/>
        <v>2026</v>
      </c>
      <c r="C149" s="135">
        <f>[5]С2.5!$K$11</f>
        <v>3.5813361771260002E-2</v>
      </c>
    </row>
    <row r="150" spans="1:3" hidden="1">
      <c r="A150" s="85"/>
      <c r="B150" s="86">
        <f t="shared" si="0"/>
        <v>2027</v>
      </c>
      <c r="C150" s="135">
        <f>[5]С2.5!$L$11</f>
        <v>3.2682303599220003E-2</v>
      </c>
    </row>
    <row r="151" spans="1:3" hidden="1">
      <c r="A151" s="85"/>
      <c r="B151" s="86">
        <f t="shared" si="0"/>
        <v>2028</v>
      </c>
      <c r="C151" s="135">
        <f>[5]С2.5!$M$11</f>
        <v>0</v>
      </c>
    </row>
    <row r="152" spans="1:3" hidden="1">
      <c r="A152" s="85"/>
      <c r="B152" s="86">
        <f t="shared" si="0"/>
        <v>2029</v>
      </c>
      <c r="C152" s="135">
        <f>[5]С2.5!$N$11</f>
        <v>0</v>
      </c>
    </row>
    <row r="153" spans="1:3" hidden="1">
      <c r="A153" s="85"/>
      <c r="B153" s="86">
        <f t="shared" si="0"/>
        <v>2030</v>
      </c>
      <c r="C153" s="135">
        <f>[5]С2.5!$O$11</f>
        <v>0</v>
      </c>
    </row>
    <row r="154" spans="1:3" hidden="1">
      <c r="A154" s="85"/>
      <c r="B154" s="86">
        <f t="shared" si="0"/>
        <v>2031</v>
      </c>
      <c r="C154" s="135">
        <f>[5]С2.5!$P$11</f>
        <v>0</v>
      </c>
    </row>
    <row r="155" spans="1:3" hidden="1">
      <c r="A155" s="77"/>
      <c r="B155" s="86">
        <f t="shared" si="0"/>
        <v>2032</v>
      </c>
      <c r="C155" s="135">
        <f>[5]С2.5!$Q$11</f>
        <v>0</v>
      </c>
    </row>
    <row r="156" spans="1:3" hidden="1">
      <c r="A156" s="77"/>
      <c r="B156" s="86">
        <f t="shared" si="0"/>
        <v>2033</v>
      </c>
      <c r="C156" s="135">
        <f>[5]С2.5!$R$11</f>
        <v>0</v>
      </c>
    </row>
    <row r="157" spans="1:3" hidden="1">
      <c r="B157" s="86">
        <f t="shared" si="0"/>
        <v>2034</v>
      </c>
      <c r="C157" s="135">
        <f>[5]С2.5!$S$11</f>
        <v>0</v>
      </c>
    </row>
    <row r="158" spans="1:3" hidden="1">
      <c r="B158" s="86">
        <f t="shared" si="0"/>
        <v>2035</v>
      </c>
      <c r="C158" s="135">
        <f>[5]С2.5!$T$11</f>
        <v>0</v>
      </c>
    </row>
    <row r="159" spans="1:3" hidden="1">
      <c r="B159" s="86">
        <f t="shared" si="0"/>
        <v>2036</v>
      </c>
      <c r="C159" s="135">
        <f>[5]С2.5!$U$11</f>
        <v>0</v>
      </c>
    </row>
    <row r="160" spans="1:3" hidden="1">
      <c r="B160" s="86">
        <f t="shared" si="0"/>
        <v>2037</v>
      </c>
      <c r="C160" s="135">
        <f>[5]С2.5!$V$11</f>
        <v>0</v>
      </c>
    </row>
    <row r="161" spans="2:3" hidden="1">
      <c r="B161" s="86">
        <f t="shared" si="0"/>
        <v>2038</v>
      </c>
      <c r="C161" s="135">
        <f>[5]С2.5!$W$11</f>
        <v>0</v>
      </c>
    </row>
    <row r="162" spans="2:3" hidden="1">
      <c r="B162" s="86">
        <f t="shared" si="0"/>
        <v>2039</v>
      </c>
      <c r="C162" s="135">
        <f>[5]С2.5!$X$11</f>
        <v>0</v>
      </c>
    </row>
    <row r="163" spans="2:3" hidden="1">
      <c r="B163" s="86">
        <f t="shared" si="0"/>
        <v>2040</v>
      </c>
      <c r="C163" s="135">
        <f>[5]С2.5!$Y$11</f>
        <v>0</v>
      </c>
    </row>
    <row r="164" spans="2:3" hidden="1">
      <c r="B164" s="86">
        <f t="shared" si="0"/>
        <v>2041</v>
      </c>
      <c r="C164" s="135">
        <f>[5]С2.5!$Z$11</f>
        <v>0</v>
      </c>
    </row>
    <row r="165" spans="2:3" hidden="1">
      <c r="B165" s="86">
        <f t="shared" si="0"/>
        <v>2042</v>
      </c>
      <c r="C165" s="135">
        <f>[5]С2.5!$AA$11</f>
        <v>0</v>
      </c>
    </row>
    <row r="166" spans="2:3" hidden="1">
      <c r="B166" s="86">
        <f t="shared" si="0"/>
        <v>2043</v>
      </c>
      <c r="C166" s="135">
        <f>[5]С2.5!$AB$11</f>
        <v>0</v>
      </c>
    </row>
    <row r="167" spans="2:3" hidden="1">
      <c r="B167" s="86">
        <f t="shared" si="0"/>
        <v>2044</v>
      </c>
      <c r="C167" s="135">
        <f>[5]С2.5!$AC$11</f>
        <v>0</v>
      </c>
    </row>
    <row r="168" spans="2:3" hidden="1">
      <c r="B168" s="86">
        <f t="shared" si="0"/>
        <v>2045</v>
      </c>
      <c r="C168" s="135">
        <f>[5]С2.5!$AD$11</f>
        <v>0</v>
      </c>
    </row>
    <row r="169" spans="2:3" hidden="1">
      <c r="B169" s="86">
        <f t="shared" si="0"/>
        <v>2046</v>
      </c>
      <c r="C169" s="135">
        <f>[5]С2.5!$AE$11</f>
        <v>0</v>
      </c>
    </row>
    <row r="170" spans="2:3" hidden="1">
      <c r="B170" s="86">
        <f t="shared" si="0"/>
        <v>2047</v>
      </c>
      <c r="C170" s="135">
        <f>[5]С2.5!$AF$11</f>
        <v>0</v>
      </c>
    </row>
    <row r="171" spans="2:3" hidden="1">
      <c r="B171" s="86">
        <f t="shared" si="0"/>
        <v>2048</v>
      </c>
      <c r="C171" s="135">
        <f>[5]С2.5!$AG$11</f>
        <v>0</v>
      </c>
    </row>
    <row r="172" spans="2:3" hidden="1">
      <c r="B172" s="86">
        <f t="shared" si="0"/>
        <v>2049</v>
      </c>
      <c r="C172" s="135">
        <f>[5]С2.5!$AH$11</f>
        <v>0</v>
      </c>
    </row>
    <row r="173" spans="2:3" hidden="1">
      <c r="B173" s="86">
        <f t="shared" si="0"/>
        <v>2050</v>
      </c>
      <c r="C173" s="135">
        <f>[5]С2.5!$AI$11</f>
        <v>0</v>
      </c>
    </row>
    <row r="174" spans="2:3" hidden="1">
      <c r="B174" s="86">
        <f t="shared" si="0"/>
        <v>2051</v>
      </c>
      <c r="C174" s="135">
        <f>[5]С2.5!$AJ$11</f>
        <v>0</v>
      </c>
    </row>
    <row r="175" spans="2:3" hidden="1">
      <c r="B175" s="86">
        <f t="shared" si="0"/>
        <v>2052</v>
      </c>
      <c r="C175" s="135">
        <f>[5]С2.5!$AK$11</f>
        <v>0</v>
      </c>
    </row>
    <row r="176" spans="2:3" hidden="1">
      <c r="B176" s="86">
        <f t="shared" si="0"/>
        <v>2053</v>
      </c>
      <c r="C176" s="135">
        <f>[5]С2.5!$AL$11</f>
        <v>0</v>
      </c>
    </row>
    <row r="177" spans="2:3" hidden="1">
      <c r="B177" s="86">
        <f t="shared" si="0"/>
        <v>2054</v>
      </c>
      <c r="C177" s="135">
        <f>[5]С2.5!$AM$11</f>
        <v>0</v>
      </c>
    </row>
    <row r="178" spans="2:3" hidden="1">
      <c r="B178" s="86">
        <f t="shared" si="0"/>
        <v>2055</v>
      </c>
      <c r="C178" s="135">
        <f>[5]С2.5!$AN$11</f>
        <v>0</v>
      </c>
    </row>
    <row r="179" spans="2:3" hidden="1">
      <c r="B179" s="86">
        <f t="shared" si="0"/>
        <v>2056</v>
      </c>
      <c r="C179" s="135">
        <f>[5]С2.5!$AO$11</f>
        <v>0</v>
      </c>
    </row>
    <row r="180" spans="2:3" hidden="1">
      <c r="B180" s="86">
        <f t="shared" si="0"/>
        <v>2057</v>
      </c>
      <c r="C180" s="135">
        <f>[5]С2.5!$AP$11</f>
        <v>0</v>
      </c>
    </row>
    <row r="181" spans="2:3" hidden="1">
      <c r="B181" s="86">
        <f t="shared" si="0"/>
        <v>2058</v>
      </c>
      <c r="C181" s="135">
        <f>[5]С2.5!$AQ$11</f>
        <v>0</v>
      </c>
    </row>
    <row r="182" spans="2:3" hidden="1">
      <c r="B182" s="86">
        <f t="shared" si="0"/>
        <v>2059</v>
      </c>
      <c r="C182" s="135">
        <f>[5]С2.5!$AR$11</f>
        <v>0</v>
      </c>
    </row>
    <row r="183" spans="2:3" hidden="1">
      <c r="B183" s="86">
        <f t="shared" si="0"/>
        <v>2060</v>
      </c>
      <c r="C183" s="135">
        <f>[5]С2.5!$AS$11</f>
        <v>0</v>
      </c>
    </row>
    <row r="184" spans="2:3" hidden="1">
      <c r="B184" s="86">
        <f t="shared" si="0"/>
        <v>2061</v>
      </c>
      <c r="C184" s="135">
        <f>[5]С2.5!$AT$11</f>
        <v>0</v>
      </c>
    </row>
    <row r="185" spans="2:3" hidden="1">
      <c r="B185" s="86">
        <f t="shared" si="0"/>
        <v>2062</v>
      </c>
      <c r="C185" s="135">
        <f>[5]С2.5!$AU$11</f>
        <v>0</v>
      </c>
    </row>
    <row r="186" spans="2:3" hidden="1">
      <c r="B186" s="86">
        <f t="shared" si="0"/>
        <v>2063</v>
      </c>
      <c r="C186" s="135">
        <f>[5]С2.5!$AV$11</f>
        <v>0</v>
      </c>
    </row>
    <row r="187" spans="2:3" hidden="1">
      <c r="B187" s="86">
        <f t="shared" si="0"/>
        <v>2064</v>
      </c>
      <c r="C187" s="135">
        <f>[5]С2.5!$AW$11</f>
        <v>0</v>
      </c>
    </row>
    <row r="188" spans="2:3" hidden="1">
      <c r="B188" s="86">
        <f t="shared" si="0"/>
        <v>2065</v>
      </c>
      <c r="C188" s="135">
        <f>[5]С2.5!$AX$11</f>
        <v>0</v>
      </c>
    </row>
    <row r="189" spans="2:3" hidden="1">
      <c r="B189" s="86">
        <f t="shared" si="0"/>
        <v>2066</v>
      </c>
      <c r="C189" s="135">
        <f>[5]С2.5!$AY$11</f>
        <v>0</v>
      </c>
    </row>
    <row r="190" spans="2:3" hidden="1">
      <c r="B190" s="86">
        <f t="shared" si="0"/>
        <v>2067</v>
      </c>
      <c r="C190" s="135">
        <f>[5]С2.5!$AZ$11</f>
        <v>0</v>
      </c>
    </row>
    <row r="191" spans="2:3" hidden="1">
      <c r="B191" s="86">
        <f t="shared" si="0"/>
        <v>2068</v>
      </c>
      <c r="C191" s="135">
        <f>[5]С2.5!$BA$11</f>
        <v>0</v>
      </c>
    </row>
    <row r="192" spans="2:3" hidden="1">
      <c r="B192" s="86">
        <f t="shared" si="0"/>
        <v>2069</v>
      </c>
      <c r="C192" s="135">
        <f>[5]С2.5!$BB$11</f>
        <v>0</v>
      </c>
    </row>
    <row r="193" spans="2:3" hidden="1">
      <c r="B193" s="86">
        <f t="shared" si="0"/>
        <v>2070</v>
      </c>
      <c r="C193" s="135">
        <f>[5]С2.5!$BC$11</f>
        <v>0</v>
      </c>
    </row>
    <row r="194" spans="2:3" hidden="1">
      <c r="B194" s="86">
        <f t="shared" si="0"/>
        <v>2071</v>
      </c>
      <c r="C194" s="135">
        <f>[5]С2.5!$BD$11</f>
        <v>0</v>
      </c>
    </row>
    <row r="195" spans="2:3" hidden="1">
      <c r="B195" s="86">
        <f t="shared" si="0"/>
        <v>2072</v>
      </c>
      <c r="C195" s="135">
        <f>[5]С2.5!$BE$11</f>
        <v>0</v>
      </c>
    </row>
    <row r="196" spans="2:3" hidden="1">
      <c r="B196" s="86">
        <f t="shared" si="0"/>
        <v>2073</v>
      </c>
      <c r="C196" s="135">
        <f>[5]С2.5!$BF$11</f>
        <v>0</v>
      </c>
    </row>
    <row r="197" spans="2:3" hidden="1">
      <c r="B197" s="86">
        <f t="shared" si="0"/>
        <v>2074</v>
      </c>
      <c r="C197" s="135">
        <f>[5]С2.5!$BG$11</f>
        <v>0</v>
      </c>
    </row>
    <row r="198" spans="2:3" hidden="1">
      <c r="B198" s="86">
        <f t="shared" si="0"/>
        <v>2075</v>
      </c>
      <c r="C198" s="135">
        <f>[5]С2.5!$BH$11</f>
        <v>0</v>
      </c>
    </row>
    <row r="199" spans="2:3" hidden="1">
      <c r="B199" s="86">
        <f t="shared" si="0"/>
        <v>2076</v>
      </c>
      <c r="C199" s="135">
        <f>[5]С2.5!$BI$11</f>
        <v>0</v>
      </c>
    </row>
    <row r="200" spans="2:3" hidden="1">
      <c r="B200" s="86">
        <f t="shared" si="0"/>
        <v>2077</v>
      </c>
      <c r="C200" s="135">
        <f>[5]С2.5!$BJ$11</f>
        <v>0</v>
      </c>
    </row>
    <row r="201" spans="2:3" hidden="1">
      <c r="B201" s="86">
        <f t="shared" si="0"/>
        <v>2078</v>
      </c>
      <c r="C201" s="135">
        <f>[5]С2.5!$BK$11</f>
        <v>0</v>
      </c>
    </row>
    <row r="202" spans="2:3" hidden="1">
      <c r="B202" s="86">
        <f t="shared" si="0"/>
        <v>2079</v>
      </c>
      <c r="C202" s="135">
        <f>[5]С2.5!$BL$11</f>
        <v>0</v>
      </c>
    </row>
    <row r="203" spans="2:3" hidden="1">
      <c r="B203" s="86">
        <f t="shared" si="0"/>
        <v>2080</v>
      </c>
      <c r="C203" s="135">
        <f>[5]С2.5!$BM$11</f>
        <v>0</v>
      </c>
    </row>
    <row r="204" spans="2:3" hidden="1">
      <c r="B204" s="86">
        <f t="shared" si="0"/>
        <v>2081</v>
      </c>
      <c r="C204" s="135">
        <f>[5]С2.5!$BN$11</f>
        <v>0</v>
      </c>
    </row>
    <row r="205" spans="2:3" hidden="1">
      <c r="B205" s="86">
        <f t="shared" si="0"/>
        <v>2082</v>
      </c>
      <c r="C205" s="135">
        <f>[5]С2.5!$BO$11</f>
        <v>0</v>
      </c>
    </row>
    <row r="206" spans="2:3" hidden="1">
      <c r="B206" s="86">
        <f t="shared" si="0"/>
        <v>2083</v>
      </c>
      <c r="C206" s="135">
        <f>[5]С2.5!$BP$11</f>
        <v>0</v>
      </c>
    </row>
    <row r="207" spans="2:3" hidden="1">
      <c r="B207" s="86">
        <f t="shared" si="0"/>
        <v>2084</v>
      </c>
      <c r="C207" s="135">
        <f>[5]С2.5!$BQ$11</f>
        <v>0</v>
      </c>
    </row>
    <row r="208" spans="2:3" hidden="1">
      <c r="B208" s="86">
        <f t="shared" si="0"/>
        <v>2085</v>
      </c>
      <c r="C208" s="135">
        <f>[5]С2.5!$BR$11</f>
        <v>0</v>
      </c>
    </row>
    <row r="209" spans="2:3" hidden="1">
      <c r="B209" s="86">
        <f t="shared" ref="B209:B223" si="1">B208+1</f>
        <v>2086</v>
      </c>
      <c r="C209" s="135">
        <f>[5]С2.5!$BS$11</f>
        <v>0</v>
      </c>
    </row>
    <row r="210" spans="2:3" hidden="1">
      <c r="B210" s="86">
        <f t="shared" si="1"/>
        <v>2087</v>
      </c>
      <c r="C210" s="135">
        <f>[5]С2.5!$BT$11</f>
        <v>0</v>
      </c>
    </row>
    <row r="211" spans="2:3" hidden="1">
      <c r="B211" s="86">
        <f t="shared" si="1"/>
        <v>2088</v>
      </c>
      <c r="C211" s="135">
        <f>[5]С2.5!$BU$11</f>
        <v>0</v>
      </c>
    </row>
    <row r="212" spans="2:3" hidden="1">
      <c r="B212" s="86">
        <f t="shared" si="1"/>
        <v>2089</v>
      </c>
      <c r="C212" s="135">
        <f>[5]С2.5!$BV$11</f>
        <v>0</v>
      </c>
    </row>
    <row r="213" spans="2:3" hidden="1">
      <c r="B213" s="86">
        <f t="shared" si="1"/>
        <v>2090</v>
      </c>
      <c r="C213" s="135">
        <f>[5]С2.5!$BW$11</f>
        <v>0</v>
      </c>
    </row>
    <row r="214" spans="2:3" hidden="1">
      <c r="B214" s="86">
        <f t="shared" si="1"/>
        <v>2091</v>
      </c>
      <c r="C214" s="135">
        <f>[5]С2.5!$BX$11</f>
        <v>0</v>
      </c>
    </row>
    <row r="215" spans="2:3" hidden="1">
      <c r="B215" s="86">
        <f t="shared" si="1"/>
        <v>2092</v>
      </c>
      <c r="C215" s="135">
        <f>[5]С2.5!$BY$11</f>
        <v>0</v>
      </c>
    </row>
    <row r="216" spans="2:3" hidden="1">
      <c r="B216" s="86">
        <f t="shared" si="1"/>
        <v>2093</v>
      </c>
      <c r="C216" s="135">
        <f>[5]С2.5!$BZ$11</f>
        <v>0</v>
      </c>
    </row>
    <row r="217" spans="2:3" hidden="1">
      <c r="B217" s="86">
        <f t="shared" si="1"/>
        <v>2094</v>
      </c>
      <c r="C217" s="135">
        <f>[5]С2.5!$CA$11</f>
        <v>0</v>
      </c>
    </row>
    <row r="218" spans="2:3" hidden="1">
      <c r="B218" s="86">
        <f t="shared" si="1"/>
        <v>2095</v>
      </c>
      <c r="C218" s="135">
        <f>[5]С2.5!$CB$11</f>
        <v>0</v>
      </c>
    </row>
    <row r="219" spans="2:3" hidden="1">
      <c r="B219" s="86">
        <f t="shared" si="1"/>
        <v>2096</v>
      </c>
      <c r="C219" s="135">
        <f>[5]С2.5!$CC$11</f>
        <v>0</v>
      </c>
    </row>
    <row r="220" spans="2:3" hidden="1">
      <c r="B220" s="86">
        <f t="shared" si="1"/>
        <v>2097</v>
      </c>
      <c r="C220" s="135">
        <f>[5]С2.5!$CD$11</f>
        <v>0</v>
      </c>
    </row>
    <row r="221" spans="2:3" hidden="1">
      <c r="B221" s="86">
        <f t="shared" si="1"/>
        <v>2098</v>
      </c>
      <c r="C221" s="135">
        <f>[5]С2.5!$CE$11</f>
        <v>0</v>
      </c>
    </row>
    <row r="222" spans="2:3" hidden="1">
      <c r="B222" s="86">
        <f t="shared" si="1"/>
        <v>2099</v>
      </c>
      <c r="C222" s="135">
        <f>[5]С2.5!$CF$11</f>
        <v>0</v>
      </c>
    </row>
    <row r="223" spans="2:3" ht="13.5" hidden="1" thickBot="1">
      <c r="B223" s="87">
        <f t="shared" si="1"/>
        <v>2100</v>
      </c>
      <c r="C223" s="136">
        <f>[5]С2.5!$CG$11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[6]И1!D13</f>
        <v>Субъект Российской Федерации</v>
      </c>
      <c r="C4" s="8" t="str">
        <f>[6]И1!E13</f>
        <v>Новосибирская область</v>
      </c>
    </row>
    <row r="5" spans="1:3" ht="46.9" customHeight="1">
      <c r="A5" s="6"/>
      <c r="B5" s="7" t="str">
        <f>[6]И1!D14</f>
        <v>Тип муниципального образования (выберите из списка)</v>
      </c>
      <c r="C5" s="8" t="str">
        <f>[6]И1!E14</f>
        <v>село Владимировское, Убинский муниципальный район</v>
      </c>
    </row>
    <row r="6" spans="1:3">
      <c r="A6" s="6"/>
      <c r="B6" s="7" t="str">
        <f>IF([6]И1!E15="","",[6]И1!D15)</f>
        <v/>
      </c>
      <c r="C6" s="8" t="str">
        <f>IF([6]И1!E15="","",[6]И1!E15)</f>
        <v/>
      </c>
    </row>
    <row r="7" spans="1:3">
      <c r="A7" s="6"/>
      <c r="B7" s="7" t="str">
        <f>[6]И1!D16</f>
        <v>Код ОКТМО</v>
      </c>
      <c r="C7" s="9" t="str">
        <f>[6]И1!E16</f>
        <v>50654402101</v>
      </c>
    </row>
    <row r="8" spans="1:3">
      <c r="A8" s="6"/>
      <c r="B8" s="10" t="str">
        <f>[6]И1!D17</f>
        <v>Система теплоснабжения</v>
      </c>
      <c r="C8" s="11">
        <f>[6]И1!E17</f>
        <v>0</v>
      </c>
    </row>
    <row r="9" spans="1:3">
      <c r="A9" s="6"/>
      <c r="B9" s="7" t="str">
        <f>[6]И1!D8</f>
        <v>Период регулирования (i)-й</v>
      </c>
      <c r="C9" s="12">
        <f>[6]И1!E8</f>
        <v>2025</v>
      </c>
    </row>
    <row r="10" spans="1:3">
      <c r="A10" s="6"/>
      <c r="B10" s="7" t="str">
        <f>[6]И1!D9</f>
        <v>Период регулирования (i-1)-й</v>
      </c>
      <c r="C10" s="12">
        <f>[6]И1!E9</f>
        <v>2024</v>
      </c>
    </row>
    <row r="11" spans="1:3">
      <c r="A11" s="6"/>
      <c r="B11" s="7" t="str">
        <f>[6]И1!D10</f>
        <v>Период регулирования (i-2)-й</v>
      </c>
      <c r="C11" s="12">
        <f>[6]И1!E10</f>
        <v>2023</v>
      </c>
    </row>
    <row r="12" spans="1:3">
      <c r="A12" s="6"/>
      <c r="B12" s="7" t="str">
        <f>[6]И1!D11</f>
        <v>Базовый год (б)</v>
      </c>
      <c r="C12" s="12">
        <f>[6]И1!E11</f>
        <v>2019</v>
      </c>
    </row>
    <row r="13" spans="1:3" ht="38.25">
      <c r="A13" s="6"/>
      <c r="B13" s="7" t="str">
        <f>[6]И1!D18</f>
        <v>Вид топлива, использование которого преобладает в системе теплоснабжения</v>
      </c>
      <c r="C13" s="13" t="str">
        <f>[6]С1.1!E13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5597.089025053353</v>
      </c>
    </row>
    <row r="18" spans="1:3" ht="42.75">
      <c r="A18" s="16" t="s">
        <v>7</v>
      </c>
      <c r="B18" s="19" t="s">
        <v>8</v>
      </c>
      <c r="C18" s="20">
        <f>[6]С1!F12</f>
        <v>1009.0775886766846</v>
      </c>
    </row>
    <row r="19" spans="1:3" ht="42.75">
      <c r="A19" s="16" t="s">
        <v>9</v>
      </c>
      <c r="B19" s="19" t="s">
        <v>10</v>
      </c>
      <c r="C19" s="20">
        <f>[6]С2!F12</f>
        <v>3044.269023973251</v>
      </c>
    </row>
    <row r="20" spans="1:3" ht="30">
      <c r="A20" s="16" t="s">
        <v>11</v>
      </c>
      <c r="B20" s="19" t="s">
        <v>12</v>
      </c>
      <c r="C20" s="20">
        <f>[6]С3!F12</f>
        <v>911.32264748625244</v>
      </c>
    </row>
    <row r="21" spans="1:3" ht="42.75">
      <c r="A21" s="16" t="s">
        <v>13</v>
      </c>
      <c r="B21" s="19" t="s">
        <v>226</v>
      </c>
      <c r="C21" s="20">
        <f>[6]С4!F12</f>
        <v>522.67292128866802</v>
      </c>
    </row>
    <row r="22" spans="1:3" ht="30">
      <c r="A22" s="16" t="s">
        <v>14</v>
      </c>
      <c r="B22" s="19" t="s">
        <v>227</v>
      </c>
      <c r="C22" s="20">
        <f>[6]С5!F12</f>
        <v>109.74684362849712</v>
      </c>
    </row>
    <row r="23" spans="1:3" ht="43.5" thickBot="1">
      <c r="A23" s="21" t="s">
        <v>15</v>
      </c>
      <c r="B23" s="140" t="s">
        <v>228</v>
      </c>
      <c r="C23" s="22" t="str">
        <f>[6]С6!F12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[6]С1.1!E16</f>
        <v>5100</v>
      </c>
    </row>
    <row r="29" spans="1:3" ht="42.75">
      <c r="A29" s="16" t="s">
        <v>9</v>
      </c>
      <c r="B29" s="27" t="s">
        <v>230</v>
      </c>
      <c r="C29" s="28">
        <f>[6]С1.1!E27</f>
        <v>3640</v>
      </c>
    </row>
    <row r="30" spans="1:3" ht="17.25">
      <c r="A30" s="16" t="s">
        <v>11</v>
      </c>
      <c r="B30" s="27" t="s">
        <v>17</v>
      </c>
      <c r="C30" s="29">
        <f>[6]С1.1!E19</f>
        <v>1.4E-2</v>
      </c>
    </row>
    <row r="31" spans="1:3" ht="17.25">
      <c r="A31" s="16" t="s">
        <v>13</v>
      </c>
      <c r="B31" s="27" t="s">
        <v>18</v>
      </c>
      <c r="C31" s="29">
        <f>[6]С1.1!E20</f>
        <v>0.04</v>
      </c>
    </row>
    <row r="32" spans="1:3" ht="30">
      <c r="A32" s="16" t="s">
        <v>14</v>
      </c>
      <c r="B32" s="30" t="s">
        <v>231</v>
      </c>
      <c r="C32" s="117">
        <f>[6]С1!F13</f>
        <v>176.4</v>
      </c>
    </row>
    <row r="33" spans="1:3">
      <c r="A33" s="16" t="s">
        <v>15</v>
      </c>
      <c r="B33" s="30" t="s">
        <v>19</v>
      </c>
      <c r="C33" s="31">
        <f>[6]С1!F16</f>
        <v>7000</v>
      </c>
    </row>
    <row r="34" spans="1:3" ht="14.25">
      <c r="A34" s="16" t="s">
        <v>20</v>
      </c>
      <c r="B34" s="32" t="s">
        <v>232</v>
      </c>
      <c r="C34" s="33">
        <f>[6]С1!F17</f>
        <v>0.72857142857142854</v>
      </c>
    </row>
    <row r="35" spans="1:3" ht="15.75">
      <c r="A35" s="118" t="s">
        <v>21</v>
      </c>
      <c r="B35" s="34" t="s">
        <v>22</v>
      </c>
      <c r="C35" s="33">
        <f>[6]С1!F20</f>
        <v>21.588411179999994</v>
      </c>
    </row>
    <row r="36" spans="1:3" ht="15.75">
      <c r="A36" s="118" t="s">
        <v>23</v>
      </c>
      <c r="B36" s="35" t="s">
        <v>24</v>
      </c>
      <c r="C36" s="33">
        <f>[6]С1!F21</f>
        <v>20.818139999999996</v>
      </c>
    </row>
    <row r="37" spans="1:3" ht="14.25">
      <c r="A37" s="118" t="s">
        <v>25</v>
      </c>
      <c r="B37" s="36" t="s">
        <v>26</v>
      </c>
      <c r="C37" s="33">
        <f>[6]С1!F22</f>
        <v>1.0369999999999999</v>
      </c>
    </row>
    <row r="38" spans="1:3" ht="53.25" thickBot="1">
      <c r="A38" s="21" t="s">
        <v>27</v>
      </c>
      <c r="B38" s="37" t="s">
        <v>28</v>
      </c>
      <c r="C38" s="38">
        <f>[6]С1!F23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[6]С2.1!E12</f>
        <v>V</v>
      </c>
    </row>
    <row r="42" spans="1:3" ht="25.5">
      <c r="A42" s="16" t="s">
        <v>33</v>
      </c>
      <c r="B42" s="27" t="s">
        <v>34</v>
      </c>
      <c r="C42" s="41" t="str">
        <f>[6]С2.1!E13</f>
        <v>6 и менее баллов</v>
      </c>
    </row>
    <row r="43" spans="1:3" ht="25.5">
      <c r="A43" s="16" t="s">
        <v>35</v>
      </c>
      <c r="B43" s="27" t="s">
        <v>233</v>
      </c>
      <c r="C43" s="41" t="str">
        <f>[6]С2.1!E14</f>
        <v>от 200 до 500</v>
      </c>
    </row>
    <row r="44" spans="1:3" ht="25.5">
      <c r="A44" s="16" t="s">
        <v>36</v>
      </c>
      <c r="B44" s="27" t="s">
        <v>234</v>
      </c>
      <c r="C44" s="42" t="str">
        <f>[6]С2.1!E15</f>
        <v>нет</v>
      </c>
    </row>
    <row r="45" spans="1:3" ht="30">
      <c r="A45" s="16" t="s">
        <v>37</v>
      </c>
      <c r="B45" s="27" t="s">
        <v>38</v>
      </c>
      <c r="C45" s="28">
        <f>[6]С2!F18</f>
        <v>38910.02669467502</v>
      </c>
    </row>
    <row r="46" spans="1:3" ht="30">
      <c r="A46" s="16" t="s">
        <v>39</v>
      </c>
      <c r="B46" s="43" t="s">
        <v>40</v>
      </c>
      <c r="C46" s="28">
        <f>IF([6]С2!F19&gt;0,[6]С2!F19,[6]С2!F20)</f>
        <v>23441.524932855718</v>
      </c>
    </row>
    <row r="47" spans="1:3" ht="25.5">
      <c r="A47" s="16" t="s">
        <v>41</v>
      </c>
      <c r="B47" s="44" t="s">
        <v>42</v>
      </c>
      <c r="C47" s="28">
        <f>[6]С2.1!E19</f>
        <v>-38</v>
      </c>
    </row>
    <row r="48" spans="1:3" ht="25.5">
      <c r="A48" s="16" t="s">
        <v>43</v>
      </c>
      <c r="B48" s="44" t="s">
        <v>44</v>
      </c>
      <c r="C48" s="28" t="str">
        <f>[6]С2.1!E22</f>
        <v>нет</v>
      </c>
    </row>
    <row r="49" spans="1:3" ht="38.25">
      <c r="A49" s="16" t="s">
        <v>45</v>
      </c>
      <c r="B49" s="45" t="s">
        <v>46</v>
      </c>
      <c r="C49" s="28">
        <f>[6]С2.2!E10</f>
        <v>1287</v>
      </c>
    </row>
    <row r="50" spans="1:3" ht="25.5">
      <c r="A50" s="16" t="s">
        <v>47</v>
      </c>
      <c r="B50" s="46" t="s">
        <v>48</v>
      </c>
      <c r="C50" s="28">
        <f>[6]С2.2!E12</f>
        <v>5.97</v>
      </c>
    </row>
    <row r="51" spans="1:3" ht="52.5">
      <c r="A51" s="16" t="s">
        <v>49</v>
      </c>
      <c r="B51" s="47" t="s">
        <v>50</v>
      </c>
      <c r="C51" s="28">
        <f>[6]С2.2!E13</f>
        <v>1</v>
      </c>
    </row>
    <row r="52" spans="1:3" ht="27.75">
      <c r="A52" s="16" t="s">
        <v>51</v>
      </c>
      <c r="B52" s="46" t="s">
        <v>52</v>
      </c>
      <c r="C52" s="28">
        <f>[6]С2.2!E14</f>
        <v>12104</v>
      </c>
    </row>
    <row r="53" spans="1:3" ht="25.5">
      <c r="A53" s="16" t="s">
        <v>53</v>
      </c>
      <c r="B53" s="47" t="s">
        <v>54</v>
      </c>
      <c r="C53" s="29">
        <f>[6]С2.2!E15</f>
        <v>4.8000000000000001E-2</v>
      </c>
    </row>
    <row r="54" spans="1:3">
      <c r="A54" s="16" t="s">
        <v>55</v>
      </c>
      <c r="B54" s="47" t="s">
        <v>56</v>
      </c>
      <c r="C54" s="28">
        <f>[6]С2.2!E16</f>
        <v>1</v>
      </c>
    </row>
    <row r="55" spans="1:3" ht="15.75">
      <c r="A55" s="16" t="s">
        <v>57</v>
      </c>
      <c r="B55" s="48" t="s">
        <v>58</v>
      </c>
      <c r="C55" s="28">
        <f>[6]С2!F21</f>
        <v>1</v>
      </c>
    </row>
    <row r="56" spans="1:3" ht="30">
      <c r="A56" s="49" t="s">
        <v>59</v>
      </c>
      <c r="B56" s="27" t="s">
        <v>235</v>
      </c>
      <c r="C56" s="28">
        <f>[6]С2!F13</f>
        <v>203708.97017230222</v>
      </c>
    </row>
    <row r="57" spans="1:3" ht="30">
      <c r="A57" s="49" t="s">
        <v>60</v>
      </c>
      <c r="B57" s="48" t="s">
        <v>236</v>
      </c>
      <c r="C57" s="28">
        <f>[6]С2!F14</f>
        <v>113455</v>
      </c>
    </row>
    <row r="58" spans="1:3" ht="15.75">
      <c r="A58" s="49" t="s">
        <v>61</v>
      </c>
      <c r="B58" s="50" t="s">
        <v>62</v>
      </c>
      <c r="C58" s="33">
        <f>[6]С2!F15</f>
        <v>1.071</v>
      </c>
    </row>
    <row r="59" spans="1:3" ht="15.75">
      <c r="A59" s="49" t="s">
        <v>63</v>
      </c>
      <c r="B59" s="50" t="s">
        <v>64</v>
      </c>
      <c r="C59" s="33">
        <f>[6]С2!F16</f>
        <v>1</v>
      </c>
    </row>
    <row r="60" spans="1:3" ht="17.25">
      <c r="A60" s="49" t="s">
        <v>65</v>
      </c>
      <c r="B60" s="48" t="s">
        <v>66</v>
      </c>
      <c r="C60" s="28">
        <f>[6]С2!F17</f>
        <v>1.01</v>
      </c>
    </row>
    <row r="61" spans="1:3" s="53" customFormat="1" ht="14.25">
      <c r="A61" s="49" t="s">
        <v>67</v>
      </c>
      <c r="B61" s="51" t="s">
        <v>68</v>
      </c>
      <c r="C61" s="52">
        <f>[6]С2!F33</f>
        <v>10</v>
      </c>
    </row>
    <row r="62" spans="1:3" ht="30">
      <c r="A62" s="49" t="s">
        <v>69</v>
      </c>
      <c r="B62" s="54" t="s">
        <v>70</v>
      </c>
      <c r="C62" s="28">
        <f>[6]С2!F26</f>
        <v>1296.3109177946333</v>
      </c>
    </row>
    <row r="63" spans="1:3" ht="17.25">
      <c r="A63" s="49" t="s">
        <v>71</v>
      </c>
      <c r="B63" s="43" t="s">
        <v>237</v>
      </c>
      <c r="C63" s="28">
        <f>[6]С2!F27</f>
        <v>0.18594487800000001</v>
      </c>
    </row>
    <row r="64" spans="1:3" ht="17.25">
      <c r="A64" s="49" t="s">
        <v>72</v>
      </c>
      <c r="B64" s="48" t="s">
        <v>238</v>
      </c>
      <c r="C64" s="52">
        <f>[6]С2!F28</f>
        <v>4200</v>
      </c>
    </row>
    <row r="65" spans="1:3" ht="42.75">
      <c r="A65" s="49" t="s">
        <v>73</v>
      </c>
      <c r="B65" s="27" t="s">
        <v>239</v>
      </c>
      <c r="C65" s="28">
        <f>[6]С2!F22</f>
        <v>42890.921752741691</v>
      </c>
    </row>
    <row r="66" spans="1:3" ht="30">
      <c r="A66" s="49" t="s">
        <v>74</v>
      </c>
      <c r="B66" s="50" t="s">
        <v>240</v>
      </c>
      <c r="C66" s="28">
        <f>[6]С2!F23</f>
        <v>1990</v>
      </c>
    </row>
    <row r="67" spans="1:3" ht="30">
      <c r="A67" s="49" t="s">
        <v>75</v>
      </c>
      <c r="B67" s="43" t="s">
        <v>76</v>
      </c>
      <c r="C67" s="28">
        <f>[6]С2.1!E27</f>
        <v>14307.876789999998</v>
      </c>
    </row>
    <row r="68" spans="1:3" ht="38.25">
      <c r="A68" s="49" t="s">
        <v>77</v>
      </c>
      <c r="B68" s="55" t="s">
        <v>78</v>
      </c>
      <c r="C68" s="42">
        <f>[6]С2.3!E21</f>
        <v>0</v>
      </c>
    </row>
    <row r="69" spans="1:3" ht="25.5">
      <c r="A69" s="49" t="s">
        <v>79</v>
      </c>
      <c r="B69" s="56" t="s">
        <v>80</v>
      </c>
      <c r="C69" s="57">
        <f>[6]С2.3!E11</f>
        <v>9.89</v>
      </c>
    </row>
    <row r="70" spans="1:3" ht="25.5">
      <c r="A70" s="49" t="s">
        <v>81</v>
      </c>
      <c r="B70" s="56" t="s">
        <v>82</v>
      </c>
      <c r="C70" s="52">
        <f>[6]С2.3!E13</f>
        <v>300</v>
      </c>
    </row>
    <row r="71" spans="1:3" ht="25.5">
      <c r="A71" s="49" t="s">
        <v>83</v>
      </c>
      <c r="B71" s="55" t="s">
        <v>84</v>
      </c>
      <c r="C71" s="58">
        <f>IF([6]С2.3!E22&gt;0,[6]С2.3!E22,[6]С2.3!E14)</f>
        <v>61211</v>
      </c>
    </row>
    <row r="72" spans="1:3" ht="38.25">
      <c r="A72" s="49" t="s">
        <v>85</v>
      </c>
      <c r="B72" s="55" t="s">
        <v>86</v>
      </c>
      <c r="C72" s="58">
        <f>IF([6]С2.3!E23&gt;0,[6]С2.3!E23,[6]С2.3!E15)</f>
        <v>45675</v>
      </c>
    </row>
    <row r="73" spans="1:3" ht="30">
      <c r="A73" s="49" t="s">
        <v>87</v>
      </c>
      <c r="B73" s="43" t="s">
        <v>88</v>
      </c>
      <c r="C73" s="28">
        <f>[6]С2.1!E28</f>
        <v>9541.9567200000001</v>
      </c>
    </row>
    <row r="74" spans="1:3" ht="38.25">
      <c r="A74" s="49" t="s">
        <v>89</v>
      </c>
      <c r="B74" s="55" t="s">
        <v>90</v>
      </c>
      <c r="C74" s="42">
        <f>[6]С2.3!E25</f>
        <v>0</v>
      </c>
    </row>
    <row r="75" spans="1:3" ht="25.5">
      <c r="A75" s="49" t="s">
        <v>91</v>
      </c>
      <c r="B75" s="56" t="s">
        <v>92</v>
      </c>
      <c r="C75" s="57">
        <f>[6]С2.3!E12</f>
        <v>0.56000000000000005</v>
      </c>
    </row>
    <row r="76" spans="1:3" ht="25.5">
      <c r="A76" s="49" t="s">
        <v>93</v>
      </c>
      <c r="B76" s="56" t="s">
        <v>82</v>
      </c>
      <c r="C76" s="52">
        <f>[6]С2.3!E13</f>
        <v>300</v>
      </c>
    </row>
    <row r="77" spans="1:3" ht="25.5">
      <c r="A77" s="49" t="s">
        <v>94</v>
      </c>
      <c r="B77" s="59" t="s">
        <v>95</v>
      </c>
      <c r="C77" s="58">
        <f>IF([6]С2.3!E26&gt;0,[6]С2.3!E26,[6]С2.3!E16)</f>
        <v>65637</v>
      </c>
    </row>
    <row r="78" spans="1:3" ht="38.25">
      <c r="A78" s="49" t="s">
        <v>96</v>
      </c>
      <c r="B78" s="59" t="s">
        <v>97</v>
      </c>
      <c r="C78" s="58">
        <f>IF([6]С2.3!E27&gt;0,[6]С2.3!E27,[6]С2.3!E17)</f>
        <v>31684</v>
      </c>
    </row>
    <row r="79" spans="1:3" ht="17.25">
      <c r="A79" s="49" t="s">
        <v>98</v>
      </c>
      <c r="B79" s="27" t="s">
        <v>99</v>
      </c>
      <c r="C79" s="29">
        <f>[6]С2!F29</f>
        <v>0.17804631770487722</v>
      </c>
    </row>
    <row r="80" spans="1:3" ht="30">
      <c r="A80" s="49" t="s">
        <v>100</v>
      </c>
      <c r="B80" s="43" t="s">
        <v>101</v>
      </c>
      <c r="C80" s="60">
        <f>[6]С2!F30</f>
        <v>0.1652189781021898</v>
      </c>
    </row>
    <row r="81" spans="1:3" ht="17.25">
      <c r="A81" s="49" t="s">
        <v>102</v>
      </c>
      <c r="B81" s="61" t="s">
        <v>103</v>
      </c>
      <c r="C81" s="29">
        <f>[6]С2!F31</f>
        <v>0.13880000000000001</v>
      </c>
    </row>
    <row r="82" spans="1:3" s="53" customFormat="1" ht="18" thickBot="1">
      <c r="A82" s="62" t="s">
        <v>104</v>
      </c>
      <c r="B82" s="63" t="s">
        <v>105</v>
      </c>
      <c r="C82" s="64">
        <f>[6]С2!F32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[6]С3!F14</f>
        <v>14780.674721363519</v>
      </c>
    </row>
    <row r="86" spans="1:3" s="53" customFormat="1" ht="42.75">
      <c r="A86" s="67" t="s">
        <v>110</v>
      </c>
      <c r="B86" s="43" t="s">
        <v>111</v>
      </c>
      <c r="C86" s="68">
        <f>[6]С3!F15</f>
        <v>0.25</v>
      </c>
    </row>
    <row r="87" spans="1:3" s="53" customFormat="1" ht="14.25">
      <c r="A87" s="67" t="s">
        <v>112</v>
      </c>
      <c r="B87" s="69" t="s">
        <v>113</v>
      </c>
      <c r="C87" s="52">
        <f>[6]С3!F18</f>
        <v>15</v>
      </c>
    </row>
    <row r="88" spans="1:3" s="53" customFormat="1" ht="17.25">
      <c r="A88" s="67" t="s">
        <v>114</v>
      </c>
      <c r="B88" s="27" t="s">
        <v>115</v>
      </c>
      <c r="C88" s="28">
        <f>[6]С3!F19</f>
        <v>4187.478806422544</v>
      </c>
    </row>
    <row r="89" spans="1:3" s="53" customFormat="1" ht="55.5">
      <c r="A89" s="67" t="s">
        <v>116</v>
      </c>
      <c r="B89" s="43" t="s">
        <v>117</v>
      </c>
      <c r="C89" s="70">
        <f>[6]С3!F20</f>
        <v>2.1999999999999999E-2</v>
      </c>
    </row>
    <row r="90" spans="1:3" s="53" customFormat="1" ht="14.25">
      <c r="A90" s="67" t="s">
        <v>118</v>
      </c>
      <c r="B90" s="48" t="s">
        <v>68</v>
      </c>
      <c r="C90" s="52">
        <f>[6]С3!F21</f>
        <v>10</v>
      </c>
    </row>
    <row r="91" spans="1:3" s="53" customFormat="1" ht="17.25">
      <c r="A91" s="67" t="s">
        <v>119</v>
      </c>
      <c r="B91" s="27" t="s">
        <v>120</v>
      </c>
      <c r="C91" s="28">
        <f>[6]С3!F22</f>
        <v>3.8889327533838998</v>
      </c>
    </row>
    <row r="92" spans="1:3" s="53" customFormat="1" ht="55.5">
      <c r="A92" s="67" t="s">
        <v>121</v>
      </c>
      <c r="B92" s="43" t="s">
        <v>122</v>
      </c>
      <c r="C92" s="70">
        <f>[6]С3!F23</f>
        <v>3.0000000000000001E-3</v>
      </c>
    </row>
    <row r="93" spans="1:3" s="53" customFormat="1" ht="27.75" thickBot="1">
      <c r="A93" s="71" t="s">
        <v>123</v>
      </c>
      <c r="B93" s="72" t="s">
        <v>241</v>
      </c>
      <c r="C93" s="73">
        <f>[6]С3!F24</f>
        <v>1296.3109177946333</v>
      </c>
    </row>
    <row r="94" spans="1:3" ht="13.5" thickBot="1">
      <c r="A94" s="39"/>
      <c r="B94" s="65"/>
      <c r="C94" s="13"/>
    </row>
    <row r="95" spans="1:3" ht="30" customHeight="1">
      <c r="A95" s="74" t="s">
        <v>124</v>
      </c>
      <c r="B95" s="141" t="s">
        <v>125</v>
      </c>
      <c r="C95" s="141"/>
    </row>
    <row r="96" spans="1:3" ht="30">
      <c r="A96" s="49" t="s">
        <v>126</v>
      </c>
      <c r="B96" s="27" t="s">
        <v>242</v>
      </c>
      <c r="C96" s="28">
        <f>[6]С4!F16</f>
        <v>1652.5</v>
      </c>
    </row>
    <row r="97" spans="1:3" ht="30">
      <c r="A97" s="49" t="s">
        <v>127</v>
      </c>
      <c r="B97" s="48" t="s">
        <v>243</v>
      </c>
      <c r="C97" s="28">
        <f>[6]С4!F17</f>
        <v>73547</v>
      </c>
    </row>
    <row r="98" spans="1:3" ht="17.25">
      <c r="A98" s="49" t="s">
        <v>128</v>
      </c>
      <c r="B98" s="48" t="s">
        <v>129</v>
      </c>
      <c r="C98" s="33">
        <f>[6]С4!F18</f>
        <v>0.02</v>
      </c>
    </row>
    <row r="99" spans="1:3" ht="30">
      <c r="A99" s="49" t="s">
        <v>130</v>
      </c>
      <c r="B99" s="48" t="s">
        <v>131</v>
      </c>
      <c r="C99" s="28">
        <f>[6]С4!F19</f>
        <v>12104</v>
      </c>
    </row>
    <row r="100" spans="1:3" ht="31.5">
      <c r="A100" s="49" t="s">
        <v>132</v>
      </c>
      <c r="B100" s="48" t="s">
        <v>133</v>
      </c>
      <c r="C100" s="33">
        <f>[6]С4!F20</f>
        <v>1.4999999999999999E-2</v>
      </c>
    </row>
    <row r="101" spans="1:3" ht="30">
      <c r="A101" s="49" t="s">
        <v>134</v>
      </c>
      <c r="B101" s="27" t="s">
        <v>244</v>
      </c>
      <c r="C101" s="28">
        <f>[6]С4!F21</f>
        <v>1933.1949342509995</v>
      </c>
    </row>
    <row r="102" spans="1:3" ht="24" customHeight="1">
      <c r="A102" s="49" t="s">
        <v>135</v>
      </c>
      <c r="B102" s="43" t="s">
        <v>136</v>
      </c>
      <c r="C102" s="75">
        <f>IF([6]С4.2!F8="да",[6]С4.2!D21,[6]С4.2!D15)</f>
        <v>0</v>
      </c>
    </row>
    <row r="103" spans="1:3" ht="68.25">
      <c r="A103" s="49" t="s">
        <v>137</v>
      </c>
      <c r="B103" s="43" t="s">
        <v>138</v>
      </c>
      <c r="C103" s="28">
        <f>[6]С4!F22</f>
        <v>3.6112641666666665</v>
      </c>
    </row>
    <row r="104" spans="1:3" ht="30">
      <c r="A104" s="49" t="s">
        <v>139</v>
      </c>
      <c r="B104" s="48" t="s">
        <v>245</v>
      </c>
      <c r="C104" s="28">
        <f>[6]С4!F23</f>
        <v>180</v>
      </c>
    </row>
    <row r="105" spans="1:3" ht="14.25">
      <c r="A105" s="49" t="s">
        <v>140</v>
      </c>
      <c r="B105" s="43" t="s">
        <v>141</v>
      </c>
      <c r="C105" s="28">
        <f>[6]С4!F24</f>
        <v>8497.1999999999989</v>
      </c>
    </row>
    <row r="106" spans="1:3" ht="14.25">
      <c r="A106" s="49" t="s">
        <v>142</v>
      </c>
      <c r="B106" s="48" t="s">
        <v>143</v>
      </c>
      <c r="C106" s="33">
        <f>[6]С4!F25</f>
        <v>0.35</v>
      </c>
    </row>
    <row r="107" spans="1:3" ht="17.25">
      <c r="A107" s="49" t="s">
        <v>144</v>
      </c>
      <c r="B107" s="27" t="s">
        <v>145</v>
      </c>
      <c r="C107" s="28">
        <f>[6]С4!F26</f>
        <v>60.495750000000001</v>
      </c>
    </row>
    <row r="108" spans="1:3" ht="25.5">
      <c r="A108" s="49" t="s">
        <v>146</v>
      </c>
      <c r="B108" s="43" t="s">
        <v>78</v>
      </c>
      <c r="C108" s="75">
        <f>[6]С4.3!E16</f>
        <v>0</v>
      </c>
    </row>
    <row r="109" spans="1:3" ht="25.5">
      <c r="A109" s="49" t="s">
        <v>147</v>
      </c>
      <c r="B109" s="43" t="s">
        <v>148</v>
      </c>
      <c r="C109" s="28">
        <f>[6]С4.3!E17</f>
        <v>17.25</v>
      </c>
    </row>
    <row r="110" spans="1:3" ht="38.25">
      <c r="A110" s="49" t="s">
        <v>149</v>
      </c>
      <c r="B110" s="43" t="s">
        <v>90</v>
      </c>
      <c r="C110" s="75">
        <f>[6]С4.3!E18</f>
        <v>0</v>
      </c>
    </row>
    <row r="111" spans="1:3">
      <c r="A111" s="49" t="s">
        <v>150</v>
      </c>
      <c r="B111" s="43" t="s">
        <v>151</v>
      </c>
      <c r="C111" s="28">
        <f>[6]С4.3!E19</f>
        <v>0</v>
      </c>
    </row>
    <row r="112" spans="1:3">
      <c r="A112" s="49" t="s">
        <v>152</v>
      </c>
      <c r="B112" s="48" t="s">
        <v>153</v>
      </c>
      <c r="C112" s="28">
        <f>[6]С4.3!E11</f>
        <v>1871</v>
      </c>
    </row>
    <row r="113" spans="1:3">
      <c r="A113" s="49" t="s">
        <v>154</v>
      </c>
      <c r="B113" s="48" t="s">
        <v>155</v>
      </c>
      <c r="C113" s="42">
        <f>[6]С4.3!E12</f>
        <v>1636</v>
      </c>
    </row>
    <row r="114" spans="1:3">
      <c r="A114" s="49" t="s">
        <v>156</v>
      </c>
      <c r="B114" s="48" t="s">
        <v>157</v>
      </c>
      <c r="C114" s="42">
        <f>[6]С4.3!E13</f>
        <v>204</v>
      </c>
    </row>
    <row r="115" spans="1:3" ht="30">
      <c r="A115" s="49" t="s">
        <v>158</v>
      </c>
      <c r="B115" s="27" t="s">
        <v>246</v>
      </c>
      <c r="C115" s="28">
        <f>[6]С4!F27</f>
        <v>1291.2863994686898</v>
      </c>
    </row>
    <row r="116" spans="1:3" ht="25.5">
      <c r="A116" s="49" t="s">
        <v>159</v>
      </c>
      <c r="B116" s="43" t="s">
        <v>247</v>
      </c>
      <c r="C116" s="28">
        <f>[6]С4!F28</f>
        <v>991.77142816335618</v>
      </c>
    </row>
    <row r="117" spans="1:3" ht="42.75">
      <c r="A117" s="49" t="s">
        <v>160</v>
      </c>
      <c r="B117" s="43" t="s">
        <v>161</v>
      </c>
      <c r="C117" s="28">
        <f>[6]С4!F29</f>
        <v>299.51497130533357</v>
      </c>
    </row>
    <row r="118" spans="1:3" ht="30">
      <c r="A118" s="49" t="s">
        <v>162</v>
      </c>
      <c r="B118" s="32" t="s">
        <v>163</v>
      </c>
      <c r="C118" s="28">
        <f>[6]С4!F30</f>
        <v>2685.4779048888622</v>
      </c>
    </row>
    <row r="119" spans="1:3" ht="42.75">
      <c r="A119" s="49" t="s">
        <v>248</v>
      </c>
      <c r="B119" s="76" t="s">
        <v>249</v>
      </c>
      <c r="C119" s="28">
        <f>[6]С4!F33</f>
        <v>1487.5389768353543</v>
      </c>
    </row>
    <row r="120" spans="1:3" ht="30">
      <c r="A120" s="49" t="s">
        <v>250</v>
      </c>
      <c r="B120" s="121" t="s">
        <v>251</v>
      </c>
      <c r="C120" s="28">
        <f>[6]С4!F35</f>
        <v>17.040680999999999</v>
      </c>
    </row>
    <row r="121" spans="1:3" ht="14.25">
      <c r="A121" s="49" t="s">
        <v>252</v>
      </c>
      <c r="B121" s="46" t="s">
        <v>253</v>
      </c>
      <c r="C121" s="28">
        <f>[6]С4!F36</f>
        <v>14319.9</v>
      </c>
    </row>
    <row r="122" spans="1:3" ht="28.5" thickBot="1">
      <c r="A122" s="62" t="s">
        <v>254</v>
      </c>
      <c r="B122" s="122" t="s">
        <v>255</v>
      </c>
      <c r="C122" s="73">
        <f>[6]С4!F37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[6]С5!F17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[6]С2!F37</f>
        <v>20.818139999999996</v>
      </c>
    </row>
    <row r="136" spans="1:3" ht="14.25">
      <c r="A136" s="49" t="s">
        <v>183</v>
      </c>
      <c r="B136" s="128" t="s">
        <v>184</v>
      </c>
      <c r="C136" s="28">
        <f>[6]С2!F38</f>
        <v>7</v>
      </c>
    </row>
    <row r="137" spans="1:3" ht="17.25">
      <c r="A137" s="49" t="s">
        <v>185</v>
      </c>
      <c r="B137" s="128" t="s">
        <v>186</v>
      </c>
      <c r="C137" s="28">
        <f>[6]С2!F40</f>
        <v>0.97</v>
      </c>
    </row>
    <row r="138" spans="1:3" ht="15" thickBot="1">
      <c r="A138" s="62" t="s">
        <v>187</v>
      </c>
      <c r="B138" s="129" t="s">
        <v>188</v>
      </c>
      <c r="C138" s="38">
        <f>[6]С2!F42</f>
        <v>0.35</v>
      </c>
    </row>
    <row r="139" spans="1:3" s="77" customFormat="1" ht="13.5" thickBot="1">
      <c r="A139" s="39"/>
      <c r="B139" s="65"/>
      <c r="C139" s="13"/>
    </row>
    <row r="140" spans="1:3" ht="30">
      <c r="A140" s="74" t="s">
        <v>189</v>
      </c>
      <c r="B140" s="84" t="s">
        <v>258</v>
      </c>
      <c r="C140" s="130">
        <f>[6]С2!F35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[6]С2.5!$E$11</f>
        <v>-2.9000000000000026E-2</v>
      </c>
    </row>
    <row r="144" spans="1:3">
      <c r="A144" s="85"/>
      <c r="B144" s="86">
        <f>B143+1</f>
        <v>2021</v>
      </c>
      <c r="C144" s="135">
        <f>[6]С2.5!$F$11</f>
        <v>0.245</v>
      </c>
    </row>
    <row r="145" spans="1:3">
      <c r="A145" s="85"/>
      <c r="B145" s="86">
        <f t="shared" ref="B145:B208" si="0">B144+1</f>
        <v>2022</v>
      </c>
      <c r="C145" s="135">
        <f>[6]С2.5!$G$11</f>
        <v>0.114</v>
      </c>
    </row>
    <row r="146" spans="1:3" ht="13.5" thickBot="1">
      <c r="A146" s="85"/>
      <c r="B146" s="87">
        <f t="shared" si="0"/>
        <v>2023</v>
      </c>
      <c r="C146" s="136">
        <f>[6]С2.5!$H$11</f>
        <v>0.04</v>
      </c>
    </row>
    <row r="147" spans="1:3">
      <c r="A147" s="85"/>
      <c r="B147" s="137">
        <f t="shared" si="0"/>
        <v>2024</v>
      </c>
      <c r="C147" s="138">
        <f>[6]С2.5!$I$11</f>
        <v>0.11700000000000001</v>
      </c>
    </row>
    <row r="148" spans="1:3">
      <c r="A148" s="85"/>
      <c r="B148" s="86">
        <f t="shared" si="0"/>
        <v>2025</v>
      </c>
      <c r="C148" s="135">
        <f>[6]С2.5!$J$11</f>
        <v>6.0999999999999999E-2</v>
      </c>
    </row>
    <row r="149" spans="1:3" hidden="1">
      <c r="A149" s="85"/>
      <c r="B149" s="86">
        <f t="shared" si="0"/>
        <v>2026</v>
      </c>
      <c r="C149" s="135">
        <f>[6]С2.5!$K$11</f>
        <v>3.5813361771260002E-2</v>
      </c>
    </row>
    <row r="150" spans="1:3" hidden="1">
      <c r="A150" s="85"/>
      <c r="B150" s="86">
        <f t="shared" si="0"/>
        <v>2027</v>
      </c>
      <c r="C150" s="135">
        <f>[6]С2.5!$L$11</f>
        <v>3.2682303599220003E-2</v>
      </c>
    </row>
    <row r="151" spans="1:3" hidden="1">
      <c r="A151" s="85"/>
      <c r="B151" s="86">
        <f t="shared" si="0"/>
        <v>2028</v>
      </c>
      <c r="C151" s="135">
        <f>[6]С2.5!$M$11</f>
        <v>0</v>
      </c>
    </row>
    <row r="152" spans="1:3" hidden="1">
      <c r="A152" s="85"/>
      <c r="B152" s="86">
        <f t="shared" si="0"/>
        <v>2029</v>
      </c>
      <c r="C152" s="135">
        <f>[6]С2.5!$N$11</f>
        <v>0</v>
      </c>
    </row>
    <row r="153" spans="1:3" hidden="1">
      <c r="A153" s="85"/>
      <c r="B153" s="86">
        <f t="shared" si="0"/>
        <v>2030</v>
      </c>
      <c r="C153" s="135">
        <f>[6]С2.5!$O$11</f>
        <v>0</v>
      </c>
    </row>
    <row r="154" spans="1:3" hidden="1">
      <c r="A154" s="85"/>
      <c r="B154" s="86">
        <f t="shared" si="0"/>
        <v>2031</v>
      </c>
      <c r="C154" s="135">
        <f>[6]С2.5!$P$11</f>
        <v>0</v>
      </c>
    </row>
    <row r="155" spans="1:3" hidden="1">
      <c r="A155" s="77"/>
      <c r="B155" s="86">
        <f t="shared" si="0"/>
        <v>2032</v>
      </c>
      <c r="C155" s="135">
        <f>[6]С2.5!$Q$11</f>
        <v>0</v>
      </c>
    </row>
    <row r="156" spans="1:3" hidden="1">
      <c r="A156" s="77"/>
      <c r="B156" s="86">
        <f t="shared" si="0"/>
        <v>2033</v>
      </c>
      <c r="C156" s="135">
        <f>[6]С2.5!$R$11</f>
        <v>0</v>
      </c>
    </row>
    <row r="157" spans="1:3" hidden="1">
      <c r="B157" s="86">
        <f t="shared" si="0"/>
        <v>2034</v>
      </c>
      <c r="C157" s="135">
        <f>[6]С2.5!$S$11</f>
        <v>0</v>
      </c>
    </row>
    <row r="158" spans="1:3" hidden="1">
      <c r="B158" s="86">
        <f t="shared" si="0"/>
        <v>2035</v>
      </c>
      <c r="C158" s="135">
        <f>[6]С2.5!$T$11</f>
        <v>0</v>
      </c>
    </row>
    <row r="159" spans="1:3" hidden="1">
      <c r="B159" s="86">
        <f t="shared" si="0"/>
        <v>2036</v>
      </c>
      <c r="C159" s="135">
        <f>[6]С2.5!$U$11</f>
        <v>0</v>
      </c>
    </row>
    <row r="160" spans="1:3" hidden="1">
      <c r="B160" s="86">
        <f t="shared" si="0"/>
        <v>2037</v>
      </c>
      <c r="C160" s="135">
        <f>[6]С2.5!$V$11</f>
        <v>0</v>
      </c>
    </row>
    <row r="161" spans="2:3" hidden="1">
      <c r="B161" s="86">
        <f t="shared" si="0"/>
        <v>2038</v>
      </c>
      <c r="C161" s="135">
        <f>[6]С2.5!$W$11</f>
        <v>0</v>
      </c>
    </row>
    <row r="162" spans="2:3" hidden="1">
      <c r="B162" s="86">
        <f t="shared" si="0"/>
        <v>2039</v>
      </c>
      <c r="C162" s="135">
        <f>[6]С2.5!$X$11</f>
        <v>0</v>
      </c>
    </row>
    <row r="163" spans="2:3" hidden="1">
      <c r="B163" s="86">
        <f t="shared" si="0"/>
        <v>2040</v>
      </c>
      <c r="C163" s="135">
        <f>[6]С2.5!$Y$11</f>
        <v>0</v>
      </c>
    </row>
    <row r="164" spans="2:3" hidden="1">
      <c r="B164" s="86">
        <f t="shared" si="0"/>
        <v>2041</v>
      </c>
      <c r="C164" s="135">
        <f>[6]С2.5!$Z$11</f>
        <v>0</v>
      </c>
    </row>
    <row r="165" spans="2:3" hidden="1">
      <c r="B165" s="86">
        <f t="shared" si="0"/>
        <v>2042</v>
      </c>
      <c r="C165" s="135">
        <f>[6]С2.5!$AA$11</f>
        <v>0</v>
      </c>
    </row>
    <row r="166" spans="2:3" hidden="1">
      <c r="B166" s="86">
        <f t="shared" si="0"/>
        <v>2043</v>
      </c>
      <c r="C166" s="135">
        <f>[6]С2.5!$AB$11</f>
        <v>0</v>
      </c>
    </row>
    <row r="167" spans="2:3" hidden="1">
      <c r="B167" s="86">
        <f t="shared" si="0"/>
        <v>2044</v>
      </c>
      <c r="C167" s="135">
        <f>[6]С2.5!$AC$11</f>
        <v>0</v>
      </c>
    </row>
    <row r="168" spans="2:3" hidden="1">
      <c r="B168" s="86">
        <f t="shared" si="0"/>
        <v>2045</v>
      </c>
      <c r="C168" s="135">
        <f>[6]С2.5!$AD$11</f>
        <v>0</v>
      </c>
    </row>
    <row r="169" spans="2:3" hidden="1">
      <c r="B169" s="86">
        <f t="shared" si="0"/>
        <v>2046</v>
      </c>
      <c r="C169" s="135">
        <f>[6]С2.5!$AE$11</f>
        <v>0</v>
      </c>
    </row>
    <row r="170" spans="2:3" hidden="1">
      <c r="B170" s="86">
        <f t="shared" si="0"/>
        <v>2047</v>
      </c>
      <c r="C170" s="135">
        <f>[6]С2.5!$AF$11</f>
        <v>0</v>
      </c>
    </row>
    <row r="171" spans="2:3" hidden="1">
      <c r="B171" s="86">
        <f t="shared" si="0"/>
        <v>2048</v>
      </c>
      <c r="C171" s="135">
        <f>[6]С2.5!$AG$11</f>
        <v>0</v>
      </c>
    </row>
    <row r="172" spans="2:3" hidden="1">
      <c r="B172" s="86">
        <f t="shared" si="0"/>
        <v>2049</v>
      </c>
      <c r="C172" s="135">
        <f>[6]С2.5!$AH$11</f>
        <v>0</v>
      </c>
    </row>
    <row r="173" spans="2:3" hidden="1">
      <c r="B173" s="86">
        <f t="shared" si="0"/>
        <v>2050</v>
      </c>
      <c r="C173" s="135">
        <f>[6]С2.5!$AI$11</f>
        <v>0</v>
      </c>
    </row>
    <row r="174" spans="2:3" hidden="1">
      <c r="B174" s="86">
        <f t="shared" si="0"/>
        <v>2051</v>
      </c>
      <c r="C174" s="135">
        <f>[6]С2.5!$AJ$11</f>
        <v>0</v>
      </c>
    </row>
    <row r="175" spans="2:3" hidden="1">
      <c r="B175" s="86">
        <f t="shared" si="0"/>
        <v>2052</v>
      </c>
      <c r="C175" s="135">
        <f>[6]С2.5!$AK$11</f>
        <v>0</v>
      </c>
    </row>
    <row r="176" spans="2:3" hidden="1">
      <c r="B176" s="86">
        <f t="shared" si="0"/>
        <v>2053</v>
      </c>
      <c r="C176" s="135">
        <f>[6]С2.5!$AL$11</f>
        <v>0</v>
      </c>
    </row>
    <row r="177" spans="2:3" hidden="1">
      <c r="B177" s="86">
        <f t="shared" si="0"/>
        <v>2054</v>
      </c>
      <c r="C177" s="135">
        <f>[6]С2.5!$AM$11</f>
        <v>0</v>
      </c>
    </row>
    <row r="178" spans="2:3" hidden="1">
      <c r="B178" s="86">
        <f t="shared" si="0"/>
        <v>2055</v>
      </c>
      <c r="C178" s="135">
        <f>[6]С2.5!$AN$11</f>
        <v>0</v>
      </c>
    </row>
    <row r="179" spans="2:3" hidden="1">
      <c r="B179" s="86">
        <f t="shared" si="0"/>
        <v>2056</v>
      </c>
      <c r="C179" s="135">
        <f>[6]С2.5!$AO$11</f>
        <v>0</v>
      </c>
    </row>
    <row r="180" spans="2:3" hidden="1">
      <c r="B180" s="86">
        <f t="shared" si="0"/>
        <v>2057</v>
      </c>
      <c r="C180" s="135">
        <f>[6]С2.5!$AP$11</f>
        <v>0</v>
      </c>
    </row>
    <row r="181" spans="2:3" hidden="1">
      <c r="B181" s="86">
        <f t="shared" si="0"/>
        <v>2058</v>
      </c>
      <c r="C181" s="135">
        <f>[6]С2.5!$AQ$11</f>
        <v>0</v>
      </c>
    </row>
    <row r="182" spans="2:3" hidden="1">
      <c r="B182" s="86">
        <f t="shared" si="0"/>
        <v>2059</v>
      </c>
      <c r="C182" s="135">
        <f>[6]С2.5!$AR$11</f>
        <v>0</v>
      </c>
    </row>
    <row r="183" spans="2:3" hidden="1">
      <c r="B183" s="86">
        <f t="shared" si="0"/>
        <v>2060</v>
      </c>
      <c r="C183" s="135">
        <f>[6]С2.5!$AS$11</f>
        <v>0</v>
      </c>
    </row>
    <row r="184" spans="2:3" hidden="1">
      <c r="B184" s="86">
        <f t="shared" si="0"/>
        <v>2061</v>
      </c>
      <c r="C184" s="135">
        <f>[6]С2.5!$AT$11</f>
        <v>0</v>
      </c>
    </row>
    <row r="185" spans="2:3" hidden="1">
      <c r="B185" s="86">
        <f t="shared" si="0"/>
        <v>2062</v>
      </c>
      <c r="C185" s="135">
        <f>[6]С2.5!$AU$11</f>
        <v>0</v>
      </c>
    </row>
    <row r="186" spans="2:3" hidden="1">
      <c r="B186" s="86">
        <f t="shared" si="0"/>
        <v>2063</v>
      </c>
      <c r="C186" s="135">
        <f>[6]С2.5!$AV$11</f>
        <v>0</v>
      </c>
    </row>
    <row r="187" spans="2:3" hidden="1">
      <c r="B187" s="86">
        <f t="shared" si="0"/>
        <v>2064</v>
      </c>
      <c r="C187" s="135">
        <f>[6]С2.5!$AW$11</f>
        <v>0</v>
      </c>
    </row>
    <row r="188" spans="2:3" hidden="1">
      <c r="B188" s="86">
        <f t="shared" si="0"/>
        <v>2065</v>
      </c>
      <c r="C188" s="135">
        <f>[6]С2.5!$AX$11</f>
        <v>0</v>
      </c>
    </row>
    <row r="189" spans="2:3" hidden="1">
      <c r="B189" s="86">
        <f t="shared" si="0"/>
        <v>2066</v>
      </c>
      <c r="C189" s="135">
        <f>[6]С2.5!$AY$11</f>
        <v>0</v>
      </c>
    </row>
    <row r="190" spans="2:3" hidden="1">
      <c r="B190" s="86">
        <f t="shared" si="0"/>
        <v>2067</v>
      </c>
      <c r="C190" s="135">
        <f>[6]С2.5!$AZ$11</f>
        <v>0</v>
      </c>
    </row>
    <row r="191" spans="2:3" hidden="1">
      <c r="B191" s="86">
        <f t="shared" si="0"/>
        <v>2068</v>
      </c>
      <c r="C191" s="135">
        <f>[6]С2.5!$BA$11</f>
        <v>0</v>
      </c>
    </row>
    <row r="192" spans="2:3" hidden="1">
      <c r="B192" s="86">
        <f t="shared" si="0"/>
        <v>2069</v>
      </c>
      <c r="C192" s="135">
        <f>[6]С2.5!$BB$11</f>
        <v>0</v>
      </c>
    </row>
    <row r="193" spans="2:3" hidden="1">
      <c r="B193" s="86">
        <f t="shared" si="0"/>
        <v>2070</v>
      </c>
      <c r="C193" s="135">
        <f>[6]С2.5!$BC$11</f>
        <v>0</v>
      </c>
    </row>
    <row r="194" spans="2:3" hidden="1">
      <c r="B194" s="86">
        <f t="shared" si="0"/>
        <v>2071</v>
      </c>
      <c r="C194" s="135">
        <f>[6]С2.5!$BD$11</f>
        <v>0</v>
      </c>
    </row>
    <row r="195" spans="2:3" hidden="1">
      <c r="B195" s="86">
        <f t="shared" si="0"/>
        <v>2072</v>
      </c>
      <c r="C195" s="135">
        <f>[6]С2.5!$BE$11</f>
        <v>0</v>
      </c>
    </row>
    <row r="196" spans="2:3" hidden="1">
      <c r="B196" s="86">
        <f t="shared" si="0"/>
        <v>2073</v>
      </c>
      <c r="C196" s="135">
        <f>[6]С2.5!$BF$11</f>
        <v>0</v>
      </c>
    </row>
    <row r="197" spans="2:3" hidden="1">
      <c r="B197" s="86">
        <f t="shared" si="0"/>
        <v>2074</v>
      </c>
      <c r="C197" s="135">
        <f>[6]С2.5!$BG$11</f>
        <v>0</v>
      </c>
    </row>
    <row r="198" spans="2:3" hidden="1">
      <c r="B198" s="86">
        <f t="shared" si="0"/>
        <v>2075</v>
      </c>
      <c r="C198" s="135">
        <f>[6]С2.5!$BH$11</f>
        <v>0</v>
      </c>
    </row>
    <row r="199" spans="2:3" hidden="1">
      <c r="B199" s="86">
        <f t="shared" si="0"/>
        <v>2076</v>
      </c>
      <c r="C199" s="135">
        <f>[6]С2.5!$BI$11</f>
        <v>0</v>
      </c>
    </row>
    <row r="200" spans="2:3" hidden="1">
      <c r="B200" s="86">
        <f t="shared" si="0"/>
        <v>2077</v>
      </c>
      <c r="C200" s="135">
        <f>[6]С2.5!$BJ$11</f>
        <v>0</v>
      </c>
    </row>
    <row r="201" spans="2:3" hidden="1">
      <c r="B201" s="86">
        <f t="shared" si="0"/>
        <v>2078</v>
      </c>
      <c r="C201" s="135">
        <f>[6]С2.5!$BK$11</f>
        <v>0</v>
      </c>
    </row>
    <row r="202" spans="2:3" hidden="1">
      <c r="B202" s="86">
        <f t="shared" si="0"/>
        <v>2079</v>
      </c>
      <c r="C202" s="135">
        <f>[6]С2.5!$BL$11</f>
        <v>0</v>
      </c>
    </row>
    <row r="203" spans="2:3" hidden="1">
      <c r="B203" s="86">
        <f t="shared" si="0"/>
        <v>2080</v>
      </c>
      <c r="C203" s="135">
        <f>[6]С2.5!$BM$11</f>
        <v>0</v>
      </c>
    </row>
    <row r="204" spans="2:3" hidden="1">
      <c r="B204" s="86">
        <f t="shared" si="0"/>
        <v>2081</v>
      </c>
      <c r="C204" s="135">
        <f>[6]С2.5!$BN$11</f>
        <v>0</v>
      </c>
    </row>
    <row r="205" spans="2:3" hidden="1">
      <c r="B205" s="86">
        <f t="shared" si="0"/>
        <v>2082</v>
      </c>
      <c r="C205" s="135">
        <f>[6]С2.5!$BO$11</f>
        <v>0</v>
      </c>
    </row>
    <row r="206" spans="2:3" hidden="1">
      <c r="B206" s="86">
        <f t="shared" si="0"/>
        <v>2083</v>
      </c>
      <c r="C206" s="135">
        <f>[6]С2.5!$BP$11</f>
        <v>0</v>
      </c>
    </row>
    <row r="207" spans="2:3" hidden="1">
      <c r="B207" s="86">
        <f t="shared" si="0"/>
        <v>2084</v>
      </c>
      <c r="C207" s="135">
        <f>[6]С2.5!$BQ$11</f>
        <v>0</v>
      </c>
    </row>
    <row r="208" spans="2:3" hidden="1">
      <c r="B208" s="86">
        <f t="shared" si="0"/>
        <v>2085</v>
      </c>
      <c r="C208" s="135">
        <f>[6]С2.5!$BR$11</f>
        <v>0</v>
      </c>
    </row>
    <row r="209" spans="2:3" hidden="1">
      <c r="B209" s="86">
        <f t="shared" ref="B209:B223" si="1">B208+1</f>
        <v>2086</v>
      </c>
      <c r="C209" s="135">
        <f>[6]С2.5!$BS$11</f>
        <v>0</v>
      </c>
    </row>
    <row r="210" spans="2:3" hidden="1">
      <c r="B210" s="86">
        <f t="shared" si="1"/>
        <v>2087</v>
      </c>
      <c r="C210" s="135">
        <f>[6]С2.5!$BT$11</f>
        <v>0</v>
      </c>
    </row>
    <row r="211" spans="2:3" hidden="1">
      <c r="B211" s="86">
        <f t="shared" si="1"/>
        <v>2088</v>
      </c>
      <c r="C211" s="135">
        <f>[6]С2.5!$BU$11</f>
        <v>0</v>
      </c>
    </row>
    <row r="212" spans="2:3" hidden="1">
      <c r="B212" s="86">
        <f t="shared" si="1"/>
        <v>2089</v>
      </c>
      <c r="C212" s="135">
        <f>[6]С2.5!$BV$11</f>
        <v>0</v>
      </c>
    </row>
    <row r="213" spans="2:3" hidden="1">
      <c r="B213" s="86">
        <f t="shared" si="1"/>
        <v>2090</v>
      </c>
      <c r="C213" s="135">
        <f>[6]С2.5!$BW$11</f>
        <v>0</v>
      </c>
    </row>
    <row r="214" spans="2:3" hidden="1">
      <c r="B214" s="86">
        <f t="shared" si="1"/>
        <v>2091</v>
      </c>
      <c r="C214" s="135">
        <f>[6]С2.5!$BX$11</f>
        <v>0</v>
      </c>
    </row>
    <row r="215" spans="2:3" hidden="1">
      <c r="B215" s="86">
        <f t="shared" si="1"/>
        <v>2092</v>
      </c>
      <c r="C215" s="135">
        <f>[6]С2.5!$BY$11</f>
        <v>0</v>
      </c>
    </row>
    <row r="216" spans="2:3" hidden="1">
      <c r="B216" s="86">
        <f t="shared" si="1"/>
        <v>2093</v>
      </c>
      <c r="C216" s="135">
        <f>[6]С2.5!$BZ$11</f>
        <v>0</v>
      </c>
    </row>
    <row r="217" spans="2:3" hidden="1">
      <c r="B217" s="86">
        <f t="shared" si="1"/>
        <v>2094</v>
      </c>
      <c r="C217" s="135">
        <f>[6]С2.5!$CA$11</f>
        <v>0</v>
      </c>
    </row>
    <row r="218" spans="2:3" hidden="1">
      <c r="B218" s="86">
        <f t="shared" si="1"/>
        <v>2095</v>
      </c>
      <c r="C218" s="135">
        <f>[6]С2.5!$CB$11</f>
        <v>0</v>
      </c>
    </row>
    <row r="219" spans="2:3" hidden="1">
      <c r="B219" s="86">
        <f t="shared" si="1"/>
        <v>2096</v>
      </c>
      <c r="C219" s="135">
        <f>[6]С2.5!$CC$11</f>
        <v>0</v>
      </c>
    </row>
    <row r="220" spans="2:3" hidden="1">
      <c r="B220" s="86">
        <f t="shared" si="1"/>
        <v>2097</v>
      </c>
      <c r="C220" s="135">
        <f>[6]С2.5!$CD$11</f>
        <v>0</v>
      </c>
    </row>
    <row r="221" spans="2:3" hidden="1">
      <c r="B221" s="86">
        <f t="shared" si="1"/>
        <v>2098</v>
      </c>
      <c r="C221" s="135">
        <f>[6]С2.5!$CE$11</f>
        <v>0</v>
      </c>
    </row>
    <row r="222" spans="2:3" hidden="1">
      <c r="B222" s="86">
        <f t="shared" si="1"/>
        <v>2099</v>
      </c>
      <c r="C222" s="135">
        <f>[6]С2.5!$CF$11</f>
        <v>0</v>
      </c>
    </row>
    <row r="223" spans="2:3" ht="13.5" hidden="1" thickBot="1">
      <c r="B223" s="87">
        <f t="shared" si="1"/>
        <v>2100</v>
      </c>
      <c r="C223" s="136">
        <f>[6]С2.5!$CG$11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[7]И1!D13</f>
        <v>Субъект Российской Федерации</v>
      </c>
      <c r="C4" s="8" t="str">
        <f>[7]И1!E13</f>
        <v>Новосибирская область</v>
      </c>
    </row>
    <row r="5" spans="1:3" ht="46.9" customHeight="1">
      <c r="A5" s="6"/>
      <c r="B5" s="7" t="str">
        <f>[7]И1!D14</f>
        <v>Тип муниципального образования (выберите из списка)</v>
      </c>
      <c r="C5" s="8" t="str">
        <f>[7]И1!E14</f>
        <v>село Новогандичево, Убинский муниципальный район</v>
      </c>
    </row>
    <row r="6" spans="1:3">
      <c r="A6" s="6"/>
      <c r="B6" s="7" t="str">
        <f>IF([7]И1!E15="","",[7]И1!D15)</f>
        <v/>
      </c>
      <c r="C6" s="8" t="str">
        <f>IF([7]И1!E15="","",[7]И1!E15)</f>
        <v/>
      </c>
    </row>
    <row r="7" spans="1:3">
      <c r="A7" s="6"/>
      <c r="B7" s="7" t="str">
        <f>[7]И1!D16</f>
        <v>Код ОКТМО</v>
      </c>
      <c r="C7" s="9" t="str">
        <f>[7]И1!E16</f>
        <v>50654404101</v>
      </c>
    </row>
    <row r="8" spans="1:3">
      <c r="A8" s="6"/>
      <c r="B8" s="10" t="str">
        <f>[7]И1!D17</f>
        <v>Система теплоснабжения</v>
      </c>
      <c r="C8" s="11">
        <f>[7]И1!E17</f>
        <v>0</v>
      </c>
    </row>
    <row r="9" spans="1:3">
      <c r="A9" s="6"/>
      <c r="B9" s="7" t="str">
        <f>[7]И1!D8</f>
        <v>Период регулирования (i)-й</v>
      </c>
      <c r="C9" s="12">
        <f>[7]И1!E8</f>
        <v>2025</v>
      </c>
    </row>
    <row r="10" spans="1:3">
      <c r="A10" s="6"/>
      <c r="B10" s="7" t="str">
        <f>[7]И1!D9</f>
        <v>Период регулирования (i-1)-й</v>
      </c>
      <c r="C10" s="12">
        <f>[7]И1!E9</f>
        <v>2024</v>
      </c>
    </row>
    <row r="11" spans="1:3">
      <c r="A11" s="6"/>
      <c r="B11" s="7" t="str">
        <f>[7]И1!D10</f>
        <v>Период регулирования (i-2)-й</v>
      </c>
      <c r="C11" s="12">
        <f>[7]И1!E10</f>
        <v>2023</v>
      </c>
    </row>
    <row r="12" spans="1:3">
      <c r="A12" s="6"/>
      <c r="B12" s="7" t="str">
        <f>[7]И1!D11</f>
        <v>Базовый год (б)</v>
      </c>
      <c r="C12" s="12">
        <f>[7]И1!E11</f>
        <v>2019</v>
      </c>
    </row>
    <row r="13" spans="1:3" ht="38.25">
      <c r="A13" s="6"/>
      <c r="B13" s="7" t="str">
        <f>[7]И1!D18</f>
        <v>Вид топлива, использование которого преобладает в системе теплоснабжения</v>
      </c>
      <c r="C13" s="13" t="str">
        <f>[7]С1.1!E13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5636.2045371806253</v>
      </c>
    </row>
    <row r="18" spans="1:3" ht="42.75">
      <c r="A18" s="16" t="s">
        <v>7</v>
      </c>
      <c r="B18" s="19" t="s">
        <v>8</v>
      </c>
      <c r="C18" s="20">
        <f>[7]С1!F12</f>
        <v>1085.5438619944462</v>
      </c>
    </row>
    <row r="19" spans="1:3" ht="42.75">
      <c r="A19" s="16" t="s">
        <v>9</v>
      </c>
      <c r="B19" s="19" t="s">
        <v>10</v>
      </c>
      <c r="C19" s="20">
        <f>[7]С2!F12</f>
        <v>3012.2481724096506</v>
      </c>
    </row>
    <row r="20" spans="1:3" ht="30">
      <c r="A20" s="16" t="s">
        <v>11</v>
      </c>
      <c r="B20" s="19" t="s">
        <v>12</v>
      </c>
      <c r="C20" s="20">
        <f>[7]С3!F12</f>
        <v>900.64903029838558</v>
      </c>
    </row>
    <row r="21" spans="1:3" ht="42.75">
      <c r="A21" s="16" t="s">
        <v>13</v>
      </c>
      <c r="B21" s="19" t="s">
        <v>226</v>
      </c>
      <c r="C21" s="20">
        <f>[7]С4!F12</f>
        <v>527.24965802362146</v>
      </c>
    </row>
    <row r="22" spans="1:3" ht="30">
      <c r="A22" s="16" t="s">
        <v>14</v>
      </c>
      <c r="B22" s="19" t="s">
        <v>227</v>
      </c>
      <c r="C22" s="20">
        <f>[7]С5!F12</f>
        <v>110.51381445452208</v>
      </c>
    </row>
    <row r="23" spans="1:3" ht="43.5" thickBot="1">
      <c r="A23" s="21" t="s">
        <v>15</v>
      </c>
      <c r="B23" s="140" t="s">
        <v>228</v>
      </c>
      <c r="C23" s="22" t="str">
        <f>[7]С6!F12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[7]С1.1!E16</f>
        <v>5100</v>
      </c>
    </row>
    <row r="29" spans="1:3" ht="42.75">
      <c r="A29" s="16" t="s">
        <v>9</v>
      </c>
      <c r="B29" s="27" t="s">
        <v>230</v>
      </c>
      <c r="C29" s="28">
        <f>[7]С1.1!E27</f>
        <v>3915.8333333333335</v>
      </c>
    </row>
    <row r="30" spans="1:3" ht="17.25">
      <c r="A30" s="16" t="s">
        <v>11</v>
      </c>
      <c r="B30" s="27" t="s">
        <v>17</v>
      </c>
      <c r="C30" s="29">
        <f>[7]С1.1!E19</f>
        <v>1.4E-2</v>
      </c>
    </row>
    <row r="31" spans="1:3" ht="17.25">
      <c r="A31" s="16" t="s">
        <v>13</v>
      </c>
      <c r="B31" s="27" t="s">
        <v>18</v>
      </c>
      <c r="C31" s="29">
        <f>[7]С1.1!E20</f>
        <v>0.04</v>
      </c>
    </row>
    <row r="32" spans="1:3" ht="30">
      <c r="A32" s="16" t="s">
        <v>14</v>
      </c>
      <c r="B32" s="30" t="s">
        <v>231</v>
      </c>
      <c r="C32" s="117">
        <f>[7]С1!F13</f>
        <v>176.4</v>
      </c>
    </row>
    <row r="33" spans="1:3">
      <c r="A33" s="16" t="s">
        <v>15</v>
      </c>
      <c r="B33" s="30" t="s">
        <v>19</v>
      </c>
      <c r="C33" s="31">
        <f>[7]С1!F16</f>
        <v>7000</v>
      </c>
    </row>
    <row r="34" spans="1:3" ht="14.25">
      <c r="A34" s="16" t="s">
        <v>20</v>
      </c>
      <c r="B34" s="32" t="s">
        <v>232</v>
      </c>
      <c r="C34" s="33">
        <f>[7]С1!F17</f>
        <v>0.72857142857142854</v>
      </c>
    </row>
    <row r="35" spans="1:3" ht="15.75">
      <c r="A35" s="118" t="s">
        <v>21</v>
      </c>
      <c r="B35" s="34" t="s">
        <v>22</v>
      </c>
      <c r="C35" s="33">
        <f>[7]С1!F20</f>
        <v>21.588411179999994</v>
      </c>
    </row>
    <row r="36" spans="1:3" ht="15.75">
      <c r="A36" s="118" t="s">
        <v>23</v>
      </c>
      <c r="B36" s="35" t="s">
        <v>24</v>
      </c>
      <c r="C36" s="33">
        <f>[7]С1!F21</f>
        <v>20.818139999999996</v>
      </c>
    </row>
    <row r="37" spans="1:3" ht="14.25">
      <c r="A37" s="118" t="s">
        <v>25</v>
      </c>
      <c r="B37" s="36" t="s">
        <v>26</v>
      </c>
      <c r="C37" s="33">
        <f>[7]С1!F22</f>
        <v>1.0369999999999999</v>
      </c>
    </row>
    <row r="38" spans="1:3" ht="53.25" thickBot="1">
      <c r="A38" s="21" t="s">
        <v>27</v>
      </c>
      <c r="B38" s="37" t="s">
        <v>28</v>
      </c>
      <c r="C38" s="38">
        <f>[7]С1!F23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[7]С2.1!E12</f>
        <v>V</v>
      </c>
    </row>
    <row r="42" spans="1:3" ht="25.5">
      <c r="A42" s="16" t="s">
        <v>33</v>
      </c>
      <c r="B42" s="27" t="s">
        <v>34</v>
      </c>
      <c r="C42" s="41" t="str">
        <f>[7]С2.1!E13</f>
        <v>6 и менее баллов</v>
      </c>
    </row>
    <row r="43" spans="1:3" ht="25.5">
      <c r="A43" s="16" t="s">
        <v>35</v>
      </c>
      <c r="B43" s="27" t="s">
        <v>233</v>
      </c>
      <c r="C43" s="41" t="str">
        <f>[7]С2.1!E14</f>
        <v>от 200 до 500</v>
      </c>
    </row>
    <row r="44" spans="1:3" ht="25.5">
      <c r="A44" s="16" t="s">
        <v>36</v>
      </c>
      <c r="B44" s="27" t="s">
        <v>234</v>
      </c>
      <c r="C44" s="42" t="str">
        <f>[7]С2.1!E15</f>
        <v>нет</v>
      </c>
    </row>
    <row r="45" spans="1:3" ht="30">
      <c r="A45" s="16" t="s">
        <v>37</v>
      </c>
      <c r="B45" s="27" t="s">
        <v>38</v>
      </c>
      <c r="C45" s="28">
        <f>[7]С2!F18</f>
        <v>38910.02669467502</v>
      </c>
    </row>
    <row r="46" spans="1:3" ht="30">
      <c r="A46" s="16" t="s">
        <v>39</v>
      </c>
      <c r="B46" s="43" t="s">
        <v>40</v>
      </c>
      <c r="C46" s="28">
        <f>IF([7]С2!F19&gt;0,[7]С2!F19,[7]С2!F20)</f>
        <v>23441.524932855718</v>
      </c>
    </row>
    <row r="47" spans="1:3" ht="25.5">
      <c r="A47" s="16" t="s">
        <v>41</v>
      </c>
      <c r="B47" s="44" t="s">
        <v>42</v>
      </c>
      <c r="C47" s="28">
        <f>[7]С2.1!E19</f>
        <v>-38</v>
      </c>
    </row>
    <row r="48" spans="1:3" ht="25.5">
      <c r="A48" s="16" t="s">
        <v>43</v>
      </c>
      <c r="B48" s="44" t="s">
        <v>44</v>
      </c>
      <c r="C48" s="28" t="str">
        <f>[7]С2.1!E22</f>
        <v>нет</v>
      </c>
    </row>
    <row r="49" spans="1:3" ht="38.25">
      <c r="A49" s="16" t="s">
        <v>45</v>
      </c>
      <c r="B49" s="45" t="s">
        <v>46</v>
      </c>
      <c r="C49" s="28">
        <f>[7]С2.2!E10</f>
        <v>1287</v>
      </c>
    </row>
    <row r="50" spans="1:3" ht="25.5">
      <c r="A50" s="16" t="s">
        <v>47</v>
      </c>
      <c r="B50" s="46" t="s">
        <v>48</v>
      </c>
      <c r="C50" s="28">
        <f>[7]С2.2!E12</f>
        <v>5.97</v>
      </c>
    </row>
    <row r="51" spans="1:3" ht="52.5">
      <c r="A51" s="16" t="s">
        <v>49</v>
      </c>
      <c r="B51" s="47" t="s">
        <v>50</v>
      </c>
      <c r="C51" s="28">
        <f>[7]С2.2!E13</f>
        <v>1</v>
      </c>
    </row>
    <row r="52" spans="1:3" ht="27.75">
      <c r="A52" s="16" t="s">
        <v>51</v>
      </c>
      <c r="B52" s="46" t="s">
        <v>52</v>
      </c>
      <c r="C52" s="28">
        <f>[7]С2.2!E14</f>
        <v>12104</v>
      </c>
    </row>
    <row r="53" spans="1:3" ht="25.5">
      <c r="A53" s="16" t="s">
        <v>53</v>
      </c>
      <c r="B53" s="47" t="s">
        <v>54</v>
      </c>
      <c r="C53" s="29">
        <f>[7]С2.2!E15</f>
        <v>4.8000000000000001E-2</v>
      </c>
    </row>
    <row r="54" spans="1:3">
      <c r="A54" s="16" t="s">
        <v>55</v>
      </c>
      <c r="B54" s="47" t="s">
        <v>56</v>
      </c>
      <c r="C54" s="28">
        <f>[7]С2.2!E16</f>
        <v>1</v>
      </c>
    </row>
    <row r="55" spans="1:3" ht="15.75">
      <c r="A55" s="16" t="s">
        <v>57</v>
      </c>
      <c r="B55" s="48" t="s">
        <v>58</v>
      </c>
      <c r="C55" s="28">
        <f>[7]С2!F21</f>
        <v>1</v>
      </c>
    </row>
    <row r="56" spans="1:3" ht="30">
      <c r="A56" s="49" t="s">
        <v>59</v>
      </c>
      <c r="B56" s="27" t="s">
        <v>235</v>
      </c>
      <c r="C56" s="28">
        <f>[7]С2!F13</f>
        <v>203708.97017230222</v>
      </c>
    </row>
    <row r="57" spans="1:3" ht="30">
      <c r="A57" s="49" t="s">
        <v>60</v>
      </c>
      <c r="B57" s="48" t="s">
        <v>236</v>
      </c>
      <c r="C57" s="28">
        <f>[7]С2!F14</f>
        <v>113455</v>
      </c>
    </row>
    <row r="58" spans="1:3" ht="15.75">
      <c r="A58" s="49" t="s">
        <v>61</v>
      </c>
      <c r="B58" s="50" t="s">
        <v>62</v>
      </c>
      <c r="C58" s="33">
        <f>[7]С2!F15</f>
        <v>1.071</v>
      </c>
    </row>
    <row r="59" spans="1:3" ht="15.75">
      <c r="A59" s="49" t="s">
        <v>63</v>
      </c>
      <c r="B59" s="50" t="s">
        <v>64</v>
      </c>
      <c r="C59" s="33">
        <f>[7]С2!F16</f>
        <v>1</v>
      </c>
    </row>
    <row r="60" spans="1:3" ht="17.25">
      <c r="A60" s="49" t="s">
        <v>65</v>
      </c>
      <c r="B60" s="48" t="s">
        <v>66</v>
      </c>
      <c r="C60" s="28">
        <f>[7]С2!F17</f>
        <v>1.01</v>
      </c>
    </row>
    <row r="61" spans="1:3" s="53" customFormat="1" ht="14.25">
      <c r="A61" s="49" t="s">
        <v>67</v>
      </c>
      <c r="B61" s="51" t="s">
        <v>68</v>
      </c>
      <c r="C61" s="52">
        <f>[7]С2!F33</f>
        <v>10</v>
      </c>
    </row>
    <row r="62" spans="1:3" ht="30">
      <c r="A62" s="49" t="s">
        <v>69</v>
      </c>
      <c r="B62" s="54" t="s">
        <v>70</v>
      </c>
      <c r="C62" s="28">
        <f>[7]С2!F26</f>
        <v>1296.3109177946333</v>
      </c>
    </row>
    <row r="63" spans="1:3" ht="17.25">
      <c r="A63" s="49" t="s">
        <v>71</v>
      </c>
      <c r="B63" s="43" t="s">
        <v>237</v>
      </c>
      <c r="C63" s="28">
        <f>[7]С2!F27</f>
        <v>0.18594487800000001</v>
      </c>
    </row>
    <row r="64" spans="1:3" ht="17.25">
      <c r="A64" s="49" t="s">
        <v>72</v>
      </c>
      <c r="B64" s="48" t="s">
        <v>238</v>
      </c>
      <c r="C64" s="52">
        <f>[7]С2!F28</f>
        <v>4200</v>
      </c>
    </row>
    <row r="65" spans="1:3" ht="42.75">
      <c r="A65" s="49" t="s">
        <v>73</v>
      </c>
      <c r="B65" s="27" t="s">
        <v>239</v>
      </c>
      <c r="C65" s="28">
        <f>[7]С2!F22</f>
        <v>42890.921752741691</v>
      </c>
    </row>
    <row r="66" spans="1:3" ht="30">
      <c r="A66" s="49" t="s">
        <v>74</v>
      </c>
      <c r="B66" s="50" t="s">
        <v>240</v>
      </c>
      <c r="C66" s="28">
        <f>[7]С2!F23</f>
        <v>1990</v>
      </c>
    </row>
    <row r="67" spans="1:3" ht="30">
      <c r="A67" s="49" t="s">
        <v>75</v>
      </c>
      <c r="B67" s="43" t="s">
        <v>76</v>
      </c>
      <c r="C67" s="28">
        <f>[7]С2.1!E27</f>
        <v>14307.876789999998</v>
      </c>
    </row>
    <row r="68" spans="1:3" ht="38.25">
      <c r="A68" s="49" t="s">
        <v>77</v>
      </c>
      <c r="B68" s="55" t="s">
        <v>78</v>
      </c>
      <c r="C68" s="42">
        <f>[7]С2.3!E21</f>
        <v>0</v>
      </c>
    </row>
    <row r="69" spans="1:3" ht="25.5">
      <c r="A69" s="49" t="s">
        <v>79</v>
      </c>
      <c r="B69" s="56" t="s">
        <v>80</v>
      </c>
      <c r="C69" s="57">
        <f>[7]С2.3!E11</f>
        <v>9.89</v>
      </c>
    </row>
    <row r="70" spans="1:3" ht="25.5">
      <c r="A70" s="49" t="s">
        <v>81</v>
      </c>
      <c r="B70" s="56" t="s">
        <v>82</v>
      </c>
      <c r="C70" s="52">
        <f>[7]С2.3!E13</f>
        <v>300</v>
      </c>
    </row>
    <row r="71" spans="1:3" ht="25.5">
      <c r="A71" s="49" t="s">
        <v>83</v>
      </c>
      <c r="B71" s="55" t="s">
        <v>84</v>
      </c>
      <c r="C71" s="58">
        <f>IF([7]С2.3!E22&gt;0,[7]С2.3!E22,[7]С2.3!E14)</f>
        <v>61211</v>
      </c>
    </row>
    <row r="72" spans="1:3" ht="38.25">
      <c r="A72" s="49" t="s">
        <v>85</v>
      </c>
      <c r="B72" s="55" t="s">
        <v>86</v>
      </c>
      <c r="C72" s="58">
        <f>IF([7]С2.3!E23&gt;0,[7]С2.3!E23,[7]С2.3!E15)</f>
        <v>45675</v>
      </c>
    </row>
    <row r="73" spans="1:3" ht="30">
      <c r="A73" s="49" t="s">
        <v>87</v>
      </c>
      <c r="B73" s="43" t="s">
        <v>88</v>
      </c>
      <c r="C73" s="28">
        <f>[7]С2.1!E28</f>
        <v>9541.9567200000001</v>
      </c>
    </row>
    <row r="74" spans="1:3" ht="38.25">
      <c r="A74" s="49" t="s">
        <v>89</v>
      </c>
      <c r="B74" s="55" t="s">
        <v>90</v>
      </c>
      <c r="C74" s="42">
        <f>[7]С2.3!E25</f>
        <v>0</v>
      </c>
    </row>
    <row r="75" spans="1:3" ht="25.5">
      <c r="A75" s="49" t="s">
        <v>91</v>
      </c>
      <c r="B75" s="56" t="s">
        <v>92</v>
      </c>
      <c r="C75" s="57">
        <f>[7]С2.3!E12</f>
        <v>0.56000000000000005</v>
      </c>
    </row>
    <row r="76" spans="1:3" ht="25.5">
      <c r="A76" s="49" t="s">
        <v>93</v>
      </c>
      <c r="B76" s="56" t="s">
        <v>82</v>
      </c>
      <c r="C76" s="52">
        <f>[7]С2.3!E13</f>
        <v>300</v>
      </c>
    </row>
    <row r="77" spans="1:3" ht="25.5">
      <c r="A77" s="49" t="s">
        <v>94</v>
      </c>
      <c r="B77" s="59" t="s">
        <v>95</v>
      </c>
      <c r="C77" s="58">
        <f>IF([7]С2.3!E26&gt;0,[7]С2.3!E26,[7]С2.3!E16)</f>
        <v>65637</v>
      </c>
    </row>
    <row r="78" spans="1:3" ht="38.25">
      <c r="A78" s="49" t="s">
        <v>96</v>
      </c>
      <c r="B78" s="59" t="s">
        <v>97</v>
      </c>
      <c r="C78" s="58">
        <f>IF([7]С2.3!E27&gt;0,[7]С2.3!E27,[7]С2.3!E17)</f>
        <v>31684</v>
      </c>
    </row>
    <row r="79" spans="1:3" ht="17.25">
      <c r="A79" s="49" t="s">
        <v>98</v>
      </c>
      <c r="B79" s="27" t="s">
        <v>99</v>
      </c>
      <c r="C79" s="29">
        <f>[7]С2!F29</f>
        <v>0.17509446800348361</v>
      </c>
    </row>
    <row r="80" spans="1:3" ht="30">
      <c r="A80" s="49" t="s">
        <v>100</v>
      </c>
      <c r="B80" s="43" t="s">
        <v>101</v>
      </c>
      <c r="C80" s="60">
        <f>[7]С2!F30</f>
        <v>0.16229927007299269</v>
      </c>
    </row>
    <row r="81" spans="1:3" ht="17.25">
      <c r="A81" s="49" t="s">
        <v>102</v>
      </c>
      <c r="B81" s="61" t="s">
        <v>103</v>
      </c>
      <c r="C81" s="29">
        <f>[7]С2!F31</f>
        <v>0.13880000000000001</v>
      </c>
    </row>
    <row r="82" spans="1:3" s="53" customFormat="1" ht="18" thickBot="1">
      <c r="A82" s="62" t="s">
        <v>104</v>
      </c>
      <c r="B82" s="63" t="s">
        <v>105</v>
      </c>
      <c r="C82" s="64">
        <f>[7]С2!F32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[7]С3!F14</f>
        <v>14558.469864440101</v>
      </c>
    </row>
    <row r="86" spans="1:3" s="53" customFormat="1" ht="42.75">
      <c r="A86" s="67" t="s">
        <v>110</v>
      </c>
      <c r="B86" s="43" t="s">
        <v>111</v>
      </c>
      <c r="C86" s="68">
        <f>[7]С3!F15</f>
        <v>0.25</v>
      </c>
    </row>
    <row r="87" spans="1:3" s="53" customFormat="1" ht="14.25">
      <c r="A87" s="67" t="s">
        <v>112</v>
      </c>
      <c r="B87" s="69" t="s">
        <v>113</v>
      </c>
      <c r="C87" s="52">
        <f>[7]С3!F18</f>
        <v>15</v>
      </c>
    </row>
    <row r="88" spans="1:3" s="53" customFormat="1" ht="17.25">
      <c r="A88" s="67" t="s">
        <v>114</v>
      </c>
      <c r="B88" s="27" t="s">
        <v>115</v>
      </c>
      <c r="C88" s="28">
        <f>[7]С3!F19</f>
        <v>4187.478806422544</v>
      </c>
    </row>
    <row r="89" spans="1:3" s="53" customFormat="1" ht="55.5">
      <c r="A89" s="67" t="s">
        <v>116</v>
      </c>
      <c r="B89" s="43" t="s">
        <v>117</v>
      </c>
      <c r="C89" s="70">
        <f>[7]С3!F20</f>
        <v>2.1999999999999999E-2</v>
      </c>
    </row>
    <row r="90" spans="1:3" s="53" customFormat="1" ht="14.25">
      <c r="A90" s="67" t="s">
        <v>118</v>
      </c>
      <c r="B90" s="48" t="s">
        <v>68</v>
      </c>
      <c r="C90" s="52">
        <f>[7]С3!F21</f>
        <v>10</v>
      </c>
    </row>
    <row r="91" spans="1:3" s="53" customFormat="1" ht="17.25">
      <c r="A91" s="67" t="s">
        <v>119</v>
      </c>
      <c r="B91" s="27" t="s">
        <v>120</v>
      </c>
      <c r="C91" s="28">
        <f>[7]С3!F22</f>
        <v>3.8889327533838998</v>
      </c>
    </row>
    <row r="92" spans="1:3" s="53" customFormat="1" ht="55.5">
      <c r="A92" s="67" t="s">
        <v>121</v>
      </c>
      <c r="B92" s="43" t="s">
        <v>122</v>
      </c>
      <c r="C92" s="70">
        <f>[7]С3!F23</f>
        <v>3.0000000000000001E-3</v>
      </c>
    </row>
    <row r="93" spans="1:3" s="53" customFormat="1" ht="27.75" thickBot="1">
      <c r="A93" s="71" t="s">
        <v>123</v>
      </c>
      <c r="B93" s="72" t="s">
        <v>241</v>
      </c>
      <c r="C93" s="73">
        <f>[7]С3!F24</f>
        <v>1296.3109177946333</v>
      </c>
    </row>
    <row r="94" spans="1:3" ht="13.5" thickBot="1">
      <c r="A94" s="39"/>
      <c r="B94" s="65"/>
      <c r="C94" s="13"/>
    </row>
    <row r="95" spans="1:3" ht="30" customHeight="1">
      <c r="A95" s="74" t="s">
        <v>124</v>
      </c>
      <c r="B95" s="141" t="s">
        <v>125</v>
      </c>
      <c r="C95" s="141"/>
    </row>
    <row r="96" spans="1:3" ht="30">
      <c r="A96" s="49" t="s">
        <v>126</v>
      </c>
      <c r="B96" s="27" t="s">
        <v>242</v>
      </c>
      <c r="C96" s="28">
        <f>[7]С4!F16</f>
        <v>1652.5</v>
      </c>
    </row>
    <row r="97" spans="1:3" ht="30">
      <c r="A97" s="49" t="s">
        <v>127</v>
      </c>
      <c r="B97" s="48" t="s">
        <v>243</v>
      </c>
      <c r="C97" s="28">
        <f>[7]С4!F17</f>
        <v>73547</v>
      </c>
    </row>
    <row r="98" spans="1:3" ht="17.25">
      <c r="A98" s="49" t="s">
        <v>128</v>
      </c>
      <c r="B98" s="48" t="s">
        <v>129</v>
      </c>
      <c r="C98" s="33">
        <f>[7]С4!F18</f>
        <v>0.02</v>
      </c>
    </row>
    <row r="99" spans="1:3" ht="30">
      <c r="A99" s="49" t="s">
        <v>130</v>
      </c>
      <c r="B99" s="48" t="s">
        <v>131</v>
      </c>
      <c r="C99" s="28">
        <f>[7]С4!F19</f>
        <v>12104</v>
      </c>
    </row>
    <row r="100" spans="1:3" ht="31.5">
      <c r="A100" s="49" t="s">
        <v>132</v>
      </c>
      <c r="B100" s="48" t="s">
        <v>133</v>
      </c>
      <c r="C100" s="33">
        <f>[7]С4!F20</f>
        <v>1.4999999999999999E-2</v>
      </c>
    </row>
    <row r="101" spans="1:3" ht="30">
      <c r="A101" s="49" t="s">
        <v>134</v>
      </c>
      <c r="B101" s="27" t="s">
        <v>244</v>
      </c>
      <c r="C101" s="28">
        <f>[7]С4!F21</f>
        <v>1933.1949342509995</v>
      </c>
    </row>
    <row r="102" spans="1:3" ht="24" customHeight="1">
      <c r="A102" s="49" t="s">
        <v>135</v>
      </c>
      <c r="B102" s="43" t="s">
        <v>136</v>
      </c>
      <c r="C102" s="75">
        <f>IF([7]С4.2!F8="да",[7]С4.2!D21,[7]С4.2!D15)</f>
        <v>0</v>
      </c>
    </row>
    <row r="103" spans="1:3" ht="68.25">
      <c r="A103" s="49" t="s">
        <v>137</v>
      </c>
      <c r="B103" s="43" t="s">
        <v>138</v>
      </c>
      <c r="C103" s="28">
        <f>[7]С4!F22</f>
        <v>3.6112641666666665</v>
      </c>
    </row>
    <row r="104" spans="1:3" ht="30">
      <c r="A104" s="49" t="s">
        <v>139</v>
      </c>
      <c r="B104" s="48" t="s">
        <v>245</v>
      </c>
      <c r="C104" s="28">
        <f>[7]С4!F23</f>
        <v>180</v>
      </c>
    </row>
    <row r="105" spans="1:3" ht="14.25">
      <c r="A105" s="49" t="s">
        <v>140</v>
      </c>
      <c r="B105" s="43" t="s">
        <v>141</v>
      </c>
      <c r="C105" s="28">
        <f>[7]С4!F24</f>
        <v>8497.1999999999989</v>
      </c>
    </row>
    <row r="106" spans="1:3" ht="14.25">
      <c r="A106" s="49" t="s">
        <v>142</v>
      </c>
      <c r="B106" s="48" t="s">
        <v>143</v>
      </c>
      <c r="C106" s="33">
        <f>[7]С4!F25</f>
        <v>0.35</v>
      </c>
    </row>
    <row r="107" spans="1:3" ht="17.25">
      <c r="A107" s="49" t="s">
        <v>144</v>
      </c>
      <c r="B107" s="27" t="s">
        <v>145</v>
      </c>
      <c r="C107" s="28">
        <f>[7]С4!F26</f>
        <v>57.602475000000005</v>
      </c>
    </row>
    <row r="108" spans="1:3" ht="25.5">
      <c r="A108" s="49" t="s">
        <v>146</v>
      </c>
      <c r="B108" s="43" t="s">
        <v>78</v>
      </c>
      <c r="C108" s="75">
        <f>[7]С4.3!E16</f>
        <v>0</v>
      </c>
    </row>
    <row r="109" spans="1:3" ht="25.5">
      <c r="A109" s="49" t="s">
        <v>147</v>
      </c>
      <c r="B109" s="43" t="s">
        <v>148</v>
      </c>
      <c r="C109" s="28">
        <f>[7]С4.3!E17</f>
        <v>16.425000000000001</v>
      </c>
    </row>
    <row r="110" spans="1:3" ht="38.25">
      <c r="A110" s="49" t="s">
        <v>149</v>
      </c>
      <c r="B110" s="43" t="s">
        <v>90</v>
      </c>
      <c r="C110" s="75">
        <f>[7]С4.3!E18</f>
        <v>0</v>
      </c>
    </row>
    <row r="111" spans="1:3">
      <c r="A111" s="49" t="s">
        <v>150</v>
      </c>
      <c r="B111" s="43" t="s">
        <v>151</v>
      </c>
      <c r="C111" s="28">
        <f>[7]С4.3!E19</f>
        <v>0</v>
      </c>
    </row>
    <row r="112" spans="1:3">
      <c r="A112" s="49" t="s">
        <v>152</v>
      </c>
      <c r="B112" s="48" t="s">
        <v>153</v>
      </c>
      <c r="C112" s="28">
        <f>[7]С4.3!E11</f>
        <v>1871</v>
      </c>
    </row>
    <row r="113" spans="1:3">
      <c r="A113" s="49" t="s">
        <v>154</v>
      </c>
      <c r="B113" s="48" t="s">
        <v>155</v>
      </c>
      <c r="C113" s="42">
        <f>[7]С4.3!E12</f>
        <v>1636</v>
      </c>
    </row>
    <row r="114" spans="1:3">
      <c r="A114" s="49" t="s">
        <v>156</v>
      </c>
      <c r="B114" s="48" t="s">
        <v>157</v>
      </c>
      <c r="C114" s="42">
        <f>[7]С4.3!E13</f>
        <v>204</v>
      </c>
    </row>
    <row r="115" spans="1:3" ht="30">
      <c r="A115" s="49" t="s">
        <v>158</v>
      </c>
      <c r="B115" s="27" t="s">
        <v>246</v>
      </c>
      <c r="C115" s="28">
        <f>[7]С4!F27</f>
        <v>1291.2863994686898</v>
      </c>
    </row>
    <row r="116" spans="1:3" ht="25.5">
      <c r="A116" s="49" t="s">
        <v>159</v>
      </c>
      <c r="B116" s="43" t="s">
        <v>247</v>
      </c>
      <c r="C116" s="28">
        <f>[7]С4!F28</f>
        <v>991.77142816335618</v>
      </c>
    </row>
    <row r="117" spans="1:3" ht="42.75">
      <c r="A117" s="49" t="s">
        <v>160</v>
      </c>
      <c r="B117" s="43" t="s">
        <v>161</v>
      </c>
      <c r="C117" s="28">
        <f>[7]С4!F29</f>
        <v>299.51497130533357</v>
      </c>
    </row>
    <row r="118" spans="1:3" ht="30">
      <c r="A118" s="49" t="s">
        <v>162</v>
      </c>
      <c r="B118" s="32" t="s">
        <v>163</v>
      </c>
      <c r="C118" s="28">
        <f>[7]С4!F30</f>
        <v>2785.5595289678331</v>
      </c>
    </row>
    <row r="119" spans="1:3" ht="42.75">
      <c r="A119" s="49" t="s">
        <v>248</v>
      </c>
      <c r="B119" s="76" t="s">
        <v>249</v>
      </c>
      <c r="C119" s="28">
        <f>[7]С4!F33</f>
        <v>1598.9709676598741</v>
      </c>
    </row>
    <row r="120" spans="1:3" ht="30">
      <c r="A120" s="49" t="s">
        <v>250</v>
      </c>
      <c r="B120" s="121" t="s">
        <v>251</v>
      </c>
      <c r="C120" s="28">
        <f>[7]С4!F35</f>
        <v>17.040680999999999</v>
      </c>
    </row>
    <row r="121" spans="1:3" ht="14.25">
      <c r="A121" s="49" t="s">
        <v>252</v>
      </c>
      <c r="B121" s="46" t="s">
        <v>253</v>
      </c>
      <c r="C121" s="28">
        <f>[7]С4!F36</f>
        <v>14319.9</v>
      </c>
    </row>
    <row r="122" spans="1:3" ht="28.5" thickBot="1">
      <c r="A122" s="62" t="s">
        <v>254</v>
      </c>
      <c r="B122" s="122" t="s">
        <v>255</v>
      </c>
      <c r="C122" s="73">
        <f>[7]С4!F37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[7]С5!F17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[7]С2!F37</f>
        <v>20.818139999999996</v>
      </c>
    </row>
    <row r="136" spans="1:3" ht="14.25">
      <c r="A136" s="49" t="s">
        <v>183</v>
      </c>
      <c r="B136" s="128" t="s">
        <v>184</v>
      </c>
      <c r="C136" s="28">
        <f>[7]С2!F38</f>
        <v>7</v>
      </c>
    </row>
    <row r="137" spans="1:3" ht="17.25">
      <c r="A137" s="49" t="s">
        <v>185</v>
      </c>
      <c r="B137" s="128" t="s">
        <v>186</v>
      </c>
      <c r="C137" s="28">
        <f>[7]С2!F40</f>
        <v>0.97</v>
      </c>
    </row>
    <row r="138" spans="1:3" ht="15" thickBot="1">
      <c r="A138" s="62" t="s">
        <v>187</v>
      </c>
      <c r="B138" s="129" t="s">
        <v>188</v>
      </c>
      <c r="C138" s="38">
        <f>[7]С2!F42</f>
        <v>0.35</v>
      </c>
    </row>
    <row r="139" spans="1:3" s="77" customFormat="1" ht="13.5" thickBot="1">
      <c r="A139" s="39"/>
      <c r="B139" s="65"/>
      <c r="C139" s="13"/>
    </row>
    <row r="140" spans="1:3" ht="30">
      <c r="A140" s="74" t="s">
        <v>189</v>
      </c>
      <c r="B140" s="84" t="s">
        <v>258</v>
      </c>
      <c r="C140" s="130">
        <f>[7]С2!F35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[7]С2.5!$E$11</f>
        <v>-2.9000000000000026E-2</v>
      </c>
    </row>
    <row r="144" spans="1:3">
      <c r="A144" s="85"/>
      <c r="B144" s="86">
        <f>B143+1</f>
        <v>2021</v>
      </c>
      <c r="C144" s="135">
        <f>[7]С2.5!$F$11</f>
        <v>0.245</v>
      </c>
    </row>
    <row r="145" spans="1:3">
      <c r="A145" s="85"/>
      <c r="B145" s="86">
        <f t="shared" ref="B145:B208" si="0">B144+1</f>
        <v>2022</v>
      </c>
      <c r="C145" s="135">
        <f>[7]С2.5!$G$11</f>
        <v>0.114</v>
      </c>
    </row>
    <row r="146" spans="1:3" ht="13.5" thickBot="1">
      <c r="A146" s="85"/>
      <c r="B146" s="87">
        <f t="shared" si="0"/>
        <v>2023</v>
      </c>
      <c r="C146" s="136">
        <f>[7]С2.5!$H$11</f>
        <v>0.04</v>
      </c>
    </row>
    <row r="147" spans="1:3">
      <c r="A147" s="85"/>
      <c r="B147" s="137">
        <f t="shared" si="0"/>
        <v>2024</v>
      </c>
      <c r="C147" s="138">
        <f>[7]С2.5!$I$11</f>
        <v>0.11700000000000001</v>
      </c>
    </row>
    <row r="148" spans="1:3">
      <c r="A148" s="85"/>
      <c r="B148" s="86">
        <f t="shared" si="0"/>
        <v>2025</v>
      </c>
      <c r="C148" s="135">
        <f>[7]С2.5!$J$11</f>
        <v>6.0999999999999999E-2</v>
      </c>
    </row>
    <row r="149" spans="1:3" hidden="1">
      <c r="A149" s="85"/>
      <c r="B149" s="86">
        <f t="shared" si="0"/>
        <v>2026</v>
      </c>
      <c r="C149" s="135">
        <f>[7]С2.5!$K$11</f>
        <v>3.5813361771260002E-2</v>
      </c>
    </row>
    <row r="150" spans="1:3" hidden="1">
      <c r="A150" s="85"/>
      <c r="B150" s="86">
        <f t="shared" si="0"/>
        <v>2027</v>
      </c>
      <c r="C150" s="135">
        <f>[7]С2.5!$L$11</f>
        <v>3.2682303599220003E-2</v>
      </c>
    </row>
    <row r="151" spans="1:3" hidden="1">
      <c r="A151" s="85"/>
      <c r="B151" s="86">
        <f t="shared" si="0"/>
        <v>2028</v>
      </c>
      <c r="C151" s="135">
        <f>[7]С2.5!$M$11</f>
        <v>0</v>
      </c>
    </row>
    <row r="152" spans="1:3" hidden="1">
      <c r="A152" s="85"/>
      <c r="B152" s="86">
        <f t="shared" si="0"/>
        <v>2029</v>
      </c>
      <c r="C152" s="135">
        <f>[7]С2.5!$N$11</f>
        <v>0</v>
      </c>
    </row>
    <row r="153" spans="1:3" hidden="1">
      <c r="A153" s="85"/>
      <c r="B153" s="86">
        <f t="shared" si="0"/>
        <v>2030</v>
      </c>
      <c r="C153" s="135">
        <f>[7]С2.5!$O$11</f>
        <v>0</v>
      </c>
    </row>
    <row r="154" spans="1:3" hidden="1">
      <c r="A154" s="85"/>
      <c r="B154" s="86">
        <f t="shared" si="0"/>
        <v>2031</v>
      </c>
      <c r="C154" s="135">
        <f>[7]С2.5!$P$11</f>
        <v>0</v>
      </c>
    </row>
    <row r="155" spans="1:3" hidden="1">
      <c r="A155" s="77"/>
      <c r="B155" s="86">
        <f t="shared" si="0"/>
        <v>2032</v>
      </c>
      <c r="C155" s="135">
        <f>[7]С2.5!$Q$11</f>
        <v>0</v>
      </c>
    </row>
    <row r="156" spans="1:3" hidden="1">
      <c r="A156" s="77"/>
      <c r="B156" s="86">
        <f t="shared" si="0"/>
        <v>2033</v>
      </c>
      <c r="C156" s="135">
        <f>[7]С2.5!$R$11</f>
        <v>0</v>
      </c>
    </row>
    <row r="157" spans="1:3" hidden="1">
      <c r="B157" s="86">
        <f t="shared" si="0"/>
        <v>2034</v>
      </c>
      <c r="C157" s="135">
        <f>[7]С2.5!$S$11</f>
        <v>0</v>
      </c>
    </row>
    <row r="158" spans="1:3" hidden="1">
      <c r="B158" s="86">
        <f t="shared" si="0"/>
        <v>2035</v>
      </c>
      <c r="C158" s="135">
        <f>[7]С2.5!$T$11</f>
        <v>0</v>
      </c>
    </row>
    <row r="159" spans="1:3" hidden="1">
      <c r="B159" s="86">
        <f t="shared" si="0"/>
        <v>2036</v>
      </c>
      <c r="C159" s="135">
        <f>[7]С2.5!$U$11</f>
        <v>0</v>
      </c>
    </row>
    <row r="160" spans="1:3" hidden="1">
      <c r="B160" s="86">
        <f t="shared" si="0"/>
        <v>2037</v>
      </c>
      <c r="C160" s="135">
        <f>[7]С2.5!$V$11</f>
        <v>0</v>
      </c>
    </row>
    <row r="161" spans="2:3" hidden="1">
      <c r="B161" s="86">
        <f t="shared" si="0"/>
        <v>2038</v>
      </c>
      <c r="C161" s="135">
        <f>[7]С2.5!$W$11</f>
        <v>0</v>
      </c>
    </row>
    <row r="162" spans="2:3" hidden="1">
      <c r="B162" s="86">
        <f t="shared" si="0"/>
        <v>2039</v>
      </c>
      <c r="C162" s="135">
        <f>[7]С2.5!$X$11</f>
        <v>0</v>
      </c>
    </row>
    <row r="163" spans="2:3" hidden="1">
      <c r="B163" s="86">
        <f t="shared" si="0"/>
        <v>2040</v>
      </c>
      <c r="C163" s="135">
        <f>[7]С2.5!$Y$11</f>
        <v>0</v>
      </c>
    </row>
    <row r="164" spans="2:3" hidden="1">
      <c r="B164" s="86">
        <f t="shared" si="0"/>
        <v>2041</v>
      </c>
      <c r="C164" s="135">
        <f>[7]С2.5!$Z$11</f>
        <v>0</v>
      </c>
    </row>
    <row r="165" spans="2:3" hidden="1">
      <c r="B165" s="86">
        <f t="shared" si="0"/>
        <v>2042</v>
      </c>
      <c r="C165" s="135">
        <f>[7]С2.5!$AA$11</f>
        <v>0</v>
      </c>
    </row>
    <row r="166" spans="2:3" hidden="1">
      <c r="B166" s="86">
        <f t="shared" si="0"/>
        <v>2043</v>
      </c>
      <c r="C166" s="135">
        <f>[7]С2.5!$AB$11</f>
        <v>0</v>
      </c>
    </row>
    <row r="167" spans="2:3" hidden="1">
      <c r="B167" s="86">
        <f t="shared" si="0"/>
        <v>2044</v>
      </c>
      <c r="C167" s="135">
        <f>[7]С2.5!$AC$11</f>
        <v>0</v>
      </c>
    </row>
    <row r="168" spans="2:3" hidden="1">
      <c r="B168" s="86">
        <f t="shared" si="0"/>
        <v>2045</v>
      </c>
      <c r="C168" s="135">
        <f>[7]С2.5!$AD$11</f>
        <v>0</v>
      </c>
    </row>
    <row r="169" spans="2:3" hidden="1">
      <c r="B169" s="86">
        <f t="shared" si="0"/>
        <v>2046</v>
      </c>
      <c r="C169" s="135">
        <f>[7]С2.5!$AE$11</f>
        <v>0</v>
      </c>
    </row>
    <row r="170" spans="2:3" hidden="1">
      <c r="B170" s="86">
        <f t="shared" si="0"/>
        <v>2047</v>
      </c>
      <c r="C170" s="135">
        <f>[7]С2.5!$AF$11</f>
        <v>0</v>
      </c>
    </row>
    <row r="171" spans="2:3" hidden="1">
      <c r="B171" s="86">
        <f t="shared" si="0"/>
        <v>2048</v>
      </c>
      <c r="C171" s="135">
        <f>[7]С2.5!$AG$11</f>
        <v>0</v>
      </c>
    </row>
    <row r="172" spans="2:3" hidden="1">
      <c r="B172" s="86">
        <f t="shared" si="0"/>
        <v>2049</v>
      </c>
      <c r="C172" s="135">
        <f>[7]С2.5!$AH$11</f>
        <v>0</v>
      </c>
    </row>
    <row r="173" spans="2:3" hidden="1">
      <c r="B173" s="86">
        <f t="shared" si="0"/>
        <v>2050</v>
      </c>
      <c r="C173" s="135">
        <f>[7]С2.5!$AI$11</f>
        <v>0</v>
      </c>
    </row>
    <row r="174" spans="2:3" hidden="1">
      <c r="B174" s="86">
        <f t="shared" si="0"/>
        <v>2051</v>
      </c>
      <c r="C174" s="135">
        <f>[7]С2.5!$AJ$11</f>
        <v>0</v>
      </c>
    </row>
    <row r="175" spans="2:3" hidden="1">
      <c r="B175" s="86">
        <f t="shared" si="0"/>
        <v>2052</v>
      </c>
      <c r="C175" s="135">
        <f>[7]С2.5!$AK$11</f>
        <v>0</v>
      </c>
    </row>
    <row r="176" spans="2:3" hidden="1">
      <c r="B176" s="86">
        <f t="shared" si="0"/>
        <v>2053</v>
      </c>
      <c r="C176" s="135">
        <f>[7]С2.5!$AL$11</f>
        <v>0</v>
      </c>
    </row>
    <row r="177" spans="2:3" hidden="1">
      <c r="B177" s="86">
        <f t="shared" si="0"/>
        <v>2054</v>
      </c>
      <c r="C177" s="135">
        <f>[7]С2.5!$AM$11</f>
        <v>0</v>
      </c>
    </row>
    <row r="178" spans="2:3" hidden="1">
      <c r="B178" s="86">
        <f t="shared" si="0"/>
        <v>2055</v>
      </c>
      <c r="C178" s="135">
        <f>[7]С2.5!$AN$11</f>
        <v>0</v>
      </c>
    </row>
    <row r="179" spans="2:3" hidden="1">
      <c r="B179" s="86">
        <f t="shared" si="0"/>
        <v>2056</v>
      </c>
      <c r="C179" s="135">
        <f>[7]С2.5!$AO$11</f>
        <v>0</v>
      </c>
    </row>
    <row r="180" spans="2:3" hidden="1">
      <c r="B180" s="86">
        <f t="shared" si="0"/>
        <v>2057</v>
      </c>
      <c r="C180" s="135">
        <f>[7]С2.5!$AP$11</f>
        <v>0</v>
      </c>
    </row>
    <row r="181" spans="2:3" hidden="1">
      <c r="B181" s="86">
        <f t="shared" si="0"/>
        <v>2058</v>
      </c>
      <c r="C181" s="135">
        <f>[7]С2.5!$AQ$11</f>
        <v>0</v>
      </c>
    </row>
    <row r="182" spans="2:3" hidden="1">
      <c r="B182" s="86">
        <f t="shared" si="0"/>
        <v>2059</v>
      </c>
      <c r="C182" s="135">
        <f>[7]С2.5!$AR$11</f>
        <v>0</v>
      </c>
    </row>
    <row r="183" spans="2:3" hidden="1">
      <c r="B183" s="86">
        <f t="shared" si="0"/>
        <v>2060</v>
      </c>
      <c r="C183" s="135">
        <f>[7]С2.5!$AS$11</f>
        <v>0</v>
      </c>
    </row>
    <row r="184" spans="2:3" hidden="1">
      <c r="B184" s="86">
        <f t="shared" si="0"/>
        <v>2061</v>
      </c>
      <c r="C184" s="135">
        <f>[7]С2.5!$AT$11</f>
        <v>0</v>
      </c>
    </row>
    <row r="185" spans="2:3" hidden="1">
      <c r="B185" s="86">
        <f t="shared" si="0"/>
        <v>2062</v>
      </c>
      <c r="C185" s="135">
        <f>[7]С2.5!$AU$11</f>
        <v>0</v>
      </c>
    </row>
    <row r="186" spans="2:3" hidden="1">
      <c r="B186" s="86">
        <f t="shared" si="0"/>
        <v>2063</v>
      </c>
      <c r="C186" s="135">
        <f>[7]С2.5!$AV$11</f>
        <v>0</v>
      </c>
    </row>
    <row r="187" spans="2:3" hidden="1">
      <c r="B187" s="86">
        <f t="shared" si="0"/>
        <v>2064</v>
      </c>
      <c r="C187" s="135">
        <f>[7]С2.5!$AW$11</f>
        <v>0</v>
      </c>
    </row>
    <row r="188" spans="2:3" hidden="1">
      <c r="B188" s="86">
        <f t="shared" si="0"/>
        <v>2065</v>
      </c>
      <c r="C188" s="135">
        <f>[7]С2.5!$AX$11</f>
        <v>0</v>
      </c>
    </row>
    <row r="189" spans="2:3" hidden="1">
      <c r="B189" s="86">
        <f t="shared" si="0"/>
        <v>2066</v>
      </c>
      <c r="C189" s="135">
        <f>[7]С2.5!$AY$11</f>
        <v>0</v>
      </c>
    </row>
    <row r="190" spans="2:3" hidden="1">
      <c r="B190" s="86">
        <f t="shared" si="0"/>
        <v>2067</v>
      </c>
      <c r="C190" s="135">
        <f>[7]С2.5!$AZ$11</f>
        <v>0</v>
      </c>
    </row>
    <row r="191" spans="2:3" hidden="1">
      <c r="B191" s="86">
        <f t="shared" si="0"/>
        <v>2068</v>
      </c>
      <c r="C191" s="135">
        <f>[7]С2.5!$BA$11</f>
        <v>0</v>
      </c>
    </row>
    <row r="192" spans="2:3" hidden="1">
      <c r="B192" s="86">
        <f t="shared" si="0"/>
        <v>2069</v>
      </c>
      <c r="C192" s="135">
        <f>[7]С2.5!$BB$11</f>
        <v>0</v>
      </c>
    </row>
    <row r="193" spans="2:3" hidden="1">
      <c r="B193" s="86">
        <f t="shared" si="0"/>
        <v>2070</v>
      </c>
      <c r="C193" s="135">
        <f>[7]С2.5!$BC$11</f>
        <v>0</v>
      </c>
    </row>
    <row r="194" spans="2:3" hidden="1">
      <c r="B194" s="86">
        <f t="shared" si="0"/>
        <v>2071</v>
      </c>
      <c r="C194" s="135">
        <f>[7]С2.5!$BD$11</f>
        <v>0</v>
      </c>
    </row>
    <row r="195" spans="2:3" hidden="1">
      <c r="B195" s="86">
        <f t="shared" si="0"/>
        <v>2072</v>
      </c>
      <c r="C195" s="135">
        <f>[7]С2.5!$BE$11</f>
        <v>0</v>
      </c>
    </row>
    <row r="196" spans="2:3" hidden="1">
      <c r="B196" s="86">
        <f t="shared" si="0"/>
        <v>2073</v>
      </c>
      <c r="C196" s="135">
        <f>[7]С2.5!$BF$11</f>
        <v>0</v>
      </c>
    </row>
    <row r="197" spans="2:3" hidden="1">
      <c r="B197" s="86">
        <f t="shared" si="0"/>
        <v>2074</v>
      </c>
      <c r="C197" s="135">
        <f>[7]С2.5!$BG$11</f>
        <v>0</v>
      </c>
    </row>
    <row r="198" spans="2:3" hidden="1">
      <c r="B198" s="86">
        <f t="shared" si="0"/>
        <v>2075</v>
      </c>
      <c r="C198" s="135">
        <f>[7]С2.5!$BH$11</f>
        <v>0</v>
      </c>
    </row>
    <row r="199" spans="2:3" hidden="1">
      <c r="B199" s="86">
        <f t="shared" si="0"/>
        <v>2076</v>
      </c>
      <c r="C199" s="135">
        <f>[7]С2.5!$BI$11</f>
        <v>0</v>
      </c>
    </row>
    <row r="200" spans="2:3" hidden="1">
      <c r="B200" s="86">
        <f t="shared" si="0"/>
        <v>2077</v>
      </c>
      <c r="C200" s="135">
        <f>[7]С2.5!$BJ$11</f>
        <v>0</v>
      </c>
    </row>
    <row r="201" spans="2:3" hidden="1">
      <c r="B201" s="86">
        <f t="shared" si="0"/>
        <v>2078</v>
      </c>
      <c r="C201" s="135">
        <f>[7]С2.5!$BK$11</f>
        <v>0</v>
      </c>
    </row>
    <row r="202" spans="2:3" hidden="1">
      <c r="B202" s="86">
        <f t="shared" si="0"/>
        <v>2079</v>
      </c>
      <c r="C202" s="135">
        <f>[7]С2.5!$BL$11</f>
        <v>0</v>
      </c>
    </row>
    <row r="203" spans="2:3" hidden="1">
      <c r="B203" s="86">
        <f t="shared" si="0"/>
        <v>2080</v>
      </c>
      <c r="C203" s="135">
        <f>[7]С2.5!$BM$11</f>
        <v>0</v>
      </c>
    </row>
    <row r="204" spans="2:3" hidden="1">
      <c r="B204" s="86">
        <f t="shared" si="0"/>
        <v>2081</v>
      </c>
      <c r="C204" s="135">
        <f>[7]С2.5!$BN$11</f>
        <v>0</v>
      </c>
    </row>
    <row r="205" spans="2:3" hidden="1">
      <c r="B205" s="86">
        <f t="shared" si="0"/>
        <v>2082</v>
      </c>
      <c r="C205" s="135">
        <f>[7]С2.5!$BO$11</f>
        <v>0</v>
      </c>
    </row>
    <row r="206" spans="2:3" hidden="1">
      <c r="B206" s="86">
        <f t="shared" si="0"/>
        <v>2083</v>
      </c>
      <c r="C206" s="135">
        <f>[7]С2.5!$BP$11</f>
        <v>0</v>
      </c>
    </row>
    <row r="207" spans="2:3" hidden="1">
      <c r="B207" s="86">
        <f t="shared" si="0"/>
        <v>2084</v>
      </c>
      <c r="C207" s="135">
        <f>[7]С2.5!$BQ$11</f>
        <v>0</v>
      </c>
    </row>
    <row r="208" spans="2:3" hidden="1">
      <c r="B208" s="86">
        <f t="shared" si="0"/>
        <v>2085</v>
      </c>
      <c r="C208" s="135">
        <f>[7]С2.5!$BR$11</f>
        <v>0</v>
      </c>
    </row>
    <row r="209" spans="2:3" hidden="1">
      <c r="B209" s="86">
        <f t="shared" ref="B209:B223" si="1">B208+1</f>
        <v>2086</v>
      </c>
      <c r="C209" s="135">
        <f>[7]С2.5!$BS$11</f>
        <v>0</v>
      </c>
    </row>
    <row r="210" spans="2:3" hidden="1">
      <c r="B210" s="86">
        <f t="shared" si="1"/>
        <v>2087</v>
      </c>
      <c r="C210" s="135">
        <f>[7]С2.5!$BT$11</f>
        <v>0</v>
      </c>
    </row>
    <row r="211" spans="2:3" hidden="1">
      <c r="B211" s="86">
        <f t="shared" si="1"/>
        <v>2088</v>
      </c>
      <c r="C211" s="135">
        <f>[7]С2.5!$BU$11</f>
        <v>0</v>
      </c>
    </row>
    <row r="212" spans="2:3" hidden="1">
      <c r="B212" s="86">
        <f t="shared" si="1"/>
        <v>2089</v>
      </c>
      <c r="C212" s="135">
        <f>[7]С2.5!$BV$11</f>
        <v>0</v>
      </c>
    </row>
    <row r="213" spans="2:3" hidden="1">
      <c r="B213" s="86">
        <f t="shared" si="1"/>
        <v>2090</v>
      </c>
      <c r="C213" s="135">
        <f>[7]С2.5!$BW$11</f>
        <v>0</v>
      </c>
    </row>
    <row r="214" spans="2:3" hidden="1">
      <c r="B214" s="86">
        <f t="shared" si="1"/>
        <v>2091</v>
      </c>
      <c r="C214" s="135">
        <f>[7]С2.5!$BX$11</f>
        <v>0</v>
      </c>
    </row>
    <row r="215" spans="2:3" hidden="1">
      <c r="B215" s="86">
        <f t="shared" si="1"/>
        <v>2092</v>
      </c>
      <c r="C215" s="135">
        <f>[7]С2.5!$BY$11</f>
        <v>0</v>
      </c>
    </row>
    <row r="216" spans="2:3" hidden="1">
      <c r="B216" s="86">
        <f t="shared" si="1"/>
        <v>2093</v>
      </c>
      <c r="C216" s="135">
        <f>[7]С2.5!$BZ$11</f>
        <v>0</v>
      </c>
    </row>
    <row r="217" spans="2:3" hidden="1">
      <c r="B217" s="86">
        <f t="shared" si="1"/>
        <v>2094</v>
      </c>
      <c r="C217" s="135">
        <f>[7]С2.5!$CA$11</f>
        <v>0</v>
      </c>
    </row>
    <row r="218" spans="2:3" hidden="1">
      <c r="B218" s="86">
        <f t="shared" si="1"/>
        <v>2095</v>
      </c>
      <c r="C218" s="135">
        <f>[7]С2.5!$CB$11</f>
        <v>0</v>
      </c>
    </row>
    <row r="219" spans="2:3" hidden="1">
      <c r="B219" s="86">
        <f t="shared" si="1"/>
        <v>2096</v>
      </c>
      <c r="C219" s="135">
        <f>[7]С2.5!$CC$11</f>
        <v>0</v>
      </c>
    </row>
    <row r="220" spans="2:3" hidden="1">
      <c r="B220" s="86">
        <f t="shared" si="1"/>
        <v>2097</v>
      </c>
      <c r="C220" s="135">
        <f>[7]С2.5!$CD$11</f>
        <v>0</v>
      </c>
    </row>
    <row r="221" spans="2:3" hidden="1">
      <c r="B221" s="86">
        <f t="shared" si="1"/>
        <v>2098</v>
      </c>
      <c r="C221" s="135">
        <f>[7]С2.5!$CE$11</f>
        <v>0</v>
      </c>
    </row>
    <row r="222" spans="2:3" hidden="1">
      <c r="B222" s="86">
        <f t="shared" si="1"/>
        <v>2099</v>
      </c>
      <c r="C222" s="135">
        <f>[7]С2.5!$CF$11</f>
        <v>0</v>
      </c>
    </row>
    <row r="223" spans="2:3" ht="13.5" hidden="1" thickBot="1">
      <c r="B223" s="87">
        <f t="shared" si="1"/>
        <v>2100</v>
      </c>
      <c r="C223" s="136">
        <f>[7]С2.5!$CG$11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[8]И1!D13</f>
        <v>Субъект Российской Федерации</v>
      </c>
      <c r="C4" s="8" t="str">
        <f>[8]И1!E13</f>
        <v>Новосибирская область</v>
      </c>
    </row>
    <row r="5" spans="1:3" ht="46.9" customHeight="1">
      <c r="A5" s="6"/>
      <c r="B5" s="7" t="str">
        <f>[8]И1!D14</f>
        <v>Тип муниципального образования (выберите из списка)</v>
      </c>
      <c r="C5" s="8" t="str">
        <f>[8]И1!E14</f>
        <v>село Ермолаевка, Убинский муниципальный район</v>
      </c>
    </row>
    <row r="6" spans="1:3">
      <c r="A6" s="6"/>
      <c r="B6" s="7" t="str">
        <f>IF([8]И1!E15="","",[8]И1!D15)</f>
        <v/>
      </c>
      <c r="C6" s="8" t="str">
        <f>IF([8]И1!E15="","",[8]И1!E15)</f>
        <v/>
      </c>
    </row>
    <row r="7" spans="1:3">
      <c r="A7" s="6"/>
      <c r="B7" s="7" t="str">
        <f>[8]И1!D16</f>
        <v>Код ОКТМО</v>
      </c>
      <c r="C7" s="9" t="str">
        <f>[8]И1!E16</f>
        <v>50654407101</v>
      </c>
    </row>
    <row r="8" spans="1:3">
      <c r="A8" s="6"/>
      <c r="B8" s="10" t="str">
        <f>[8]И1!D17</f>
        <v>Система теплоснабжения</v>
      </c>
      <c r="C8" s="11">
        <f>[8]И1!E17</f>
        <v>0</v>
      </c>
    </row>
    <row r="9" spans="1:3">
      <c r="A9" s="6"/>
      <c r="B9" s="7" t="str">
        <f>[8]И1!D8</f>
        <v>Период регулирования (i)-й</v>
      </c>
      <c r="C9" s="12">
        <f>[8]И1!E8</f>
        <v>2025</v>
      </c>
    </row>
    <row r="10" spans="1:3">
      <c r="A10" s="6"/>
      <c r="B10" s="7" t="str">
        <f>[8]И1!D9</f>
        <v>Период регулирования (i-1)-й</v>
      </c>
      <c r="C10" s="12">
        <f>[8]И1!E9</f>
        <v>2024</v>
      </c>
    </row>
    <row r="11" spans="1:3">
      <c r="A11" s="6"/>
      <c r="B11" s="7" t="str">
        <f>[8]И1!D10</f>
        <v>Период регулирования (i-2)-й</v>
      </c>
      <c r="C11" s="12">
        <f>[8]И1!E10</f>
        <v>2023</v>
      </c>
    </row>
    <row r="12" spans="1:3">
      <c r="A12" s="6"/>
      <c r="B12" s="7" t="str">
        <f>[8]И1!D11</f>
        <v>Базовый год (б)</v>
      </c>
      <c r="C12" s="12">
        <f>[8]И1!E11</f>
        <v>2019</v>
      </c>
    </row>
    <row r="13" spans="1:3" ht="38.25">
      <c r="A13" s="6"/>
      <c r="B13" s="7" t="str">
        <f>[8]И1!D18</f>
        <v>Вид топлива, использование которого преобладает в системе теплоснабжения</v>
      </c>
      <c r="C13" s="13" t="str">
        <f>[8]С1.1!E13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5493.5087661573607</v>
      </c>
    </row>
    <row r="18" spans="1:3" ht="42.75">
      <c r="A18" s="16" t="s">
        <v>7</v>
      </c>
      <c r="B18" s="19" t="s">
        <v>8</v>
      </c>
      <c r="C18" s="20">
        <f>[8]С1!F12</f>
        <v>915.61778343972514</v>
      </c>
    </row>
    <row r="19" spans="1:3" ht="42.75">
      <c r="A19" s="16" t="s">
        <v>9</v>
      </c>
      <c r="B19" s="19" t="s">
        <v>10</v>
      </c>
      <c r="C19" s="20">
        <f>[8]С2!F12</f>
        <v>3044.269023973251</v>
      </c>
    </row>
    <row r="20" spans="1:3" ht="30">
      <c r="A20" s="16" t="s">
        <v>11</v>
      </c>
      <c r="B20" s="19" t="s">
        <v>12</v>
      </c>
      <c r="C20" s="20">
        <f>[8]С3!F12</f>
        <v>911.32264748625244</v>
      </c>
    </row>
    <row r="21" spans="1:3" ht="42.75">
      <c r="A21" s="16" t="s">
        <v>13</v>
      </c>
      <c r="B21" s="19" t="s">
        <v>226</v>
      </c>
      <c r="C21" s="20">
        <f>[8]С4!F12</f>
        <v>514.58345309818424</v>
      </c>
    </row>
    <row r="22" spans="1:3" ht="30">
      <c r="A22" s="16" t="s">
        <v>14</v>
      </c>
      <c r="B22" s="19" t="s">
        <v>227</v>
      </c>
      <c r="C22" s="20">
        <f>[8]С5!F12</f>
        <v>107.71585815994825</v>
      </c>
    </row>
    <row r="23" spans="1:3" ht="43.5" thickBot="1">
      <c r="A23" s="21" t="s">
        <v>15</v>
      </c>
      <c r="B23" s="140" t="s">
        <v>228</v>
      </c>
      <c r="C23" s="22" t="str">
        <f>[8]С6!F12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[8]С1.1!E16</f>
        <v>5100</v>
      </c>
    </row>
    <row r="29" spans="1:3" ht="42.75">
      <c r="A29" s="16" t="s">
        <v>9</v>
      </c>
      <c r="B29" s="27" t="s">
        <v>230</v>
      </c>
      <c r="C29" s="28">
        <f>[8]С1.1!E27</f>
        <v>3302.8666666666668</v>
      </c>
    </row>
    <row r="30" spans="1:3" ht="17.25">
      <c r="A30" s="16" t="s">
        <v>11</v>
      </c>
      <c r="B30" s="27" t="s">
        <v>17</v>
      </c>
      <c r="C30" s="29">
        <f>[8]С1.1!E19</f>
        <v>1.4E-2</v>
      </c>
    </row>
    <row r="31" spans="1:3" ht="17.25">
      <c r="A31" s="16" t="s">
        <v>13</v>
      </c>
      <c r="B31" s="27" t="s">
        <v>18</v>
      </c>
      <c r="C31" s="29">
        <f>[8]С1.1!E20</f>
        <v>0.04</v>
      </c>
    </row>
    <row r="32" spans="1:3" ht="30">
      <c r="A32" s="16" t="s">
        <v>14</v>
      </c>
      <c r="B32" s="30" t="s">
        <v>231</v>
      </c>
      <c r="C32" s="117">
        <f>[8]С1!F13</f>
        <v>176.4</v>
      </c>
    </row>
    <row r="33" spans="1:3">
      <c r="A33" s="16" t="s">
        <v>15</v>
      </c>
      <c r="B33" s="30" t="s">
        <v>19</v>
      </c>
      <c r="C33" s="31">
        <f>[8]С1!F16</f>
        <v>7000</v>
      </c>
    </row>
    <row r="34" spans="1:3" ht="14.25">
      <c r="A34" s="16" t="s">
        <v>20</v>
      </c>
      <c r="B34" s="32" t="s">
        <v>232</v>
      </c>
      <c r="C34" s="33">
        <f>[8]С1!F17</f>
        <v>0.72857142857142854</v>
      </c>
    </row>
    <row r="35" spans="1:3" ht="15.75">
      <c r="A35" s="118" t="s">
        <v>21</v>
      </c>
      <c r="B35" s="34" t="s">
        <v>22</v>
      </c>
      <c r="C35" s="33">
        <f>[8]С1!F20</f>
        <v>21.588411179999994</v>
      </c>
    </row>
    <row r="36" spans="1:3" ht="15.75">
      <c r="A36" s="118" t="s">
        <v>23</v>
      </c>
      <c r="B36" s="35" t="s">
        <v>24</v>
      </c>
      <c r="C36" s="33">
        <f>[8]С1!F21</f>
        <v>20.818139999999996</v>
      </c>
    </row>
    <row r="37" spans="1:3" ht="14.25">
      <c r="A37" s="118" t="s">
        <v>25</v>
      </c>
      <c r="B37" s="36" t="s">
        <v>26</v>
      </c>
      <c r="C37" s="33">
        <f>[8]С1!F22</f>
        <v>1.0369999999999999</v>
      </c>
    </row>
    <row r="38" spans="1:3" ht="53.25" thickBot="1">
      <c r="A38" s="21" t="s">
        <v>27</v>
      </c>
      <c r="B38" s="37" t="s">
        <v>28</v>
      </c>
      <c r="C38" s="38">
        <f>[8]С1!F23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[8]С2.1!E12</f>
        <v>V</v>
      </c>
    </row>
    <row r="42" spans="1:3" ht="25.5">
      <c r="A42" s="16" t="s">
        <v>33</v>
      </c>
      <c r="B42" s="27" t="s">
        <v>34</v>
      </c>
      <c r="C42" s="41" t="str">
        <f>[8]С2.1!E13</f>
        <v>6 и менее баллов</v>
      </c>
    </row>
    <row r="43" spans="1:3" ht="25.5">
      <c r="A43" s="16" t="s">
        <v>35</v>
      </c>
      <c r="B43" s="27" t="s">
        <v>233</v>
      </c>
      <c r="C43" s="41" t="str">
        <f>[8]С2.1!E14</f>
        <v>от 200 до 500</v>
      </c>
    </row>
    <row r="44" spans="1:3" ht="25.5">
      <c r="A44" s="16" t="s">
        <v>36</v>
      </c>
      <c r="B44" s="27" t="s">
        <v>234</v>
      </c>
      <c r="C44" s="42" t="str">
        <f>[8]С2.1!E15</f>
        <v>нет</v>
      </c>
    </row>
    <row r="45" spans="1:3" ht="30">
      <c r="A45" s="16" t="s">
        <v>37</v>
      </c>
      <c r="B45" s="27" t="s">
        <v>38</v>
      </c>
      <c r="C45" s="28">
        <f>[8]С2!F18</f>
        <v>38910.02669467502</v>
      </c>
    </row>
    <row r="46" spans="1:3" ht="30">
      <c r="A46" s="16" t="s">
        <v>39</v>
      </c>
      <c r="B46" s="43" t="s">
        <v>40</v>
      </c>
      <c r="C46" s="28">
        <f>IF([8]С2!F19&gt;0,[8]С2!F19,[8]С2!F20)</f>
        <v>23441.524932855718</v>
      </c>
    </row>
    <row r="47" spans="1:3" ht="25.5">
      <c r="A47" s="16" t="s">
        <v>41</v>
      </c>
      <c r="B47" s="44" t="s">
        <v>42</v>
      </c>
      <c r="C47" s="28">
        <f>[8]С2.1!E19</f>
        <v>-38</v>
      </c>
    </row>
    <row r="48" spans="1:3" ht="25.5">
      <c r="A48" s="16" t="s">
        <v>43</v>
      </c>
      <c r="B48" s="44" t="s">
        <v>44</v>
      </c>
      <c r="C48" s="28" t="str">
        <f>[8]С2.1!E22</f>
        <v>нет</v>
      </c>
    </row>
    <row r="49" spans="1:3" ht="38.25">
      <c r="A49" s="16" t="s">
        <v>45</v>
      </c>
      <c r="B49" s="45" t="s">
        <v>46</v>
      </c>
      <c r="C49" s="28">
        <f>[8]С2.2!E10</f>
        <v>1287</v>
      </c>
    </row>
    <row r="50" spans="1:3" ht="25.5">
      <c r="A50" s="16" t="s">
        <v>47</v>
      </c>
      <c r="B50" s="46" t="s">
        <v>48</v>
      </c>
      <c r="C50" s="28">
        <f>[8]С2.2!E12</f>
        <v>5.97</v>
      </c>
    </row>
    <row r="51" spans="1:3" ht="52.5">
      <c r="A51" s="16" t="s">
        <v>49</v>
      </c>
      <c r="B51" s="47" t="s">
        <v>50</v>
      </c>
      <c r="C51" s="28">
        <f>[8]С2.2!E13</f>
        <v>1</v>
      </c>
    </row>
    <row r="52" spans="1:3" ht="27.75">
      <c r="A52" s="16" t="s">
        <v>51</v>
      </c>
      <c r="B52" s="46" t="s">
        <v>52</v>
      </c>
      <c r="C52" s="28">
        <f>[8]С2.2!E14</f>
        <v>12104</v>
      </c>
    </row>
    <row r="53" spans="1:3" ht="25.5">
      <c r="A53" s="16" t="s">
        <v>53</v>
      </c>
      <c r="B53" s="47" t="s">
        <v>54</v>
      </c>
      <c r="C53" s="29">
        <f>[8]С2.2!E15</f>
        <v>4.8000000000000001E-2</v>
      </c>
    </row>
    <row r="54" spans="1:3">
      <c r="A54" s="16" t="s">
        <v>55</v>
      </c>
      <c r="B54" s="47" t="s">
        <v>56</v>
      </c>
      <c r="C54" s="28">
        <f>[8]С2.2!E16</f>
        <v>1</v>
      </c>
    </row>
    <row r="55" spans="1:3" ht="15.75">
      <c r="A55" s="16" t="s">
        <v>57</v>
      </c>
      <c r="B55" s="48" t="s">
        <v>58</v>
      </c>
      <c r="C55" s="28">
        <f>[8]С2!F21</f>
        <v>1</v>
      </c>
    </row>
    <row r="56" spans="1:3" ht="30">
      <c r="A56" s="49" t="s">
        <v>59</v>
      </c>
      <c r="B56" s="27" t="s">
        <v>235</v>
      </c>
      <c r="C56" s="28">
        <f>[8]С2!F13</f>
        <v>203708.97017230222</v>
      </c>
    </row>
    <row r="57" spans="1:3" ht="30">
      <c r="A57" s="49" t="s">
        <v>60</v>
      </c>
      <c r="B57" s="48" t="s">
        <v>236</v>
      </c>
      <c r="C57" s="28">
        <f>[8]С2!F14</f>
        <v>113455</v>
      </c>
    </row>
    <row r="58" spans="1:3" ht="15.75">
      <c r="A58" s="49" t="s">
        <v>61</v>
      </c>
      <c r="B58" s="50" t="s">
        <v>62</v>
      </c>
      <c r="C58" s="33">
        <f>[8]С2!F15</f>
        <v>1.071</v>
      </c>
    </row>
    <row r="59" spans="1:3" ht="15.75">
      <c r="A59" s="49" t="s">
        <v>63</v>
      </c>
      <c r="B59" s="50" t="s">
        <v>64</v>
      </c>
      <c r="C59" s="33">
        <f>[8]С2!F16</f>
        <v>1</v>
      </c>
    </row>
    <row r="60" spans="1:3" ht="17.25">
      <c r="A60" s="49" t="s">
        <v>65</v>
      </c>
      <c r="B60" s="48" t="s">
        <v>66</v>
      </c>
      <c r="C60" s="28">
        <f>[8]С2!F17</f>
        <v>1.01</v>
      </c>
    </row>
    <row r="61" spans="1:3" s="53" customFormat="1" ht="14.25">
      <c r="A61" s="49" t="s">
        <v>67</v>
      </c>
      <c r="B61" s="51" t="s">
        <v>68</v>
      </c>
      <c r="C61" s="52">
        <f>[8]С2!F33</f>
        <v>10</v>
      </c>
    </row>
    <row r="62" spans="1:3" ht="30">
      <c r="A62" s="49" t="s">
        <v>69</v>
      </c>
      <c r="B62" s="54" t="s">
        <v>70</v>
      </c>
      <c r="C62" s="28">
        <f>[8]С2!F26</f>
        <v>1296.3109177946333</v>
      </c>
    </row>
    <row r="63" spans="1:3" ht="17.25">
      <c r="A63" s="49" t="s">
        <v>71</v>
      </c>
      <c r="B63" s="43" t="s">
        <v>237</v>
      </c>
      <c r="C63" s="28">
        <f>[8]С2!F27</f>
        <v>0.18594487800000001</v>
      </c>
    </row>
    <row r="64" spans="1:3" ht="17.25">
      <c r="A64" s="49" t="s">
        <v>72</v>
      </c>
      <c r="B64" s="48" t="s">
        <v>238</v>
      </c>
      <c r="C64" s="52">
        <f>[8]С2!F28</f>
        <v>4200</v>
      </c>
    </row>
    <row r="65" spans="1:3" ht="42.75">
      <c r="A65" s="49" t="s">
        <v>73</v>
      </c>
      <c r="B65" s="27" t="s">
        <v>239</v>
      </c>
      <c r="C65" s="28">
        <f>[8]С2!F22</f>
        <v>42890.921752741691</v>
      </c>
    </row>
    <row r="66" spans="1:3" ht="30">
      <c r="A66" s="49" t="s">
        <v>74</v>
      </c>
      <c r="B66" s="50" t="s">
        <v>240</v>
      </c>
      <c r="C66" s="28">
        <f>[8]С2!F23</f>
        <v>1990</v>
      </c>
    </row>
    <row r="67" spans="1:3" ht="30">
      <c r="A67" s="49" t="s">
        <v>75</v>
      </c>
      <c r="B67" s="43" t="s">
        <v>76</v>
      </c>
      <c r="C67" s="28">
        <f>[8]С2.1!E27</f>
        <v>14307.876789999998</v>
      </c>
    </row>
    <row r="68" spans="1:3" ht="38.25">
      <c r="A68" s="49" t="s">
        <v>77</v>
      </c>
      <c r="B68" s="55" t="s">
        <v>78</v>
      </c>
      <c r="C68" s="42">
        <f>[8]С2.3!E21</f>
        <v>0</v>
      </c>
    </row>
    <row r="69" spans="1:3" ht="25.5">
      <c r="A69" s="49" t="s">
        <v>79</v>
      </c>
      <c r="B69" s="56" t="s">
        <v>80</v>
      </c>
      <c r="C69" s="57">
        <f>[8]С2.3!E11</f>
        <v>9.89</v>
      </c>
    </row>
    <row r="70" spans="1:3" ht="25.5">
      <c r="A70" s="49" t="s">
        <v>81</v>
      </c>
      <c r="B70" s="56" t="s">
        <v>82</v>
      </c>
      <c r="C70" s="52">
        <f>[8]С2.3!E13</f>
        <v>300</v>
      </c>
    </row>
    <row r="71" spans="1:3" ht="25.5">
      <c r="A71" s="49" t="s">
        <v>83</v>
      </c>
      <c r="B71" s="55" t="s">
        <v>84</v>
      </c>
      <c r="C71" s="58">
        <f>IF([8]С2.3!E22&gt;0,[8]С2.3!E22,[8]С2.3!E14)</f>
        <v>61211</v>
      </c>
    </row>
    <row r="72" spans="1:3" ht="38.25">
      <c r="A72" s="49" t="s">
        <v>85</v>
      </c>
      <c r="B72" s="55" t="s">
        <v>86</v>
      </c>
      <c r="C72" s="58">
        <f>IF([8]С2.3!E23&gt;0,[8]С2.3!E23,[8]С2.3!E15)</f>
        <v>45675</v>
      </c>
    </row>
    <row r="73" spans="1:3" ht="30">
      <c r="A73" s="49" t="s">
        <v>87</v>
      </c>
      <c r="B73" s="43" t="s">
        <v>88</v>
      </c>
      <c r="C73" s="28">
        <f>[8]С2.1!E28</f>
        <v>9541.9567200000001</v>
      </c>
    </row>
    <row r="74" spans="1:3" ht="38.25">
      <c r="A74" s="49" t="s">
        <v>89</v>
      </c>
      <c r="B74" s="55" t="s">
        <v>90</v>
      </c>
      <c r="C74" s="42">
        <f>[8]С2.3!E25</f>
        <v>0</v>
      </c>
    </row>
    <row r="75" spans="1:3" ht="25.5">
      <c r="A75" s="49" t="s">
        <v>91</v>
      </c>
      <c r="B75" s="56" t="s">
        <v>92</v>
      </c>
      <c r="C75" s="57">
        <f>[8]С2.3!E12</f>
        <v>0.56000000000000005</v>
      </c>
    </row>
    <row r="76" spans="1:3" ht="25.5">
      <c r="A76" s="49" t="s">
        <v>93</v>
      </c>
      <c r="B76" s="56" t="s">
        <v>82</v>
      </c>
      <c r="C76" s="52">
        <f>[8]С2.3!E13</f>
        <v>300</v>
      </c>
    </row>
    <row r="77" spans="1:3" ht="25.5">
      <c r="A77" s="49" t="s">
        <v>94</v>
      </c>
      <c r="B77" s="59" t="s">
        <v>95</v>
      </c>
      <c r="C77" s="58">
        <f>IF([8]С2.3!E26&gt;0,[8]С2.3!E26,[8]С2.3!E16)</f>
        <v>65637</v>
      </c>
    </row>
    <row r="78" spans="1:3" ht="38.25">
      <c r="A78" s="49" t="s">
        <v>96</v>
      </c>
      <c r="B78" s="59" t="s">
        <v>97</v>
      </c>
      <c r="C78" s="58">
        <f>IF([8]С2.3!E27&gt;0,[8]С2.3!E27,[8]С2.3!E17)</f>
        <v>31684</v>
      </c>
    </row>
    <row r="79" spans="1:3" ht="17.25">
      <c r="A79" s="49" t="s">
        <v>98</v>
      </c>
      <c r="B79" s="27" t="s">
        <v>99</v>
      </c>
      <c r="C79" s="29">
        <f>[8]С2!F29</f>
        <v>0.17804631770487722</v>
      </c>
    </row>
    <row r="80" spans="1:3" ht="30">
      <c r="A80" s="49" t="s">
        <v>100</v>
      </c>
      <c r="B80" s="43" t="s">
        <v>101</v>
      </c>
      <c r="C80" s="60">
        <f>[8]С2!F30</f>
        <v>0.1652189781021898</v>
      </c>
    </row>
    <row r="81" spans="1:3" ht="17.25">
      <c r="A81" s="49" t="s">
        <v>102</v>
      </c>
      <c r="B81" s="61" t="s">
        <v>103</v>
      </c>
      <c r="C81" s="29">
        <f>[8]С2!F31</f>
        <v>0.13880000000000001</v>
      </c>
    </row>
    <row r="82" spans="1:3" s="53" customFormat="1" ht="18" thickBot="1">
      <c r="A82" s="62" t="s">
        <v>104</v>
      </c>
      <c r="B82" s="63" t="s">
        <v>105</v>
      </c>
      <c r="C82" s="64">
        <f>[8]С2!F32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[8]С3!F14</f>
        <v>14780.674721363519</v>
      </c>
    </row>
    <row r="86" spans="1:3" s="53" customFormat="1" ht="42.75">
      <c r="A86" s="67" t="s">
        <v>110</v>
      </c>
      <c r="B86" s="43" t="s">
        <v>111</v>
      </c>
      <c r="C86" s="68">
        <f>[8]С3!F15</f>
        <v>0.25</v>
      </c>
    </row>
    <row r="87" spans="1:3" s="53" customFormat="1" ht="14.25">
      <c r="A87" s="67" t="s">
        <v>112</v>
      </c>
      <c r="B87" s="69" t="s">
        <v>113</v>
      </c>
      <c r="C87" s="52">
        <f>[8]С3!F18</f>
        <v>15</v>
      </c>
    </row>
    <row r="88" spans="1:3" s="53" customFormat="1" ht="17.25">
      <c r="A88" s="67" t="s">
        <v>114</v>
      </c>
      <c r="B88" s="27" t="s">
        <v>115</v>
      </c>
      <c r="C88" s="28">
        <f>[8]С3!F19</f>
        <v>4187.478806422544</v>
      </c>
    </row>
    <row r="89" spans="1:3" s="53" customFormat="1" ht="55.5">
      <c r="A89" s="67" t="s">
        <v>116</v>
      </c>
      <c r="B89" s="43" t="s">
        <v>117</v>
      </c>
      <c r="C89" s="70">
        <f>[8]С3!F20</f>
        <v>2.1999999999999999E-2</v>
      </c>
    </row>
    <row r="90" spans="1:3" s="53" customFormat="1" ht="14.25">
      <c r="A90" s="67" t="s">
        <v>118</v>
      </c>
      <c r="B90" s="48" t="s">
        <v>68</v>
      </c>
      <c r="C90" s="52">
        <f>[8]С3!F21</f>
        <v>10</v>
      </c>
    </row>
    <row r="91" spans="1:3" s="53" customFormat="1" ht="17.25">
      <c r="A91" s="67" t="s">
        <v>119</v>
      </c>
      <c r="B91" s="27" t="s">
        <v>120</v>
      </c>
      <c r="C91" s="28">
        <f>[8]С3!F22</f>
        <v>3.8889327533838998</v>
      </c>
    </row>
    <row r="92" spans="1:3" s="53" customFormat="1" ht="55.5">
      <c r="A92" s="67" t="s">
        <v>121</v>
      </c>
      <c r="B92" s="43" t="s">
        <v>122</v>
      </c>
      <c r="C92" s="70">
        <f>[8]С3!F23</f>
        <v>3.0000000000000001E-3</v>
      </c>
    </row>
    <row r="93" spans="1:3" s="53" customFormat="1" ht="27.75" thickBot="1">
      <c r="A93" s="71" t="s">
        <v>123</v>
      </c>
      <c r="B93" s="72" t="s">
        <v>241</v>
      </c>
      <c r="C93" s="73">
        <f>[8]С3!F24</f>
        <v>1296.3109177946333</v>
      </c>
    </row>
    <row r="94" spans="1:3" ht="13.5" thickBot="1">
      <c r="A94" s="39"/>
      <c r="B94" s="65"/>
      <c r="C94" s="13"/>
    </row>
    <row r="95" spans="1:3" ht="30" customHeight="1">
      <c r="A95" s="74" t="s">
        <v>124</v>
      </c>
      <c r="B95" s="141" t="s">
        <v>125</v>
      </c>
      <c r="C95" s="141"/>
    </row>
    <row r="96" spans="1:3" ht="30">
      <c r="A96" s="49" t="s">
        <v>126</v>
      </c>
      <c r="B96" s="27" t="s">
        <v>242</v>
      </c>
      <c r="C96" s="28">
        <f>[8]С4!F16</f>
        <v>1652.5</v>
      </c>
    </row>
    <row r="97" spans="1:3" ht="30">
      <c r="A97" s="49" t="s">
        <v>127</v>
      </c>
      <c r="B97" s="48" t="s">
        <v>243</v>
      </c>
      <c r="C97" s="28">
        <f>[8]С4!F17</f>
        <v>73547</v>
      </c>
    </row>
    <row r="98" spans="1:3" ht="17.25">
      <c r="A98" s="49" t="s">
        <v>128</v>
      </c>
      <c r="B98" s="48" t="s">
        <v>129</v>
      </c>
      <c r="C98" s="33">
        <f>[8]С4!F18</f>
        <v>0.02</v>
      </c>
    </row>
    <row r="99" spans="1:3" ht="30">
      <c r="A99" s="49" t="s">
        <v>130</v>
      </c>
      <c r="B99" s="48" t="s">
        <v>131</v>
      </c>
      <c r="C99" s="28">
        <f>[8]С4!F19</f>
        <v>12104</v>
      </c>
    </row>
    <row r="100" spans="1:3" ht="31.5">
      <c r="A100" s="49" t="s">
        <v>132</v>
      </c>
      <c r="B100" s="48" t="s">
        <v>133</v>
      </c>
      <c r="C100" s="33">
        <f>[8]С4!F20</f>
        <v>1.4999999999999999E-2</v>
      </c>
    </row>
    <row r="101" spans="1:3" ht="30">
      <c r="A101" s="49" t="s">
        <v>134</v>
      </c>
      <c r="B101" s="27" t="s">
        <v>244</v>
      </c>
      <c r="C101" s="28">
        <f>[8]С4!F21</f>
        <v>1933.1949342509995</v>
      </c>
    </row>
    <row r="102" spans="1:3" ht="24" customHeight="1">
      <c r="A102" s="49" t="s">
        <v>135</v>
      </c>
      <c r="B102" s="43" t="s">
        <v>136</v>
      </c>
      <c r="C102" s="75">
        <f>IF([8]С4.2!F8="да",[8]С4.2!D21,[8]С4.2!D15)</f>
        <v>0</v>
      </c>
    </row>
    <row r="103" spans="1:3" ht="68.25">
      <c r="A103" s="49" t="s">
        <v>137</v>
      </c>
      <c r="B103" s="43" t="s">
        <v>138</v>
      </c>
      <c r="C103" s="28">
        <f>[8]С4!F22</f>
        <v>3.6112641666666665</v>
      </c>
    </row>
    <row r="104" spans="1:3" ht="30">
      <c r="A104" s="49" t="s">
        <v>139</v>
      </c>
      <c r="B104" s="48" t="s">
        <v>245</v>
      </c>
      <c r="C104" s="28">
        <f>[8]С4!F23</f>
        <v>180</v>
      </c>
    </row>
    <row r="105" spans="1:3" ht="14.25">
      <c r="A105" s="49" t="s">
        <v>140</v>
      </c>
      <c r="B105" s="43" t="s">
        <v>141</v>
      </c>
      <c r="C105" s="28">
        <f>[8]С4!F24</f>
        <v>8497.1999999999989</v>
      </c>
    </row>
    <row r="106" spans="1:3" ht="14.25">
      <c r="A106" s="49" t="s">
        <v>142</v>
      </c>
      <c r="B106" s="48" t="s">
        <v>143</v>
      </c>
      <c r="C106" s="33">
        <f>[8]С4!F25</f>
        <v>0.35</v>
      </c>
    </row>
    <row r="107" spans="1:3" ht="17.25">
      <c r="A107" s="49" t="s">
        <v>144</v>
      </c>
      <c r="B107" s="27" t="s">
        <v>145</v>
      </c>
      <c r="C107" s="28">
        <f>[8]С4!F26</f>
        <v>42.013860000000001</v>
      </c>
    </row>
    <row r="108" spans="1:3" ht="25.5">
      <c r="A108" s="49" t="s">
        <v>146</v>
      </c>
      <c r="B108" s="43" t="s">
        <v>78</v>
      </c>
      <c r="C108" s="75">
        <f>[8]С4.3!E16</f>
        <v>0</v>
      </c>
    </row>
    <row r="109" spans="1:3" ht="25.5">
      <c r="A109" s="49" t="s">
        <v>147</v>
      </c>
      <c r="B109" s="43" t="s">
        <v>148</v>
      </c>
      <c r="C109" s="28">
        <f>[8]С4.3!E17</f>
        <v>11.98</v>
      </c>
    </row>
    <row r="110" spans="1:3" ht="38.25">
      <c r="A110" s="49" t="s">
        <v>149</v>
      </c>
      <c r="B110" s="43" t="s">
        <v>90</v>
      </c>
      <c r="C110" s="75">
        <f>[8]С4.3!E18</f>
        <v>0</v>
      </c>
    </row>
    <row r="111" spans="1:3">
      <c r="A111" s="49" t="s">
        <v>150</v>
      </c>
      <c r="B111" s="43" t="s">
        <v>151</v>
      </c>
      <c r="C111" s="28">
        <f>[8]С4.3!E19</f>
        <v>0</v>
      </c>
    </row>
    <row r="112" spans="1:3">
      <c r="A112" s="49" t="s">
        <v>152</v>
      </c>
      <c r="B112" s="48" t="s">
        <v>153</v>
      </c>
      <c r="C112" s="28">
        <f>[8]С4.3!E11</f>
        <v>1871</v>
      </c>
    </row>
    <row r="113" spans="1:3">
      <c r="A113" s="49" t="s">
        <v>154</v>
      </c>
      <c r="B113" s="48" t="s">
        <v>155</v>
      </c>
      <c r="C113" s="42">
        <f>[8]С4.3!E12</f>
        <v>1636</v>
      </c>
    </row>
    <row r="114" spans="1:3">
      <c r="A114" s="49" t="s">
        <v>156</v>
      </c>
      <c r="B114" s="48" t="s">
        <v>157</v>
      </c>
      <c r="C114" s="42">
        <f>[8]С4.3!E13</f>
        <v>204</v>
      </c>
    </row>
    <row r="115" spans="1:3" ht="30">
      <c r="A115" s="49" t="s">
        <v>158</v>
      </c>
      <c r="B115" s="27" t="s">
        <v>246</v>
      </c>
      <c r="C115" s="28">
        <f>[8]С4!F27</f>
        <v>1291.2863994686898</v>
      </c>
    </row>
    <row r="116" spans="1:3" ht="25.5">
      <c r="A116" s="49" t="s">
        <v>159</v>
      </c>
      <c r="B116" s="43" t="s">
        <v>247</v>
      </c>
      <c r="C116" s="28">
        <f>[8]С4!F28</f>
        <v>991.77142816335618</v>
      </c>
    </row>
    <row r="117" spans="1:3" ht="42.75">
      <c r="A117" s="49" t="s">
        <v>160</v>
      </c>
      <c r="B117" s="43" t="s">
        <v>161</v>
      </c>
      <c r="C117" s="28">
        <f>[8]С4!F29</f>
        <v>299.51497130533357</v>
      </c>
    </row>
    <row r="118" spans="1:3" ht="30">
      <c r="A118" s="49" t="s">
        <v>162</v>
      </c>
      <c r="B118" s="32" t="s">
        <v>163</v>
      </c>
      <c r="C118" s="28">
        <f>[8]С4!F30</f>
        <v>2547.7478708398576</v>
      </c>
    </row>
    <row r="119" spans="1:3" ht="42.75">
      <c r="A119" s="49" t="s">
        <v>248</v>
      </c>
      <c r="B119" s="76" t="s">
        <v>249</v>
      </c>
      <c r="C119" s="28">
        <f>[8]С4!F33</f>
        <v>1351.3428251496514</v>
      </c>
    </row>
    <row r="120" spans="1:3" ht="30">
      <c r="A120" s="49" t="s">
        <v>250</v>
      </c>
      <c r="B120" s="121" t="s">
        <v>251</v>
      </c>
      <c r="C120" s="28">
        <f>[8]С4!F35</f>
        <v>17.040680999999999</v>
      </c>
    </row>
    <row r="121" spans="1:3" ht="14.25">
      <c r="A121" s="49" t="s">
        <v>252</v>
      </c>
      <c r="B121" s="46" t="s">
        <v>253</v>
      </c>
      <c r="C121" s="28">
        <f>[8]С4!F36</f>
        <v>14319.9</v>
      </c>
    </row>
    <row r="122" spans="1:3" ht="28.5" thickBot="1">
      <c r="A122" s="62" t="s">
        <v>254</v>
      </c>
      <c r="B122" s="122" t="s">
        <v>255</v>
      </c>
      <c r="C122" s="73">
        <f>[8]С4!F37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[8]С5!F17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[8]С2!F37</f>
        <v>20.818139999999996</v>
      </c>
    </row>
    <row r="136" spans="1:3" ht="14.25">
      <c r="A136" s="49" t="s">
        <v>183</v>
      </c>
      <c r="B136" s="128" t="s">
        <v>184</v>
      </c>
      <c r="C136" s="28">
        <f>[8]С2!F38</f>
        <v>7</v>
      </c>
    </row>
    <row r="137" spans="1:3" ht="17.25">
      <c r="A137" s="49" t="s">
        <v>185</v>
      </c>
      <c r="B137" s="128" t="s">
        <v>186</v>
      </c>
      <c r="C137" s="28">
        <f>[8]С2!F40</f>
        <v>0.97</v>
      </c>
    </row>
    <row r="138" spans="1:3" ht="15" thickBot="1">
      <c r="A138" s="62" t="s">
        <v>187</v>
      </c>
      <c r="B138" s="129" t="s">
        <v>188</v>
      </c>
      <c r="C138" s="38">
        <f>[8]С2!F42</f>
        <v>0.35</v>
      </c>
    </row>
    <row r="139" spans="1:3" s="77" customFormat="1" ht="13.5" thickBot="1">
      <c r="A139" s="39"/>
      <c r="B139" s="65"/>
      <c r="C139" s="13"/>
    </row>
    <row r="140" spans="1:3" ht="30">
      <c r="A140" s="74" t="s">
        <v>189</v>
      </c>
      <c r="B140" s="84" t="s">
        <v>258</v>
      </c>
      <c r="C140" s="130">
        <f>[8]С2!F35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[8]С2.5!$E$11</f>
        <v>-2.9000000000000026E-2</v>
      </c>
    </row>
    <row r="144" spans="1:3">
      <c r="A144" s="85"/>
      <c r="B144" s="86">
        <f>B143+1</f>
        <v>2021</v>
      </c>
      <c r="C144" s="135">
        <f>[8]С2.5!$F$11</f>
        <v>0.245</v>
      </c>
    </row>
    <row r="145" spans="1:3">
      <c r="A145" s="85"/>
      <c r="B145" s="86">
        <f t="shared" ref="B145:B208" si="0">B144+1</f>
        <v>2022</v>
      </c>
      <c r="C145" s="135">
        <f>[8]С2.5!$G$11</f>
        <v>0.114</v>
      </c>
    </row>
    <row r="146" spans="1:3" ht="13.5" thickBot="1">
      <c r="A146" s="85"/>
      <c r="B146" s="87">
        <f t="shared" si="0"/>
        <v>2023</v>
      </c>
      <c r="C146" s="136">
        <f>[8]С2.5!$H$11</f>
        <v>0.04</v>
      </c>
    </row>
    <row r="147" spans="1:3">
      <c r="A147" s="85"/>
      <c r="B147" s="137">
        <f t="shared" si="0"/>
        <v>2024</v>
      </c>
      <c r="C147" s="138">
        <f>[8]С2.5!$I$11</f>
        <v>0.11700000000000001</v>
      </c>
    </row>
    <row r="148" spans="1:3">
      <c r="A148" s="85"/>
      <c r="B148" s="86">
        <f t="shared" si="0"/>
        <v>2025</v>
      </c>
      <c r="C148" s="135">
        <f>[8]С2.5!$J$11</f>
        <v>6.0999999999999999E-2</v>
      </c>
    </row>
    <row r="149" spans="1:3" hidden="1">
      <c r="A149" s="85"/>
      <c r="B149" s="86">
        <f t="shared" si="0"/>
        <v>2026</v>
      </c>
      <c r="C149" s="135">
        <f>[8]С2.5!$K$11</f>
        <v>3.5813361771260002E-2</v>
      </c>
    </row>
    <row r="150" spans="1:3" hidden="1">
      <c r="A150" s="85"/>
      <c r="B150" s="86">
        <f t="shared" si="0"/>
        <v>2027</v>
      </c>
      <c r="C150" s="135">
        <f>[8]С2.5!$L$11</f>
        <v>3.2682303599220003E-2</v>
      </c>
    </row>
    <row r="151" spans="1:3" hidden="1">
      <c r="A151" s="85"/>
      <c r="B151" s="86">
        <f t="shared" si="0"/>
        <v>2028</v>
      </c>
      <c r="C151" s="135">
        <f>[8]С2.5!$M$11</f>
        <v>0</v>
      </c>
    </row>
    <row r="152" spans="1:3" hidden="1">
      <c r="A152" s="85"/>
      <c r="B152" s="86">
        <f t="shared" si="0"/>
        <v>2029</v>
      </c>
      <c r="C152" s="135">
        <f>[8]С2.5!$N$11</f>
        <v>0</v>
      </c>
    </row>
    <row r="153" spans="1:3" hidden="1">
      <c r="A153" s="85"/>
      <c r="B153" s="86">
        <f t="shared" si="0"/>
        <v>2030</v>
      </c>
      <c r="C153" s="135">
        <f>[8]С2.5!$O$11</f>
        <v>0</v>
      </c>
    </row>
    <row r="154" spans="1:3" hidden="1">
      <c r="A154" s="85"/>
      <c r="B154" s="86">
        <f t="shared" si="0"/>
        <v>2031</v>
      </c>
      <c r="C154" s="135">
        <f>[8]С2.5!$P$11</f>
        <v>0</v>
      </c>
    </row>
    <row r="155" spans="1:3" hidden="1">
      <c r="A155" s="77"/>
      <c r="B155" s="86">
        <f t="shared" si="0"/>
        <v>2032</v>
      </c>
      <c r="C155" s="135">
        <f>[8]С2.5!$Q$11</f>
        <v>0</v>
      </c>
    </row>
    <row r="156" spans="1:3" hidden="1">
      <c r="A156" s="77"/>
      <c r="B156" s="86">
        <f t="shared" si="0"/>
        <v>2033</v>
      </c>
      <c r="C156" s="135">
        <f>[8]С2.5!$R$11</f>
        <v>0</v>
      </c>
    </row>
    <row r="157" spans="1:3" hidden="1">
      <c r="B157" s="86">
        <f t="shared" si="0"/>
        <v>2034</v>
      </c>
      <c r="C157" s="135">
        <f>[8]С2.5!$S$11</f>
        <v>0</v>
      </c>
    </row>
    <row r="158" spans="1:3" hidden="1">
      <c r="B158" s="86">
        <f t="shared" si="0"/>
        <v>2035</v>
      </c>
      <c r="C158" s="135">
        <f>[8]С2.5!$T$11</f>
        <v>0</v>
      </c>
    </row>
    <row r="159" spans="1:3" hidden="1">
      <c r="B159" s="86">
        <f t="shared" si="0"/>
        <v>2036</v>
      </c>
      <c r="C159" s="135">
        <f>[8]С2.5!$U$11</f>
        <v>0</v>
      </c>
    </row>
    <row r="160" spans="1:3" hidden="1">
      <c r="B160" s="86">
        <f t="shared" si="0"/>
        <v>2037</v>
      </c>
      <c r="C160" s="135">
        <f>[8]С2.5!$V$11</f>
        <v>0</v>
      </c>
    </row>
    <row r="161" spans="2:3" hidden="1">
      <c r="B161" s="86">
        <f t="shared" si="0"/>
        <v>2038</v>
      </c>
      <c r="C161" s="135">
        <f>[8]С2.5!$W$11</f>
        <v>0</v>
      </c>
    </row>
    <row r="162" spans="2:3" hidden="1">
      <c r="B162" s="86">
        <f t="shared" si="0"/>
        <v>2039</v>
      </c>
      <c r="C162" s="135">
        <f>[8]С2.5!$X$11</f>
        <v>0</v>
      </c>
    </row>
    <row r="163" spans="2:3" hidden="1">
      <c r="B163" s="86">
        <f t="shared" si="0"/>
        <v>2040</v>
      </c>
      <c r="C163" s="135">
        <f>[8]С2.5!$Y$11</f>
        <v>0</v>
      </c>
    </row>
    <row r="164" spans="2:3" hidden="1">
      <c r="B164" s="86">
        <f t="shared" si="0"/>
        <v>2041</v>
      </c>
      <c r="C164" s="135">
        <f>[8]С2.5!$Z$11</f>
        <v>0</v>
      </c>
    </row>
    <row r="165" spans="2:3" hidden="1">
      <c r="B165" s="86">
        <f t="shared" si="0"/>
        <v>2042</v>
      </c>
      <c r="C165" s="135">
        <f>[8]С2.5!$AA$11</f>
        <v>0</v>
      </c>
    </row>
    <row r="166" spans="2:3" hidden="1">
      <c r="B166" s="86">
        <f t="shared" si="0"/>
        <v>2043</v>
      </c>
      <c r="C166" s="135">
        <f>[8]С2.5!$AB$11</f>
        <v>0</v>
      </c>
    </row>
    <row r="167" spans="2:3" hidden="1">
      <c r="B167" s="86">
        <f t="shared" si="0"/>
        <v>2044</v>
      </c>
      <c r="C167" s="135">
        <f>[8]С2.5!$AC$11</f>
        <v>0</v>
      </c>
    </row>
    <row r="168" spans="2:3" hidden="1">
      <c r="B168" s="86">
        <f t="shared" si="0"/>
        <v>2045</v>
      </c>
      <c r="C168" s="135">
        <f>[8]С2.5!$AD$11</f>
        <v>0</v>
      </c>
    </row>
    <row r="169" spans="2:3" hidden="1">
      <c r="B169" s="86">
        <f t="shared" si="0"/>
        <v>2046</v>
      </c>
      <c r="C169" s="135">
        <f>[8]С2.5!$AE$11</f>
        <v>0</v>
      </c>
    </row>
    <row r="170" spans="2:3" hidden="1">
      <c r="B170" s="86">
        <f t="shared" si="0"/>
        <v>2047</v>
      </c>
      <c r="C170" s="135">
        <f>[8]С2.5!$AF$11</f>
        <v>0</v>
      </c>
    </row>
    <row r="171" spans="2:3" hidden="1">
      <c r="B171" s="86">
        <f t="shared" si="0"/>
        <v>2048</v>
      </c>
      <c r="C171" s="135">
        <f>[8]С2.5!$AG$11</f>
        <v>0</v>
      </c>
    </row>
    <row r="172" spans="2:3" hidden="1">
      <c r="B172" s="86">
        <f t="shared" si="0"/>
        <v>2049</v>
      </c>
      <c r="C172" s="135">
        <f>[8]С2.5!$AH$11</f>
        <v>0</v>
      </c>
    </row>
    <row r="173" spans="2:3" hidden="1">
      <c r="B173" s="86">
        <f t="shared" si="0"/>
        <v>2050</v>
      </c>
      <c r="C173" s="135">
        <f>[8]С2.5!$AI$11</f>
        <v>0</v>
      </c>
    </row>
    <row r="174" spans="2:3" hidden="1">
      <c r="B174" s="86">
        <f t="shared" si="0"/>
        <v>2051</v>
      </c>
      <c r="C174" s="135">
        <f>[8]С2.5!$AJ$11</f>
        <v>0</v>
      </c>
    </row>
    <row r="175" spans="2:3" hidden="1">
      <c r="B175" s="86">
        <f t="shared" si="0"/>
        <v>2052</v>
      </c>
      <c r="C175" s="135">
        <f>[8]С2.5!$AK$11</f>
        <v>0</v>
      </c>
    </row>
    <row r="176" spans="2:3" hidden="1">
      <c r="B176" s="86">
        <f t="shared" si="0"/>
        <v>2053</v>
      </c>
      <c r="C176" s="135">
        <f>[8]С2.5!$AL$11</f>
        <v>0</v>
      </c>
    </row>
    <row r="177" spans="2:3" hidden="1">
      <c r="B177" s="86">
        <f t="shared" si="0"/>
        <v>2054</v>
      </c>
      <c r="C177" s="135">
        <f>[8]С2.5!$AM$11</f>
        <v>0</v>
      </c>
    </row>
    <row r="178" spans="2:3" hidden="1">
      <c r="B178" s="86">
        <f t="shared" si="0"/>
        <v>2055</v>
      </c>
      <c r="C178" s="135">
        <f>[8]С2.5!$AN$11</f>
        <v>0</v>
      </c>
    </row>
    <row r="179" spans="2:3" hidden="1">
      <c r="B179" s="86">
        <f t="shared" si="0"/>
        <v>2056</v>
      </c>
      <c r="C179" s="135">
        <f>[8]С2.5!$AO$11</f>
        <v>0</v>
      </c>
    </row>
    <row r="180" spans="2:3" hidden="1">
      <c r="B180" s="86">
        <f t="shared" si="0"/>
        <v>2057</v>
      </c>
      <c r="C180" s="135">
        <f>[8]С2.5!$AP$11</f>
        <v>0</v>
      </c>
    </row>
    <row r="181" spans="2:3" hidden="1">
      <c r="B181" s="86">
        <f t="shared" si="0"/>
        <v>2058</v>
      </c>
      <c r="C181" s="135">
        <f>[8]С2.5!$AQ$11</f>
        <v>0</v>
      </c>
    </row>
    <row r="182" spans="2:3" hidden="1">
      <c r="B182" s="86">
        <f t="shared" si="0"/>
        <v>2059</v>
      </c>
      <c r="C182" s="135">
        <f>[8]С2.5!$AR$11</f>
        <v>0</v>
      </c>
    </row>
    <row r="183" spans="2:3" hidden="1">
      <c r="B183" s="86">
        <f t="shared" si="0"/>
        <v>2060</v>
      </c>
      <c r="C183" s="135">
        <f>[8]С2.5!$AS$11</f>
        <v>0</v>
      </c>
    </row>
    <row r="184" spans="2:3" hidden="1">
      <c r="B184" s="86">
        <f t="shared" si="0"/>
        <v>2061</v>
      </c>
      <c r="C184" s="135">
        <f>[8]С2.5!$AT$11</f>
        <v>0</v>
      </c>
    </row>
    <row r="185" spans="2:3" hidden="1">
      <c r="B185" s="86">
        <f t="shared" si="0"/>
        <v>2062</v>
      </c>
      <c r="C185" s="135">
        <f>[8]С2.5!$AU$11</f>
        <v>0</v>
      </c>
    </row>
    <row r="186" spans="2:3" hidden="1">
      <c r="B186" s="86">
        <f t="shared" si="0"/>
        <v>2063</v>
      </c>
      <c r="C186" s="135">
        <f>[8]С2.5!$AV$11</f>
        <v>0</v>
      </c>
    </row>
    <row r="187" spans="2:3" hidden="1">
      <c r="B187" s="86">
        <f t="shared" si="0"/>
        <v>2064</v>
      </c>
      <c r="C187" s="135">
        <f>[8]С2.5!$AW$11</f>
        <v>0</v>
      </c>
    </row>
    <row r="188" spans="2:3" hidden="1">
      <c r="B188" s="86">
        <f t="shared" si="0"/>
        <v>2065</v>
      </c>
      <c r="C188" s="135">
        <f>[8]С2.5!$AX$11</f>
        <v>0</v>
      </c>
    </row>
    <row r="189" spans="2:3" hidden="1">
      <c r="B189" s="86">
        <f t="shared" si="0"/>
        <v>2066</v>
      </c>
      <c r="C189" s="135">
        <f>[8]С2.5!$AY$11</f>
        <v>0</v>
      </c>
    </row>
    <row r="190" spans="2:3" hidden="1">
      <c r="B190" s="86">
        <f t="shared" si="0"/>
        <v>2067</v>
      </c>
      <c r="C190" s="135">
        <f>[8]С2.5!$AZ$11</f>
        <v>0</v>
      </c>
    </row>
    <row r="191" spans="2:3" hidden="1">
      <c r="B191" s="86">
        <f t="shared" si="0"/>
        <v>2068</v>
      </c>
      <c r="C191" s="135">
        <f>[8]С2.5!$BA$11</f>
        <v>0</v>
      </c>
    </row>
    <row r="192" spans="2:3" hidden="1">
      <c r="B192" s="86">
        <f t="shared" si="0"/>
        <v>2069</v>
      </c>
      <c r="C192" s="135">
        <f>[8]С2.5!$BB$11</f>
        <v>0</v>
      </c>
    </row>
    <row r="193" spans="2:3" hidden="1">
      <c r="B193" s="86">
        <f t="shared" si="0"/>
        <v>2070</v>
      </c>
      <c r="C193" s="135">
        <f>[8]С2.5!$BC$11</f>
        <v>0</v>
      </c>
    </row>
    <row r="194" spans="2:3" hidden="1">
      <c r="B194" s="86">
        <f t="shared" si="0"/>
        <v>2071</v>
      </c>
      <c r="C194" s="135">
        <f>[8]С2.5!$BD$11</f>
        <v>0</v>
      </c>
    </row>
    <row r="195" spans="2:3" hidden="1">
      <c r="B195" s="86">
        <f t="shared" si="0"/>
        <v>2072</v>
      </c>
      <c r="C195" s="135">
        <f>[8]С2.5!$BE$11</f>
        <v>0</v>
      </c>
    </row>
    <row r="196" spans="2:3" hidden="1">
      <c r="B196" s="86">
        <f t="shared" si="0"/>
        <v>2073</v>
      </c>
      <c r="C196" s="135">
        <f>[8]С2.5!$BF$11</f>
        <v>0</v>
      </c>
    </row>
    <row r="197" spans="2:3" hidden="1">
      <c r="B197" s="86">
        <f t="shared" si="0"/>
        <v>2074</v>
      </c>
      <c r="C197" s="135">
        <f>[8]С2.5!$BG$11</f>
        <v>0</v>
      </c>
    </row>
    <row r="198" spans="2:3" hidden="1">
      <c r="B198" s="86">
        <f t="shared" si="0"/>
        <v>2075</v>
      </c>
      <c r="C198" s="135">
        <f>[8]С2.5!$BH$11</f>
        <v>0</v>
      </c>
    </row>
    <row r="199" spans="2:3" hidden="1">
      <c r="B199" s="86">
        <f t="shared" si="0"/>
        <v>2076</v>
      </c>
      <c r="C199" s="135">
        <f>[8]С2.5!$BI$11</f>
        <v>0</v>
      </c>
    </row>
    <row r="200" spans="2:3" hidden="1">
      <c r="B200" s="86">
        <f t="shared" si="0"/>
        <v>2077</v>
      </c>
      <c r="C200" s="135">
        <f>[8]С2.5!$BJ$11</f>
        <v>0</v>
      </c>
    </row>
    <row r="201" spans="2:3" hidden="1">
      <c r="B201" s="86">
        <f t="shared" si="0"/>
        <v>2078</v>
      </c>
      <c r="C201" s="135">
        <f>[8]С2.5!$BK$11</f>
        <v>0</v>
      </c>
    </row>
    <row r="202" spans="2:3" hidden="1">
      <c r="B202" s="86">
        <f t="shared" si="0"/>
        <v>2079</v>
      </c>
      <c r="C202" s="135">
        <f>[8]С2.5!$BL$11</f>
        <v>0</v>
      </c>
    </row>
    <row r="203" spans="2:3" hidden="1">
      <c r="B203" s="86">
        <f t="shared" si="0"/>
        <v>2080</v>
      </c>
      <c r="C203" s="135">
        <f>[8]С2.5!$BM$11</f>
        <v>0</v>
      </c>
    </row>
    <row r="204" spans="2:3" hidden="1">
      <c r="B204" s="86">
        <f t="shared" si="0"/>
        <v>2081</v>
      </c>
      <c r="C204" s="135">
        <f>[8]С2.5!$BN$11</f>
        <v>0</v>
      </c>
    </row>
    <row r="205" spans="2:3" hidden="1">
      <c r="B205" s="86">
        <f t="shared" si="0"/>
        <v>2082</v>
      </c>
      <c r="C205" s="135">
        <f>[8]С2.5!$BO$11</f>
        <v>0</v>
      </c>
    </row>
    <row r="206" spans="2:3" hidden="1">
      <c r="B206" s="86">
        <f t="shared" si="0"/>
        <v>2083</v>
      </c>
      <c r="C206" s="135">
        <f>[8]С2.5!$BP$11</f>
        <v>0</v>
      </c>
    </row>
    <row r="207" spans="2:3" hidden="1">
      <c r="B207" s="86">
        <f t="shared" si="0"/>
        <v>2084</v>
      </c>
      <c r="C207" s="135">
        <f>[8]С2.5!$BQ$11</f>
        <v>0</v>
      </c>
    </row>
    <row r="208" spans="2:3" hidden="1">
      <c r="B208" s="86">
        <f t="shared" si="0"/>
        <v>2085</v>
      </c>
      <c r="C208" s="135">
        <f>[8]С2.5!$BR$11</f>
        <v>0</v>
      </c>
    </row>
    <row r="209" spans="2:3" hidden="1">
      <c r="B209" s="86">
        <f t="shared" ref="B209:B223" si="1">B208+1</f>
        <v>2086</v>
      </c>
      <c r="C209" s="135">
        <f>[8]С2.5!$BS$11</f>
        <v>0</v>
      </c>
    </row>
    <row r="210" spans="2:3" hidden="1">
      <c r="B210" s="86">
        <f t="shared" si="1"/>
        <v>2087</v>
      </c>
      <c r="C210" s="135">
        <f>[8]С2.5!$BT$11</f>
        <v>0</v>
      </c>
    </row>
    <row r="211" spans="2:3" hidden="1">
      <c r="B211" s="86">
        <f t="shared" si="1"/>
        <v>2088</v>
      </c>
      <c r="C211" s="135">
        <f>[8]С2.5!$BU$11</f>
        <v>0</v>
      </c>
    </row>
    <row r="212" spans="2:3" hidden="1">
      <c r="B212" s="86">
        <f t="shared" si="1"/>
        <v>2089</v>
      </c>
      <c r="C212" s="135">
        <f>[8]С2.5!$BV$11</f>
        <v>0</v>
      </c>
    </row>
    <row r="213" spans="2:3" hidden="1">
      <c r="B213" s="86">
        <f t="shared" si="1"/>
        <v>2090</v>
      </c>
      <c r="C213" s="135">
        <f>[8]С2.5!$BW$11</f>
        <v>0</v>
      </c>
    </row>
    <row r="214" spans="2:3" hidden="1">
      <c r="B214" s="86">
        <f t="shared" si="1"/>
        <v>2091</v>
      </c>
      <c r="C214" s="135">
        <f>[8]С2.5!$BX$11</f>
        <v>0</v>
      </c>
    </row>
    <row r="215" spans="2:3" hidden="1">
      <c r="B215" s="86">
        <f t="shared" si="1"/>
        <v>2092</v>
      </c>
      <c r="C215" s="135">
        <f>[8]С2.5!$BY$11</f>
        <v>0</v>
      </c>
    </row>
    <row r="216" spans="2:3" hidden="1">
      <c r="B216" s="86">
        <f t="shared" si="1"/>
        <v>2093</v>
      </c>
      <c r="C216" s="135">
        <f>[8]С2.5!$BZ$11</f>
        <v>0</v>
      </c>
    </row>
    <row r="217" spans="2:3" hidden="1">
      <c r="B217" s="86">
        <f t="shared" si="1"/>
        <v>2094</v>
      </c>
      <c r="C217" s="135">
        <f>[8]С2.5!$CA$11</f>
        <v>0</v>
      </c>
    </row>
    <row r="218" spans="2:3" hidden="1">
      <c r="B218" s="86">
        <f t="shared" si="1"/>
        <v>2095</v>
      </c>
      <c r="C218" s="135">
        <f>[8]С2.5!$CB$11</f>
        <v>0</v>
      </c>
    </row>
    <row r="219" spans="2:3" hidden="1">
      <c r="B219" s="86">
        <f t="shared" si="1"/>
        <v>2096</v>
      </c>
      <c r="C219" s="135">
        <f>[8]С2.5!$CC$11</f>
        <v>0</v>
      </c>
    </row>
    <row r="220" spans="2:3" hidden="1">
      <c r="B220" s="86">
        <f t="shared" si="1"/>
        <v>2097</v>
      </c>
      <c r="C220" s="135">
        <f>[8]С2.5!$CD$11</f>
        <v>0</v>
      </c>
    </row>
    <row r="221" spans="2:3" hidden="1">
      <c r="B221" s="86">
        <f t="shared" si="1"/>
        <v>2098</v>
      </c>
      <c r="C221" s="135">
        <f>[8]С2.5!$CE$11</f>
        <v>0</v>
      </c>
    </row>
    <row r="222" spans="2:3" hidden="1">
      <c r="B222" s="86">
        <f t="shared" si="1"/>
        <v>2099</v>
      </c>
      <c r="C222" s="135">
        <f>[8]С2.5!$CF$11</f>
        <v>0</v>
      </c>
    </row>
    <row r="223" spans="2:3" ht="13.5" hidden="1" thickBot="1">
      <c r="B223" s="87">
        <f t="shared" si="1"/>
        <v>2100</v>
      </c>
      <c r="C223" s="136">
        <f>[8]С2.5!$CG$11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[9]И1!D13</f>
        <v>Субъект Российской Федерации</v>
      </c>
      <c r="C4" s="8" t="str">
        <f>[9]И1!E13</f>
        <v>Новосибирская область</v>
      </c>
    </row>
    <row r="5" spans="1:3" ht="46.9" customHeight="1">
      <c r="A5" s="6"/>
      <c r="B5" s="7" t="str">
        <f>[9]И1!D14</f>
        <v>Тип муниципального образования (выберите из списка)</v>
      </c>
      <c r="C5" s="8" t="str">
        <f>[9]И1!E14</f>
        <v>село Кожурла, Убинский муниципальный район</v>
      </c>
    </row>
    <row r="6" spans="1:3">
      <c r="A6" s="6"/>
      <c r="B6" s="7" t="str">
        <f>IF([9]И1!E15="","",[9]И1!D15)</f>
        <v/>
      </c>
      <c r="C6" s="8" t="str">
        <f>IF([9]И1!E15="","",[9]И1!E15)</f>
        <v/>
      </c>
    </row>
    <row r="7" spans="1:3">
      <c r="A7" s="6"/>
      <c r="B7" s="7" t="str">
        <f>[9]И1!D16</f>
        <v>Код ОКТМО</v>
      </c>
      <c r="C7" s="9" t="str">
        <f>[9]И1!E16</f>
        <v>50654410101</v>
      </c>
    </row>
    <row r="8" spans="1:3">
      <c r="A8" s="6"/>
      <c r="B8" s="10" t="str">
        <f>[9]И1!D17</f>
        <v>Система теплоснабжения</v>
      </c>
      <c r="C8" s="11">
        <f>[9]И1!E17</f>
        <v>0</v>
      </c>
    </row>
    <row r="9" spans="1:3">
      <c r="A9" s="6"/>
      <c r="B9" s="7" t="str">
        <f>[9]И1!D8</f>
        <v>Период регулирования (i)-й</v>
      </c>
      <c r="C9" s="12">
        <f>[9]И1!E8</f>
        <v>2025</v>
      </c>
    </row>
    <row r="10" spans="1:3">
      <c r="A10" s="6"/>
      <c r="B10" s="7" t="str">
        <f>[9]И1!D9</f>
        <v>Период регулирования (i-1)-й</v>
      </c>
      <c r="C10" s="12">
        <f>[9]И1!E9</f>
        <v>2024</v>
      </c>
    </row>
    <row r="11" spans="1:3">
      <c r="A11" s="6"/>
      <c r="B11" s="7" t="str">
        <f>[9]И1!D10</f>
        <v>Период регулирования (i-2)-й</v>
      </c>
      <c r="C11" s="12">
        <f>[9]И1!E10</f>
        <v>2023</v>
      </c>
    </row>
    <row r="12" spans="1:3">
      <c r="A12" s="6"/>
      <c r="B12" s="7" t="str">
        <f>[9]И1!D11</f>
        <v>Базовый год (б)</v>
      </c>
      <c r="C12" s="12">
        <f>[9]И1!E11</f>
        <v>2019</v>
      </c>
    </row>
    <row r="13" spans="1:3" ht="38.25">
      <c r="A13" s="6"/>
      <c r="B13" s="7" t="str">
        <f>[9]И1!D18</f>
        <v>Вид топлива, использование которого преобладает в системе теплоснабжения</v>
      </c>
      <c r="C13" s="13" t="str">
        <f>[9]С1.1!E13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5631.5365974483966</v>
      </c>
    </row>
    <row r="18" spans="1:3" ht="42.75">
      <c r="A18" s="16" t="s">
        <v>7</v>
      </c>
      <c r="B18" s="19" t="s">
        <v>8</v>
      </c>
      <c r="C18" s="20">
        <f>[9]С1!F12</f>
        <v>1040.456482648744</v>
      </c>
    </row>
    <row r="19" spans="1:3" ht="42.75">
      <c r="A19" s="16" t="s">
        <v>9</v>
      </c>
      <c r="B19" s="19" t="s">
        <v>10</v>
      </c>
      <c r="C19" s="20">
        <f>[9]С2!F12</f>
        <v>3044.269023973251</v>
      </c>
    </row>
    <row r="20" spans="1:3" ht="30">
      <c r="A20" s="16" t="s">
        <v>11</v>
      </c>
      <c r="B20" s="19" t="s">
        <v>12</v>
      </c>
      <c r="C20" s="20">
        <f>[9]С3!F12</f>
        <v>911.32264748625244</v>
      </c>
    </row>
    <row r="21" spans="1:3" ht="42.75">
      <c r="A21" s="16" t="s">
        <v>13</v>
      </c>
      <c r="B21" s="19" t="s">
        <v>226</v>
      </c>
      <c r="C21" s="20">
        <f>[9]С4!F12</f>
        <v>525.06615711567042</v>
      </c>
    </row>
    <row r="22" spans="1:3" ht="30">
      <c r="A22" s="16" t="s">
        <v>14</v>
      </c>
      <c r="B22" s="19" t="s">
        <v>227</v>
      </c>
      <c r="C22" s="20">
        <f>[9]С5!F12</f>
        <v>110.42228622447836</v>
      </c>
    </row>
    <row r="23" spans="1:3" ht="43.5" thickBot="1">
      <c r="A23" s="21" t="s">
        <v>15</v>
      </c>
      <c r="B23" s="140" t="s">
        <v>228</v>
      </c>
      <c r="C23" s="22" t="str">
        <f>[9]С6!F12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[9]С1.1!E16</f>
        <v>5100</v>
      </c>
    </row>
    <row r="29" spans="1:3" ht="42.75">
      <c r="A29" s="16" t="s">
        <v>9</v>
      </c>
      <c r="B29" s="27" t="s">
        <v>230</v>
      </c>
      <c r="C29" s="28">
        <f>[9]С1.1!E27</f>
        <v>3753.1916666666666</v>
      </c>
    </row>
    <row r="30" spans="1:3" ht="17.25">
      <c r="A30" s="16" t="s">
        <v>11</v>
      </c>
      <c r="B30" s="27" t="s">
        <v>17</v>
      </c>
      <c r="C30" s="29">
        <f>[9]С1.1!E19</f>
        <v>1.4E-2</v>
      </c>
    </row>
    <row r="31" spans="1:3" ht="17.25">
      <c r="A31" s="16" t="s">
        <v>13</v>
      </c>
      <c r="B31" s="27" t="s">
        <v>18</v>
      </c>
      <c r="C31" s="29">
        <f>[9]С1.1!E20</f>
        <v>0.04</v>
      </c>
    </row>
    <row r="32" spans="1:3" ht="30">
      <c r="A32" s="16" t="s">
        <v>14</v>
      </c>
      <c r="B32" s="30" t="s">
        <v>231</v>
      </c>
      <c r="C32" s="117">
        <f>[9]С1!F13</f>
        <v>176.4</v>
      </c>
    </row>
    <row r="33" spans="1:3">
      <c r="A33" s="16" t="s">
        <v>15</v>
      </c>
      <c r="B33" s="30" t="s">
        <v>19</v>
      </c>
      <c r="C33" s="31">
        <f>[9]С1!F16</f>
        <v>7000</v>
      </c>
    </row>
    <row r="34" spans="1:3" ht="14.25">
      <c r="A34" s="16" t="s">
        <v>20</v>
      </c>
      <c r="B34" s="32" t="s">
        <v>232</v>
      </c>
      <c r="C34" s="33">
        <f>[9]С1!F17</f>
        <v>0.72857142857142854</v>
      </c>
    </row>
    <row r="35" spans="1:3" ht="15.75">
      <c r="A35" s="118" t="s">
        <v>21</v>
      </c>
      <c r="B35" s="34" t="s">
        <v>22</v>
      </c>
      <c r="C35" s="33">
        <f>[9]С1!F20</f>
        <v>21.588411179999994</v>
      </c>
    </row>
    <row r="36" spans="1:3" ht="15.75">
      <c r="A36" s="118" t="s">
        <v>23</v>
      </c>
      <c r="B36" s="35" t="s">
        <v>24</v>
      </c>
      <c r="C36" s="33">
        <f>[9]С1!F21</f>
        <v>20.818139999999996</v>
      </c>
    </row>
    <row r="37" spans="1:3" ht="14.25">
      <c r="A37" s="118" t="s">
        <v>25</v>
      </c>
      <c r="B37" s="36" t="s">
        <v>26</v>
      </c>
      <c r="C37" s="33">
        <f>[9]С1!F22</f>
        <v>1.0369999999999999</v>
      </c>
    </row>
    <row r="38" spans="1:3" ht="53.25" thickBot="1">
      <c r="A38" s="21" t="s">
        <v>27</v>
      </c>
      <c r="B38" s="37" t="s">
        <v>28</v>
      </c>
      <c r="C38" s="38">
        <f>[9]С1!F23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[9]С2.1!E12</f>
        <v>V</v>
      </c>
    </row>
    <row r="42" spans="1:3" ht="25.5">
      <c r="A42" s="16" t="s">
        <v>33</v>
      </c>
      <c r="B42" s="27" t="s">
        <v>34</v>
      </c>
      <c r="C42" s="41" t="str">
        <f>[9]С2.1!E13</f>
        <v>6 и менее баллов</v>
      </c>
    </row>
    <row r="43" spans="1:3" ht="25.5">
      <c r="A43" s="16" t="s">
        <v>35</v>
      </c>
      <c r="B43" s="27" t="s">
        <v>233</v>
      </c>
      <c r="C43" s="41" t="str">
        <f>[9]С2.1!E14</f>
        <v>от 200 до 500</v>
      </c>
    </row>
    <row r="44" spans="1:3" ht="25.5">
      <c r="A44" s="16" t="s">
        <v>36</v>
      </c>
      <c r="B44" s="27" t="s">
        <v>234</v>
      </c>
      <c r="C44" s="42" t="str">
        <f>[9]С2.1!E15</f>
        <v>нет</v>
      </c>
    </row>
    <row r="45" spans="1:3" ht="30">
      <c r="A45" s="16" t="s">
        <v>37</v>
      </c>
      <c r="B45" s="27" t="s">
        <v>38</v>
      </c>
      <c r="C45" s="28">
        <f>[9]С2!F18</f>
        <v>38910.02669467502</v>
      </c>
    </row>
    <row r="46" spans="1:3" ht="30">
      <c r="A46" s="16" t="s">
        <v>39</v>
      </c>
      <c r="B46" s="43" t="s">
        <v>40</v>
      </c>
      <c r="C46" s="28">
        <f>IF([9]С2!F19&gt;0,[9]С2!F19,[9]С2!F20)</f>
        <v>23441.524932855718</v>
      </c>
    </row>
    <row r="47" spans="1:3" ht="25.5">
      <c r="A47" s="16" t="s">
        <v>41</v>
      </c>
      <c r="B47" s="44" t="s">
        <v>42</v>
      </c>
      <c r="C47" s="28">
        <f>[9]С2.1!E19</f>
        <v>-38</v>
      </c>
    </row>
    <row r="48" spans="1:3" ht="25.5">
      <c r="A48" s="16" t="s">
        <v>43</v>
      </c>
      <c r="B48" s="44" t="s">
        <v>44</v>
      </c>
      <c r="C48" s="28" t="str">
        <f>[9]С2.1!E22</f>
        <v>нет</v>
      </c>
    </row>
    <row r="49" spans="1:3" ht="38.25">
      <c r="A49" s="16" t="s">
        <v>45</v>
      </c>
      <c r="B49" s="45" t="s">
        <v>46</v>
      </c>
      <c r="C49" s="28">
        <f>[9]С2.2!E10</f>
        <v>1287</v>
      </c>
    </row>
    <row r="50" spans="1:3" ht="25.5">
      <c r="A50" s="16" t="s">
        <v>47</v>
      </c>
      <c r="B50" s="46" t="s">
        <v>48</v>
      </c>
      <c r="C50" s="28">
        <f>[9]С2.2!E12</f>
        <v>5.97</v>
      </c>
    </row>
    <row r="51" spans="1:3" ht="52.5">
      <c r="A51" s="16" t="s">
        <v>49</v>
      </c>
      <c r="B51" s="47" t="s">
        <v>50</v>
      </c>
      <c r="C51" s="28">
        <f>[9]С2.2!E13</f>
        <v>1</v>
      </c>
    </row>
    <row r="52" spans="1:3" ht="27.75">
      <c r="A52" s="16" t="s">
        <v>51</v>
      </c>
      <c r="B52" s="46" t="s">
        <v>52</v>
      </c>
      <c r="C52" s="28">
        <f>[9]С2.2!E14</f>
        <v>12104</v>
      </c>
    </row>
    <row r="53" spans="1:3" ht="25.5">
      <c r="A53" s="16" t="s">
        <v>53</v>
      </c>
      <c r="B53" s="47" t="s">
        <v>54</v>
      </c>
      <c r="C53" s="29">
        <f>[9]С2.2!E15</f>
        <v>4.8000000000000001E-2</v>
      </c>
    </row>
    <row r="54" spans="1:3">
      <c r="A54" s="16" t="s">
        <v>55</v>
      </c>
      <c r="B54" s="47" t="s">
        <v>56</v>
      </c>
      <c r="C54" s="28">
        <f>[9]С2.2!E16</f>
        <v>1</v>
      </c>
    </row>
    <row r="55" spans="1:3" ht="15.75">
      <c r="A55" s="16" t="s">
        <v>57</v>
      </c>
      <c r="B55" s="48" t="s">
        <v>58</v>
      </c>
      <c r="C55" s="28">
        <f>[9]С2!F21</f>
        <v>1</v>
      </c>
    </row>
    <row r="56" spans="1:3" ht="30">
      <c r="A56" s="49" t="s">
        <v>59</v>
      </c>
      <c r="B56" s="27" t="s">
        <v>235</v>
      </c>
      <c r="C56" s="28">
        <f>[9]С2!F13</f>
        <v>203708.97017230222</v>
      </c>
    </row>
    <row r="57" spans="1:3" ht="30">
      <c r="A57" s="49" t="s">
        <v>60</v>
      </c>
      <c r="B57" s="48" t="s">
        <v>236</v>
      </c>
      <c r="C57" s="28">
        <f>[9]С2!F14</f>
        <v>113455</v>
      </c>
    </row>
    <row r="58" spans="1:3" ht="15.75">
      <c r="A58" s="49" t="s">
        <v>61</v>
      </c>
      <c r="B58" s="50" t="s">
        <v>62</v>
      </c>
      <c r="C58" s="33">
        <f>[9]С2!F15</f>
        <v>1.071</v>
      </c>
    </row>
    <row r="59" spans="1:3" ht="15.75">
      <c r="A59" s="49" t="s">
        <v>63</v>
      </c>
      <c r="B59" s="50" t="s">
        <v>64</v>
      </c>
      <c r="C59" s="33">
        <f>[9]С2!F16</f>
        <v>1</v>
      </c>
    </row>
    <row r="60" spans="1:3" ht="17.25">
      <c r="A60" s="49" t="s">
        <v>65</v>
      </c>
      <c r="B60" s="48" t="s">
        <v>66</v>
      </c>
      <c r="C60" s="28">
        <f>[9]С2!F17</f>
        <v>1.01</v>
      </c>
    </row>
    <row r="61" spans="1:3" s="53" customFormat="1" ht="14.25">
      <c r="A61" s="49" t="s">
        <v>67</v>
      </c>
      <c r="B61" s="51" t="s">
        <v>68</v>
      </c>
      <c r="C61" s="52">
        <f>[9]С2!F33</f>
        <v>10</v>
      </c>
    </row>
    <row r="62" spans="1:3" ht="30">
      <c r="A62" s="49" t="s">
        <v>69</v>
      </c>
      <c r="B62" s="54" t="s">
        <v>70</v>
      </c>
      <c r="C62" s="28">
        <f>[9]С2!F26</f>
        <v>1296.3109177946333</v>
      </c>
    </row>
    <row r="63" spans="1:3" ht="17.25">
      <c r="A63" s="49" t="s">
        <v>71</v>
      </c>
      <c r="B63" s="43" t="s">
        <v>237</v>
      </c>
      <c r="C63" s="28">
        <f>[9]С2!F27</f>
        <v>0.18594487800000001</v>
      </c>
    </row>
    <row r="64" spans="1:3" ht="17.25">
      <c r="A64" s="49" t="s">
        <v>72</v>
      </c>
      <c r="B64" s="48" t="s">
        <v>238</v>
      </c>
      <c r="C64" s="52">
        <f>[9]С2!F28</f>
        <v>4200</v>
      </c>
    </row>
    <row r="65" spans="1:3" ht="42.75">
      <c r="A65" s="49" t="s">
        <v>73</v>
      </c>
      <c r="B65" s="27" t="s">
        <v>239</v>
      </c>
      <c r="C65" s="28">
        <f>[9]С2!F22</f>
        <v>42890.921752741691</v>
      </c>
    </row>
    <row r="66" spans="1:3" ht="30">
      <c r="A66" s="49" t="s">
        <v>74</v>
      </c>
      <c r="B66" s="50" t="s">
        <v>240</v>
      </c>
      <c r="C66" s="28">
        <f>[9]С2!F23</f>
        <v>1990</v>
      </c>
    </row>
    <row r="67" spans="1:3" ht="30">
      <c r="A67" s="49" t="s">
        <v>75</v>
      </c>
      <c r="B67" s="43" t="s">
        <v>76</v>
      </c>
      <c r="C67" s="28">
        <f>[9]С2.1!E27</f>
        <v>14307.876789999998</v>
      </c>
    </row>
    <row r="68" spans="1:3" ht="38.25">
      <c r="A68" s="49" t="s">
        <v>77</v>
      </c>
      <c r="B68" s="55" t="s">
        <v>78</v>
      </c>
      <c r="C68" s="42">
        <f>[9]С2.3!E21</f>
        <v>0</v>
      </c>
    </row>
    <row r="69" spans="1:3" ht="25.5">
      <c r="A69" s="49" t="s">
        <v>79</v>
      </c>
      <c r="B69" s="56" t="s">
        <v>80</v>
      </c>
      <c r="C69" s="57">
        <f>[9]С2.3!E11</f>
        <v>9.89</v>
      </c>
    </row>
    <row r="70" spans="1:3" ht="25.5">
      <c r="A70" s="49" t="s">
        <v>81</v>
      </c>
      <c r="B70" s="56" t="s">
        <v>82</v>
      </c>
      <c r="C70" s="52">
        <f>[9]С2.3!E13</f>
        <v>300</v>
      </c>
    </row>
    <row r="71" spans="1:3" ht="25.5">
      <c r="A71" s="49" t="s">
        <v>83</v>
      </c>
      <c r="B71" s="55" t="s">
        <v>84</v>
      </c>
      <c r="C71" s="58">
        <f>IF([9]С2.3!E22&gt;0,[9]С2.3!E22,[9]С2.3!E14)</f>
        <v>61211</v>
      </c>
    </row>
    <row r="72" spans="1:3" ht="38.25">
      <c r="A72" s="49" t="s">
        <v>85</v>
      </c>
      <c r="B72" s="55" t="s">
        <v>86</v>
      </c>
      <c r="C72" s="58">
        <f>IF([9]С2.3!E23&gt;0,[9]С2.3!E23,[9]С2.3!E15)</f>
        <v>45675</v>
      </c>
    </row>
    <row r="73" spans="1:3" ht="30">
      <c r="A73" s="49" t="s">
        <v>87</v>
      </c>
      <c r="B73" s="43" t="s">
        <v>88</v>
      </c>
      <c r="C73" s="28">
        <f>[9]С2.1!E28</f>
        <v>9541.9567200000001</v>
      </c>
    </row>
    <row r="74" spans="1:3" ht="38.25">
      <c r="A74" s="49" t="s">
        <v>89</v>
      </c>
      <c r="B74" s="55" t="s">
        <v>90</v>
      </c>
      <c r="C74" s="42">
        <f>[9]С2.3!E25</f>
        <v>0</v>
      </c>
    </row>
    <row r="75" spans="1:3" ht="25.5">
      <c r="A75" s="49" t="s">
        <v>91</v>
      </c>
      <c r="B75" s="56" t="s">
        <v>92</v>
      </c>
      <c r="C75" s="57">
        <f>[9]С2.3!E12</f>
        <v>0.56000000000000005</v>
      </c>
    </row>
    <row r="76" spans="1:3" ht="25.5">
      <c r="A76" s="49" t="s">
        <v>93</v>
      </c>
      <c r="B76" s="56" t="s">
        <v>82</v>
      </c>
      <c r="C76" s="52">
        <f>[9]С2.3!E13</f>
        <v>300</v>
      </c>
    </row>
    <row r="77" spans="1:3" ht="25.5">
      <c r="A77" s="49" t="s">
        <v>94</v>
      </c>
      <c r="B77" s="59" t="s">
        <v>95</v>
      </c>
      <c r="C77" s="58">
        <f>IF([9]С2.3!E26&gt;0,[9]С2.3!E26,[9]С2.3!E16)</f>
        <v>65637</v>
      </c>
    </row>
    <row r="78" spans="1:3" ht="38.25">
      <c r="A78" s="49" t="s">
        <v>96</v>
      </c>
      <c r="B78" s="59" t="s">
        <v>97</v>
      </c>
      <c r="C78" s="58">
        <f>IF([9]С2.3!E27&gt;0,[9]С2.3!E27,[9]С2.3!E17)</f>
        <v>31684</v>
      </c>
    </row>
    <row r="79" spans="1:3" ht="17.25">
      <c r="A79" s="49" t="s">
        <v>98</v>
      </c>
      <c r="B79" s="27" t="s">
        <v>99</v>
      </c>
      <c r="C79" s="29">
        <f>[9]С2!F29</f>
        <v>0.17804631770487722</v>
      </c>
    </row>
    <row r="80" spans="1:3" ht="30">
      <c r="A80" s="49" t="s">
        <v>100</v>
      </c>
      <c r="B80" s="43" t="s">
        <v>101</v>
      </c>
      <c r="C80" s="60">
        <f>[9]С2!F30</f>
        <v>0.1652189781021898</v>
      </c>
    </row>
    <row r="81" spans="1:3" ht="17.25">
      <c r="A81" s="49" t="s">
        <v>102</v>
      </c>
      <c r="B81" s="61" t="s">
        <v>103</v>
      </c>
      <c r="C81" s="29">
        <f>[9]С2!F31</f>
        <v>0.13880000000000001</v>
      </c>
    </row>
    <row r="82" spans="1:3" s="53" customFormat="1" ht="18" thickBot="1">
      <c r="A82" s="62" t="s">
        <v>104</v>
      </c>
      <c r="B82" s="63" t="s">
        <v>105</v>
      </c>
      <c r="C82" s="64">
        <f>[9]С2!F32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[9]С3!F14</f>
        <v>14780.674721363519</v>
      </c>
    </row>
    <row r="86" spans="1:3" s="53" customFormat="1" ht="42.75">
      <c r="A86" s="67" t="s">
        <v>110</v>
      </c>
      <c r="B86" s="43" t="s">
        <v>111</v>
      </c>
      <c r="C86" s="68">
        <f>[9]С3!F15</f>
        <v>0.25</v>
      </c>
    </row>
    <row r="87" spans="1:3" s="53" customFormat="1" ht="14.25">
      <c r="A87" s="67" t="s">
        <v>112</v>
      </c>
      <c r="B87" s="69" t="s">
        <v>113</v>
      </c>
      <c r="C87" s="52">
        <f>[9]С3!F18</f>
        <v>15</v>
      </c>
    </row>
    <row r="88" spans="1:3" s="53" customFormat="1" ht="17.25">
      <c r="A88" s="67" t="s">
        <v>114</v>
      </c>
      <c r="B88" s="27" t="s">
        <v>115</v>
      </c>
      <c r="C88" s="28">
        <f>[9]С3!F19</f>
        <v>4187.478806422544</v>
      </c>
    </row>
    <row r="89" spans="1:3" s="53" customFormat="1" ht="55.5">
      <c r="A89" s="67" t="s">
        <v>116</v>
      </c>
      <c r="B89" s="43" t="s">
        <v>117</v>
      </c>
      <c r="C89" s="70">
        <f>[9]С3!F20</f>
        <v>2.1999999999999999E-2</v>
      </c>
    </row>
    <row r="90" spans="1:3" s="53" customFormat="1" ht="14.25">
      <c r="A90" s="67" t="s">
        <v>118</v>
      </c>
      <c r="B90" s="48" t="s">
        <v>68</v>
      </c>
      <c r="C90" s="52">
        <f>[9]С3!F21</f>
        <v>10</v>
      </c>
    </row>
    <row r="91" spans="1:3" s="53" customFormat="1" ht="17.25">
      <c r="A91" s="67" t="s">
        <v>119</v>
      </c>
      <c r="B91" s="27" t="s">
        <v>120</v>
      </c>
      <c r="C91" s="28">
        <f>[9]С3!F22</f>
        <v>3.8889327533838998</v>
      </c>
    </row>
    <row r="92" spans="1:3" s="53" customFormat="1" ht="55.5">
      <c r="A92" s="67" t="s">
        <v>121</v>
      </c>
      <c r="B92" s="43" t="s">
        <v>122</v>
      </c>
      <c r="C92" s="70">
        <f>[9]С3!F23</f>
        <v>3.0000000000000001E-3</v>
      </c>
    </row>
    <row r="93" spans="1:3" s="53" customFormat="1" ht="27.75" thickBot="1">
      <c r="A93" s="71" t="s">
        <v>123</v>
      </c>
      <c r="B93" s="72" t="s">
        <v>241</v>
      </c>
      <c r="C93" s="73">
        <f>[9]С3!F24</f>
        <v>1296.3109177946333</v>
      </c>
    </row>
    <row r="94" spans="1:3" ht="13.5" thickBot="1">
      <c r="A94" s="39"/>
      <c r="B94" s="65"/>
      <c r="C94" s="13"/>
    </row>
    <row r="95" spans="1:3" ht="30" customHeight="1">
      <c r="A95" s="74" t="s">
        <v>124</v>
      </c>
      <c r="B95" s="141" t="s">
        <v>125</v>
      </c>
      <c r="C95" s="141"/>
    </row>
    <row r="96" spans="1:3" ht="30">
      <c r="A96" s="49" t="s">
        <v>126</v>
      </c>
      <c r="B96" s="27" t="s">
        <v>242</v>
      </c>
      <c r="C96" s="28">
        <f>[9]С4!F16</f>
        <v>1652.5</v>
      </c>
    </row>
    <row r="97" spans="1:3" ht="30">
      <c r="A97" s="49" t="s">
        <v>127</v>
      </c>
      <c r="B97" s="48" t="s">
        <v>243</v>
      </c>
      <c r="C97" s="28">
        <f>[9]С4!F17</f>
        <v>73547</v>
      </c>
    </row>
    <row r="98" spans="1:3" ht="17.25">
      <c r="A98" s="49" t="s">
        <v>128</v>
      </c>
      <c r="B98" s="48" t="s">
        <v>129</v>
      </c>
      <c r="C98" s="33">
        <f>[9]С4!F18</f>
        <v>0.02</v>
      </c>
    </row>
    <row r="99" spans="1:3" ht="30">
      <c r="A99" s="49" t="s">
        <v>130</v>
      </c>
      <c r="B99" s="48" t="s">
        <v>131</v>
      </c>
      <c r="C99" s="28">
        <f>[9]С4!F19</f>
        <v>12104</v>
      </c>
    </row>
    <row r="100" spans="1:3" ht="31.5">
      <c r="A100" s="49" t="s">
        <v>132</v>
      </c>
      <c r="B100" s="48" t="s">
        <v>133</v>
      </c>
      <c r="C100" s="33">
        <f>[9]С4!F20</f>
        <v>1.4999999999999999E-2</v>
      </c>
    </row>
    <row r="101" spans="1:3" ht="30">
      <c r="A101" s="49" t="s">
        <v>134</v>
      </c>
      <c r="B101" s="27" t="s">
        <v>244</v>
      </c>
      <c r="C101" s="28">
        <f>[9]С4!F21</f>
        <v>1933.1949342509995</v>
      </c>
    </row>
    <row r="102" spans="1:3" ht="24" customHeight="1">
      <c r="A102" s="49" t="s">
        <v>135</v>
      </c>
      <c r="B102" s="43" t="s">
        <v>136</v>
      </c>
      <c r="C102" s="75">
        <f>IF([9]С4.2!F8="да",[9]С4.2!D21,[9]С4.2!D15)</f>
        <v>0</v>
      </c>
    </row>
    <row r="103" spans="1:3" ht="68.25">
      <c r="A103" s="49" t="s">
        <v>137</v>
      </c>
      <c r="B103" s="43" t="s">
        <v>138</v>
      </c>
      <c r="C103" s="28">
        <f>[9]С4!F22</f>
        <v>3.6112641666666665</v>
      </c>
    </row>
    <row r="104" spans="1:3" ht="30">
      <c r="A104" s="49" t="s">
        <v>139</v>
      </c>
      <c r="B104" s="48" t="s">
        <v>245</v>
      </c>
      <c r="C104" s="28">
        <f>[9]С4!F23</f>
        <v>180</v>
      </c>
    </row>
    <row r="105" spans="1:3" ht="14.25">
      <c r="A105" s="49" t="s">
        <v>140</v>
      </c>
      <c r="B105" s="43" t="s">
        <v>141</v>
      </c>
      <c r="C105" s="28">
        <f>[9]С4!F24</f>
        <v>8497.1999999999989</v>
      </c>
    </row>
    <row r="106" spans="1:3" ht="14.25">
      <c r="A106" s="49" t="s">
        <v>142</v>
      </c>
      <c r="B106" s="48" t="s">
        <v>143</v>
      </c>
      <c r="C106" s="33">
        <f>[9]С4!F25</f>
        <v>0.35</v>
      </c>
    </row>
    <row r="107" spans="1:3" ht="17.25">
      <c r="A107" s="49" t="s">
        <v>144</v>
      </c>
      <c r="B107" s="27" t="s">
        <v>145</v>
      </c>
      <c r="C107" s="28">
        <f>[9]С4!F26</f>
        <v>62.845440000000011</v>
      </c>
    </row>
    <row r="108" spans="1:3" ht="25.5">
      <c r="A108" s="49" t="s">
        <v>146</v>
      </c>
      <c r="B108" s="43" t="s">
        <v>78</v>
      </c>
      <c r="C108" s="75">
        <f>[9]С4.3!E16</f>
        <v>0</v>
      </c>
    </row>
    <row r="109" spans="1:3" ht="25.5">
      <c r="A109" s="49" t="s">
        <v>147</v>
      </c>
      <c r="B109" s="43" t="s">
        <v>148</v>
      </c>
      <c r="C109" s="28">
        <f>[9]С4.3!E17</f>
        <v>17.920000000000002</v>
      </c>
    </row>
    <row r="110" spans="1:3" ht="38.25">
      <c r="A110" s="49" t="s">
        <v>149</v>
      </c>
      <c r="B110" s="43" t="s">
        <v>90</v>
      </c>
      <c r="C110" s="75">
        <f>[9]С4.3!E18</f>
        <v>0</v>
      </c>
    </row>
    <row r="111" spans="1:3">
      <c r="A111" s="49" t="s">
        <v>150</v>
      </c>
      <c r="B111" s="43" t="s">
        <v>151</v>
      </c>
      <c r="C111" s="28">
        <f>[9]С4.3!E19</f>
        <v>0</v>
      </c>
    </row>
    <row r="112" spans="1:3">
      <c r="A112" s="49" t="s">
        <v>152</v>
      </c>
      <c r="B112" s="48" t="s">
        <v>153</v>
      </c>
      <c r="C112" s="28">
        <f>[9]С4.3!E11</f>
        <v>1871</v>
      </c>
    </row>
    <row r="113" spans="1:3">
      <c r="A113" s="49" t="s">
        <v>154</v>
      </c>
      <c r="B113" s="48" t="s">
        <v>155</v>
      </c>
      <c r="C113" s="42">
        <f>[9]С4.3!E12</f>
        <v>1636</v>
      </c>
    </row>
    <row r="114" spans="1:3">
      <c r="A114" s="49" t="s">
        <v>156</v>
      </c>
      <c r="B114" s="48" t="s">
        <v>157</v>
      </c>
      <c r="C114" s="42">
        <f>[9]С4.3!E13</f>
        <v>204</v>
      </c>
    </row>
    <row r="115" spans="1:3" ht="30">
      <c r="A115" s="49" t="s">
        <v>158</v>
      </c>
      <c r="B115" s="27" t="s">
        <v>246</v>
      </c>
      <c r="C115" s="28">
        <f>[9]С4!F27</f>
        <v>1291.2863994686898</v>
      </c>
    </row>
    <row r="116" spans="1:3" ht="25.5">
      <c r="A116" s="49" t="s">
        <v>159</v>
      </c>
      <c r="B116" s="43" t="s">
        <v>247</v>
      </c>
      <c r="C116" s="28">
        <f>[9]С4!F28</f>
        <v>991.77142816335618</v>
      </c>
    </row>
    <row r="117" spans="1:3" ht="42.75">
      <c r="A117" s="49" t="s">
        <v>160</v>
      </c>
      <c r="B117" s="43" t="s">
        <v>161</v>
      </c>
      <c r="C117" s="28">
        <f>[9]С4!F29</f>
        <v>299.51497130533357</v>
      </c>
    </row>
    <row r="118" spans="1:3" ht="30">
      <c r="A118" s="49" t="s">
        <v>162</v>
      </c>
      <c r="B118" s="32" t="s">
        <v>163</v>
      </c>
      <c r="C118" s="28">
        <f>[9]С4!F30</f>
        <v>2731.4004291439687</v>
      </c>
    </row>
    <row r="119" spans="1:3" ht="42.75">
      <c r="A119" s="49" t="s">
        <v>248</v>
      </c>
      <c r="B119" s="76" t="s">
        <v>249</v>
      </c>
      <c r="C119" s="28">
        <f>[9]С4!F33</f>
        <v>1533.2664913782382</v>
      </c>
    </row>
    <row r="120" spans="1:3" ht="30">
      <c r="A120" s="49" t="s">
        <v>250</v>
      </c>
      <c r="B120" s="121" t="s">
        <v>251</v>
      </c>
      <c r="C120" s="28">
        <f>[9]С4!F35</f>
        <v>17.040680999999999</v>
      </c>
    </row>
    <row r="121" spans="1:3" ht="14.25">
      <c r="A121" s="49" t="s">
        <v>252</v>
      </c>
      <c r="B121" s="46" t="s">
        <v>253</v>
      </c>
      <c r="C121" s="28">
        <f>[9]С4!F36</f>
        <v>14319.9</v>
      </c>
    </row>
    <row r="122" spans="1:3" ht="28.5" thickBot="1">
      <c r="A122" s="62" t="s">
        <v>254</v>
      </c>
      <c r="B122" s="122" t="s">
        <v>255</v>
      </c>
      <c r="C122" s="73">
        <f>[9]С4!F37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[9]С5!F17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[9]С2!F37</f>
        <v>20.818139999999996</v>
      </c>
    </row>
    <row r="136" spans="1:3" ht="14.25">
      <c r="A136" s="49" t="s">
        <v>183</v>
      </c>
      <c r="B136" s="128" t="s">
        <v>184</v>
      </c>
      <c r="C136" s="28">
        <f>[9]С2!F38</f>
        <v>7</v>
      </c>
    </row>
    <row r="137" spans="1:3" ht="17.25">
      <c r="A137" s="49" t="s">
        <v>185</v>
      </c>
      <c r="B137" s="128" t="s">
        <v>186</v>
      </c>
      <c r="C137" s="28">
        <f>[9]С2!F40</f>
        <v>0.97</v>
      </c>
    </row>
    <row r="138" spans="1:3" ht="15" thickBot="1">
      <c r="A138" s="62" t="s">
        <v>187</v>
      </c>
      <c r="B138" s="129" t="s">
        <v>188</v>
      </c>
      <c r="C138" s="38">
        <f>[9]С2!F42</f>
        <v>0.35</v>
      </c>
    </row>
    <row r="139" spans="1:3" s="77" customFormat="1" ht="13.5" thickBot="1">
      <c r="A139" s="39"/>
      <c r="B139" s="65"/>
      <c r="C139" s="13"/>
    </row>
    <row r="140" spans="1:3" ht="30">
      <c r="A140" s="74" t="s">
        <v>189</v>
      </c>
      <c r="B140" s="84" t="s">
        <v>258</v>
      </c>
      <c r="C140" s="130">
        <f>[9]С2!F35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[9]С2.5!$E$11</f>
        <v>-2.9000000000000026E-2</v>
      </c>
    </row>
    <row r="144" spans="1:3">
      <c r="A144" s="85"/>
      <c r="B144" s="86">
        <f>B143+1</f>
        <v>2021</v>
      </c>
      <c r="C144" s="135">
        <f>[9]С2.5!$F$11</f>
        <v>0.245</v>
      </c>
    </row>
    <row r="145" spans="1:3">
      <c r="A145" s="85"/>
      <c r="B145" s="86">
        <f t="shared" ref="B145:B208" si="0">B144+1</f>
        <v>2022</v>
      </c>
      <c r="C145" s="135">
        <f>[9]С2.5!$G$11</f>
        <v>0.114</v>
      </c>
    </row>
    <row r="146" spans="1:3" ht="13.5" thickBot="1">
      <c r="A146" s="85"/>
      <c r="B146" s="87">
        <f t="shared" si="0"/>
        <v>2023</v>
      </c>
      <c r="C146" s="136">
        <f>[9]С2.5!$H$11</f>
        <v>0.04</v>
      </c>
    </row>
    <row r="147" spans="1:3">
      <c r="A147" s="85"/>
      <c r="B147" s="137">
        <f t="shared" si="0"/>
        <v>2024</v>
      </c>
      <c r="C147" s="138">
        <f>[9]С2.5!$I$11</f>
        <v>0.11700000000000001</v>
      </c>
    </row>
    <row r="148" spans="1:3">
      <c r="A148" s="85"/>
      <c r="B148" s="86">
        <f t="shared" si="0"/>
        <v>2025</v>
      </c>
      <c r="C148" s="135">
        <f>[9]С2.5!$J$11</f>
        <v>6.0999999999999999E-2</v>
      </c>
    </row>
    <row r="149" spans="1:3" hidden="1">
      <c r="A149" s="85"/>
      <c r="B149" s="86">
        <f t="shared" si="0"/>
        <v>2026</v>
      </c>
      <c r="C149" s="135">
        <f>[9]С2.5!$K$11</f>
        <v>3.5813361771260002E-2</v>
      </c>
    </row>
    <row r="150" spans="1:3" hidden="1">
      <c r="A150" s="85"/>
      <c r="B150" s="86">
        <f t="shared" si="0"/>
        <v>2027</v>
      </c>
      <c r="C150" s="135">
        <f>[9]С2.5!$L$11</f>
        <v>3.2682303599220003E-2</v>
      </c>
    </row>
    <row r="151" spans="1:3" hidden="1">
      <c r="A151" s="85"/>
      <c r="B151" s="86">
        <f t="shared" si="0"/>
        <v>2028</v>
      </c>
      <c r="C151" s="135">
        <f>[9]С2.5!$M$11</f>
        <v>0</v>
      </c>
    </row>
    <row r="152" spans="1:3" hidden="1">
      <c r="A152" s="85"/>
      <c r="B152" s="86">
        <f t="shared" si="0"/>
        <v>2029</v>
      </c>
      <c r="C152" s="135">
        <f>[9]С2.5!$N$11</f>
        <v>0</v>
      </c>
    </row>
    <row r="153" spans="1:3" hidden="1">
      <c r="A153" s="85"/>
      <c r="B153" s="86">
        <f t="shared" si="0"/>
        <v>2030</v>
      </c>
      <c r="C153" s="135">
        <f>[9]С2.5!$O$11</f>
        <v>0</v>
      </c>
    </row>
    <row r="154" spans="1:3" hidden="1">
      <c r="A154" s="85"/>
      <c r="B154" s="86">
        <f t="shared" si="0"/>
        <v>2031</v>
      </c>
      <c r="C154" s="135">
        <f>[9]С2.5!$P$11</f>
        <v>0</v>
      </c>
    </row>
    <row r="155" spans="1:3" hidden="1">
      <c r="A155" s="77"/>
      <c r="B155" s="86">
        <f t="shared" si="0"/>
        <v>2032</v>
      </c>
      <c r="C155" s="135">
        <f>[9]С2.5!$Q$11</f>
        <v>0</v>
      </c>
    </row>
    <row r="156" spans="1:3" hidden="1">
      <c r="A156" s="77"/>
      <c r="B156" s="86">
        <f t="shared" si="0"/>
        <v>2033</v>
      </c>
      <c r="C156" s="135">
        <f>[9]С2.5!$R$11</f>
        <v>0</v>
      </c>
    </row>
    <row r="157" spans="1:3" hidden="1">
      <c r="B157" s="86">
        <f t="shared" si="0"/>
        <v>2034</v>
      </c>
      <c r="C157" s="135">
        <f>[9]С2.5!$S$11</f>
        <v>0</v>
      </c>
    </row>
    <row r="158" spans="1:3" hidden="1">
      <c r="B158" s="86">
        <f t="shared" si="0"/>
        <v>2035</v>
      </c>
      <c r="C158" s="135">
        <f>[9]С2.5!$T$11</f>
        <v>0</v>
      </c>
    </row>
    <row r="159" spans="1:3" hidden="1">
      <c r="B159" s="86">
        <f t="shared" si="0"/>
        <v>2036</v>
      </c>
      <c r="C159" s="135">
        <f>[9]С2.5!$U$11</f>
        <v>0</v>
      </c>
    </row>
    <row r="160" spans="1:3" hidden="1">
      <c r="B160" s="86">
        <f t="shared" si="0"/>
        <v>2037</v>
      </c>
      <c r="C160" s="135">
        <f>[9]С2.5!$V$11</f>
        <v>0</v>
      </c>
    </row>
    <row r="161" spans="2:3" hidden="1">
      <c r="B161" s="86">
        <f t="shared" si="0"/>
        <v>2038</v>
      </c>
      <c r="C161" s="135">
        <f>[9]С2.5!$W$11</f>
        <v>0</v>
      </c>
    </row>
    <row r="162" spans="2:3" hidden="1">
      <c r="B162" s="86">
        <f t="shared" si="0"/>
        <v>2039</v>
      </c>
      <c r="C162" s="135">
        <f>[9]С2.5!$X$11</f>
        <v>0</v>
      </c>
    </row>
    <row r="163" spans="2:3" hidden="1">
      <c r="B163" s="86">
        <f t="shared" si="0"/>
        <v>2040</v>
      </c>
      <c r="C163" s="135">
        <f>[9]С2.5!$Y$11</f>
        <v>0</v>
      </c>
    </row>
    <row r="164" spans="2:3" hidden="1">
      <c r="B164" s="86">
        <f t="shared" si="0"/>
        <v>2041</v>
      </c>
      <c r="C164" s="135">
        <f>[9]С2.5!$Z$11</f>
        <v>0</v>
      </c>
    </row>
    <row r="165" spans="2:3" hidden="1">
      <c r="B165" s="86">
        <f t="shared" si="0"/>
        <v>2042</v>
      </c>
      <c r="C165" s="135">
        <f>[9]С2.5!$AA$11</f>
        <v>0</v>
      </c>
    </row>
    <row r="166" spans="2:3" hidden="1">
      <c r="B166" s="86">
        <f t="shared" si="0"/>
        <v>2043</v>
      </c>
      <c r="C166" s="135">
        <f>[9]С2.5!$AB$11</f>
        <v>0</v>
      </c>
    </row>
    <row r="167" spans="2:3" hidden="1">
      <c r="B167" s="86">
        <f t="shared" si="0"/>
        <v>2044</v>
      </c>
      <c r="C167" s="135">
        <f>[9]С2.5!$AC$11</f>
        <v>0</v>
      </c>
    </row>
    <row r="168" spans="2:3" hidden="1">
      <c r="B168" s="86">
        <f t="shared" si="0"/>
        <v>2045</v>
      </c>
      <c r="C168" s="135">
        <f>[9]С2.5!$AD$11</f>
        <v>0</v>
      </c>
    </row>
    <row r="169" spans="2:3" hidden="1">
      <c r="B169" s="86">
        <f t="shared" si="0"/>
        <v>2046</v>
      </c>
      <c r="C169" s="135">
        <f>[9]С2.5!$AE$11</f>
        <v>0</v>
      </c>
    </row>
    <row r="170" spans="2:3" hidden="1">
      <c r="B170" s="86">
        <f t="shared" si="0"/>
        <v>2047</v>
      </c>
      <c r="C170" s="135">
        <f>[9]С2.5!$AF$11</f>
        <v>0</v>
      </c>
    </row>
    <row r="171" spans="2:3" hidden="1">
      <c r="B171" s="86">
        <f t="shared" si="0"/>
        <v>2048</v>
      </c>
      <c r="C171" s="135">
        <f>[9]С2.5!$AG$11</f>
        <v>0</v>
      </c>
    </row>
    <row r="172" spans="2:3" hidden="1">
      <c r="B172" s="86">
        <f t="shared" si="0"/>
        <v>2049</v>
      </c>
      <c r="C172" s="135">
        <f>[9]С2.5!$AH$11</f>
        <v>0</v>
      </c>
    </row>
    <row r="173" spans="2:3" hidden="1">
      <c r="B173" s="86">
        <f t="shared" si="0"/>
        <v>2050</v>
      </c>
      <c r="C173" s="135">
        <f>[9]С2.5!$AI$11</f>
        <v>0</v>
      </c>
    </row>
    <row r="174" spans="2:3" hidden="1">
      <c r="B174" s="86">
        <f t="shared" si="0"/>
        <v>2051</v>
      </c>
      <c r="C174" s="135">
        <f>[9]С2.5!$AJ$11</f>
        <v>0</v>
      </c>
    </row>
    <row r="175" spans="2:3" hidden="1">
      <c r="B175" s="86">
        <f t="shared" si="0"/>
        <v>2052</v>
      </c>
      <c r="C175" s="135">
        <f>[9]С2.5!$AK$11</f>
        <v>0</v>
      </c>
    </row>
    <row r="176" spans="2:3" hidden="1">
      <c r="B176" s="86">
        <f t="shared" si="0"/>
        <v>2053</v>
      </c>
      <c r="C176" s="135">
        <f>[9]С2.5!$AL$11</f>
        <v>0</v>
      </c>
    </row>
    <row r="177" spans="2:3" hidden="1">
      <c r="B177" s="86">
        <f t="shared" si="0"/>
        <v>2054</v>
      </c>
      <c r="C177" s="135">
        <f>[9]С2.5!$AM$11</f>
        <v>0</v>
      </c>
    </row>
    <row r="178" spans="2:3" hidden="1">
      <c r="B178" s="86">
        <f t="shared" si="0"/>
        <v>2055</v>
      </c>
      <c r="C178" s="135">
        <f>[9]С2.5!$AN$11</f>
        <v>0</v>
      </c>
    </row>
    <row r="179" spans="2:3" hidden="1">
      <c r="B179" s="86">
        <f t="shared" si="0"/>
        <v>2056</v>
      </c>
      <c r="C179" s="135">
        <f>[9]С2.5!$AO$11</f>
        <v>0</v>
      </c>
    </row>
    <row r="180" spans="2:3" hidden="1">
      <c r="B180" s="86">
        <f t="shared" si="0"/>
        <v>2057</v>
      </c>
      <c r="C180" s="135">
        <f>[9]С2.5!$AP$11</f>
        <v>0</v>
      </c>
    </row>
    <row r="181" spans="2:3" hidden="1">
      <c r="B181" s="86">
        <f t="shared" si="0"/>
        <v>2058</v>
      </c>
      <c r="C181" s="135">
        <f>[9]С2.5!$AQ$11</f>
        <v>0</v>
      </c>
    </row>
    <row r="182" spans="2:3" hidden="1">
      <c r="B182" s="86">
        <f t="shared" si="0"/>
        <v>2059</v>
      </c>
      <c r="C182" s="135">
        <f>[9]С2.5!$AR$11</f>
        <v>0</v>
      </c>
    </row>
    <row r="183" spans="2:3" hidden="1">
      <c r="B183" s="86">
        <f t="shared" si="0"/>
        <v>2060</v>
      </c>
      <c r="C183" s="135">
        <f>[9]С2.5!$AS$11</f>
        <v>0</v>
      </c>
    </row>
    <row r="184" spans="2:3" hidden="1">
      <c r="B184" s="86">
        <f t="shared" si="0"/>
        <v>2061</v>
      </c>
      <c r="C184" s="135">
        <f>[9]С2.5!$AT$11</f>
        <v>0</v>
      </c>
    </row>
    <row r="185" spans="2:3" hidden="1">
      <c r="B185" s="86">
        <f t="shared" si="0"/>
        <v>2062</v>
      </c>
      <c r="C185" s="135">
        <f>[9]С2.5!$AU$11</f>
        <v>0</v>
      </c>
    </row>
    <row r="186" spans="2:3" hidden="1">
      <c r="B186" s="86">
        <f t="shared" si="0"/>
        <v>2063</v>
      </c>
      <c r="C186" s="135">
        <f>[9]С2.5!$AV$11</f>
        <v>0</v>
      </c>
    </row>
    <row r="187" spans="2:3" hidden="1">
      <c r="B187" s="86">
        <f t="shared" si="0"/>
        <v>2064</v>
      </c>
      <c r="C187" s="135">
        <f>[9]С2.5!$AW$11</f>
        <v>0</v>
      </c>
    </row>
    <row r="188" spans="2:3" hidden="1">
      <c r="B188" s="86">
        <f t="shared" si="0"/>
        <v>2065</v>
      </c>
      <c r="C188" s="135">
        <f>[9]С2.5!$AX$11</f>
        <v>0</v>
      </c>
    </row>
    <row r="189" spans="2:3" hidden="1">
      <c r="B189" s="86">
        <f t="shared" si="0"/>
        <v>2066</v>
      </c>
      <c r="C189" s="135">
        <f>[9]С2.5!$AY$11</f>
        <v>0</v>
      </c>
    </row>
    <row r="190" spans="2:3" hidden="1">
      <c r="B190" s="86">
        <f t="shared" si="0"/>
        <v>2067</v>
      </c>
      <c r="C190" s="135">
        <f>[9]С2.5!$AZ$11</f>
        <v>0</v>
      </c>
    </row>
    <row r="191" spans="2:3" hidden="1">
      <c r="B191" s="86">
        <f t="shared" si="0"/>
        <v>2068</v>
      </c>
      <c r="C191" s="135">
        <f>[9]С2.5!$BA$11</f>
        <v>0</v>
      </c>
    </row>
    <row r="192" spans="2:3" hidden="1">
      <c r="B192" s="86">
        <f t="shared" si="0"/>
        <v>2069</v>
      </c>
      <c r="C192" s="135">
        <f>[9]С2.5!$BB$11</f>
        <v>0</v>
      </c>
    </row>
    <row r="193" spans="2:3" hidden="1">
      <c r="B193" s="86">
        <f t="shared" si="0"/>
        <v>2070</v>
      </c>
      <c r="C193" s="135">
        <f>[9]С2.5!$BC$11</f>
        <v>0</v>
      </c>
    </row>
    <row r="194" spans="2:3" hidden="1">
      <c r="B194" s="86">
        <f t="shared" si="0"/>
        <v>2071</v>
      </c>
      <c r="C194" s="135">
        <f>[9]С2.5!$BD$11</f>
        <v>0</v>
      </c>
    </row>
    <row r="195" spans="2:3" hidden="1">
      <c r="B195" s="86">
        <f t="shared" si="0"/>
        <v>2072</v>
      </c>
      <c r="C195" s="135">
        <f>[9]С2.5!$BE$11</f>
        <v>0</v>
      </c>
    </row>
    <row r="196" spans="2:3" hidden="1">
      <c r="B196" s="86">
        <f t="shared" si="0"/>
        <v>2073</v>
      </c>
      <c r="C196" s="135">
        <f>[9]С2.5!$BF$11</f>
        <v>0</v>
      </c>
    </row>
    <row r="197" spans="2:3" hidden="1">
      <c r="B197" s="86">
        <f t="shared" si="0"/>
        <v>2074</v>
      </c>
      <c r="C197" s="135">
        <f>[9]С2.5!$BG$11</f>
        <v>0</v>
      </c>
    </row>
    <row r="198" spans="2:3" hidden="1">
      <c r="B198" s="86">
        <f t="shared" si="0"/>
        <v>2075</v>
      </c>
      <c r="C198" s="135">
        <f>[9]С2.5!$BH$11</f>
        <v>0</v>
      </c>
    </row>
    <row r="199" spans="2:3" hidden="1">
      <c r="B199" s="86">
        <f t="shared" si="0"/>
        <v>2076</v>
      </c>
      <c r="C199" s="135">
        <f>[9]С2.5!$BI$11</f>
        <v>0</v>
      </c>
    </row>
    <row r="200" spans="2:3" hidden="1">
      <c r="B200" s="86">
        <f t="shared" si="0"/>
        <v>2077</v>
      </c>
      <c r="C200" s="135">
        <f>[9]С2.5!$BJ$11</f>
        <v>0</v>
      </c>
    </row>
    <row r="201" spans="2:3" hidden="1">
      <c r="B201" s="86">
        <f t="shared" si="0"/>
        <v>2078</v>
      </c>
      <c r="C201" s="135">
        <f>[9]С2.5!$BK$11</f>
        <v>0</v>
      </c>
    </row>
    <row r="202" spans="2:3" hidden="1">
      <c r="B202" s="86">
        <f t="shared" si="0"/>
        <v>2079</v>
      </c>
      <c r="C202" s="135">
        <f>[9]С2.5!$BL$11</f>
        <v>0</v>
      </c>
    </row>
    <row r="203" spans="2:3" hidden="1">
      <c r="B203" s="86">
        <f t="shared" si="0"/>
        <v>2080</v>
      </c>
      <c r="C203" s="135">
        <f>[9]С2.5!$BM$11</f>
        <v>0</v>
      </c>
    </row>
    <row r="204" spans="2:3" hidden="1">
      <c r="B204" s="86">
        <f t="shared" si="0"/>
        <v>2081</v>
      </c>
      <c r="C204" s="135">
        <f>[9]С2.5!$BN$11</f>
        <v>0</v>
      </c>
    </row>
    <row r="205" spans="2:3" hidden="1">
      <c r="B205" s="86">
        <f t="shared" si="0"/>
        <v>2082</v>
      </c>
      <c r="C205" s="135">
        <f>[9]С2.5!$BO$11</f>
        <v>0</v>
      </c>
    </row>
    <row r="206" spans="2:3" hidden="1">
      <c r="B206" s="86">
        <f t="shared" si="0"/>
        <v>2083</v>
      </c>
      <c r="C206" s="135">
        <f>[9]С2.5!$BP$11</f>
        <v>0</v>
      </c>
    </row>
    <row r="207" spans="2:3" hidden="1">
      <c r="B207" s="86">
        <f t="shared" si="0"/>
        <v>2084</v>
      </c>
      <c r="C207" s="135">
        <f>[9]С2.5!$BQ$11</f>
        <v>0</v>
      </c>
    </row>
    <row r="208" spans="2:3" hidden="1">
      <c r="B208" s="86">
        <f t="shared" si="0"/>
        <v>2085</v>
      </c>
      <c r="C208" s="135">
        <f>[9]С2.5!$BR$11</f>
        <v>0</v>
      </c>
    </row>
    <row r="209" spans="2:3" hidden="1">
      <c r="B209" s="86">
        <f t="shared" ref="B209:B223" si="1">B208+1</f>
        <v>2086</v>
      </c>
      <c r="C209" s="135">
        <f>[9]С2.5!$BS$11</f>
        <v>0</v>
      </c>
    </row>
    <row r="210" spans="2:3" hidden="1">
      <c r="B210" s="86">
        <f t="shared" si="1"/>
        <v>2087</v>
      </c>
      <c r="C210" s="135">
        <f>[9]С2.5!$BT$11</f>
        <v>0</v>
      </c>
    </row>
    <row r="211" spans="2:3" hidden="1">
      <c r="B211" s="86">
        <f t="shared" si="1"/>
        <v>2088</v>
      </c>
      <c r="C211" s="135">
        <f>[9]С2.5!$BU$11</f>
        <v>0</v>
      </c>
    </row>
    <row r="212" spans="2:3" hidden="1">
      <c r="B212" s="86">
        <f t="shared" si="1"/>
        <v>2089</v>
      </c>
      <c r="C212" s="135">
        <f>[9]С2.5!$BV$11</f>
        <v>0</v>
      </c>
    </row>
    <row r="213" spans="2:3" hidden="1">
      <c r="B213" s="86">
        <f t="shared" si="1"/>
        <v>2090</v>
      </c>
      <c r="C213" s="135">
        <f>[9]С2.5!$BW$11</f>
        <v>0</v>
      </c>
    </row>
    <row r="214" spans="2:3" hidden="1">
      <c r="B214" s="86">
        <f t="shared" si="1"/>
        <v>2091</v>
      </c>
      <c r="C214" s="135">
        <f>[9]С2.5!$BX$11</f>
        <v>0</v>
      </c>
    </row>
    <row r="215" spans="2:3" hidden="1">
      <c r="B215" s="86">
        <f t="shared" si="1"/>
        <v>2092</v>
      </c>
      <c r="C215" s="135">
        <f>[9]С2.5!$BY$11</f>
        <v>0</v>
      </c>
    </row>
    <row r="216" spans="2:3" hidden="1">
      <c r="B216" s="86">
        <f t="shared" si="1"/>
        <v>2093</v>
      </c>
      <c r="C216" s="135">
        <f>[9]С2.5!$BZ$11</f>
        <v>0</v>
      </c>
    </row>
    <row r="217" spans="2:3" hidden="1">
      <c r="B217" s="86">
        <f t="shared" si="1"/>
        <v>2094</v>
      </c>
      <c r="C217" s="135">
        <f>[9]С2.5!$CA$11</f>
        <v>0</v>
      </c>
    </row>
    <row r="218" spans="2:3" hidden="1">
      <c r="B218" s="86">
        <f t="shared" si="1"/>
        <v>2095</v>
      </c>
      <c r="C218" s="135">
        <f>[9]С2.5!$CB$11</f>
        <v>0</v>
      </c>
    </row>
    <row r="219" spans="2:3" hidden="1">
      <c r="B219" s="86">
        <f t="shared" si="1"/>
        <v>2096</v>
      </c>
      <c r="C219" s="135">
        <f>[9]С2.5!$CC$11</f>
        <v>0</v>
      </c>
    </row>
    <row r="220" spans="2:3" hidden="1">
      <c r="B220" s="86">
        <f t="shared" si="1"/>
        <v>2097</v>
      </c>
      <c r="C220" s="135">
        <f>[9]С2.5!$CD$11</f>
        <v>0</v>
      </c>
    </row>
    <row r="221" spans="2:3" hidden="1">
      <c r="B221" s="86">
        <f t="shared" si="1"/>
        <v>2098</v>
      </c>
      <c r="C221" s="135">
        <f>[9]С2.5!$CE$11</f>
        <v>0</v>
      </c>
    </row>
    <row r="222" spans="2:3" hidden="1">
      <c r="B222" s="86">
        <f t="shared" si="1"/>
        <v>2099</v>
      </c>
      <c r="C222" s="135">
        <f>[9]С2.5!$CF$11</f>
        <v>0</v>
      </c>
    </row>
    <row r="223" spans="2:3" ht="13.5" hidden="1" thickBot="1">
      <c r="B223" s="87">
        <f t="shared" si="1"/>
        <v>2100</v>
      </c>
      <c r="C223" s="136">
        <f>[9]С2.5!$CG$11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[10]И1!D13</f>
        <v>Субъект Российской Федерации</v>
      </c>
      <c r="C4" s="8" t="str">
        <f>[10]И1!E13</f>
        <v>Новосибирская область</v>
      </c>
    </row>
    <row r="5" spans="1:3" ht="46.9" customHeight="1">
      <c r="A5" s="6"/>
      <c r="B5" s="7" t="str">
        <f>[10]И1!D14</f>
        <v>Тип муниципального образования (выберите из списка)</v>
      </c>
      <c r="C5" s="8" t="str">
        <f>[10]И1!E14</f>
        <v xml:space="preserve">село Новоселово, Убинский муниципальный район </v>
      </c>
    </row>
    <row r="6" spans="1:3">
      <c r="A6" s="6"/>
      <c r="B6" s="7" t="str">
        <f>IF([10]И1!E15="","",[10]И1!D15)</f>
        <v/>
      </c>
      <c r="C6" s="8" t="str">
        <f>IF([10]И1!E15="","",[10]И1!E15)</f>
        <v/>
      </c>
    </row>
    <row r="7" spans="1:3">
      <c r="A7" s="6"/>
      <c r="B7" s="7" t="str">
        <f>[10]И1!D16</f>
        <v>Код ОКТМО</v>
      </c>
      <c r="C7" s="9" t="str">
        <f>[10]И1!E16</f>
        <v>50654413101</v>
      </c>
    </row>
    <row r="8" spans="1:3">
      <c r="A8" s="6"/>
      <c r="B8" s="10" t="str">
        <f>[10]И1!D17</f>
        <v>Система теплоснабжения</v>
      </c>
      <c r="C8" s="11">
        <f>[10]И1!E17</f>
        <v>0</v>
      </c>
    </row>
    <row r="9" spans="1:3">
      <c r="A9" s="6"/>
      <c r="B9" s="7" t="str">
        <f>[10]И1!D8</f>
        <v>Период регулирования (i)-й</v>
      </c>
      <c r="C9" s="12">
        <f>[10]И1!E8</f>
        <v>2025</v>
      </c>
    </row>
    <row r="10" spans="1:3">
      <c r="A10" s="6"/>
      <c r="B10" s="7" t="str">
        <f>[10]И1!D9</f>
        <v>Период регулирования (i-1)-й</v>
      </c>
      <c r="C10" s="12">
        <f>[10]И1!E9</f>
        <v>2024</v>
      </c>
    </row>
    <row r="11" spans="1:3">
      <c r="A11" s="6"/>
      <c r="B11" s="7" t="str">
        <f>[10]И1!D10</f>
        <v>Период регулирования (i-2)-й</v>
      </c>
      <c r="C11" s="12">
        <f>[10]И1!E10</f>
        <v>2023</v>
      </c>
    </row>
    <row r="12" spans="1:3">
      <c r="A12" s="6"/>
      <c r="B12" s="7" t="str">
        <f>[10]И1!D11</f>
        <v>Базовый год (б)</v>
      </c>
      <c r="C12" s="12">
        <f>[10]И1!E11</f>
        <v>2019</v>
      </c>
    </row>
    <row r="13" spans="1:3" ht="38.25">
      <c r="A13" s="6"/>
      <c r="B13" s="7" t="str">
        <f>[10]И1!D18</f>
        <v>Вид топлива, использование которого преобладает в системе теплоснабжения</v>
      </c>
      <c r="C13" s="13" t="str">
        <f>[10]С1.1!E13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5452.2748112215722</v>
      </c>
    </row>
    <row r="18" spans="1:3" ht="42.75">
      <c r="A18" s="16" t="s">
        <v>7</v>
      </c>
      <c r="B18" s="19" t="s">
        <v>8</v>
      </c>
      <c r="C18" s="20">
        <f>[10]С1!F12</f>
        <v>875.99855119200265</v>
      </c>
    </row>
    <row r="19" spans="1:3" ht="42.75">
      <c r="A19" s="16" t="s">
        <v>9</v>
      </c>
      <c r="B19" s="19" t="s">
        <v>10</v>
      </c>
      <c r="C19" s="20">
        <f>[10]С2!F12</f>
        <v>3044.269023973251</v>
      </c>
    </row>
    <row r="20" spans="1:3" ht="30">
      <c r="A20" s="16" t="s">
        <v>11</v>
      </c>
      <c r="B20" s="19" t="s">
        <v>12</v>
      </c>
      <c r="C20" s="20">
        <f>[10]С3!F12</f>
        <v>911.32264748625244</v>
      </c>
    </row>
    <row r="21" spans="1:3" ht="42.75">
      <c r="A21" s="16" t="s">
        <v>13</v>
      </c>
      <c r="B21" s="19" t="s">
        <v>226</v>
      </c>
      <c r="C21" s="20">
        <f>[10]С4!F12</f>
        <v>513.77723933042762</v>
      </c>
    </row>
    <row r="22" spans="1:3" ht="30">
      <c r="A22" s="16" t="s">
        <v>14</v>
      </c>
      <c r="B22" s="19" t="s">
        <v>227</v>
      </c>
      <c r="C22" s="20">
        <f>[10]С5!F12</f>
        <v>106.90734923963868</v>
      </c>
    </row>
    <row r="23" spans="1:3" ht="43.5" thickBot="1">
      <c r="A23" s="21" t="s">
        <v>15</v>
      </c>
      <c r="B23" s="140" t="s">
        <v>228</v>
      </c>
      <c r="C23" s="22" t="str">
        <f>[10]С6!F12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[10]С1.1!E16</f>
        <v>5100</v>
      </c>
    </row>
    <row r="29" spans="1:3" ht="42.75">
      <c r="A29" s="16" t="s">
        <v>9</v>
      </c>
      <c r="B29" s="27" t="s">
        <v>230</v>
      </c>
      <c r="C29" s="28">
        <f>[10]С1.1!E27</f>
        <v>3159.9500000000003</v>
      </c>
    </row>
    <row r="30" spans="1:3" ht="17.25">
      <c r="A30" s="16" t="s">
        <v>11</v>
      </c>
      <c r="B30" s="27" t="s">
        <v>17</v>
      </c>
      <c r="C30" s="29">
        <f>[10]С1.1!E19</f>
        <v>1.4E-2</v>
      </c>
    </row>
    <row r="31" spans="1:3" ht="17.25">
      <c r="A31" s="16" t="s">
        <v>13</v>
      </c>
      <c r="B31" s="27" t="s">
        <v>18</v>
      </c>
      <c r="C31" s="29">
        <f>[10]С1.1!E20</f>
        <v>0.04</v>
      </c>
    </row>
    <row r="32" spans="1:3" ht="30">
      <c r="A32" s="16" t="s">
        <v>14</v>
      </c>
      <c r="B32" s="30" t="s">
        <v>231</v>
      </c>
      <c r="C32" s="117">
        <f>[10]С1!F13</f>
        <v>176.4</v>
      </c>
    </row>
    <row r="33" spans="1:3">
      <c r="A33" s="16" t="s">
        <v>15</v>
      </c>
      <c r="B33" s="30" t="s">
        <v>19</v>
      </c>
      <c r="C33" s="31">
        <f>[10]С1!F16</f>
        <v>7000</v>
      </c>
    </row>
    <row r="34" spans="1:3" ht="14.25">
      <c r="A34" s="16" t="s">
        <v>20</v>
      </c>
      <c r="B34" s="32" t="s">
        <v>232</v>
      </c>
      <c r="C34" s="33">
        <f>[10]С1!F17</f>
        <v>0.72857142857142854</v>
      </c>
    </row>
    <row r="35" spans="1:3" ht="15.75">
      <c r="A35" s="118" t="s">
        <v>21</v>
      </c>
      <c r="B35" s="34" t="s">
        <v>22</v>
      </c>
      <c r="C35" s="33">
        <f>[10]С1!F20</f>
        <v>21.588411179999994</v>
      </c>
    </row>
    <row r="36" spans="1:3" ht="15.75">
      <c r="A36" s="118" t="s">
        <v>23</v>
      </c>
      <c r="B36" s="35" t="s">
        <v>24</v>
      </c>
      <c r="C36" s="33">
        <f>[10]С1!F21</f>
        <v>20.818139999999996</v>
      </c>
    </row>
    <row r="37" spans="1:3" ht="14.25">
      <c r="A37" s="118" t="s">
        <v>25</v>
      </c>
      <c r="B37" s="36" t="s">
        <v>26</v>
      </c>
      <c r="C37" s="33">
        <f>[10]С1!F22</f>
        <v>1.0369999999999999</v>
      </c>
    </row>
    <row r="38" spans="1:3" ht="53.25" thickBot="1">
      <c r="A38" s="21" t="s">
        <v>27</v>
      </c>
      <c r="B38" s="37" t="s">
        <v>28</v>
      </c>
      <c r="C38" s="38">
        <f>[10]С1!F23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[10]С2.1!E12</f>
        <v>V</v>
      </c>
    </row>
    <row r="42" spans="1:3" ht="25.5">
      <c r="A42" s="16" t="s">
        <v>33</v>
      </c>
      <c r="B42" s="27" t="s">
        <v>34</v>
      </c>
      <c r="C42" s="41" t="str">
        <f>[10]С2.1!E13</f>
        <v>6 и менее баллов</v>
      </c>
    </row>
    <row r="43" spans="1:3" ht="25.5">
      <c r="A43" s="16" t="s">
        <v>35</v>
      </c>
      <c r="B43" s="27" t="s">
        <v>233</v>
      </c>
      <c r="C43" s="41" t="str">
        <f>[10]С2.1!E14</f>
        <v>от 200 до 500</v>
      </c>
    </row>
    <row r="44" spans="1:3" ht="25.5">
      <c r="A44" s="16" t="s">
        <v>36</v>
      </c>
      <c r="B44" s="27" t="s">
        <v>234</v>
      </c>
      <c r="C44" s="42" t="str">
        <f>[10]С2.1!E15</f>
        <v>нет</v>
      </c>
    </row>
    <row r="45" spans="1:3" ht="30">
      <c r="A45" s="16" t="s">
        <v>37</v>
      </c>
      <c r="B45" s="27" t="s">
        <v>38</v>
      </c>
      <c r="C45" s="28">
        <f>[10]С2!F18</f>
        <v>38910.02669467502</v>
      </c>
    </row>
    <row r="46" spans="1:3" ht="30">
      <c r="A46" s="16" t="s">
        <v>39</v>
      </c>
      <c r="B46" s="43" t="s">
        <v>40</v>
      </c>
      <c r="C46" s="28">
        <f>IF([10]С2!F19&gt;0,[10]С2!F19,[10]С2!F20)</f>
        <v>23441.524932855718</v>
      </c>
    </row>
    <row r="47" spans="1:3" ht="25.5">
      <c r="A47" s="16" t="s">
        <v>41</v>
      </c>
      <c r="B47" s="44" t="s">
        <v>42</v>
      </c>
      <c r="C47" s="28">
        <f>[10]С2.1!E19</f>
        <v>-38</v>
      </c>
    </row>
    <row r="48" spans="1:3" ht="25.5">
      <c r="A48" s="16" t="s">
        <v>43</v>
      </c>
      <c r="B48" s="44" t="s">
        <v>44</v>
      </c>
      <c r="C48" s="28" t="str">
        <f>[10]С2.1!E22</f>
        <v>нет</v>
      </c>
    </row>
    <row r="49" spans="1:3" ht="38.25">
      <c r="A49" s="16" t="s">
        <v>45</v>
      </c>
      <c r="B49" s="45" t="s">
        <v>46</v>
      </c>
      <c r="C49" s="28">
        <f>[10]С2.2!E10</f>
        <v>1287</v>
      </c>
    </row>
    <row r="50" spans="1:3" ht="25.5">
      <c r="A50" s="16" t="s">
        <v>47</v>
      </c>
      <c r="B50" s="46" t="s">
        <v>48</v>
      </c>
      <c r="C50" s="28">
        <f>[10]С2.2!E12</f>
        <v>5.97</v>
      </c>
    </row>
    <row r="51" spans="1:3" ht="52.5">
      <c r="A51" s="16" t="s">
        <v>49</v>
      </c>
      <c r="B51" s="47" t="s">
        <v>50</v>
      </c>
      <c r="C51" s="28">
        <f>[10]С2.2!E13</f>
        <v>1</v>
      </c>
    </row>
    <row r="52" spans="1:3" ht="27.75">
      <c r="A52" s="16" t="s">
        <v>51</v>
      </c>
      <c r="B52" s="46" t="s">
        <v>52</v>
      </c>
      <c r="C52" s="28">
        <f>[10]С2.2!E14</f>
        <v>12104</v>
      </c>
    </row>
    <row r="53" spans="1:3" ht="25.5">
      <c r="A53" s="16" t="s">
        <v>53</v>
      </c>
      <c r="B53" s="47" t="s">
        <v>54</v>
      </c>
      <c r="C53" s="29">
        <f>[10]С2.2!E15</f>
        <v>4.8000000000000001E-2</v>
      </c>
    </row>
    <row r="54" spans="1:3">
      <c r="A54" s="16" t="s">
        <v>55</v>
      </c>
      <c r="B54" s="47" t="s">
        <v>56</v>
      </c>
      <c r="C54" s="28">
        <f>[10]С2.2!E16</f>
        <v>1</v>
      </c>
    </row>
    <row r="55" spans="1:3" ht="15.75">
      <c r="A55" s="16" t="s">
        <v>57</v>
      </c>
      <c r="B55" s="48" t="s">
        <v>58</v>
      </c>
      <c r="C55" s="28">
        <f>[10]С2!F21</f>
        <v>1</v>
      </c>
    </row>
    <row r="56" spans="1:3" ht="30">
      <c r="A56" s="49" t="s">
        <v>59</v>
      </c>
      <c r="B56" s="27" t="s">
        <v>235</v>
      </c>
      <c r="C56" s="28">
        <f>[10]С2!F13</f>
        <v>203708.97017230222</v>
      </c>
    </row>
    <row r="57" spans="1:3" ht="30">
      <c r="A57" s="49" t="s">
        <v>60</v>
      </c>
      <c r="B57" s="48" t="s">
        <v>236</v>
      </c>
      <c r="C57" s="28">
        <f>[10]С2!F14</f>
        <v>113455</v>
      </c>
    </row>
    <row r="58" spans="1:3" ht="15.75">
      <c r="A58" s="49" t="s">
        <v>61</v>
      </c>
      <c r="B58" s="50" t="s">
        <v>62</v>
      </c>
      <c r="C58" s="33">
        <f>[10]С2!F15</f>
        <v>1.071</v>
      </c>
    </row>
    <row r="59" spans="1:3" ht="15.75">
      <c r="A59" s="49" t="s">
        <v>63</v>
      </c>
      <c r="B59" s="50" t="s">
        <v>64</v>
      </c>
      <c r="C59" s="33">
        <f>[10]С2!F16</f>
        <v>1</v>
      </c>
    </row>
    <row r="60" spans="1:3" ht="17.25">
      <c r="A60" s="49" t="s">
        <v>65</v>
      </c>
      <c r="B60" s="48" t="s">
        <v>66</v>
      </c>
      <c r="C60" s="28">
        <f>[10]С2!F17</f>
        <v>1.01</v>
      </c>
    </row>
    <row r="61" spans="1:3" s="53" customFormat="1" ht="14.25">
      <c r="A61" s="49" t="s">
        <v>67</v>
      </c>
      <c r="B61" s="51" t="s">
        <v>68</v>
      </c>
      <c r="C61" s="52">
        <f>[10]С2!F33</f>
        <v>10</v>
      </c>
    </row>
    <row r="62" spans="1:3" ht="30">
      <c r="A62" s="49" t="s">
        <v>69</v>
      </c>
      <c r="B62" s="54" t="s">
        <v>70</v>
      </c>
      <c r="C62" s="28">
        <f>[10]С2!F26</f>
        <v>1296.3109177946333</v>
      </c>
    </row>
    <row r="63" spans="1:3" ht="17.25">
      <c r="A63" s="49" t="s">
        <v>71</v>
      </c>
      <c r="B63" s="43" t="s">
        <v>237</v>
      </c>
      <c r="C63" s="28">
        <f>[10]С2!F27</f>
        <v>0.18594487800000001</v>
      </c>
    </row>
    <row r="64" spans="1:3" ht="17.25">
      <c r="A64" s="49" t="s">
        <v>72</v>
      </c>
      <c r="B64" s="48" t="s">
        <v>238</v>
      </c>
      <c r="C64" s="52">
        <f>[10]С2!F28</f>
        <v>4200</v>
      </c>
    </row>
    <row r="65" spans="1:3" ht="42.75">
      <c r="A65" s="49" t="s">
        <v>73</v>
      </c>
      <c r="B65" s="27" t="s">
        <v>239</v>
      </c>
      <c r="C65" s="28">
        <f>[10]С2!F22</f>
        <v>42890.921752741691</v>
      </c>
    </row>
    <row r="66" spans="1:3" ht="30">
      <c r="A66" s="49" t="s">
        <v>74</v>
      </c>
      <c r="B66" s="50" t="s">
        <v>240</v>
      </c>
      <c r="C66" s="28">
        <f>[10]С2!F23</f>
        <v>1990</v>
      </c>
    </row>
    <row r="67" spans="1:3" ht="30">
      <c r="A67" s="49" t="s">
        <v>75</v>
      </c>
      <c r="B67" s="43" t="s">
        <v>76</v>
      </c>
      <c r="C67" s="28">
        <f>[10]С2.1!E27</f>
        <v>14307.876789999998</v>
      </c>
    </row>
    <row r="68" spans="1:3" ht="38.25">
      <c r="A68" s="49" t="s">
        <v>77</v>
      </c>
      <c r="B68" s="55" t="s">
        <v>78</v>
      </c>
      <c r="C68" s="42">
        <f>[10]С2.3!E21</f>
        <v>0</v>
      </c>
    </row>
    <row r="69" spans="1:3" ht="25.5">
      <c r="A69" s="49" t="s">
        <v>79</v>
      </c>
      <c r="B69" s="56" t="s">
        <v>80</v>
      </c>
      <c r="C69" s="57">
        <f>[10]С2.3!E11</f>
        <v>9.89</v>
      </c>
    </row>
    <row r="70" spans="1:3" ht="25.5">
      <c r="A70" s="49" t="s">
        <v>81</v>
      </c>
      <c r="B70" s="56" t="s">
        <v>82</v>
      </c>
      <c r="C70" s="52">
        <f>[10]С2.3!E13</f>
        <v>300</v>
      </c>
    </row>
    <row r="71" spans="1:3" ht="25.5">
      <c r="A71" s="49" t="s">
        <v>83</v>
      </c>
      <c r="B71" s="55" t="s">
        <v>84</v>
      </c>
      <c r="C71" s="58">
        <f>IF([10]С2.3!E22&gt;0,[10]С2.3!E22,[10]С2.3!E14)</f>
        <v>61211</v>
      </c>
    </row>
    <row r="72" spans="1:3" ht="38.25">
      <c r="A72" s="49" t="s">
        <v>85</v>
      </c>
      <c r="B72" s="55" t="s">
        <v>86</v>
      </c>
      <c r="C72" s="58">
        <f>IF([10]С2.3!E23&gt;0,[10]С2.3!E23,[10]С2.3!E15)</f>
        <v>45675</v>
      </c>
    </row>
    <row r="73" spans="1:3" ht="30">
      <c r="A73" s="49" t="s">
        <v>87</v>
      </c>
      <c r="B73" s="43" t="s">
        <v>88</v>
      </c>
      <c r="C73" s="28">
        <f>[10]С2.1!E28</f>
        <v>9541.9567200000001</v>
      </c>
    </row>
    <row r="74" spans="1:3" ht="38.25">
      <c r="A74" s="49" t="s">
        <v>89</v>
      </c>
      <c r="B74" s="55" t="s">
        <v>90</v>
      </c>
      <c r="C74" s="42">
        <f>[10]С2.3!E25</f>
        <v>0</v>
      </c>
    </row>
    <row r="75" spans="1:3" ht="25.5">
      <c r="A75" s="49" t="s">
        <v>91</v>
      </c>
      <c r="B75" s="56" t="s">
        <v>92</v>
      </c>
      <c r="C75" s="57">
        <f>[10]С2.3!E12</f>
        <v>0.56000000000000005</v>
      </c>
    </row>
    <row r="76" spans="1:3" ht="25.5">
      <c r="A76" s="49" t="s">
        <v>93</v>
      </c>
      <c r="B76" s="56" t="s">
        <v>82</v>
      </c>
      <c r="C76" s="52">
        <f>[10]С2.3!E13</f>
        <v>300</v>
      </c>
    </row>
    <row r="77" spans="1:3" ht="25.5">
      <c r="A77" s="49" t="s">
        <v>94</v>
      </c>
      <c r="B77" s="59" t="s">
        <v>95</v>
      </c>
      <c r="C77" s="58">
        <f>IF([10]С2.3!E26&gt;0,[10]С2.3!E26,[10]С2.3!E16)</f>
        <v>65637</v>
      </c>
    </row>
    <row r="78" spans="1:3" ht="38.25">
      <c r="A78" s="49" t="s">
        <v>96</v>
      </c>
      <c r="B78" s="59" t="s">
        <v>97</v>
      </c>
      <c r="C78" s="58">
        <f>IF([10]С2.3!E27&gt;0,[10]С2.3!E27,[10]С2.3!E17)</f>
        <v>31684</v>
      </c>
    </row>
    <row r="79" spans="1:3" ht="17.25">
      <c r="A79" s="49" t="s">
        <v>98</v>
      </c>
      <c r="B79" s="27" t="s">
        <v>99</v>
      </c>
      <c r="C79" s="29">
        <f>[10]С2!F29</f>
        <v>0.17804631770487722</v>
      </c>
    </row>
    <row r="80" spans="1:3" ht="30">
      <c r="A80" s="49" t="s">
        <v>100</v>
      </c>
      <c r="B80" s="43" t="s">
        <v>101</v>
      </c>
      <c r="C80" s="60">
        <f>[10]С2!F30</f>
        <v>0.1652189781021898</v>
      </c>
    </row>
    <row r="81" spans="1:3" ht="17.25">
      <c r="A81" s="49" t="s">
        <v>102</v>
      </c>
      <c r="B81" s="61" t="s">
        <v>103</v>
      </c>
      <c r="C81" s="29">
        <f>[10]С2!F31</f>
        <v>0.13880000000000001</v>
      </c>
    </row>
    <row r="82" spans="1:3" s="53" customFormat="1" ht="18" thickBot="1">
      <c r="A82" s="62" t="s">
        <v>104</v>
      </c>
      <c r="B82" s="63" t="s">
        <v>105</v>
      </c>
      <c r="C82" s="64">
        <f>[10]С2!F32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[10]С3!F14</f>
        <v>14780.674721363519</v>
      </c>
    </row>
    <row r="86" spans="1:3" s="53" customFormat="1" ht="42.75">
      <c r="A86" s="67" t="s">
        <v>110</v>
      </c>
      <c r="B86" s="43" t="s">
        <v>111</v>
      </c>
      <c r="C86" s="68">
        <f>[10]С3!F15</f>
        <v>0.25</v>
      </c>
    </row>
    <row r="87" spans="1:3" s="53" customFormat="1" ht="14.25">
      <c r="A87" s="67" t="s">
        <v>112</v>
      </c>
      <c r="B87" s="69" t="s">
        <v>113</v>
      </c>
      <c r="C87" s="52">
        <f>[10]С3!F18</f>
        <v>15</v>
      </c>
    </row>
    <row r="88" spans="1:3" s="53" customFormat="1" ht="17.25">
      <c r="A88" s="67" t="s">
        <v>114</v>
      </c>
      <c r="B88" s="27" t="s">
        <v>115</v>
      </c>
      <c r="C88" s="28">
        <f>[10]С3!F19</f>
        <v>4187.478806422544</v>
      </c>
    </row>
    <row r="89" spans="1:3" s="53" customFormat="1" ht="55.5">
      <c r="A89" s="67" t="s">
        <v>116</v>
      </c>
      <c r="B89" s="43" t="s">
        <v>117</v>
      </c>
      <c r="C89" s="70">
        <f>[10]С3!F20</f>
        <v>2.1999999999999999E-2</v>
      </c>
    </row>
    <row r="90" spans="1:3" s="53" customFormat="1" ht="14.25">
      <c r="A90" s="67" t="s">
        <v>118</v>
      </c>
      <c r="B90" s="48" t="s">
        <v>68</v>
      </c>
      <c r="C90" s="52">
        <f>[10]С3!F21</f>
        <v>10</v>
      </c>
    </row>
    <row r="91" spans="1:3" s="53" customFormat="1" ht="17.25">
      <c r="A91" s="67" t="s">
        <v>119</v>
      </c>
      <c r="B91" s="27" t="s">
        <v>120</v>
      </c>
      <c r="C91" s="28">
        <f>[10]С3!F22</f>
        <v>3.8889327533838998</v>
      </c>
    </row>
    <row r="92" spans="1:3" s="53" customFormat="1" ht="55.5">
      <c r="A92" s="67" t="s">
        <v>121</v>
      </c>
      <c r="B92" s="43" t="s">
        <v>122</v>
      </c>
      <c r="C92" s="70">
        <f>[10]С3!F23</f>
        <v>3.0000000000000001E-3</v>
      </c>
    </row>
    <row r="93" spans="1:3" s="53" customFormat="1" ht="27.75" thickBot="1">
      <c r="A93" s="71" t="s">
        <v>123</v>
      </c>
      <c r="B93" s="72" t="s">
        <v>241</v>
      </c>
      <c r="C93" s="73">
        <f>[10]С3!F24</f>
        <v>1296.3109177946333</v>
      </c>
    </row>
    <row r="94" spans="1:3" ht="13.5" thickBot="1">
      <c r="A94" s="39"/>
      <c r="B94" s="65"/>
      <c r="C94" s="13"/>
    </row>
    <row r="95" spans="1:3" ht="30" customHeight="1">
      <c r="A95" s="74" t="s">
        <v>124</v>
      </c>
      <c r="B95" s="141" t="s">
        <v>125</v>
      </c>
      <c r="C95" s="141"/>
    </row>
    <row r="96" spans="1:3" ht="30">
      <c r="A96" s="49" t="s">
        <v>126</v>
      </c>
      <c r="B96" s="27" t="s">
        <v>242</v>
      </c>
      <c r="C96" s="28">
        <f>[10]С4!F16</f>
        <v>1652.5</v>
      </c>
    </row>
    <row r="97" spans="1:3" ht="30">
      <c r="A97" s="49" t="s">
        <v>127</v>
      </c>
      <c r="B97" s="48" t="s">
        <v>243</v>
      </c>
      <c r="C97" s="28">
        <f>[10]С4!F17</f>
        <v>73547</v>
      </c>
    </row>
    <row r="98" spans="1:3" ht="17.25">
      <c r="A98" s="49" t="s">
        <v>128</v>
      </c>
      <c r="B98" s="48" t="s">
        <v>129</v>
      </c>
      <c r="C98" s="33">
        <f>[10]С4!F18</f>
        <v>0.02</v>
      </c>
    </row>
    <row r="99" spans="1:3" ht="30">
      <c r="A99" s="49" t="s">
        <v>130</v>
      </c>
      <c r="B99" s="48" t="s">
        <v>131</v>
      </c>
      <c r="C99" s="28">
        <f>[10]С4!F19</f>
        <v>12104</v>
      </c>
    </row>
    <row r="100" spans="1:3" ht="31.5">
      <c r="A100" s="49" t="s">
        <v>132</v>
      </c>
      <c r="B100" s="48" t="s">
        <v>133</v>
      </c>
      <c r="C100" s="33">
        <f>[10]С4!F20</f>
        <v>1.4999999999999999E-2</v>
      </c>
    </row>
    <row r="101" spans="1:3" ht="30">
      <c r="A101" s="49" t="s">
        <v>134</v>
      </c>
      <c r="B101" s="27" t="s">
        <v>244</v>
      </c>
      <c r="C101" s="28">
        <f>[10]С4!F21</f>
        <v>1933.1949342509995</v>
      </c>
    </row>
    <row r="102" spans="1:3" ht="24" customHeight="1">
      <c r="A102" s="49" t="s">
        <v>135</v>
      </c>
      <c r="B102" s="43" t="s">
        <v>136</v>
      </c>
      <c r="C102" s="75">
        <f>IF([10]С4.2!F8="да",[10]С4.2!D21,[10]С4.2!D15)</f>
        <v>0</v>
      </c>
    </row>
    <row r="103" spans="1:3" ht="68.25">
      <c r="A103" s="49" t="s">
        <v>137</v>
      </c>
      <c r="B103" s="43" t="s">
        <v>138</v>
      </c>
      <c r="C103" s="28">
        <f>[10]С4!F22</f>
        <v>3.6112641666666665</v>
      </c>
    </row>
    <row r="104" spans="1:3" ht="30">
      <c r="A104" s="49" t="s">
        <v>139</v>
      </c>
      <c r="B104" s="48" t="s">
        <v>245</v>
      </c>
      <c r="C104" s="28">
        <f>[10]С4!F23</f>
        <v>180</v>
      </c>
    </row>
    <row r="105" spans="1:3" ht="14.25">
      <c r="A105" s="49" t="s">
        <v>140</v>
      </c>
      <c r="B105" s="43" t="s">
        <v>141</v>
      </c>
      <c r="C105" s="28">
        <f>[10]С4!F24</f>
        <v>8497.1999999999989</v>
      </c>
    </row>
    <row r="106" spans="1:3" ht="14.25">
      <c r="A106" s="49" t="s">
        <v>142</v>
      </c>
      <c r="B106" s="48" t="s">
        <v>143</v>
      </c>
      <c r="C106" s="33">
        <f>[10]С4!F25</f>
        <v>0.35</v>
      </c>
    </row>
    <row r="107" spans="1:3" ht="17.25">
      <c r="A107" s="49" t="s">
        <v>144</v>
      </c>
      <c r="B107" s="27" t="s">
        <v>145</v>
      </c>
      <c r="C107" s="28">
        <f>[10]С4!F26</f>
        <v>65.510760000000005</v>
      </c>
    </row>
    <row r="108" spans="1:3" ht="25.5">
      <c r="A108" s="49" t="s">
        <v>146</v>
      </c>
      <c r="B108" s="43" t="s">
        <v>78</v>
      </c>
      <c r="C108" s="75">
        <f>[10]С4.3!E16</f>
        <v>0</v>
      </c>
    </row>
    <row r="109" spans="1:3" ht="25.5">
      <c r="A109" s="49" t="s">
        <v>147</v>
      </c>
      <c r="B109" s="43" t="s">
        <v>148</v>
      </c>
      <c r="C109" s="28">
        <f>[10]С4.3!E17</f>
        <v>18.68</v>
      </c>
    </row>
    <row r="110" spans="1:3" ht="38.25">
      <c r="A110" s="49" t="s">
        <v>149</v>
      </c>
      <c r="B110" s="43" t="s">
        <v>90</v>
      </c>
      <c r="C110" s="75">
        <f>[10]С4.3!E18</f>
        <v>0</v>
      </c>
    </row>
    <row r="111" spans="1:3">
      <c r="A111" s="49" t="s">
        <v>150</v>
      </c>
      <c r="B111" s="43" t="s">
        <v>151</v>
      </c>
      <c r="C111" s="28">
        <f>[10]С4.3!E19</f>
        <v>0</v>
      </c>
    </row>
    <row r="112" spans="1:3">
      <c r="A112" s="49" t="s">
        <v>152</v>
      </c>
      <c r="B112" s="48" t="s">
        <v>153</v>
      </c>
      <c r="C112" s="28">
        <f>[10]С4.3!E11</f>
        <v>1871</v>
      </c>
    </row>
    <row r="113" spans="1:3">
      <c r="A113" s="49" t="s">
        <v>154</v>
      </c>
      <c r="B113" s="48" t="s">
        <v>155</v>
      </c>
      <c r="C113" s="42">
        <f>[10]С4.3!E12</f>
        <v>1636</v>
      </c>
    </row>
    <row r="114" spans="1:3">
      <c r="A114" s="49" t="s">
        <v>156</v>
      </c>
      <c r="B114" s="48" t="s">
        <v>157</v>
      </c>
      <c r="C114" s="42">
        <f>[10]С4.3!E13</f>
        <v>204</v>
      </c>
    </row>
    <row r="115" spans="1:3" ht="30">
      <c r="A115" s="49" t="s">
        <v>158</v>
      </c>
      <c r="B115" s="27" t="s">
        <v>246</v>
      </c>
      <c r="C115" s="28">
        <f>[10]С4!F27</f>
        <v>1291.2863994686898</v>
      </c>
    </row>
    <row r="116" spans="1:3" ht="25.5">
      <c r="A116" s="49" t="s">
        <v>159</v>
      </c>
      <c r="B116" s="43" t="s">
        <v>247</v>
      </c>
      <c r="C116" s="28">
        <f>[10]С4!F28</f>
        <v>991.77142816335618</v>
      </c>
    </row>
    <row r="117" spans="1:3" ht="42.75">
      <c r="A117" s="49" t="s">
        <v>160</v>
      </c>
      <c r="B117" s="43" t="s">
        <v>161</v>
      </c>
      <c r="C117" s="28">
        <f>[10]С4!F29</f>
        <v>299.51497130533357</v>
      </c>
    </row>
    <row r="118" spans="1:3" ht="30">
      <c r="A118" s="49" t="s">
        <v>162</v>
      </c>
      <c r="B118" s="32" t="s">
        <v>163</v>
      </c>
      <c r="C118" s="28">
        <f>[10]С4!F30</f>
        <v>2491.9620573082898</v>
      </c>
    </row>
    <row r="119" spans="1:3" ht="42.75">
      <c r="A119" s="49" t="s">
        <v>248</v>
      </c>
      <c r="B119" s="76" t="s">
        <v>249</v>
      </c>
      <c r="C119" s="28">
        <f>[10]С4!F33</f>
        <v>1293.6069144958594</v>
      </c>
    </row>
    <row r="120" spans="1:3" ht="30">
      <c r="A120" s="49" t="s">
        <v>250</v>
      </c>
      <c r="B120" s="121" t="s">
        <v>251</v>
      </c>
      <c r="C120" s="28">
        <f>[10]С4!F35</f>
        <v>17.040680999999999</v>
      </c>
    </row>
    <row r="121" spans="1:3" ht="14.25">
      <c r="A121" s="49" t="s">
        <v>252</v>
      </c>
      <c r="B121" s="46" t="s">
        <v>253</v>
      </c>
      <c r="C121" s="28">
        <f>[10]С4!F36</f>
        <v>14319.9</v>
      </c>
    </row>
    <row r="122" spans="1:3" ht="28.5" thickBot="1">
      <c r="A122" s="62" t="s">
        <v>254</v>
      </c>
      <c r="B122" s="122" t="s">
        <v>255</v>
      </c>
      <c r="C122" s="73">
        <f>[10]С4!F37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[10]С5!F17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[10]С2!F37</f>
        <v>20.818139999999996</v>
      </c>
    </row>
    <row r="136" spans="1:3" ht="14.25">
      <c r="A136" s="49" t="s">
        <v>183</v>
      </c>
      <c r="B136" s="128" t="s">
        <v>184</v>
      </c>
      <c r="C136" s="28">
        <f>[10]С2!F38</f>
        <v>7</v>
      </c>
    </row>
    <row r="137" spans="1:3" ht="17.25">
      <c r="A137" s="49" t="s">
        <v>185</v>
      </c>
      <c r="B137" s="128" t="s">
        <v>186</v>
      </c>
      <c r="C137" s="28">
        <f>[10]С2!F40</f>
        <v>0.97</v>
      </c>
    </row>
    <row r="138" spans="1:3" ht="15" thickBot="1">
      <c r="A138" s="62" t="s">
        <v>187</v>
      </c>
      <c r="B138" s="129" t="s">
        <v>188</v>
      </c>
      <c r="C138" s="38">
        <f>[10]С2!F42</f>
        <v>0.35</v>
      </c>
    </row>
    <row r="139" spans="1:3" s="77" customFormat="1" ht="13.5" thickBot="1">
      <c r="A139" s="39"/>
      <c r="B139" s="65"/>
      <c r="C139" s="13"/>
    </row>
    <row r="140" spans="1:3" ht="30">
      <c r="A140" s="74" t="s">
        <v>189</v>
      </c>
      <c r="B140" s="84" t="s">
        <v>258</v>
      </c>
      <c r="C140" s="130">
        <f>[10]С2!F35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[10]С2.5!$E$11</f>
        <v>-2.9000000000000026E-2</v>
      </c>
    </row>
    <row r="144" spans="1:3">
      <c r="A144" s="85"/>
      <c r="B144" s="86">
        <f>B143+1</f>
        <v>2021</v>
      </c>
      <c r="C144" s="135">
        <f>[10]С2.5!$F$11</f>
        <v>0.245</v>
      </c>
    </row>
    <row r="145" spans="1:3">
      <c r="A145" s="85"/>
      <c r="B145" s="86">
        <f t="shared" ref="B145:B208" si="0">B144+1</f>
        <v>2022</v>
      </c>
      <c r="C145" s="135">
        <f>[10]С2.5!$G$11</f>
        <v>0.114</v>
      </c>
    </row>
    <row r="146" spans="1:3" ht="13.5" thickBot="1">
      <c r="A146" s="85"/>
      <c r="B146" s="87">
        <f t="shared" si="0"/>
        <v>2023</v>
      </c>
      <c r="C146" s="136">
        <f>[10]С2.5!$H$11</f>
        <v>0.04</v>
      </c>
    </row>
    <row r="147" spans="1:3">
      <c r="A147" s="85"/>
      <c r="B147" s="137">
        <f t="shared" si="0"/>
        <v>2024</v>
      </c>
      <c r="C147" s="138">
        <f>[10]С2.5!$I$11</f>
        <v>0.11700000000000001</v>
      </c>
    </row>
    <row r="148" spans="1:3">
      <c r="A148" s="85"/>
      <c r="B148" s="86">
        <f t="shared" si="0"/>
        <v>2025</v>
      </c>
      <c r="C148" s="135">
        <f>[10]С2.5!$J$11</f>
        <v>6.0999999999999999E-2</v>
      </c>
    </row>
    <row r="149" spans="1:3" hidden="1">
      <c r="A149" s="85"/>
      <c r="B149" s="86">
        <f t="shared" si="0"/>
        <v>2026</v>
      </c>
      <c r="C149" s="135">
        <f>[10]С2.5!$K$11</f>
        <v>3.5813361771260002E-2</v>
      </c>
    </row>
    <row r="150" spans="1:3" hidden="1">
      <c r="A150" s="85"/>
      <c r="B150" s="86">
        <f t="shared" si="0"/>
        <v>2027</v>
      </c>
      <c r="C150" s="135">
        <f>[10]С2.5!$L$11</f>
        <v>3.2682303599220003E-2</v>
      </c>
    </row>
    <row r="151" spans="1:3" hidden="1">
      <c r="A151" s="85"/>
      <c r="B151" s="86">
        <f t="shared" si="0"/>
        <v>2028</v>
      </c>
      <c r="C151" s="135">
        <f>[10]С2.5!$M$11</f>
        <v>0</v>
      </c>
    </row>
    <row r="152" spans="1:3" hidden="1">
      <c r="A152" s="85"/>
      <c r="B152" s="86">
        <f t="shared" si="0"/>
        <v>2029</v>
      </c>
      <c r="C152" s="135">
        <f>[10]С2.5!$N$11</f>
        <v>0</v>
      </c>
    </row>
    <row r="153" spans="1:3" hidden="1">
      <c r="A153" s="85"/>
      <c r="B153" s="86">
        <f t="shared" si="0"/>
        <v>2030</v>
      </c>
      <c r="C153" s="135">
        <f>[10]С2.5!$O$11</f>
        <v>0</v>
      </c>
    </row>
    <row r="154" spans="1:3" hidden="1">
      <c r="A154" s="85"/>
      <c r="B154" s="86">
        <f t="shared" si="0"/>
        <v>2031</v>
      </c>
      <c r="C154" s="135">
        <f>[10]С2.5!$P$11</f>
        <v>0</v>
      </c>
    </row>
    <row r="155" spans="1:3" hidden="1">
      <c r="A155" s="77"/>
      <c r="B155" s="86">
        <f t="shared" si="0"/>
        <v>2032</v>
      </c>
      <c r="C155" s="135">
        <f>[10]С2.5!$Q$11</f>
        <v>0</v>
      </c>
    </row>
    <row r="156" spans="1:3" hidden="1">
      <c r="A156" s="77"/>
      <c r="B156" s="86">
        <f t="shared" si="0"/>
        <v>2033</v>
      </c>
      <c r="C156" s="135">
        <f>[10]С2.5!$R$11</f>
        <v>0</v>
      </c>
    </row>
    <row r="157" spans="1:3" hidden="1">
      <c r="B157" s="86">
        <f t="shared" si="0"/>
        <v>2034</v>
      </c>
      <c r="C157" s="135">
        <f>[10]С2.5!$S$11</f>
        <v>0</v>
      </c>
    </row>
    <row r="158" spans="1:3" hidden="1">
      <c r="B158" s="86">
        <f t="shared" si="0"/>
        <v>2035</v>
      </c>
      <c r="C158" s="135">
        <f>[10]С2.5!$T$11</f>
        <v>0</v>
      </c>
    </row>
    <row r="159" spans="1:3" hidden="1">
      <c r="B159" s="86">
        <f t="shared" si="0"/>
        <v>2036</v>
      </c>
      <c r="C159" s="135">
        <f>[10]С2.5!$U$11</f>
        <v>0</v>
      </c>
    </row>
    <row r="160" spans="1:3" hidden="1">
      <c r="B160" s="86">
        <f t="shared" si="0"/>
        <v>2037</v>
      </c>
      <c r="C160" s="135">
        <f>[10]С2.5!$V$11</f>
        <v>0</v>
      </c>
    </row>
    <row r="161" spans="2:3" hidden="1">
      <c r="B161" s="86">
        <f t="shared" si="0"/>
        <v>2038</v>
      </c>
      <c r="C161" s="135">
        <f>[10]С2.5!$W$11</f>
        <v>0</v>
      </c>
    </row>
    <row r="162" spans="2:3" hidden="1">
      <c r="B162" s="86">
        <f t="shared" si="0"/>
        <v>2039</v>
      </c>
      <c r="C162" s="135">
        <f>[10]С2.5!$X$11</f>
        <v>0</v>
      </c>
    </row>
    <row r="163" spans="2:3" hidden="1">
      <c r="B163" s="86">
        <f t="shared" si="0"/>
        <v>2040</v>
      </c>
      <c r="C163" s="135">
        <f>[10]С2.5!$Y$11</f>
        <v>0</v>
      </c>
    </row>
    <row r="164" spans="2:3" hidden="1">
      <c r="B164" s="86">
        <f t="shared" si="0"/>
        <v>2041</v>
      </c>
      <c r="C164" s="135">
        <f>[10]С2.5!$Z$11</f>
        <v>0</v>
      </c>
    </row>
    <row r="165" spans="2:3" hidden="1">
      <c r="B165" s="86">
        <f t="shared" si="0"/>
        <v>2042</v>
      </c>
      <c r="C165" s="135">
        <f>[10]С2.5!$AA$11</f>
        <v>0</v>
      </c>
    </row>
    <row r="166" spans="2:3" hidden="1">
      <c r="B166" s="86">
        <f t="shared" si="0"/>
        <v>2043</v>
      </c>
      <c r="C166" s="135">
        <f>[10]С2.5!$AB$11</f>
        <v>0</v>
      </c>
    </row>
    <row r="167" spans="2:3" hidden="1">
      <c r="B167" s="86">
        <f t="shared" si="0"/>
        <v>2044</v>
      </c>
      <c r="C167" s="135">
        <f>[10]С2.5!$AC$11</f>
        <v>0</v>
      </c>
    </row>
    <row r="168" spans="2:3" hidden="1">
      <c r="B168" s="86">
        <f t="shared" si="0"/>
        <v>2045</v>
      </c>
      <c r="C168" s="135">
        <f>[10]С2.5!$AD$11</f>
        <v>0</v>
      </c>
    </row>
    <row r="169" spans="2:3" hidden="1">
      <c r="B169" s="86">
        <f t="shared" si="0"/>
        <v>2046</v>
      </c>
      <c r="C169" s="135">
        <f>[10]С2.5!$AE$11</f>
        <v>0</v>
      </c>
    </row>
    <row r="170" spans="2:3" hidden="1">
      <c r="B170" s="86">
        <f t="shared" si="0"/>
        <v>2047</v>
      </c>
      <c r="C170" s="135">
        <f>[10]С2.5!$AF$11</f>
        <v>0</v>
      </c>
    </row>
    <row r="171" spans="2:3" hidden="1">
      <c r="B171" s="86">
        <f t="shared" si="0"/>
        <v>2048</v>
      </c>
      <c r="C171" s="135">
        <f>[10]С2.5!$AG$11</f>
        <v>0</v>
      </c>
    </row>
    <row r="172" spans="2:3" hidden="1">
      <c r="B172" s="86">
        <f t="shared" si="0"/>
        <v>2049</v>
      </c>
      <c r="C172" s="135">
        <f>[10]С2.5!$AH$11</f>
        <v>0</v>
      </c>
    </row>
    <row r="173" spans="2:3" hidden="1">
      <c r="B173" s="86">
        <f t="shared" si="0"/>
        <v>2050</v>
      </c>
      <c r="C173" s="135">
        <f>[10]С2.5!$AI$11</f>
        <v>0</v>
      </c>
    </row>
    <row r="174" spans="2:3" hidden="1">
      <c r="B174" s="86">
        <f t="shared" si="0"/>
        <v>2051</v>
      </c>
      <c r="C174" s="135">
        <f>[10]С2.5!$AJ$11</f>
        <v>0</v>
      </c>
    </row>
    <row r="175" spans="2:3" hidden="1">
      <c r="B175" s="86">
        <f t="shared" si="0"/>
        <v>2052</v>
      </c>
      <c r="C175" s="135">
        <f>[10]С2.5!$AK$11</f>
        <v>0</v>
      </c>
    </row>
    <row r="176" spans="2:3" hidden="1">
      <c r="B176" s="86">
        <f t="shared" si="0"/>
        <v>2053</v>
      </c>
      <c r="C176" s="135">
        <f>[10]С2.5!$AL$11</f>
        <v>0</v>
      </c>
    </row>
    <row r="177" spans="2:3" hidden="1">
      <c r="B177" s="86">
        <f t="shared" si="0"/>
        <v>2054</v>
      </c>
      <c r="C177" s="135">
        <f>[10]С2.5!$AM$11</f>
        <v>0</v>
      </c>
    </row>
    <row r="178" spans="2:3" hidden="1">
      <c r="B178" s="86">
        <f t="shared" si="0"/>
        <v>2055</v>
      </c>
      <c r="C178" s="135">
        <f>[10]С2.5!$AN$11</f>
        <v>0</v>
      </c>
    </row>
    <row r="179" spans="2:3" hidden="1">
      <c r="B179" s="86">
        <f t="shared" si="0"/>
        <v>2056</v>
      </c>
      <c r="C179" s="135">
        <f>[10]С2.5!$AO$11</f>
        <v>0</v>
      </c>
    </row>
    <row r="180" spans="2:3" hidden="1">
      <c r="B180" s="86">
        <f t="shared" si="0"/>
        <v>2057</v>
      </c>
      <c r="C180" s="135">
        <f>[10]С2.5!$AP$11</f>
        <v>0</v>
      </c>
    </row>
    <row r="181" spans="2:3" hidden="1">
      <c r="B181" s="86">
        <f t="shared" si="0"/>
        <v>2058</v>
      </c>
      <c r="C181" s="135">
        <f>[10]С2.5!$AQ$11</f>
        <v>0</v>
      </c>
    </row>
    <row r="182" spans="2:3" hidden="1">
      <c r="B182" s="86">
        <f t="shared" si="0"/>
        <v>2059</v>
      </c>
      <c r="C182" s="135">
        <f>[10]С2.5!$AR$11</f>
        <v>0</v>
      </c>
    </row>
    <row r="183" spans="2:3" hidden="1">
      <c r="B183" s="86">
        <f t="shared" si="0"/>
        <v>2060</v>
      </c>
      <c r="C183" s="135">
        <f>[10]С2.5!$AS$11</f>
        <v>0</v>
      </c>
    </row>
    <row r="184" spans="2:3" hidden="1">
      <c r="B184" s="86">
        <f t="shared" si="0"/>
        <v>2061</v>
      </c>
      <c r="C184" s="135">
        <f>[10]С2.5!$AT$11</f>
        <v>0</v>
      </c>
    </row>
    <row r="185" spans="2:3" hidden="1">
      <c r="B185" s="86">
        <f t="shared" si="0"/>
        <v>2062</v>
      </c>
      <c r="C185" s="135">
        <f>[10]С2.5!$AU$11</f>
        <v>0</v>
      </c>
    </row>
    <row r="186" spans="2:3" hidden="1">
      <c r="B186" s="86">
        <f t="shared" si="0"/>
        <v>2063</v>
      </c>
      <c r="C186" s="135">
        <f>[10]С2.5!$AV$11</f>
        <v>0</v>
      </c>
    </row>
    <row r="187" spans="2:3" hidden="1">
      <c r="B187" s="86">
        <f t="shared" si="0"/>
        <v>2064</v>
      </c>
      <c r="C187" s="135">
        <f>[10]С2.5!$AW$11</f>
        <v>0</v>
      </c>
    </row>
    <row r="188" spans="2:3" hidden="1">
      <c r="B188" s="86">
        <f t="shared" si="0"/>
        <v>2065</v>
      </c>
      <c r="C188" s="135">
        <f>[10]С2.5!$AX$11</f>
        <v>0</v>
      </c>
    </row>
    <row r="189" spans="2:3" hidden="1">
      <c r="B189" s="86">
        <f t="shared" si="0"/>
        <v>2066</v>
      </c>
      <c r="C189" s="135">
        <f>[10]С2.5!$AY$11</f>
        <v>0</v>
      </c>
    </row>
    <row r="190" spans="2:3" hidden="1">
      <c r="B190" s="86">
        <f t="shared" si="0"/>
        <v>2067</v>
      </c>
      <c r="C190" s="135">
        <f>[10]С2.5!$AZ$11</f>
        <v>0</v>
      </c>
    </row>
    <row r="191" spans="2:3" hidden="1">
      <c r="B191" s="86">
        <f t="shared" si="0"/>
        <v>2068</v>
      </c>
      <c r="C191" s="135">
        <f>[10]С2.5!$BA$11</f>
        <v>0</v>
      </c>
    </row>
    <row r="192" spans="2:3" hidden="1">
      <c r="B192" s="86">
        <f t="shared" si="0"/>
        <v>2069</v>
      </c>
      <c r="C192" s="135">
        <f>[10]С2.5!$BB$11</f>
        <v>0</v>
      </c>
    </row>
    <row r="193" spans="2:3" hidden="1">
      <c r="B193" s="86">
        <f t="shared" si="0"/>
        <v>2070</v>
      </c>
      <c r="C193" s="135">
        <f>[10]С2.5!$BC$11</f>
        <v>0</v>
      </c>
    </row>
    <row r="194" spans="2:3" hidden="1">
      <c r="B194" s="86">
        <f t="shared" si="0"/>
        <v>2071</v>
      </c>
      <c r="C194" s="135">
        <f>[10]С2.5!$BD$11</f>
        <v>0</v>
      </c>
    </row>
    <row r="195" spans="2:3" hidden="1">
      <c r="B195" s="86">
        <f t="shared" si="0"/>
        <v>2072</v>
      </c>
      <c r="C195" s="135">
        <f>[10]С2.5!$BE$11</f>
        <v>0</v>
      </c>
    </row>
    <row r="196" spans="2:3" hidden="1">
      <c r="B196" s="86">
        <f t="shared" si="0"/>
        <v>2073</v>
      </c>
      <c r="C196" s="135">
        <f>[10]С2.5!$BF$11</f>
        <v>0</v>
      </c>
    </row>
    <row r="197" spans="2:3" hidden="1">
      <c r="B197" s="86">
        <f t="shared" si="0"/>
        <v>2074</v>
      </c>
      <c r="C197" s="135">
        <f>[10]С2.5!$BG$11</f>
        <v>0</v>
      </c>
    </row>
    <row r="198" spans="2:3" hidden="1">
      <c r="B198" s="86">
        <f t="shared" si="0"/>
        <v>2075</v>
      </c>
      <c r="C198" s="135">
        <f>[10]С2.5!$BH$11</f>
        <v>0</v>
      </c>
    </row>
    <row r="199" spans="2:3" hidden="1">
      <c r="B199" s="86">
        <f t="shared" si="0"/>
        <v>2076</v>
      </c>
      <c r="C199" s="135">
        <f>[10]С2.5!$BI$11</f>
        <v>0</v>
      </c>
    </row>
    <row r="200" spans="2:3" hidden="1">
      <c r="B200" s="86">
        <f t="shared" si="0"/>
        <v>2077</v>
      </c>
      <c r="C200" s="135">
        <f>[10]С2.5!$BJ$11</f>
        <v>0</v>
      </c>
    </row>
    <row r="201" spans="2:3" hidden="1">
      <c r="B201" s="86">
        <f t="shared" si="0"/>
        <v>2078</v>
      </c>
      <c r="C201" s="135">
        <f>[10]С2.5!$BK$11</f>
        <v>0</v>
      </c>
    </row>
    <row r="202" spans="2:3" hidden="1">
      <c r="B202" s="86">
        <f t="shared" si="0"/>
        <v>2079</v>
      </c>
      <c r="C202" s="135">
        <f>[10]С2.5!$BL$11</f>
        <v>0</v>
      </c>
    </row>
    <row r="203" spans="2:3" hidden="1">
      <c r="B203" s="86">
        <f t="shared" si="0"/>
        <v>2080</v>
      </c>
      <c r="C203" s="135">
        <f>[10]С2.5!$BM$11</f>
        <v>0</v>
      </c>
    </row>
    <row r="204" spans="2:3" hidden="1">
      <c r="B204" s="86">
        <f t="shared" si="0"/>
        <v>2081</v>
      </c>
      <c r="C204" s="135">
        <f>[10]С2.5!$BN$11</f>
        <v>0</v>
      </c>
    </row>
    <row r="205" spans="2:3" hidden="1">
      <c r="B205" s="86">
        <f t="shared" si="0"/>
        <v>2082</v>
      </c>
      <c r="C205" s="135">
        <f>[10]С2.5!$BO$11</f>
        <v>0</v>
      </c>
    </row>
    <row r="206" spans="2:3" hidden="1">
      <c r="B206" s="86">
        <f t="shared" si="0"/>
        <v>2083</v>
      </c>
      <c r="C206" s="135">
        <f>[10]С2.5!$BP$11</f>
        <v>0</v>
      </c>
    </row>
    <row r="207" spans="2:3" hidden="1">
      <c r="B207" s="86">
        <f t="shared" si="0"/>
        <v>2084</v>
      </c>
      <c r="C207" s="135">
        <f>[10]С2.5!$BQ$11</f>
        <v>0</v>
      </c>
    </row>
    <row r="208" spans="2:3" hidden="1">
      <c r="B208" s="86">
        <f t="shared" si="0"/>
        <v>2085</v>
      </c>
      <c r="C208" s="135">
        <f>[10]С2.5!$BR$11</f>
        <v>0</v>
      </c>
    </row>
    <row r="209" spans="2:3" hidden="1">
      <c r="B209" s="86">
        <f t="shared" ref="B209:B223" si="1">B208+1</f>
        <v>2086</v>
      </c>
      <c r="C209" s="135">
        <f>[10]С2.5!$BS$11</f>
        <v>0</v>
      </c>
    </row>
    <row r="210" spans="2:3" hidden="1">
      <c r="B210" s="86">
        <f t="shared" si="1"/>
        <v>2087</v>
      </c>
      <c r="C210" s="135">
        <f>[10]С2.5!$BT$11</f>
        <v>0</v>
      </c>
    </row>
    <row r="211" spans="2:3" hidden="1">
      <c r="B211" s="86">
        <f t="shared" si="1"/>
        <v>2088</v>
      </c>
      <c r="C211" s="135">
        <f>[10]С2.5!$BU$11</f>
        <v>0</v>
      </c>
    </row>
    <row r="212" spans="2:3" hidden="1">
      <c r="B212" s="86">
        <f t="shared" si="1"/>
        <v>2089</v>
      </c>
      <c r="C212" s="135">
        <f>[10]С2.5!$BV$11</f>
        <v>0</v>
      </c>
    </row>
    <row r="213" spans="2:3" hidden="1">
      <c r="B213" s="86">
        <f t="shared" si="1"/>
        <v>2090</v>
      </c>
      <c r="C213" s="135">
        <f>[10]С2.5!$BW$11</f>
        <v>0</v>
      </c>
    </row>
    <row r="214" spans="2:3" hidden="1">
      <c r="B214" s="86">
        <f t="shared" si="1"/>
        <v>2091</v>
      </c>
      <c r="C214" s="135">
        <f>[10]С2.5!$BX$11</f>
        <v>0</v>
      </c>
    </row>
    <row r="215" spans="2:3" hidden="1">
      <c r="B215" s="86">
        <f t="shared" si="1"/>
        <v>2092</v>
      </c>
      <c r="C215" s="135">
        <f>[10]С2.5!$BY$11</f>
        <v>0</v>
      </c>
    </row>
    <row r="216" spans="2:3" hidden="1">
      <c r="B216" s="86">
        <f t="shared" si="1"/>
        <v>2093</v>
      </c>
      <c r="C216" s="135">
        <f>[10]С2.5!$BZ$11</f>
        <v>0</v>
      </c>
    </row>
    <row r="217" spans="2:3" hidden="1">
      <c r="B217" s="86">
        <f t="shared" si="1"/>
        <v>2094</v>
      </c>
      <c r="C217" s="135">
        <f>[10]С2.5!$CA$11</f>
        <v>0</v>
      </c>
    </row>
    <row r="218" spans="2:3" hidden="1">
      <c r="B218" s="86">
        <f t="shared" si="1"/>
        <v>2095</v>
      </c>
      <c r="C218" s="135">
        <f>[10]С2.5!$CB$11</f>
        <v>0</v>
      </c>
    </row>
    <row r="219" spans="2:3" hidden="1">
      <c r="B219" s="86">
        <f t="shared" si="1"/>
        <v>2096</v>
      </c>
      <c r="C219" s="135">
        <f>[10]С2.5!$CC$11</f>
        <v>0</v>
      </c>
    </row>
    <row r="220" spans="2:3" hidden="1">
      <c r="B220" s="86">
        <f t="shared" si="1"/>
        <v>2097</v>
      </c>
      <c r="C220" s="135">
        <f>[10]С2.5!$CD$11</f>
        <v>0</v>
      </c>
    </row>
    <row r="221" spans="2:3" hidden="1">
      <c r="B221" s="86">
        <f t="shared" si="1"/>
        <v>2098</v>
      </c>
      <c r="C221" s="135">
        <f>[10]С2.5!$CE$11</f>
        <v>0</v>
      </c>
    </row>
    <row r="222" spans="2:3" hidden="1">
      <c r="B222" s="86">
        <f t="shared" si="1"/>
        <v>2099</v>
      </c>
      <c r="C222" s="135">
        <f>[10]С2.5!$CF$11</f>
        <v>0</v>
      </c>
    </row>
    <row r="223" spans="2:3" ht="13.5" hidden="1" thickBot="1">
      <c r="B223" s="87">
        <f t="shared" si="1"/>
        <v>2100</v>
      </c>
      <c r="C223" s="136">
        <f>[10]С2.5!$CG$11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[11]И1!D13</f>
        <v>Субъект Российской Федерации</v>
      </c>
      <c r="C4" s="8" t="str">
        <f>[11]И1!E13</f>
        <v>Новосибирская область</v>
      </c>
    </row>
    <row r="5" spans="1:3" ht="46.9" customHeight="1">
      <c r="A5" s="6"/>
      <c r="B5" s="7" t="str">
        <f>[11]И1!D14</f>
        <v>Тип муниципального образования (выберите из списка)</v>
      </c>
      <c r="C5" s="8" t="str">
        <f>[11]И1!E14</f>
        <v>село Крещенское, Убинский муниципальный район</v>
      </c>
    </row>
    <row r="6" spans="1:3">
      <c r="A6" s="6"/>
      <c r="B6" s="7" t="str">
        <f>IF([11]И1!E15="","",[11]И1!D15)</f>
        <v/>
      </c>
      <c r="C6" s="8" t="str">
        <f>IF([11]И1!E15="","",[11]И1!E15)</f>
        <v/>
      </c>
    </row>
    <row r="7" spans="1:3">
      <c r="A7" s="6"/>
      <c r="B7" s="7" t="str">
        <f>[11]И1!D16</f>
        <v>Код ОКТМО</v>
      </c>
      <c r="C7" s="9" t="str">
        <f>[11]И1!E16</f>
        <v>50654416101</v>
      </c>
    </row>
    <row r="8" spans="1:3">
      <c r="A8" s="6"/>
      <c r="B8" s="10" t="str">
        <f>[11]И1!D17</f>
        <v>Система теплоснабжения</v>
      </c>
      <c r="C8" s="11">
        <f>[11]И1!E17</f>
        <v>0</v>
      </c>
    </row>
    <row r="9" spans="1:3">
      <c r="A9" s="6"/>
      <c r="B9" s="7" t="str">
        <f>[11]И1!D8</f>
        <v>Период регулирования (i)-й</v>
      </c>
      <c r="C9" s="12">
        <f>[11]И1!E8</f>
        <v>2025</v>
      </c>
    </row>
    <row r="10" spans="1:3">
      <c r="A10" s="6"/>
      <c r="B10" s="7" t="str">
        <f>[11]И1!D9</f>
        <v>Период регулирования (i-1)-й</v>
      </c>
      <c r="C10" s="12">
        <f>[11]И1!E9</f>
        <v>2024</v>
      </c>
    </row>
    <row r="11" spans="1:3">
      <c r="A11" s="6"/>
      <c r="B11" s="7" t="str">
        <f>[11]И1!D10</f>
        <v>Период регулирования (i-2)-й</v>
      </c>
      <c r="C11" s="12">
        <f>[11]И1!E10</f>
        <v>2023</v>
      </c>
    </row>
    <row r="12" spans="1:3">
      <c r="A12" s="6"/>
      <c r="B12" s="7" t="str">
        <f>[11]И1!D11</f>
        <v>Базовый год (б)</v>
      </c>
      <c r="C12" s="12">
        <f>[11]И1!E11</f>
        <v>2019</v>
      </c>
    </row>
    <row r="13" spans="1:3" ht="38.25">
      <c r="A13" s="6"/>
      <c r="B13" s="7" t="str">
        <f>[11]И1!D18</f>
        <v>Вид топлива, использование которого преобладает в системе теплоснабжения</v>
      </c>
      <c r="C13" s="13" t="str">
        <f>[11]С1.1!E13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5451.8315898475021</v>
      </c>
    </row>
    <row r="18" spans="1:3" ht="42.75">
      <c r="A18" s="16" t="s">
        <v>7</v>
      </c>
      <c r="B18" s="19" t="s">
        <v>8</v>
      </c>
      <c r="C18" s="20">
        <f>[11]С1!F12</f>
        <v>875.99855119200265</v>
      </c>
    </row>
    <row r="19" spans="1:3" ht="42.75">
      <c r="A19" s="16" t="s">
        <v>9</v>
      </c>
      <c r="B19" s="19" t="s">
        <v>10</v>
      </c>
      <c r="C19" s="20">
        <f>[11]С2!F12</f>
        <v>3044.269023973251</v>
      </c>
    </row>
    <row r="20" spans="1:3" ht="30">
      <c r="A20" s="16" t="s">
        <v>11</v>
      </c>
      <c r="B20" s="19" t="s">
        <v>12</v>
      </c>
      <c r="C20" s="20">
        <f>[11]С3!F12</f>
        <v>911.32264748625244</v>
      </c>
    </row>
    <row r="21" spans="1:3" ht="42.75">
      <c r="A21" s="16" t="s">
        <v>13</v>
      </c>
      <c r="B21" s="19" t="s">
        <v>226</v>
      </c>
      <c r="C21" s="20">
        <f>[11]С4!F12</f>
        <v>513.34270857153444</v>
      </c>
    </row>
    <row r="22" spans="1:3" ht="30">
      <c r="A22" s="16" t="s">
        <v>14</v>
      </c>
      <c r="B22" s="19" t="s">
        <v>227</v>
      </c>
      <c r="C22" s="20">
        <f>[11]С5!F12</f>
        <v>106.89865862446082</v>
      </c>
    </row>
    <row r="23" spans="1:3" ht="43.5" thickBot="1">
      <c r="A23" s="21" t="s">
        <v>15</v>
      </c>
      <c r="B23" s="140" t="s">
        <v>228</v>
      </c>
      <c r="C23" s="22" t="str">
        <f>[11]С6!F12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[11]С1.1!E16</f>
        <v>5100</v>
      </c>
    </row>
    <row r="29" spans="1:3" ht="42.75">
      <c r="A29" s="16" t="s">
        <v>9</v>
      </c>
      <c r="B29" s="27" t="s">
        <v>230</v>
      </c>
      <c r="C29" s="28">
        <f>[11]С1.1!E27</f>
        <v>3159.9500000000003</v>
      </c>
    </row>
    <row r="30" spans="1:3" ht="17.25">
      <c r="A30" s="16" t="s">
        <v>11</v>
      </c>
      <c r="B30" s="27" t="s">
        <v>17</v>
      </c>
      <c r="C30" s="29">
        <f>[11]С1.1!E19</f>
        <v>1.4E-2</v>
      </c>
    </row>
    <row r="31" spans="1:3" ht="17.25">
      <c r="A31" s="16" t="s">
        <v>13</v>
      </c>
      <c r="B31" s="27" t="s">
        <v>18</v>
      </c>
      <c r="C31" s="29">
        <f>[11]С1.1!E20</f>
        <v>0.04</v>
      </c>
    </row>
    <row r="32" spans="1:3" ht="30">
      <c r="A32" s="16" t="s">
        <v>14</v>
      </c>
      <c r="B32" s="30" t="s">
        <v>231</v>
      </c>
      <c r="C32" s="117">
        <f>[11]С1!F13</f>
        <v>176.4</v>
      </c>
    </row>
    <row r="33" spans="1:3">
      <c r="A33" s="16" t="s">
        <v>15</v>
      </c>
      <c r="B33" s="30" t="s">
        <v>19</v>
      </c>
      <c r="C33" s="31">
        <f>[11]С1!F16</f>
        <v>7000</v>
      </c>
    </row>
    <row r="34" spans="1:3" ht="14.25">
      <c r="A34" s="16" t="s">
        <v>20</v>
      </c>
      <c r="B34" s="32" t="s">
        <v>232</v>
      </c>
      <c r="C34" s="33">
        <f>[11]С1!F17</f>
        <v>0.72857142857142854</v>
      </c>
    </row>
    <row r="35" spans="1:3" ht="15.75">
      <c r="A35" s="118" t="s">
        <v>21</v>
      </c>
      <c r="B35" s="34" t="s">
        <v>22</v>
      </c>
      <c r="C35" s="33">
        <f>[11]С1!F20</f>
        <v>21.588411179999994</v>
      </c>
    </row>
    <row r="36" spans="1:3" ht="15.75">
      <c r="A36" s="118" t="s">
        <v>23</v>
      </c>
      <c r="B36" s="35" t="s">
        <v>24</v>
      </c>
      <c r="C36" s="33">
        <f>[11]С1!F21</f>
        <v>20.818139999999996</v>
      </c>
    </row>
    <row r="37" spans="1:3" ht="14.25">
      <c r="A37" s="118" t="s">
        <v>25</v>
      </c>
      <c r="B37" s="36" t="s">
        <v>26</v>
      </c>
      <c r="C37" s="33">
        <f>[11]С1!F22</f>
        <v>1.0369999999999999</v>
      </c>
    </row>
    <row r="38" spans="1:3" ht="53.25" thickBot="1">
      <c r="A38" s="21" t="s">
        <v>27</v>
      </c>
      <c r="B38" s="37" t="s">
        <v>28</v>
      </c>
      <c r="C38" s="38">
        <f>[11]С1!F23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[11]С2.1!E12</f>
        <v>V</v>
      </c>
    </row>
    <row r="42" spans="1:3" ht="25.5">
      <c r="A42" s="16" t="s">
        <v>33</v>
      </c>
      <c r="B42" s="27" t="s">
        <v>34</v>
      </c>
      <c r="C42" s="41" t="str">
        <f>[11]С2.1!E13</f>
        <v>6 и менее баллов</v>
      </c>
    </row>
    <row r="43" spans="1:3" ht="25.5">
      <c r="A43" s="16" t="s">
        <v>35</v>
      </c>
      <c r="B43" s="27" t="s">
        <v>233</v>
      </c>
      <c r="C43" s="41" t="str">
        <f>[11]С2.1!E14</f>
        <v>от 200 до 500</v>
      </c>
    </row>
    <row r="44" spans="1:3" ht="25.5">
      <c r="A44" s="16" t="s">
        <v>36</v>
      </c>
      <c r="B44" s="27" t="s">
        <v>234</v>
      </c>
      <c r="C44" s="42" t="str">
        <f>[11]С2.1!E15</f>
        <v>нет</v>
      </c>
    </row>
    <row r="45" spans="1:3" ht="30">
      <c r="A45" s="16" t="s">
        <v>37</v>
      </c>
      <c r="B45" s="27" t="s">
        <v>38</v>
      </c>
      <c r="C45" s="28">
        <f>[11]С2!F18</f>
        <v>38910.02669467502</v>
      </c>
    </row>
    <row r="46" spans="1:3" ht="30">
      <c r="A46" s="16" t="s">
        <v>39</v>
      </c>
      <c r="B46" s="43" t="s">
        <v>40</v>
      </c>
      <c r="C46" s="28">
        <f>IF([11]С2!F19&gt;0,[11]С2!F19,[11]С2!F20)</f>
        <v>23441.524932855718</v>
      </c>
    </row>
    <row r="47" spans="1:3" ht="25.5">
      <c r="A47" s="16" t="s">
        <v>41</v>
      </c>
      <c r="B47" s="44" t="s">
        <v>42</v>
      </c>
      <c r="C47" s="28">
        <f>[11]С2.1!E19</f>
        <v>-38</v>
      </c>
    </row>
    <row r="48" spans="1:3" ht="25.5">
      <c r="A48" s="16" t="s">
        <v>43</v>
      </c>
      <c r="B48" s="44" t="s">
        <v>44</v>
      </c>
      <c r="C48" s="28" t="str">
        <f>[11]С2.1!E22</f>
        <v>нет</v>
      </c>
    </row>
    <row r="49" spans="1:3" ht="38.25">
      <c r="A49" s="16" t="s">
        <v>45</v>
      </c>
      <c r="B49" s="45" t="s">
        <v>46</v>
      </c>
      <c r="C49" s="28">
        <f>[11]С2.2!E10</f>
        <v>1287</v>
      </c>
    </row>
    <row r="50" spans="1:3" ht="25.5">
      <c r="A50" s="16" t="s">
        <v>47</v>
      </c>
      <c r="B50" s="46" t="s">
        <v>48</v>
      </c>
      <c r="C50" s="28">
        <f>[11]С2.2!E12</f>
        <v>5.97</v>
      </c>
    </row>
    <row r="51" spans="1:3" ht="52.5">
      <c r="A51" s="16" t="s">
        <v>49</v>
      </c>
      <c r="B51" s="47" t="s">
        <v>50</v>
      </c>
      <c r="C51" s="28">
        <f>[11]С2.2!E13</f>
        <v>1</v>
      </c>
    </row>
    <row r="52" spans="1:3" ht="27.75">
      <c r="A52" s="16" t="s">
        <v>51</v>
      </c>
      <c r="B52" s="46" t="s">
        <v>52</v>
      </c>
      <c r="C52" s="28">
        <f>[11]С2.2!E14</f>
        <v>12104</v>
      </c>
    </row>
    <row r="53" spans="1:3" ht="25.5">
      <c r="A53" s="16" t="s">
        <v>53</v>
      </c>
      <c r="B53" s="47" t="s">
        <v>54</v>
      </c>
      <c r="C53" s="29">
        <f>[11]С2.2!E15</f>
        <v>4.8000000000000001E-2</v>
      </c>
    </row>
    <row r="54" spans="1:3">
      <c r="A54" s="16" t="s">
        <v>55</v>
      </c>
      <c r="B54" s="47" t="s">
        <v>56</v>
      </c>
      <c r="C54" s="28">
        <f>[11]С2.2!E16</f>
        <v>1</v>
      </c>
    </row>
    <row r="55" spans="1:3" ht="15.75">
      <c r="A55" s="16" t="s">
        <v>57</v>
      </c>
      <c r="B55" s="48" t="s">
        <v>58</v>
      </c>
      <c r="C55" s="28">
        <f>[11]С2!F21</f>
        <v>1</v>
      </c>
    </row>
    <row r="56" spans="1:3" ht="30">
      <c r="A56" s="49" t="s">
        <v>59</v>
      </c>
      <c r="B56" s="27" t="s">
        <v>235</v>
      </c>
      <c r="C56" s="28">
        <f>[11]С2!F13</f>
        <v>203708.97017230222</v>
      </c>
    </row>
    <row r="57" spans="1:3" ht="30">
      <c r="A57" s="49" t="s">
        <v>60</v>
      </c>
      <c r="B57" s="48" t="s">
        <v>236</v>
      </c>
      <c r="C57" s="28">
        <f>[11]С2!F14</f>
        <v>113455</v>
      </c>
    </row>
    <row r="58" spans="1:3" ht="15.75">
      <c r="A58" s="49" t="s">
        <v>61</v>
      </c>
      <c r="B58" s="50" t="s">
        <v>62</v>
      </c>
      <c r="C58" s="33">
        <f>[11]С2!F15</f>
        <v>1.071</v>
      </c>
    </row>
    <row r="59" spans="1:3" ht="15.75">
      <c r="A59" s="49" t="s">
        <v>63</v>
      </c>
      <c r="B59" s="50" t="s">
        <v>64</v>
      </c>
      <c r="C59" s="33">
        <f>[11]С2!F16</f>
        <v>1</v>
      </c>
    </row>
    <row r="60" spans="1:3" ht="17.25">
      <c r="A60" s="49" t="s">
        <v>65</v>
      </c>
      <c r="B60" s="48" t="s">
        <v>66</v>
      </c>
      <c r="C60" s="28">
        <f>[11]С2!F17</f>
        <v>1.01</v>
      </c>
    </row>
    <row r="61" spans="1:3" s="53" customFormat="1" ht="14.25">
      <c r="A61" s="49" t="s">
        <v>67</v>
      </c>
      <c r="B61" s="51" t="s">
        <v>68</v>
      </c>
      <c r="C61" s="52">
        <f>[11]С2!F33</f>
        <v>10</v>
      </c>
    </row>
    <row r="62" spans="1:3" ht="30">
      <c r="A62" s="49" t="s">
        <v>69</v>
      </c>
      <c r="B62" s="54" t="s">
        <v>70</v>
      </c>
      <c r="C62" s="28">
        <f>[11]С2!F26</f>
        <v>1296.3109177946333</v>
      </c>
    </row>
    <row r="63" spans="1:3" ht="17.25">
      <c r="A63" s="49" t="s">
        <v>71</v>
      </c>
      <c r="B63" s="43" t="s">
        <v>237</v>
      </c>
      <c r="C63" s="28">
        <f>[11]С2!F27</f>
        <v>0.18594487800000001</v>
      </c>
    </row>
    <row r="64" spans="1:3" ht="17.25">
      <c r="A64" s="49" t="s">
        <v>72</v>
      </c>
      <c r="B64" s="48" t="s">
        <v>238</v>
      </c>
      <c r="C64" s="52">
        <f>[11]С2!F28</f>
        <v>4200</v>
      </c>
    </row>
    <row r="65" spans="1:3" ht="42.75">
      <c r="A65" s="49" t="s">
        <v>73</v>
      </c>
      <c r="B65" s="27" t="s">
        <v>239</v>
      </c>
      <c r="C65" s="28">
        <f>[11]С2!F22</f>
        <v>42890.921752741691</v>
      </c>
    </row>
    <row r="66" spans="1:3" ht="30">
      <c r="A66" s="49" t="s">
        <v>74</v>
      </c>
      <c r="B66" s="50" t="s">
        <v>240</v>
      </c>
      <c r="C66" s="28">
        <f>[11]С2!F23</f>
        <v>1990</v>
      </c>
    </row>
    <row r="67" spans="1:3" ht="30">
      <c r="A67" s="49" t="s">
        <v>75</v>
      </c>
      <c r="B67" s="43" t="s">
        <v>76</v>
      </c>
      <c r="C67" s="28">
        <f>[11]С2.1!E27</f>
        <v>14307.876789999998</v>
      </c>
    </row>
    <row r="68" spans="1:3" ht="38.25">
      <c r="A68" s="49" t="s">
        <v>77</v>
      </c>
      <c r="B68" s="55" t="s">
        <v>78</v>
      </c>
      <c r="C68" s="42">
        <f>[11]С2.3!E21</f>
        <v>0</v>
      </c>
    </row>
    <row r="69" spans="1:3" ht="25.5">
      <c r="A69" s="49" t="s">
        <v>79</v>
      </c>
      <c r="B69" s="56" t="s">
        <v>80</v>
      </c>
      <c r="C69" s="57">
        <f>[11]С2.3!E11</f>
        <v>9.89</v>
      </c>
    </row>
    <row r="70" spans="1:3" ht="25.5">
      <c r="A70" s="49" t="s">
        <v>81</v>
      </c>
      <c r="B70" s="56" t="s">
        <v>82</v>
      </c>
      <c r="C70" s="52">
        <f>[11]С2.3!E13</f>
        <v>300</v>
      </c>
    </row>
    <row r="71" spans="1:3" ht="25.5">
      <c r="A71" s="49" t="s">
        <v>83</v>
      </c>
      <c r="B71" s="55" t="s">
        <v>84</v>
      </c>
      <c r="C71" s="58">
        <f>IF([11]С2.3!E22&gt;0,[11]С2.3!E22,[11]С2.3!E14)</f>
        <v>61211</v>
      </c>
    </row>
    <row r="72" spans="1:3" ht="38.25">
      <c r="A72" s="49" t="s">
        <v>85</v>
      </c>
      <c r="B72" s="55" t="s">
        <v>86</v>
      </c>
      <c r="C72" s="58">
        <f>IF([11]С2.3!E23&gt;0,[11]С2.3!E23,[11]С2.3!E15)</f>
        <v>45675</v>
      </c>
    </row>
    <row r="73" spans="1:3" ht="30">
      <c r="A73" s="49" t="s">
        <v>87</v>
      </c>
      <c r="B73" s="43" t="s">
        <v>88</v>
      </c>
      <c r="C73" s="28">
        <f>[11]С2.1!E28</f>
        <v>9541.9567200000001</v>
      </c>
    </row>
    <row r="74" spans="1:3" ht="38.25">
      <c r="A74" s="49" t="s">
        <v>89</v>
      </c>
      <c r="B74" s="55" t="s">
        <v>90</v>
      </c>
      <c r="C74" s="42">
        <f>[11]С2.3!E25</f>
        <v>0</v>
      </c>
    </row>
    <row r="75" spans="1:3" ht="25.5">
      <c r="A75" s="49" t="s">
        <v>91</v>
      </c>
      <c r="B75" s="56" t="s">
        <v>92</v>
      </c>
      <c r="C75" s="57">
        <f>[11]С2.3!E12</f>
        <v>0.56000000000000005</v>
      </c>
    </row>
    <row r="76" spans="1:3" ht="25.5">
      <c r="A76" s="49" t="s">
        <v>93</v>
      </c>
      <c r="B76" s="56" t="s">
        <v>82</v>
      </c>
      <c r="C76" s="52">
        <f>[11]С2.3!E13</f>
        <v>300</v>
      </c>
    </row>
    <row r="77" spans="1:3" ht="25.5">
      <c r="A77" s="49" t="s">
        <v>94</v>
      </c>
      <c r="B77" s="59" t="s">
        <v>95</v>
      </c>
      <c r="C77" s="58">
        <f>IF([11]С2.3!E26&gt;0,[11]С2.3!E26,[11]С2.3!E16)</f>
        <v>65637</v>
      </c>
    </row>
    <row r="78" spans="1:3" ht="38.25">
      <c r="A78" s="49" t="s">
        <v>96</v>
      </c>
      <c r="B78" s="59" t="s">
        <v>97</v>
      </c>
      <c r="C78" s="58">
        <f>IF([11]С2.3!E27&gt;0,[11]С2.3!E27,[11]С2.3!E17)</f>
        <v>31684</v>
      </c>
    </row>
    <row r="79" spans="1:3" ht="17.25">
      <c r="A79" s="49" t="s">
        <v>98</v>
      </c>
      <c r="B79" s="27" t="s">
        <v>99</v>
      </c>
      <c r="C79" s="29">
        <f>[11]С2!F29</f>
        <v>0.17804631770487722</v>
      </c>
    </row>
    <row r="80" spans="1:3" ht="30">
      <c r="A80" s="49" t="s">
        <v>100</v>
      </c>
      <c r="B80" s="43" t="s">
        <v>101</v>
      </c>
      <c r="C80" s="60">
        <f>[11]С2!F30</f>
        <v>0.1652189781021898</v>
      </c>
    </row>
    <row r="81" spans="1:3" ht="17.25">
      <c r="A81" s="49" t="s">
        <v>102</v>
      </c>
      <c r="B81" s="61" t="s">
        <v>103</v>
      </c>
      <c r="C81" s="29">
        <f>[11]С2!F31</f>
        <v>0.13880000000000001</v>
      </c>
    </row>
    <row r="82" spans="1:3" s="53" customFormat="1" ht="18" thickBot="1">
      <c r="A82" s="62" t="s">
        <v>104</v>
      </c>
      <c r="B82" s="63" t="s">
        <v>105</v>
      </c>
      <c r="C82" s="64">
        <f>[11]С2!F32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[11]С3!F14</f>
        <v>14780.674721363519</v>
      </c>
    </row>
    <row r="86" spans="1:3" s="53" customFormat="1" ht="42.75">
      <c r="A86" s="67" t="s">
        <v>110</v>
      </c>
      <c r="B86" s="43" t="s">
        <v>111</v>
      </c>
      <c r="C86" s="68">
        <f>[11]С3!F15</f>
        <v>0.25</v>
      </c>
    </row>
    <row r="87" spans="1:3" s="53" customFormat="1" ht="14.25">
      <c r="A87" s="67" t="s">
        <v>112</v>
      </c>
      <c r="B87" s="69" t="s">
        <v>113</v>
      </c>
      <c r="C87" s="52">
        <f>[11]С3!F18</f>
        <v>15</v>
      </c>
    </row>
    <row r="88" spans="1:3" s="53" customFormat="1" ht="17.25">
      <c r="A88" s="67" t="s">
        <v>114</v>
      </c>
      <c r="B88" s="27" t="s">
        <v>115</v>
      </c>
      <c r="C88" s="28">
        <f>[11]С3!F19</f>
        <v>4187.478806422544</v>
      </c>
    </row>
    <row r="89" spans="1:3" s="53" customFormat="1" ht="55.5">
      <c r="A89" s="67" t="s">
        <v>116</v>
      </c>
      <c r="B89" s="43" t="s">
        <v>117</v>
      </c>
      <c r="C89" s="70">
        <f>[11]С3!F20</f>
        <v>2.1999999999999999E-2</v>
      </c>
    </row>
    <row r="90" spans="1:3" s="53" customFormat="1" ht="14.25">
      <c r="A90" s="67" t="s">
        <v>118</v>
      </c>
      <c r="B90" s="48" t="s">
        <v>68</v>
      </c>
      <c r="C90" s="52">
        <f>[11]С3!F21</f>
        <v>10</v>
      </c>
    </row>
    <row r="91" spans="1:3" s="53" customFormat="1" ht="17.25">
      <c r="A91" s="67" t="s">
        <v>119</v>
      </c>
      <c r="B91" s="27" t="s">
        <v>120</v>
      </c>
      <c r="C91" s="28">
        <f>[11]С3!F22</f>
        <v>3.8889327533838998</v>
      </c>
    </row>
    <row r="92" spans="1:3" s="53" customFormat="1" ht="55.5">
      <c r="A92" s="67" t="s">
        <v>121</v>
      </c>
      <c r="B92" s="43" t="s">
        <v>122</v>
      </c>
      <c r="C92" s="70">
        <f>[11]С3!F23</f>
        <v>3.0000000000000001E-3</v>
      </c>
    </row>
    <row r="93" spans="1:3" s="53" customFormat="1" ht="27.75" thickBot="1">
      <c r="A93" s="71" t="s">
        <v>123</v>
      </c>
      <c r="B93" s="72" t="s">
        <v>241</v>
      </c>
      <c r="C93" s="73">
        <f>[11]С3!F24</f>
        <v>1296.3109177946333</v>
      </c>
    </row>
    <row r="94" spans="1:3" ht="13.5" thickBot="1">
      <c r="A94" s="39"/>
      <c r="B94" s="65"/>
      <c r="C94" s="13"/>
    </row>
    <row r="95" spans="1:3" ht="30" customHeight="1">
      <c r="A95" s="74" t="s">
        <v>124</v>
      </c>
      <c r="B95" s="141" t="s">
        <v>125</v>
      </c>
      <c r="C95" s="141"/>
    </row>
    <row r="96" spans="1:3" ht="30">
      <c r="A96" s="49" t="s">
        <v>126</v>
      </c>
      <c r="B96" s="27" t="s">
        <v>242</v>
      </c>
      <c r="C96" s="28">
        <f>[11]С4!F16</f>
        <v>1652.5</v>
      </c>
    </row>
    <row r="97" spans="1:3" ht="30">
      <c r="A97" s="49" t="s">
        <v>127</v>
      </c>
      <c r="B97" s="48" t="s">
        <v>243</v>
      </c>
      <c r="C97" s="28">
        <f>[11]С4!F17</f>
        <v>73547</v>
      </c>
    </row>
    <row r="98" spans="1:3" ht="17.25">
      <c r="A98" s="49" t="s">
        <v>128</v>
      </c>
      <c r="B98" s="48" t="s">
        <v>129</v>
      </c>
      <c r="C98" s="33">
        <f>[11]С4!F18</f>
        <v>0.02</v>
      </c>
    </row>
    <row r="99" spans="1:3" ht="30">
      <c r="A99" s="49" t="s">
        <v>130</v>
      </c>
      <c r="B99" s="48" t="s">
        <v>131</v>
      </c>
      <c r="C99" s="28">
        <f>[11]С4!F19</f>
        <v>12104</v>
      </c>
    </row>
    <row r="100" spans="1:3" ht="31.5">
      <c r="A100" s="49" t="s">
        <v>132</v>
      </c>
      <c r="B100" s="48" t="s">
        <v>133</v>
      </c>
      <c r="C100" s="33">
        <f>[11]С4!F20</f>
        <v>1.4999999999999999E-2</v>
      </c>
    </row>
    <row r="101" spans="1:3" ht="30">
      <c r="A101" s="49" t="s">
        <v>134</v>
      </c>
      <c r="B101" s="27" t="s">
        <v>244</v>
      </c>
      <c r="C101" s="28">
        <f>[11]С4!F21</f>
        <v>1933.1949342509995</v>
      </c>
    </row>
    <row r="102" spans="1:3" ht="24" customHeight="1">
      <c r="A102" s="49" t="s">
        <v>135</v>
      </c>
      <c r="B102" s="43" t="s">
        <v>136</v>
      </c>
      <c r="C102" s="75">
        <f>IF([11]С4.2!F8="да",[11]С4.2!D21,[11]С4.2!D15)</f>
        <v>0</v>
      </c>
    </row>
    <row r="103" spans="1:3" ht="68.25">
      <c r="A103" s="49" t="s">
        <v>137</v>
      </c>
      <c r="B103" s="43" t="s">
        <v>138</v>
      </c>
      <c r="C103" s="28">
        <f>[11]С4!F22</f>
        <v>3.6112641666666665</v>
      </c>
    </row>
    <row r="104" spans="1:3" ht="30">
      <c r="A104" s="49" t="s">
        <v>139</v>
      </c>
      <c r="B104" s="48" t="s">
        <v>245</v>
      </c>
      <c r="C104" s="28">
        <f>[11]С4!F23</f>
        <v>180</v>
      </c>
    </row>
    <row r="105" spans="1:3" ht="14.25">
      <c r="A105" s="49" t="s">
        <v>140</v>
      </c>
      <c r="B105" s="43" t="s">
        <v>141</v>
      </c>
      <c r="C105" s="28">
        <f>[11]С4!F24</f>
        <v>8497.1999999999989</v>
      </c>
    </row>
    <row r="106" spans="1:3" ht="14.25">
      <c r="A106" s="49" t="s">
        <v>142</v>
      </c>
      <c r="B106" s="48" t="s">
        <v>143</v>
      </c>
      <c r="C106" s="33">
        <f>[11]С4!F25</f>
        <v>0.35</v>
      </c>
    </row>
    <row r="107" spans="1:3" ht="17.25">
      <c r="A107" s="49" t="s">
        <v>144</v>
      </c>
      <c r="B107" s="27" t="s">
        <v>145</v>
      </c>
      <c r="C107" s="28">
        <f>[11]С4!F26</f>
        <v>60.320400000000006</v>
      </c>
    </row>
    <row r="108" spans="1:3" ht="25.5">
      <c r="A108" s="49" t="s">
        <v>146</v>
      </c>
      <c r="B108" s="43" t="s">
        <v>78</v>
      </c>
      <c r="C108" s="75">
        <f>[11]С4.3!E16</f>
        <v>0</v>
      </c>
    </row>
    <row r="109" spans="1:3" ht="25.5">
      <c r="A109" s="49" t="s">
        <v>147</v>
      </c>
      <c r="B109" s="43" t="s">
        <v>148</v>
      </c>
      <c r="C109" s="28">
        <f>[11]С4.3!E17</f>
        <v>17.200000000000003</v>
      </c>
    </row>
    <row r="110" spans="1:3" ht="38.25">
      <c r="A110" s="49" t="s">
        <v>149</v>
      </c>
      <c r="B110" s="43" t="s">
        <v>90</v>
      </c>
      <c r="C110" s="75">
        <f>[11]С4.3!E18</f>
        <v>0</v>
      </c>
    </row>
    <row r="111" spans="1:3">
      <c r="A111" s="49" t="s">
        <v>150</v>
      </c>
      <c r="B111" s="43" t="s">
        <v>151</v>
      </c>
      <c r="C111" s="28">
        <f>[11]С4.3!E19</f>
        <v>0</v>
      </c>
    </row>
    <row r="112" spans="1:3">
      <c r="A112" s="49" t="s">
        <v>152</v>
      </c>
      <c r="B112" s="48" t="s">
        <v>153</v>
      </c>
      <c r="C112" s="28">
        <f>[11]С4.3!E11</f>
        <v>1871</v>
      </c>
    </row>
    <row r="113" spans="1:3">
      <c r="A113" s="49" t="s">
        <v>154</v>
      </c>
      <c r="B113" s="48" t="s">
        <v>155</v>
      </c>
      <c r="C113" s="42">
        <f>[11]С4.3!E12</f>
        <v>1636</v>
      </c>
    </row>
    <row r="114" spans="1:3">
      <c r="A114" s="49" t="s">
        <v>156</v>
      </c>
      <c r="B114" s="48" t="s">
        <v>157</v>
      </c>
      <c r="C114" s="42">
        <f>[11]С4.3!E13</f>
        <v>204</v>
      </c>
    </row>
    <row r="115" spans="1:3" ht="30">
      <c r="A115" s="49" t="s">
        <v>158</v>
      </c>
      <c r="B115" s="27" t="s">
        <v>246</v>
      </c>
      <c r="C115" s="28">
        <f>[11]С4!F27</f>
        <v>1291.2863994686898</v>
      </c>
    </row>
    <row r="116" spans="1:3" ht="25.5">
      <c r="A116" s="49" t="s">
        <v>159</v>
      </c>
      <c r="B116" s="43" t="s">
        <v>247</v>
      </c>
      <c r="C116" s="28">
        <f>[11]С4!F28</f>
        <v>991.77142816335618</v>
      </c>
    </row>
    <row r="117" spans="1:3" ht="42.75">
      <c r="A117" s="49" t="s">
        <v>160</v>
      </c>
      <c r="B117" s="43" t="s">
        <v>161</v>
      </c>
      <c r="C117" s="28">
        <f>[11]С4!F29</f>
        <v>299.51497130533357</v>
      </c>
    </row>
    <row r="118" spans="1:3" ht="30">
      <c r="A118" s="49" t="s">
        <v>162</v>
      </c>
      <c r="B118" s="32" t="s">
        <v>163</v>
      </c>
      <c r="C118" s="28">
        <f>[11]С4!F30</f>
        <v>2491.5312895857687</v>
      </c>
    </row>
    <row r="119" spans="1:3" ht="42.75">
      <c r="A119" s="49" t="s">
        <v>248</v>
      </c>
      <c r="B119" s="76" t="s">
        <v>249</v>
      </c>
      <c r="C119" s="28">
        <f>[11]С4!F33</f>
        <v>1293.6069144958594</v>
      </c>
    </row>
    <row r="120" spans="1:3" ht="30">
      <c r="A120" s="49" t="s">
        <v>250</v>
      </c>
      <c r="B120" s="121" t="s">
        <v>251</v>
      </c>
      <c r="C120" s="28">
        <f>[11]С4!F35</f>
        <v>17.040680999999999</v>
      </c>
    </row>
    <row r="121" spans="1:3" ht="14.25">
      <c r="A121" s="49" t="s">
        <v>252</v>
      </c>
      <c r="B121" s="46" t="s">
        <v>253</v>
      </c>
      <c r="C121" s="28">
        <f>[11]С4!F36</f>
        <v>14319.9</v>
      </c>
    </row>
    <row r="122" spans="1:3" ht="28.5" thickBot="1">
      <c r="A122" s="62" t="s">
        <v>254</v>
      </c>
      <c r="B122" s="122" t="s">
        <v>255</v>
      </c>
      <c r="C122" s="73">
        <f>[11]С4!F37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[11]С5!F17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[11]С2!F37</f>
        <v>20.818139999999996</v>
      </c>
    </row>
    <row r="136" spans="1:3" ht="14.25">
      <c r="A136" s="49" t="s">
        <v>183</v>
      </c>
      <c r="B136" s="128" t="s">
        <v>184</v>
      </c>
      <c r="C136" s="28">
        <f>[11]С2!F38</f>
        <v>7</v>
      </c>
    </row>
    <row r="137" spans="1:3" ht="17.25">
      <c r="A137" s="49" t="s">
        <v>185</v>
      </c>
      <c r="B137" s="128" t="s">
        <v>186</v>
      </c>
      <c r="C137" s="28">
        <f>[11]С2!F40</f>
        <v>0.97</v>
      </c>
    </row>
    <row r="138" spans="1:3" ht="15" thickBot="1">
      <c r="A138" s="62" t="s">
        <v>187</v>
      </c>
      <c r="B138" s="129" t="s">
        <v>188</v>
      </c>
      <c r="C138" s="38">
        <f>[11]С2!F42</f>
        <v>0.35</v>
      </c>
    </row>
    <row r="139" spans="1:3" s="77" customFormat="1" ht="13.5" thickBot="1">
      <c r="A139" s="39"/>
      <c r="B139" s="65"/>
      <c r="C139" s="13"/>
    </row>
    <row r="140" spans="1:3" ht="30">
      <c r="A140" s="74" t="s">
        <v>189</v>
      </c>
      <c r="B140" s="84" t="s">
        <v>258</v>
      </c>
      <c r="C140" s="130">
        <f>[11]С2!F35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[11]С2.5!$E$11</f>
        <v>-2.9000000000000026E-2</v>
      </c>
    </row>
    <row r="144" spans="1:3">
      <c r="A144" s="85"/>
      <c r="B144" s="86">
        <f>B143+1</f>
        <v>2021</v>
      </c>
      <c r="C144" s="135">
        <f>[11]С2.5!$F$11</f>
        <v>0.245</v>
      </c>
    </row>
    <row r="145" spans="1:3">
      <c r="A145" s="85"/>
      <c r="B145" s="86">
        <f t="shared" ref="B145:B208" si="0">B144+1</f>
        <v>2022</v>
      </c>
      <c r="C145" s="135">
        <f>[11]С2.5!$G$11</f>
        <v>0.114</v>
      </c>
    </row>
    <row r="146" spans="1:3" ht="13.5" thickBot="1">
      <c r="A146" s="85"/>
      <c r="B146" s="87">
        <f t="shared" si="0"/>
        <v>2023</v>
      </c>
      <c r="C146" s="136">
        <f>[11]С2.5!$H$11</f>
        <v>0.04</v>
      </c>
    </row>
    <row r="147" spans="1:3">
      <c r="A147" s="85"/>
      <c r="B147" s="137">
        <f t="shared" si="0"/>
        <v>2024</v>
      </c>
      <c r="C147" s="138">
        <f>[11]С2.5!$I$11</f>
        <v>0.11700000000000001</v>
      </c>
    </row>
    <row r="148" spans="1:3">
      <c r="A148" s="85"/>
      <c r="B148" s="86">
        <f t="shared" si="0"/>
        <v>2025</v>
      </c>
      <c r="C148" s="135">
        <f>[11]С2.5!$J$11</f>
        <v>6.0999999999999999E-2</v>
      </c>
    </row>
    <row r="149" spans="1:3" hidden="1">
      <c r="A149" s="85"/>
      <c r="B149" s="86">
        <f t="shared" si="0"/>
        <v>2026</v>
      </c>
      <c r="C149" s="135">
        <f>[11]С2.5!$K$11</f>
        <v>3.5813361771260002E-2</v>
      </c>
    </row>
    <row r="150" spans="1:3" hidden="1">
      <c r="A150" s="85"/>
      <c r="B150" s="86">
        <f t="shared" si="0"/>
        <v>2027</v>
      </c>
      <c r="C150" s="135">
        <f>[11]С2.5!$L$11</f>
        <v>3.2682303599220003E-2</v>
      </c>
    </row>
    <row r="151" spans="1:3" hidden="1">
      <c r="A151" s="85"/>
      <c r="B151" s="86">
        <f t="shared" si="0"/>
        <v>2028</v>
      </c>
      <c r="C151" s="135">
        <f>[11]С2.5!$M$11</f>
        <v>0</v>
      </c>
    </row>
    <row r="152" spans="1:3" hidden="1">
      <c r="A152" s="85"/>
      <c r="B152" s="86">
        <f t="shared" si="0"/>
        <v>2029</v>
      </c>
      <c r="C152" s="135">
        <f>[11]С2.5!$N$11</f>
        <v>0</v>
      </c>
    </row>
    <row r="153" spans="1:3" hidden="1">
      <c r="A153" s="85"/>
      <c r="B153" s="86">
        <f t="shared" si="0"/>
        <v>2030</v>
      </c>
      <c r="C153" s="135">
        <f>[11]С2.5!$O$11</f>
        <v>0</v>
      </c>
    </row>
    <row r="154" spans="1:3" hidden="1">
      <c r="A154" s="85"/>
      <c r="B154" s="86">
        <f t="shared" si="0"/>
        <v>2031</v>
      </c>
      <c r="C154" s="135">
        <f>[11]С2.5!$P$11</f>
        <v>0</v>
      </c>
    </row>
    <row r="155" spans="1:3" hidden="1">
      <c r="A155" s="77"/>
      <c r="B155" s="86">
        <f t="shared" si="0"/>
        <v>2032</v>
      </c>
      <c r="C155" s="135">
        <f>[11]С2.5!$Q$11</f>
        <v>0</v>
      </c>
    </row>
    <row r="156" spans="1:3" hidden="1">
      <c r="A156" s="77"/>
      <c r="B156" s="86">
        <f t="shared" si="0"/>
        <v>2033</v>
      </c>
      <c r="C156" s="135">
        <f>[11]С2.5!$R$11</f>
        <v>0</v>
      </c>
    </row>
    <row r="157" spans="1:3" hidden="1">
      <c r="B157" s="86">
        <f t="shared" si="0"/>
        <v>2034</v>
      </c>
      <c r="C157" s="135">
        <f>[11]С2.5!$S$11</f>
        <v>0</v>
      </c>
    </row>
    <row r="158" spans="1:3" hidden="1">
      <c r="B158" s="86">
        <f t="shared" si="0"/>
        <v>2035</v>
      </c>
      <c r="C158" s="135">
        <f>[11]С2.5!$T$11</f>
        <v>0</v>
      </c>
    </row>
    <row r="159" spans="1:3" hidden="1">
      <c r="B159" s="86">
        <f t="shared" si="0"/>
        <v>2036</v>
      </c>
      <c r="C159" s="135">
        <f>[11]С2.5!$U$11</f>
        <v>0</v>
      </c>
    </row>
    <row r="160" spans="1:3" hidden="1">
      <c r="B160" s="86">
        <f t="shared" si="0"/>
        <v>2037</v>
      </c>
      <c r="C160" s="135">
        <f>[11]С2.5!$V$11</f>
        <v>0</v>
      </c>
    </row>
    <row r="161" spans="2:3" hidden="1">
      <c r="B161" s="86">
        <f t="shared" si="0"/>
        <v>2038</v>
      </c>
      <c r="C161" s="135">
        <f>[11]С2.5!$W$11</f>
        <v>0</v>
      </c>
    </row>
    <row r="162" spans="2:3" hidden="1">
      <c r="B162" s="86">
        <f t="shared" si="0"/>
        <v>2039</v>
      </c>
      <c r="C162" s="135">
        <f>[11]С2.5!$X$11</f>
        <v>0</v>
      </c>
    </row>
    <row r="163" spans="2:3" hidden="1">
      <c r="B163" s="86">
        <f t="shared" si="0"/>
        <v>2040</v>
      </c>
      <c r="C163" s="135">
        <f>[11]С2.5!$Y$11</f>
        <v>0</v>
      </c>
    </row>
    <row r="164" spans="2:3" hidden="1">
      <c r="B164" s="86">
        <f t="shared" si="0"/>
        <v>2041</v>
      </c>
      <c r="C164" s="135">
        <f>[11]С2.5!$Z$11</f>
        <v>0</v>
      </c>
    </row>
    <row r="165" spans="2:3" hidden="1">
      <c r="B165" s="86">
        <f t="shared" si="0"/>
        <v>2042</v>
      </c>
      <c r="C165" s="135">
        <f>[11]С2.5!$AA$11</f>
        <v>0</v>
      </c>
    </row>
    <row r="166" spans="2:3" hidden="1">
      <c r="B166" s="86">
        <f t="shared" si="0"/>
        <v>2043</v>
      </c>
      <c r="C166" s="135">
        <f>[11]С2.5!$AB$11</f>
        <v>0</v>
      </c>
    </row>
    <row r="167" spans="2:3" hidden="1">
      <c r="B167" s="86">
        <f t="shared" si="0"/>
        <v>2044</v>
      </c>
      <c r="C167" s="135">
        <f>[11]С2.5!$AC$11</f>
        <v>0</v>
      </c>
    </row>
    <row r="168" spans="2:3" hidden="1">
      <c r="B168" s="86">
        <f t="shared" si="0"/>
        <v>2045</v>
      </c>
      <c r="C168" s="135">
        <f>[11]С2.5!$AD$11</f>
        <v>0</v>
      </c>
    </row>
    <row r="169" spans="2:3" hidden="1">
      <c r="B169" s="86">
        <f t="shared" si="0"/>
        <v>2046</v>
      </c>
      <c r="C169" s="135">
        <f>[11]С2.5!$AE$11</f>
        <v>0</v>
      </c>
    </row>
    <row r="170" spans="2:3" hidden="1">
      <c r="B170" s="86">
        <f t="shared" si="0"/>
        <v>2047</v>
      </c>
      <c r="C170" s="135">
        <f>[11]С2.5!$AF$11</f>
        <v>0</v>
      </c>
    </row>
    <row r="171" spans="2:3" hidden="1">
      <c r="B171" s="86">
        <f t="shared" si="0"/>
        <v>2048</v>
      </c>
      <c r="C171" s="135">
        <f>[11]С2.5!$AG$11</f>
        <v>0</v>
      </c>
    </row>
    <row r="172" spans="2:3" hidden="1">
      <c r="B172" s="86">
        <f t="shared" si="0"/>
        <v>2049</v>
      </c>
      <c r="C172" s="135">
        <f>[11]С2.5!$AH$11</f>
        <v>0</v>
      </c>
    </row>
    <row r="173" spans="2:3" hidden="1">
      <c r="B173" s="86">
        <f t="shared" si="0"/>
        <v>2050</v>
      </c>
      <c r="C173" s="135">
        <f>[11]С2.5!$AI$11</f>
        <v>0</v>
      </c>
    </row>
    <row r="174" spans="2:3" hidden="1">
      <c r="B174" s="86">
        <f t="shared" si="0"/>
        <v>2051</v>
      </c>
      <c r="C174" s="135">
        <f>[11]С2.5!$AJ$11</f>
        <v>0</v>
      </c>
    </row>
    <row r="175" spans="2:3" hidden="1">
      <c r="B175" s="86">
        <f t="shared" si="0"/>
        <v>2052</v>
      </c>
      <c r="C175" s="135">
        <f>[11]С2.5!$AK$11</f>
        <v>0</v>
      </c>
    </row>
    <row r="176" spans="2:3" hidden="1">
      <c r="B176" s="86">
        <f t="shared" si="0"/>
        <v>2053</v>
      </c>
      <c r="C176" s="135">
        <f>[11]С2.5!$AL$11</f>
        <v>0</v>
      </c>
    </row>
    <row r="177" spans="2:3" hidden="1">
      <c r="B177" s="86">
        <f t="shared" si="0"/>
        <v>2054</v>
      </c>
      <c r="C177" s="135">
        <f>[11]С2.5!$AM$11</f>
        <v>0</v>
      </c>
    </row>
    <row r="178" spans="2:3" hidden="1">
      <c r="B178" s="86">
        <f t="shared" si="0"/>
        <v>2055</v>
      </c>
      <c r="C178" s="135">
        <f>[11]С2.5!$AN$11</f>
        <v>0</v>
      </c>
    </row>
    <row r="179" spans="2:3" hidden="1">
      <c r="B179" s="86">
        <f t="shared" si="0"/>
        <v>2056</v>
      </c>
      <c r="C179" s="135">
        <f>[11]С2.5!$AO$11</f>
        <v>0</v>
      </c>
    </row>
    <row r="180" spans="2:3" hidden="1">
      <c r="B180" s="86">
        <f t="shared" si="0"/>
        <v>2057</v>
      </c>
      <c r="C180" s="135">
        <f>[11]С2.5!$AP$11</f>
        <v>0</v>
      </c>
    </row>
    <row r="181" spans="2:3" hidden="1">
      <c r="B181" s="86">
        <f t="shared" si="0"/>
        <v>2058</v>
      </c>
      <c r="C181" s="135">
        <f>[11]С2.5!$AQ$11</f>
        <v>0</v>
      </c>
    </row>
    <row r="182" spans="2:3" hidden="1">
      <c r="B182" s="86">
        <f t="shared" si="0"/>
        <v>2059</v>
      </c>
      <c r="C182" s="135">
        <f>[11]С2.5!$AR$11</f>
        <v>0</v>
      </c>
    </row>
    <row r="183" spans="2:3" hidden="1">
      <c r="B183" s="86">
        <f t="shared" si="0"/>
        <v>2060</v>
      </c>
      <c r="C183" s="135">
        <f>[11]С2.5!$AS$11</f>
        <v>0</v>
      </c>
    </row>
    <row r="184" spans="2:3" hidden="1">
      <c r="B184" s="86">
        <f t="shared" si="0"/>
        <v>2061</v>
      </c>
      <c r="C184" s="135">
        <f>[11]С2.5!$AT$11</f>
        <v>0</v>
      </c>
    </row>
    <row r="185" spans="2:3" hidden="1">
      <c r="B185" s="86">
        <f t="shared" si="0"/>
        <v>2062</v>
      </c>
      <c r="C185" s="135">
        <f>[11]С2.5!$AU$11</f>
        <v>0</v>
      </c>
    </row>
    <row r="186" spans="2:3" hidden="1">
      <c r="B186" s="86">
        <f t="shared" si="0"/>
        <v>2063</v>
      </c>
      <c r="C186" s="135">
        <f>[11]С2.5!$AV$11</f>
        <v>0</v>
      </c>
    </row>
    <row r="187" spans="2:3" hidden="1">
      <c r="B187" s="86">
        <f t="shared" si="0"/>
        <v>2064</v>
      </c>
      <c r="C187" s="135">
        <f>[11]С2.5!$AW$11</f>
        <v>0</v>
      </c>
    </row>
    <row r="188" spans="2:3" hidden="1">
      <c r="B188" s="86">
        <f t="shared" si="0"/>
        <v>2065</v>
      </c>
      <c r="C188" s="135">
        <f>[11]С2.5!$AX$11</f>
        <v>0</v>
      </c>
    </row>
    <row r="189" spans="2:3" hidden="1">
      <c r="B189" s="86">
        <f t="shared" si="0"/>
        <v>2066</v>
      </c>
      <c r="C189" s="135">
        <f>[11]С2.5!$AY$11</f>
        <v>0</v>
      </c>
    </row>
    <row r="190" spans="2:3" hidden="1">
      <c r="B190" s="86">
        <f t="shared" si="0"/>
        <v>2067</v>
      </c>
      <c r="C190" s="135">
        <f>[11]С2.5!$AZ$11</f>
        <v>0</v>
      </c>
    </row>
    <row r="191" spans="2:3" hidden="1">
      <c r="B191" s="86">
        <f t="shared" si="0"/>
        <v>2068</v>
      </c>
      <c r="C191" s="135">
        <f>[11]С2.5!$BA$11</f>
        <v>0</v>
      </c>
    </row>
    <row r="192" spans="2:3" hidden="1">
      <c r="B192" s="86">
        <f t="shared" si="0"/>
        <v>2069</v>
      </c>
      <c r="C192" s="135">
        <f>[11]С2.5!$BB$11</f>
        <v>0</v>
      </c>
    </row>
    <row r="193" spans="2:3" hidden="1">
      <c r="B193" s="86">
        <f t="shared" si="0"/>
        <v>2070</v>
      </c>
      <c r="C193" s="135">
        <f>[11]С2.5!$BC$11</f>
        <v>0</v>
      </c>
    </row>
    <row r="194" spans="2:3" hidden="1">
      <c r="B194" s="86">
        <f t="shared" si="0"/>
        <v>2071</v>
      </c>
      <c r="C194" s="135">
        <f>[11]С2.5!$BD$11</f>
        <v>0</v>
      </c>
    </row>
    <row r="195" spans="2:3" hidden="1">
      <c r="B195" s="86">
        <f t="shared" si="0"/>
        <v>2072</v>
      </c>
      <c r="C195" s="135">
        <f>[11]С2.5!$BE$11</f>
        <v>0</v>
      </c>
    </row>
    <row r="196" spans="2:3" hidden="1">
      <c r="B196" s="86">
        <f t="shared" si="0"/>
        <v>2073</v>
      </c>
      <c r="C196" s="135">
        <f>[11]С2.5!$BF$11</f>
        <v>0</v>
      </c>
    </row>
    <row r="197" spans="2:3" hidden="1">
      <c r="B197" s="86">
        <f t="shared" si="0"/>
        <v>2074</v>
      </c>
      <c r="C197" s="135">
        <f>[11]С2.5!$BG$11</f>
        <v>0</v>
      </c>
    </row>
    <row r="198" spans="2:3" hidden="1">
      <c r="B198" s="86">
        <f t="shared" si="0"/>
        <v>2075</v>
      </c>
      <c r="C198" s="135">
        <f>[11]С2.5!$BH$11</f>
        <v>0</v>
      </c>
    </row>
    <row r="199" spans="2:3" hidden="1">
      <c r="B199" s="86">
        <f t="shared" si="0"/>
        <v>2076</v>
      </c>
      <c r="C199" s="135">
        <f>[11]С2.5!$BI$11</f>
        <v>0</v>
      </c>
    </row>
    <row r="200" spans="2:3" hidden="1">
      <c r="B200" s="86">
        <f t="shared" si="0"/>
        <v>2077</v>
      </c>
      <c r="C200" s="135">
        <f>[11]С2.5!$BJ$11</f>
        <v>0</v>
      </c>
    </row>
    <row r="201" spans="2:3" hidden="1">
      <c r="B201" s="86">
        <f t="shared" si="0"/>
        <v>2078</v>
      </c>
      <c r="C201" s="135">
        <f>[11]С2.5!$BK$11</f>
        <v>0</v>
      </c>
    </row>
    <row r="202" spans="2:3" hidden="1">
      <c r="B202" s="86">
        <f t="shared" si="0"/>
        <v>2079</v>
      </c>
      <c r="C202" s="135">
        <f>[11]С2.5!$BL$11</f>
        <v>0</v>
      </c>
    </row>
    <row r="203" spans="2:3" hidden="1">
      <c r="B203" s="86">
        <f t="shared" si="0"/>
        <v>2080</v>
      </c>
      <c r="C203" s="135">
        <f>[11]С2.5!$BM$11</f>
        <v>0</v>
      </c>
    </row>
    <row r="204" spans="2:3" hidden="1">
      <c r="B204" s="86">
        <f t="shared" si="0"/>
        <v>2081</v>
      </c>
      <c r="C204" s="135">
        <f>[11]С2.5!$BN$11</f>
        <v>0</v>
      </c>
    </row>
    <row r="205" spans="2:3" hidden="1">
      <c r="B205" s="86">
        <f t="shared" si="0"/>
        <v>2082</v>
      </c>
      <c r="C205" s="135">
        <f>[11]С2.5!$BO$11</f>
        <v>0</v>
      </c>
    </row>
    <row r="206" spans="2:3" hidden="1">
      <c r="B206" s="86">
        <f t="shared" si="0"/>
        <v>2083</v>
      </c>
      <c r="C206" s="135">
        <f>[11]С2.5!$BP$11</f>
        <v>0</v>
      </c>
    </row>
    <row r="207" spans="2:3" hidden="1">
      <c r="B207" s="86">
        <f t="shared" si="0"/>
        <v>2084</v>
      </c>
      <c r="C207" s="135">
        <f>[11]С2.5!$BQ$11</f>
        <v>0</v>
      </c>
    </row>
    <row r="208" spans="2:3" hidden="1">
      <c r="B208" s="86">
        <f t="shared" si="0"/>
        <v>2085</v>
      </c>
      <c r="C208" s="135">
        <f>[11]С2.5!$BR$11</f>
        <v>0</v>
      </c>
    </row>
    <row r="209" spans="2:3" hidden="1">
      <c r="B209" s="86">
        <f t="shared" ref="B209:B223" si="1">B208+1</f>
        <v>2086</v>
      </c>
      <c r="C209" s="135">
        <f>[11]С2.5!$BS$11</f>
        <v>0</v>
      </c>
    </row>
    <row r="210" spans="2:3" hidden="1">
      <c r="B210" s="86">
        <f t="shared" si="1"/>
        <v>2087</v>
      </c>
      <c r="C210" s="135">
        <f>[11]С2.5!$BT$11</f>
        <v>0</v>
      </c>
    </row>
    <row r="211" spans="2:3" hidden="1">
      <c r="B211" s="86">
        <f t="shared" si="1"/>
        <v>2088</v>
      </c>
      <c r="C211" s="135">
        <f>[11]С2.5!$BU$11</f>
        <v>0</v>
      </c>
    </row>
    <row r="212" spans="2:3" hidden="1">
      <c r="B212" s="86">
        <f t="shared" si="1"/>
        <v>2089</v>
      </c>
      <c r="C212" s="135">
        <f>[11]С2.5!$BV$11</f>
        <v>0</v>
      </c>
    </row>
    <row r="213" spans="2:3" hidden="1">
      <c r="B213" s="86">
        <f t="shared" si="1"/>
        <v>2090</v>
      </c>
      <c r="C213" s="135">
        <f>[11]С2.5!$BW$11</f>
        <v>0</v>
      </c>
    </row>
    <row r="214" spans="2:3" hidden="1">
      <c r="B214" s="86">
        <f t="shared" si="1"/>
        <v>2091</v>
      </c>
      <c r="C214" s="135">
        <f>[11]С2.5!$BX$11</f>
        <v>0</v>
      </c>
    </row>
    <row r="215" spans="2:3" hidden="1">
      <c r="B215" s="86">
        <f t="shared" si="1"/>
        <v>2092</v>
      </c>
      <c r="C215" s="135">
        <f>[11]С2.5!$BY$11</f>
        <v>0</v>
      </c>
    </row>
    <row r="216" spans="2:3" hidden="1">
      <c r="B216" s="86">
        <f t="shared" si="1"/>
        <v>2093</v>
      </c>
      <c r="C216" s="135">
        <f>[11]С2.5!$BZ$11</f>
        <v>0</v>
      </c>
    </row>
    <row r="217" spans="2:3" hidden="1">
      <c r="B217" s="86">
        <f t="shared" si="1"/>
        <v>2094</v>
      </c>
      <c r="C217" s="135">
        <f>[11]С2.5!$CA$11</f>
        <v>0</v>
      </c>
    </row>
    <row r="218" spans="2:3" hidden="1">
      <c r="B218" s="86">
        <f t="shared" si="1"/>
        <v>2095</v>
      </c>
      <c r="C218" s="135">
        <f>[11]С2.5!$CB$11</f>
        <v>0</v>
      </c>
    </row>
    <row r="219" spans="2:3" hidden="1">
      <c r="B219" s="86">
        <f t="shared" si="1"/>
        <v>2096</v>
      </c>
      <c r="C219" s="135">
        <f>[11]С2.5!$CC$11</f>
        <v>0</v>
      </c>
    </row>
    <row r="220" spans="2:3" hidden="1">
      <c r="B220" s="86">
        <f t="shared" si="1"/>
        <v>2097</v>
      </c>
      <c r="C220" s="135">
        <f>[11]С2.5!$CD$11</f>
        <v>0</v>
      </c>
    </row>
    <row r="221" spans="2:3" hidden="1">
      <c r="B221" s="86">
        <f t="shared" si="1"/>
        <v>2098</v>
      </c>
      <c r="C221" s="135">
        <f>[11]С2.5!$CE$11</f>
        <v>0</v>
      </c>
    </row>
    <row r="222" spans="2:3" hidden="1">
      <c r="B222" s="86">
        <f t="shared" si="1"/>
        <v>2099</v>
      </c>
      <c r="C222" s="135">
        <f>[11]С2.5!$CF$11</f>
        <v>0</v>
      </c>
    </row>
    <row r="223" spans="2:3" ht="13.5" hidden="1" thickBot="1">
      <c r="B223" s="87">
        <f t="shared" si="1"/>
        <v>2100</v>
      </c>
      <c r="C223" s="136">
        <f>[11]С2.5!$CG$11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[12]И1!D13</f>
        <v>Субъект Российской Федерации</v>
      </c>
      <c r="C4" s="8" t="str">
        <f>[12]И1!E13</f>
        <v>Новосибирская область</v>
      </c>
    </row>
    <row r="5" spans="1:3" ht="46.9" customHeight="1">
      <c r="A5" s="6"/>
      <c r="B5" s="7" t="str">
        <f>[12]И1!D14</f>
        <v>Тип муниципального образования (выберите из списка)</v>
      </c>
      <c r="C5" s="8" t="str">
        <f>[12]И1!E14</f>
        <v>село Круглоозерное, Убинский муниципальный район</v>
      </c>
    </row>
    <row r="6" spans="1:3">
      <c r="A6" s="6"/>
      <c r="B6" s="7" t="str">
        <f>IF([12]И1!E15="","",[12]И1!D15)</f>
        <v/>
      </c>
      <c r="C6" s="8" t="str">
        <f>IF([12]И1!E15="","",[12]И1!E15)</f>
        <v/>
      </c>
    </row>
    <row r="7" spans="1:3">
      <c r="A7" s="6"/>
      <c r="B7" s="7" t="str">
        <f>[12]И1!D16</f>
        <v>Код ОКТМО</v>
      </c>
      <c r="C7" s="9" t="str">
        <f>[12]И1!E16</f>
        <v>50654419101</v>
      </c>
    </row>
    <row r="8" spans="1:3">
      <c r="A8" s="6"/>
      <c r="B8" s="10" t="str">
        <f>[12]И1!D17</f>
        <v>Система теплоснабжения</v>
      </c>
      <c r="C8" s="11">
        <f>[12]И1!E17</f>
        <v>0</v>
      </c>
    </row>
    <row r="9" spans="1:3">
      <c r="A9" s="6"/>
      <c r="B9" s="7" t="str">
        <f>[12]И1!D8</f>
        <v>Период регулирования (i)-й</v>
      </c>
      <c r="C9" s="12">
        <f>[12]И1!E8</f>
        <v>2025</v>
      </c>
    </row>
    <row r="10" spans="1:3">
      <c r="A10" s="6"/>
      <c r="B10" s="7" t="str">
        <f>[12]И1!D9</f>
        <v>Период регулирования (i-1)-й</v>
      </c>
      <c r="C10" s="12">
        <f>[12]И1!E9</f>
        <v>2024</v>
      </c>
    </row>
    <row r="11" spans="1:3">
      <c r="A11" s="6"/>
      <c r="B11" s="7" t="str">
        <f>[12]И1!D10</f>
        <v>Период регулирования (i-2)-й</v>
      </c>
      <c r="C11" s="12">
        <f>[12]И1!E10</f>
        <v>2023</v>
      </c>
    </row>
    <row r="12" spans="1:3">
      <c r="A12" s="6"/>
      <c r="B12" s="7" t="str">
        <f>[12]И1!D11</f>
        <v>Базовый год (б)</v>
      </c>
      <c r="C12" s="12">
        <f>[12]И1!E11</f>
        <v>2019</v>
      </c>
    </row>
    <row r="13" spans="1:3" ht="38.25">
      <c r="A13" s="6"/>
      <c r="B13" s="7" t="str">
        <f>[12]И1!D18</f>
        <v>Вид топлива, использование которого преобладает в системе теплоснабжения</v>
      </c>
      <c r="C13" s="13" t="str">
        <f>[12]С1.1!E13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5659.1179116758012</v>
      </c>
    </row>
    <row r="18" spans="1:3" ht="42.75">
      <c r="A18" s="16" t="s">
        <v>7</v>
      </c>
      <c r="B18" s="19" t="s">
        <v>8</v>
      </c>
      <c r="C18" s="20">
        <f>[12]С1!F12</f>
        <v>1066.6005556136108</v>
      </c>
    </row>
    <row r="19" spans="1:3" ht="42.75">
      <c r="A19" s="16" t="s">
        <v>9</v>
      </c>
      <c r="B19" s="19" t="s">
        <v>10</v>
      </c>
      <c r="C19" s="20">
        <f>[12]С2!F12</f>
        <v>3044.269023973251</v>
      </c>
    </row>
    <row r="20" spans="1:3" ht="30">
      <c r="A20" s="16" t="s">
        <v>11</v>
      </c>
      <c r="B20" s="19" t="s">
        <v>12</v>
      </c>
      <c r="C20" s="20">
        <f>[12]С3!F12</f>
        <v>911.32264748625244</v>
      </c>
    </row>
    <row r="21" spans="1:3" ht="42.75">
      <c r="A21" s="16" t="s">
        <v>13</v>
      </c>
      <c r="B21" s="19" t="s">
        <v>226</v>
      </c>
      <c r="C21" s="20">
        <f>[12]С4!F12</f>
        <v>525.96258829531905</v>
      </c>
    </row>
    <row r="22" spans="1:3" ht="30">
      <c r="A22" s="16" t="s">
        <v>14</v>
      </c>
      <c r="B22" s="19" t="s">
        <v>227</v>
      </c>
      <c r="C22" s="20">
        <f>[12]С5!F12</f>
        <v>110.96309630736866</v>
      </c>
    </row>
    <row r="23" spans="1:3" ht="43.5" thickBot="1">
      <c r="A23" s="21" t="s">
        <v>15</v>
      </c>
      <c r="B23" s="140" t="s">
        <v>228</v>
      </c>
      <c r="C23" s="22" t="str">
        <f>[12]С6!F12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[12]С1.1!E16</f>
        <v>5100</v>
      </c>
    </row>
    <row r="29" spans="1:3" ht="42.75">
      <c r="A29" s="16" t="s">
        <v>9</v>
      </c>
      <c r="B29" s="27" t="s">
        <v>230</v>
      </c>
      <c r="C29" s="28">
        <f>[12]С1.1!E27</f>
        <v>3847.5</v>
      </c>
    </row>
    <row r="30" spans="1:3" ht="17.25">
      <c r="A30" s="16" t="s">
        <v>11</v>
      </c>
      <c r="B30" s="27" t="s">
        <v>17</v>
      </c>
      <c r="C30" s="29">
        <f>[12]С1.1!E19</f>
        <v>1.4E-2</v>
      </c>
    </row>
    <row r="31" spans="1:3" ht="17.25">
      <c r="A31" s="16" t="s">
        <v>13</v>
      </c>
      <c r="B31" s="27" t="s">
        <v>18</v>
      </c>
      <c r="C31" s="29">
        <f>[12]С1.1!E20</f>
        <v>0.04</v>
      </c>
    </row>
    <row r="32" spans="1:3" ht="30">
      <c r="A32" s="16" t="s">
        <v>14</v>
      </c>
      <c r="B32" s="30" t="s">
        <v>231</v>
      </c>
      <c r="C32" s="117">
        <f>[12]С1!F13</f>
        <v>176.4</v>
      </c>
    </row>
    <row r="33" spans="1:3">
      <c r="A33" s="16" t="s">
        <v>15</v>
      </c>
      <c r="B33" s="30" t="s">
        <v>19</v>
      </c>
      <c r="C33" s="31">
        <f>[12]С1!F16</f>
        <v>7000</v>
      </c>
    </row>
    <row r="34" spans="1:3" ht="14.25">
      <c r="A34" s="16" t="s">
        <v>20</v>
      </c>
      <c r="B34" s="32" t="s">
        <v>232</v>
      </c>
      <c r="C34" s="33">
        <f>[12]С1!F17</f>
        <v>0.72857142857142854</v>
      </c>
    </row>
    <row r="35" spans="1:3" ht="15.75">
      <c r="A35" s="118" t="s">
        <v>21</v>
      </c>
      <c r="B35" s="34" t="s">
        <v>22</v>
      </c>
      <c r="C35" s="33">
        <f>[12]С1!F20</f>
        <v>21.588411179999994</v>
      </c>
    </row>
    <row r="36" spans="1:3" ht="15.75">
      <c r="A36" s="118" t="s">
        <v>23</v>
      </c>
      <c r="B36" s="35" t="s">
        <v>24</v>
      </c>
      <c r="C36" s="33">
        <f>[12]С1!F21</f>
        <v>20.818139999999996</v>
      </c>
    </row>
    <row r="37" spans="1:3" ht="14.25">
      <c r="A37" s="118" t="s">
        <v>25</v>
      </c>
      <c r="B37" s="36" t="s">
        <v>26</v>
      </c>
      <c r="C37" s="33">
        <f>[12]С1!F22</f>
        <v>1.0369999999999999</v>
      </c>
    </row>
    <row r="38" spans="1:3" ht="53.25" thickBot="1">
      <c r="A38" s="21" t="s">
        <v>27</v>
      </c>
      <c r="B38" s="37" t="s">
        <v>28</v>
      </c>
      <c r="C38" s="38">
        <f>[12]С1!F23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[12]С2.1!E12</f>
        <v>V</v>
      </c>
    </row>
    <row r="42" spans="1:3" ht="25.5">
      <c r="A42" s="16" t="s">
        <v>33</v>
      </c>
      <c r="B42" s="27" t="s">
        <v>34</v>
      </c>
      <c r="C42" s="41" t="str">
        <f>[12]С2.1!E13</f>
        <v>6 и менее баллов</v>
      </c>
    </row>
    <row r="43" spans="1:3" ht="25.5">
      <c r="A43" s="16" t="s">
        <v>35</v>
      </c>
      <c r="B43" s="27" t="s">
        <v>233</v>
      </c>
      <c r="C43" s="41" t="str">
        <f>[12]С2.1!E14</f>
        <v>от 200 до 500</v>
      </c>
    </row>
    <row r="44" spans="1:3" ht="25.5">
      <c r="A44" s="16" t="s">
        <v>36</v>
      </c>
      <c r="B44" s="27" t="s">
        <v>234</v>
      </c>
      <c r="C44" s="42" t="str">
        <f>[12]С2.1!E15</f>
        <v>нет</v>
      </c>
    </row>
    <row r="45" spans="1:3" ht="30">
      <c r="A45" s="16" t="s">
        <v>37</v>
      </c>
      <c r="B45" s="27" t="s">
        <v>38</v>
      </c>
      <c r="C45" s="28">
        <f>[12]С2!F18</f>
        <v>38910.02669467502</v>
      </c>
    </row>
    <row r="46" spans="1:3" ht="30">
      <c r="A46" s="16" t="s">
        <v>39</v>
      </c>
      <c r="B46" s="43" t="s">
        <v>40</v>
      </c>
      <c r="C46" s="28">
        <f>IF([12]С2!F19&gt;0,[12]С2!F19,[12]С2!F20)</f>
        <v>23441.524932855718</v>
      </c>
    </row>
    <row r="47" spans="1:3" ht="25.5">
      <c r="A47" s="16" t="s">
        <v>41</v>
      </c>
      <c r="B47" s="44" t="s">
        <v>42</v>
      </c>
      <c r="C47" s="28">
        <f>[12]С2.1!E19</f>
        <v>-38</v>
      </c>
    </row>
    <row r="48" spans="1:3" ht="25.5">
      <c r="A48" s="16" t="s">
        <v>43</v>
      </c>
      <c r="B48" s="44" t="s">
        <v>44</v>
      </c>
      <c r="C48" s="28" t="str">
        <f>[12]С2.1!E22</f>
        <v>нет</v>
      </c>
    </row>
    <row r="49" spans="1:3" ht="38.25">
      <c r="A49" s="16" t="s">
        <v>45</v>
      </c>
      <c r="B49" s="45" t="s">
        <v>46</v>
      </c>
      <c r="C49" s="28">
        <f>[12]С2.2!E10</f>
        <v>1287</v>
      </c>
    </row>
    <row r="50" spans="1:3" ht="25.5">
      <c r="A50" s="16" t="s">
        <v>47</v>
      </c>
      <c r="B50" s="46" t="s">
        <v>48</v>
      </c>
      <c r="C50" s="28">
        <f>[12]С2.2!E12</f>
        <v>5.97</v>
      </c>
    </row>
    <row r="51" spans="1:3" ht="52.5">
      <c r="A51" s="16" t="s">
        <v>49</v>
      </c>
      <c r="B51" s="47" t="s">
        <v>50</v>
      </c>
      <c r="C51" s="28">
        <f>[12]С2.2!E13</f>
        <v>1</v>
      </c>
    </row>
    <row r="52" spans="1:3" ht="27.75">
      <c r="A52" s="16" t="s">
        <v>51</v>
      </c>
      <c r="B52" s="46" t="s">
        <v>52</v>
      </c>
      <c r="C52" s="28">
        <f>[12]С2.2!E14</f>
        <v>12104</v>
      </c>
    </row>
    <row r="53" spans="1:3" ht="25.5">
      <c r="A53" s="16" t="s">
        <v>53</v>
      </c>
      <c r="B53" s="47" t="s">
        <v>54</v>
      </c>
      <c r="C53" s="29">
        <f>[12]С2.2!E15</f>
        <v>4.8000000000000001E-2</v>
      </c>
    </row>
    <row r="54" spans="1:3">
      <c r="A54" s="16" t="s">
        <v>55</v>
      </c>
      <c r="B54" s="47" t="s">
        <v>56</v>
      </c>
      <c r="C54" s="28">
        <f>[12]С2.2!E16</f>
        <v>1</v>
      </c>
    </row>
    <row r="55" spans="1:3" ht="15.75">
      <c r="A55" s="16" t="s">
        <v>57</v>
      </c>
      <c r="B55" s="48" t="s">
        <v>58</v>
      </c>
      <c r="C55" s="28">
        <f>[12]С2!F21</f>
        <v>1</v>
      </c>
    </row>
    <row r="56" spans="1:3" ht="30">
      <c r="A56" s="49" t="s">
        <v>59</v>
      </c>
      <c r="B56" s="27" t="s">
        <v>235</v>
      </c>
      <c r="C56" s="28">
        <f>[12]С2!F13</f>
        <v>203708.97017230222</v>
      </c>
    </row>
    <row r="57" spans="1:3" ht="30">
      <c r="A57" s="49" t="s">
        <v>60</v>
      </c>
      <c r="B57" s="48" t="s">
        <v>236</v>
      </c>
      <c r="C57" s="28">
        <f>[12]С2!F14</f>
        <v>113455</v>
      </c>
    </row>
    <row r="58" spans="1:3" ht="15.75">
      <c r="A58" s="49" t="s">
        <v>61</v>
      </c>
      <c r="B58" s="50" t="s">
        <v>62</v>
      </c>
      <c r="C58" s="33">
        <f>[12]С2!F15</f>
        <v>1.071</v>
      </c>
    </row>
    <row r="59" spans="1:3" ht="15.75">
      <c r="A59" s="49" t="s">
        <v>63</v>
      </c>
      <c r="B59" s="50" t="s">
        <v>64</v>
      </c>
      <c r="C59" s="33">
        <f>[12]С2!F16</f>
        <v>1</v>
      </c>
    </row>
    <row r="60" spans="1:3" ht="17.25">
      <c r="A60" s="49" t="s">
        <v>65</v>
      </c>
      <c r="B60" s="48" t="s">
        <v>66</v>
      </c>
      <c r="C60" s="28">
        <f>[12]С2!F17</f>
        <v>1.01</v>
      </c>
    </row>
    <row r="61" spans="1:3" s="53" customFormat="1" ht="14.25">
      <c r="A61" s="49" t="s">
        <v>67</v>
      </c>
      <c r="B61" s="51" t="s">
        <v>68</v>
      </c>
      <c r="C61" s="52">
        <f>[12]С2!F33</f>
        <v>10</v>
      </c>
    </row>
    <row r="62" spans="1:3" ht="30">
      <c r="A62" s="49" t="s">
        <v>69</v>
      </c>
      <c r="B62" s="54" t="s">
        <v>70</v>
      </c>
      <c r="C62" s="28">
        <f>[12]С2!F26</f>
        <v>1296.3109177946333</v>
      </c>
    </row>
    <row r="63" spans="1:3" ht="17.25">
      <c r="A63" s="49" t="s">
        <v>71</v>
      </c>
      <c r="B63" s="43" t="s">
        <v>237</v>
      </c>
      <c r="C63" s="28">
        <f>[12]С2!F27</f>
        <v>0.18594487800000001</v>
      </c>
    </row>
    <row r="64" spans="1:3" ht="17.25">
      <c r="A64" s="49" t="s">
        <v>72</v>
      </c>
      <c r="B64" s="48" t="s">
        <v>238</v>
      </c>
      <c r="C64" s="52">
        <f>[12]С2!F28</f>
        <v>4200</v>
      </c>
    </row>
    <row r="65" spans="1:3" ht="42.75">
      <c r="A65" s="49" t="s">
        <v>73</v>
      </c>
      <c r="B65" s="27" t="s">
        <v>239</v>
      </c>
      <c r="C65" s="28">
        <f>[12]С2!F22</f>
        <v>42890.921752741691</v>
      </c>
    </row>
    <row r="66" spans="1:3" ht="30">
      <c r="A66" s="49" t="s">
        <v>74</v>
      </c>
      <c r="B66" s="50" t="s">
        <v>240</v>
      </c>
      <c r="C66" s="28">
        <f>[12]С2!F23</f>
        <v>1990</v>
      </c>
    </row>
    <row r="67" spans="1:3" ht="30">
      <c r="A67" s="49" t="s">
        <v>75</v>
      </c>
      <c r="B67" s="43" t="s">
        <v>76</v>
      </c>
      <c r="C67" s="28">
        <f>[12]С2.1!E27</f>
        <v>14307.876789999998</v>
      </c>
    </row>
    <row r="68" spans="1:3" ht="38.25">
      <c r="A68" s="49" t="s">
        <v>77</v>
      </c>
      <c r="B68" s="55" t="s">
        <v>78</v>
      </c>
      <c r="C68" s="42">
        <f>[12]С2.3!E21</f>
        <v>0</v>
      </c>
    </row>
    <row r="69" spans="1:3" ht="25.5">
      <c r="A69" s="49" t="s">
        <v>79</v>
      </c>
      <c r="B69" s="56" t="s">
        <v>80</v>
      </c>
      <c r="C69" s="57">
        <f>[12]С2.3!E11</f>
        <v>9.89</v>
      </c>
    </row>
    <row r="70" spans="1:3" ht="25.5">
      <c r="A70" s="49" t="s">
        <v>81</v>
      </c>
      <c r="B70" s="56" t="s">
        <v>82</v>
      </c>
      <c r="C70" s="52">
        <f>[12]С2.3!E13</f>
        <v>300</v>
      </c>
    </row>
    <row r="71" spans="1:3" ht="25.5">
      <c r="A71" s="49" t="s">
        <v>83</v>
      </c>
      <c r="B71" s="55" t="s">
        <v>84</v>
      </c>
      <c r="C71" s="58">
        <f>IF([12]С2.3!E22&gt;0,[12]С2.3!E22,[12]С2.3!E14)</f>
        <v>61211</v>
      </c>
    </row>
    <row r="72" spans="1:3" ht="38.25">
      <c r="A72" s="49" t="s">
        <v>85</v>
      </c>
      <c r="B72" s="55" t="s">
        <v>86</v>
      </c>
      <c r="C72" s="58">
        <f>IF([12]С2.3!E23&gt;0,[12]С2.3!E23,[12]С2.3!E15)</f>
        <v>45675</v>
      </c>
    </row>
    <row r="73" spans="1:3" ht="30">
      <c r="A73" s="49" t="s">
        <v>87</v>
      </c>
      <c r="B73" s="43" t="s">
        <v>88</v>
      </c>
      <c r="C73" s="28">
        <f>[12]С2.1!E28</f>
        <v>9541.9567200000001</v>
      </c>
    </row>
    <row r="74" spans="1:3" ht="38.25">
      <c r="A74" s="49" t="s">
        <v>89</v>
      </c>
      <c r="B74" s="55" t="s">
        <v>90</v>
      </c>
      <c r="C74" s="42">
        <f>[12]С2.3!E25</f>
        <v>0</v>
      </c>
    </row>
    <row r="75" spans="1:3" ht="25.5">
      <c r="A75" s="49" t="s">
        <v>91</v>
      </c>
      <c r="B75" s="56" t="s">
        <v>92</v>
      </c>
      <c r="C75" s="57">
        <f>[12]С2.3!E12</f>
        <v>0.56000000000000005</v>
      </c>
    </row>
    <row r="76" spans="1:3" ht="25.5">
      <c r="A76" s="49" t="s">
        <v>93</v>
      </c>
      <c r="B76" s="56" t="s">
        <v>82</v>
      </c>
      <c r="C76" s="52">
        <f>[12]С2.3!E13</f>
        <v>300</v>
      </c>
    </row>
    <row r="77" spans="1:3" ht="25.5">
      <c r="A77" s="49" t="s">
        <v>94</v>
      </c>
      <c r="B77" s="59" t="s">
        <v>95</v>
      </c>
      <c r="C77" s="58">
        <f>IF([12]С2.3!E26&gt;0,[12]С2.3!E26,[12]С2.3!E16)</f>
        <v>65637</v>
      </c>
    </row>
    <row r="78" spans="1:3" ht="38.25">
      <c r="A78" s="49" t="s">
        <v>96</v>
      </c>
      <c r="B78" s="59" t="s">
        <v>97</v>
      </c>
      <c r="C78" s="58">
        <f>IF([12]С2.3!E27&gt;0,[12]С2.3!E27,[12]С2.3!E17)</f>
        <v>31684</v>
      </c>
    </row>
    <row r="79" spans="1:3" ht="17.25">
      <c r="A79" s="49" t="s">
        <v>98</v>
      </c>
      <c r="B79" s="27" t="s">
        <v>99</v>
      </c>
      <c r="C79" s="29">
        <f>[12]С2!F29</f>
        <v>0.17804631770487722</v>
      </c>
    </row>
    <row r="80" spans="1:3" ht="30">
      <c r="A80" s="49" t="s">
        <v>100</v>
      </c>
      <c r="B80" s="43" t="s">
        <v>101</v>
      </c>
      <c r="C80" s="60">
        <f>[12]С2!F30</f>
        <v>0.1652189781021898</v>
      </c>
    </row>
    <row r="81" spans="1:3" ht="17.25">
      <c r="A81" s="49" t="s">
        <v>102</v>
      </c>
      <c r="B81" s="61" t="s">
        <v>103</v>
      </c>
      <c r="C81" s="29">
        <f>[12]С2!F31</f>
        <v>0.13880000000000001</v>
      </c>
    </row>
    <row r="82" spans="1:3" s="53" customFormat="1" ht="18" thickBot="1">
      <c r="A82" s="62" t="s">
        <v>104</v>
      </c>
      <c r="B82" s="63" t="s">
        <v>105</v>
      </c>
      <c r="C82" s="64">
        <f>[12]С2!F32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[12]С3!F14</f>
        <v>14780.674721363519</v>
      </c>
    </row>
    <row r="86" spans="1:3" s="53" customFormat="1" ht="42.75">
      <c r="A86" s="67" t="s">
        <v>110</v>
      </c>
      <c r="B86" s="43" t="s">
        <v>111</v>
      </c>
      <c r="C86" s="68">
        <f>[12]С3!F15</f>
        <v>0.25</v>
      </c>
    </row>
    <row r="87" spans="1:3" s="53" customFormat="1" ht="14.25">
      <c r="A87" s="67" t="s">
        <v>112</v>
      </c>
      <c r="B87" s="69" t="s">
        <v>113</v>
      </c>
      <c r="C87" s="52">
        <f>[12]С3!F18</f>
        <v>15</v>
      </c>
    </row>
    <row r="88" spans="1:3" s="53" customFormat="1" ht="17.25">
      <c r="A88" s="67" t="s">
        <v>114</v>
      </c>
      <c r="B88" s="27" t="s">
        <v>115</v>
      </c>
      <c r="C88" s="28">
        <f>[12]С3!F19</f>
        <v>4187.478806422544</v>
      </c>
    </row>
    <row r="89" spans="1:3" s="53" customFormat="1" ht="55.5">
      <c r="A89" s="67" t="s">
        <v>116</v>
      </c>
      <c r="B89" s="43" t="s">
        <v>117</v>
      </c>
      <c r="C89" s="70">
        <f>[12]С3!F20</f>
        <v>2.1999999999999999E-2</v>
      </c>
    </row>
    <row r="90" spans="1:3" s="53" customFormat="1" ht="14.25">
      <c r="A90" s="67" t="s">
        <v>118</v>
      </c>
      <c r="B90" s="48" t="s">
        <v>68</v>
      </c>
      <c r="C90" s="52">
        <f>[12]С3!F21</f>
        <v>10</v>
      </c>
    </row>
    <row r="91" spans="1:3" s="53" customFormat="1" ht="17.25">
      <c r="A91" s="67" t="s">
        <v>119</v>
      </c>
      <c r="B91" s="27" t="s">
        <v>120</v>
      </c>
      <c r="C91" s="28">
        <f>[12]С3!F22</f>
        <v>3.8889327533838998</v>
      </c>
    </row>
    <row r="92" spans="1:3" s="53" customFormat="1" ht="55.5">
      <c r="A92" s="67" t="s">
        <v>121</v>
      </c>
      <c r="B92" s="43" t="s">
        <v>122</v>
      </c>
      <c r="C92" s="70">
        <f>[12]С3!F23</f>
        <v>3.0000000000000001E-3</v>
      </c>
    </row>
    <row r="93" spans="1:3" s="53" customFormat="1" ht="27.75" thickBot="1">
      <c r="A93" s="71" t="s">
        <v>123</v>
      </c>
      <c r="B93" s="72" t="s">
        <v>241</v>
      </c>
      <c r="C93" s="73">
        <f>[12]С3!F24</f>
        <v>1296.3109177946333</v>
      </c>
    </row>
    <row r="94" spans="1:3" ht="13.5" thickBot="1">
      <c r="A94" s="39"/>
      <c r="B94" s="65"/>
      <c r="C94" s="13"/>
    </row>
    <row r="95" spans="1:3" ht="30" customHeight="1">
      <c r="A95" s="74" t="s">
        <v>124</v>
      </c>
      <c r="B95" s="141" t="s">
        <v>125</v>
      </c>
      <c r="C95" s="141"/>
    </row>
    <row r="96" spans="1:3" ht="30">
      <c r="A96" s="49" t="s">
        <v>126</v>
      </c>
      <c r="B96" s="27" t="s">
        <v>242</v>
      </c>
      <c r="C96" s="28">
        <f>[12]С4!F16</f>
        <v>1652.5</v>
      </c>
    </row>
    <row r="97" spans="1:3" ht="30">
      <c r="A97" s="49" t="s">
        <v>127</v>
      </c>
      <c r="B97" s="48" t="s">
        <v>243</v>
      </c>
      <c r="C97" s="28">
        <f>[12]С4!F17</f>
        <v>73547</v>
      </c>
    </row>
    <row r="98" spans="1:3" ht="17.25">
      <c r="A98" s="49" t="s">
        <v>128</v>
      </c>
      <c r="B98" s="48" t="s">
        <v>129</v>
      </c>
      <c r="C98" s="33">
        <f>[12]С4!F18</f>
        <v>0.02</v>
      </c>
    </row>
    <row r="99" spans="1:3" ht="30">
      <c r="A99" s="49" t="s">
        <v>130</v>
      </c>
      <c r="B99" s="48" t="s">
        <v>131</v>
      </c>
      <c r="C99" s="28">
        <f>[12]С4!F19</f>
        <v>12104</v>
      </c>
    </row>
    <row r="100" spans="1:3" ht="31.5">
      <c r="A100" s="49" t="s">
        <v>132</v>
      </c>
      <c r="B100" s="48" t="s">
        <v>133</v>
      </c>
      <c r="C100" s="33">
        <f>[12]С4!F20</f>
        <v>1.4999999999999999E-2</v>
      </c>
    </row>
    <row r="101" spans="1:3" ht="30">
      <c r="A101" s="49" t="s">
        <v>134</v>
      </c>
      <c r="B101" s="27" t="s">
        <v>244</v>
      </c>
      <c r="C101" s="28">
        <f>[12]С4!F21</f>
        <v>1933.1949342509995</v>
      </c>
    </row>
    <row r="102" spans="1:3" ht="24" customHeight="1">
      <c r="A102" s="49" t="s">
        <v>135</v>
      </c>
      <c r="B102" s="43" t="s">
        <v>136</v>
      </c>
      <c r="C102" s="75">
        <f>IF([12]С4.2!F8="да",[12]С4.2!D21,[12]С4.2!D15)</f>
        <v>0</v>
      </c>
    </row>
    <row r="103" spans="1:3" ht="68.25">
      <c r="A103" s="49" t="s">
        <v>137</v>
      </c>
      <c r="B103" s="43" t="s">
        <v>138</v>
      </c>
      <c r="C103" s="28">
        <f>[12]С4!F22</f>
        <v>3.6112641666666665</v>
      </c>
    </row>
    <row r="104" spans="1:3" ht="30">
      <c r="A104" s="49" t="s">
        <v>139</v>
      </c>
      <c r="B104" s="48" t="s">
        <v>245</v>
      </c>
      <c r="C104" s="28">
        <f>[12]С4!F23</f>
        <v>180</v>
      </c>
    </row>
    <row r="105" spans="1:3" ht="14.25">
      <c r="A105" s="49" t="s">
        <v>140</v>
      </c>
      <c r="B105" s="43" t="s">
        <v>141</v>
      </c>
      <c r="C105" s="28">
        <f>[12]С4!F24</f>
        <v>8497.1999999999989</v>
      </c>
    </row>
    <row r="106" spans="1:3" ht="14.25">
      <c r="A106" s="49" t="s">
        <v>142</v>
      </c>
      <c r="B106" s="48" t="s">
        <v>143</v>
      </c>
      <c r="C106" s="33">
        <f>[12]С4!F25</f>
        <v>0.35</v>
      </c>
    </row>
    <row r="107" spans="1:3" ht="17.25">
      <c r="A107" s="49" t="s">
        <v>144</v>
      </c>
      <c r="B107" s="27" t="s">
        <v>145</v>
      </c>
      <c r="C107" s="28">
        <f>[12]С4!F26</f>
        <v>51.693179999999998</v>
      </c>
    </row>
    <row r="108" spans="1:3" ht="25.5">
      <c r="A108" s="49" t="s">
        <v>146</v>
      </c>
      <c r="B108" s="43" t="s">
        <v>78</v>
      </c>
      <c r="C108" s="75">
        <f>[12]С4.3!E16</f>
        <v>0</v>
      </c>
    </row>
    <row r="109" spans="1:3" ht="25.5">
      <c r="A109" s="49" t="s">
        <v>147</v>
      </c>
      <c r="B109" s="43" t="s">
        <v>148</v>
      </c>
      <c r="C109" s="28">
        <f>[12]С4.3!E17</f>
        <v>14.74</v>
      </c>
    </row>
    <row r="110" spans="1:3" ht="38.25">
      <c r="A110" s="49" t="s">
        <v>149</v>
      </c>
      <c r="B110" s="43" t="s">
        <v>90</v>
      </c>
      <c r="C110" s="75">
        <f>[12]С4.3!E18</f>
        <v>0</v>
      </c>
    </row>
    <row r="111" spans="1:3">
      <c r="A111" s="49" t="s">
        <v>150</v>
      </c>
      <c r="B111" s="43" t="s">
        <v>151</v>
      </c>
      <c r="C111" s="28">
        <f>[12]С4.3!E19</f>
        <v>0</v>
      </c>
    </row>
    <row r="112" spans="1:3">
      <c r="A112" s="49" t="s">
        <v>152</v>
      </c>
      <c r="B112" s="48" t="s">
        <v>153</v>
      </c>
      <c r="C112" s="28">
        <f>[12]С4.3!E11</f>
        <v>1871</v>
      </c>
    </row>
    <row r="113" spans="1:3">
      <c r="A113" s="49" t="s">
        <v>154</v>
      </c>
      <c r="B113" s="48" t="s">
        <v>155</v>
      </c>
      <c r="C113" s="42">
        <f>[12]С4.3!E12</f>
        <v>1636</v>
      </c>
    </row>
    <row r="114" spans="1:3">
      <c r="A114" s="49" t="s">
        <v>156</v>
      </c>
      <c r="B114" s="48" t="s">
        <v>157</v>
      </c>
      <c r="C114" s="42">
        <f>[12]С4.3!E13</f>
        <v>204</v>
      </c>
    </row>
    <row r="115" spans="1:3" ht="30">
      <c r="A115" s="49" t="s">
        <v>158</v>
      </c>
      <c r="B115" s="27" t="s">
        <v>246</v>
      </c>
      <c r="C115" s="28">
        <f>[12]С4!F27</f>
        <v>1291.2863994686898</v>
      </c>
    </row>
    <row r="116" spans="1:3" ht="25.5">
      <c r="A116" s="49" t="s">
        <v>159</v>
      </c>
      <c r="B116" s="43" t="s">
        <v>247</v>
      </c>
      <c r="C116" s="28">
        <f>[12]С4!F28</f>
        <v>991.77142816335618</v>
      </c>
    </row>
    <row r="117" spans="1:3" ht="42.75">
      <c r="A117" s="49" t="s">
        <v>160</v>
      </c>
      <c r="B117" s="43" t="s">
        <v>161</v>
      </c>
      <c r="C117" s="28">
        <f>[12]С4!F29</f>
        <v>299.51497130533357</v>
      </c>
    </row>
    <row r="118" spans="1:3" ht="30">
      <c r="A118" s="49" t="s">
        <v>162</v>
      </c>
      <c r="B118" s="32" t="s">
        <v>163</v>
      </c>
      <c r="C118" s="28">
        <f>[12]С4!F30</f>
        <v>2768.5738286397891</v>
      </c>
    </row>
    <row r="119" spans="1:3" ht="42.75">
      <c r="A119" s="49" t="s">
        <v>248</v>
      </c>
      <c r="B119" s="76" t="s">
        <v>249</v>
      </c>
      <c r="C119" s="28">
        <f>[12]С4!F33</f>
        <v>1571.3654593589354</v>
      </c>
    </row>
    <row r="120" spans="1:3" ht="30">
      <c r="A120" s="49" t="s">
        <v>250</v>
      </c>
      <c r="B120" s="121" t="s">
        <v>251</v>
      </c>
      <c r="C120" s="28">
        <f>[12]С4!F35</f>
        <v>17.040680999999999</v>
      </c>
    </row>
    <row r="121" spans="1:3" ht="14.25">
      <c r="A121" s="49" t="s">
        <v>252</v>
      </c>
      <c r="B121" s="46" t="s">
        <v>253</v>
      </c>
      <c r="C121" s="28">
        <f>[12]С4!F36</f>
        <v>14319.9</v>
      </c>
    </row>
    <row r="122" spans="1:3" ht="28.5" thickBot="1">
      <c r="A122" s="62" t="s">
        <v>254</v>
      </c>
      <c r="B122" s="122" t="s">
        <v>255</v>
      </c>
      <c r="C122" s="73">
        <f>[12]С4!F37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[12]С5!F17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[12]С2!F37</f>
        <v>20.818139999999996</v>
      </c>
    </row>
    <row r="136" spans="1:3" ht="14.25">
      <c r="A136" s="49" t="s">
        <v>183</v>
      </c>
      <c r="B136" s="128" t="s">
        <v>184</v>
      </c>
      <c r="C136" s="28">
        <f>[12]С2!F38</f>
        <v>7</v>
      </c>
    </row>
    <row r="137" spans="1:3" ht="17.25">
      <c r="A137" s="49" t="s">
        <v>185</v>
      </c>
      <c r="B137" s="128" t="s">
        <v>186</v>
      </c>
      <c r="C137" s="28">
        <f>[12]С2!F40</f>
        <v>0.97</v>
      </c>
    </row>
    <row r="138" spans="1:3" ht="15" thickBot="1">
      <c r="A138" s="62" t="s">
        <v>187</v>
      </c>
      <c r="B138" s="129" t="s">
        <v>188</v>
      </c>
      <c r="C138" s="38">
        <f>[12]С2!F42</f>
        <v>0.35</v>
      </c>
    </row>
    <row r="139" spans="1:3" s="77" customFormat="1" ht="13.5" thickBot="1">
      <c r="A139" s="39"/>
      <c r="B139" s="65"/>
      <c r="C139" s="13"/>
    </row>
    <row r="140" spans="1:3" ht="30">
      <c r="A140" s="74" t="s">
        <v>189</v>
      </c>
      <c r="B140" s="84" t="s">
        <v>258</v>
      </c>
      <c r="C140" s="130">
        <f>[12]С2!F35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[12]С2.5!$E$11</f>
        <v>-2.9000000000000026E-2</v>
      </c>
    </row>
    <row r="144" spans="1:3">
      <c r="A144" s="85"/>
      <c r="B144" s="86">
        <f>B143+1</f>
        <v>2021</v>
      </c>
      <c r="C144" s="135">
        <f>[12]С2.5!$F$11</f>
        <v>0.245</v>
      </c>
    </row>
    <row r="145" spans="1:3">
      <c r="A145" s="85"/>
      <c r="B145" s="86">
        <f t="shared" ref="B145:B208" si="0">B144+1</f>
        <v>2022</v>
      </c>
      <c r="C145" s="135">
        <f>[12]С2.5!$G$11</f>
        <v>0.114</v>
      </c>
    </row>
    <row r="146" spans="1:3" ht="13.5" thickBot="1">
      <c r="A146" s="85"/>
      <c r="B146" s="87">
        <f t="shared" si="0"/>
        <v>2023</v>
      </c>
      <c r="C146" s="136">
        <f>[12]С2.5!$H$11</f>
        <v>0.04</v>
      </c>
    </row>
    <row r="147" spans="1:3">
      <c r="A147" s="85"/>
      <c r="B147" s="137">
        <f t="shared" si="0"/>
        <v>2024</v>
      </c>
      <c r="C147" s="138">
        <f>[12]С2.5!$I$11</f>
        <v>0.11700000000000001</v>
      </c>
    </row>
    <row r="148" spans="1:3">
      <c r="A148" s="85"/>
      <c r="B148" s="86">
        <f t="shared" si="0"/>
        <v>2025</v>
      </c>
      <c r="C148" s="135">
        <f>[12]С2.5!$J$11</f>
        <v>6.0999999999999999E-2</v>
      </c>
    </row>
    <row r="149" spans="1:3" hidden="1">
      <c r="A149" s="85"/>
      <c r="B149" s="86">
        <f t="shared" si="0"/>
        <v>2026</v>
      </c>
      <c r="C149" s="135">
        <f>[12]С2.5!$K$11</f>
        <v>3.5813361771260002E-2</v>
      </c>
    </row>
    <row r="150" spans="1:3" hidden="1">
      <c r="A150" s="85"/>
      <c r="B150" s="86">
        <f t="shared" si="0"/>
        <v>2027</v>
      </c>
      <c r="C150" s="135">
        <f>[12]С2.5!$L$11</f>
        <v>3.2682303599220003E-2</v>
      </c>
    </row>
    <row r="151" spans="1:3" hidden="1">
      <c r="A151" s="85"/>
      <c r="B151" s="86">
        <f t="shared" si="0"/>
        <v>2028</v>
      </c>
      <c r="C151" s="135">
        <f>[12]С2.5!$M$11</f>
        <v>0</v>
      </c>
    </row>
    <row r="152" spans="1:3" hidden="1">
      <c r="A152" s="85"/>
      <c r="B152" s="86">
        <f t="shared" si="0"/>
        <v>2029</v>
      </c>
      <c r="C152" s="135">
        <f>[12]С2.5!$N$11</f>
        <v>0</v>
      </c>
    </row>
    <row r="153" spans="1:3" hidden="1">
      <c r="A153" s="85"/>
      <c r="B153" s="86">
        <f t="shared" si="0"/>
        <v>2030</v>
      </c>
      <c r="C153" s="135">
        <f>[12]С2.5!$O$11</f>
        <v>0</v>
      </c>
    </row>
    <row r="154" spans="1:3" hidden="1">
      <c r="A154" s="85"/>
      <c r="B154" s="86">
        <f t="shared" si="0"/>
        <v>2031</v>
      </c>
      <c r="C154" s="135">
        <f>[12]С2.5!$P$11</f>
        <v>0</v>
      </c>
    </row>
    <row r="155" spans="1:3" hidden="1">
      <c r="A155" s="77"/>
      <c r="B155" s="86">
        <f t="shared" si="0"/>
        <v>2032</v>
      </c>
      <c r="C155" s="135">
        <f>[12]С2.5!$Q$11</f>
        <v>0</v>
      </c>
    </row>
    <row r="156" spans="1:3" hidden="1">
      <c r="A156" s="77"/>
      <c r="B156" s="86">
        <f t="shared" si="0"/>
        <v>2033</v>
      </c>
      <c r="C156" s="135">
        <f>[12]С2.5!$R$11</f>
        <v>0</v>
      </c>
    </row>
    <row r="157" spans="1:3" hidden="1">
      <c r="B157" s="86">
        <f t="shared" si="0"/>
        <v>2034</v>
      </c>
      <c r="C157" s="135">
        <f>[12]С2.5!$S$11</f>
        <v>0</v>
      </c>
    </row>
    <row r="158" spans="1:3" hidden="1">
      <c r="B158" s="86">
        <f t="shared" si="0"/>
        <v>2035</v>
      </c>
      <c r="C158" s="135">
        <f>[12]С2.5!$T$11</f>
        <v>0</v>
      </c>
    </row>
    <row r="159" spans="1:3" hidden="1">
      <c r="B159" s="86">
        <f t="shared" si="0"/>
        <v>2036</v>
      </c>
      <c r="C159" s="135">
        <f>[12]С2.5!$U$11</f>
        <v>0</v>
      </c>
    </row>
    <row r="160" spans="1:3" hidden="1">
      <c r="B160" s="86">
        <f t="shared" si="0"/>
        <v>2037</v>
      </c>
      <c r="C160" s="135">
        <f>[12]С2.5!$V$11</f>
        <v>0</v>
      </c>
    </row>
    <row r="161" spans="2:3" hidden="1">
      <c r="B161" s="86">
        <f t="shared" si="0"/>
        <v>2038</v>
      </c>
      <c r="C161" s="135">
        <f>[12]С2.5!$W$11</f>
        <v>0</v>
      </c>
    </row>
    <row r="162" spans="2:3" hidden="1">
      <c r="B162" s="86">
        <f t="shared" si="0"/>
        <v>2039</v>
      </c>
      <c r="C162" s="135">
        <f>[12]С2.5!$X$11</f>
        <v>0</v>
      </c>
    </row>
    <row r="163" spans="2:3" hidden="1">
      <c r="B163" s="86">
        <f t="shared" si="0"/>
        <v>2040</v>
      </c>
      <c r="C163" s="135">
        <f>[12]С2.5!$Y$11</f>
        <v>0</v>
      </c>
    </row>
    <row r="164" spans="2:3" hidden="1">
      <c r="B164" s="86">
        <f t="shared" si="0"/>
        <v>2041</v>
      </c>
      <c r="C164" s="135">
        <f>[12]С2.5!$Z$11</f>
        <v>0</v>
      </c>
    </row>
    <row r="165" spans="2:3" hidden="1">
      <c r="B165" s="86">
        <f t="shared" si="0"/>
        <v>2042</v>
      </c>
      <c r="C165" s="135">
        <f>[12]С2.5!$AA$11</f>
        <v>0</v>
      </c>
    </row>
    <row r="166" spans="2:3" hidden="1">
      <c r="B166" s="86">
        <f t="shared" si="0"/>
        <v>2043</v>
      </c>
      <c r="C166" s="135">
        <f>[12]С2.5!$AB$11</f>
        <v>0</v>
      </c>
    </row>
    <row r="167" spans="2:3" hidden="1">
      <c r="B167" s="86">
        <f t="shared" si="0"/>
        <v>2044</v>
      </c>
      <c r="C167" s="135">
        <f>[12]С2.5!$AC$11</f>
        <v>0</v>
      </c>
    </row>
    <row r="168" spans="2:3" hidden="1">
      <c r="B168" s="86">
        <f t="shared" si="0"/>
        <v>2045</v>
      </c>
      <c r="C168" s="135">
        <f>[12]С2.5!$AD$11</f>
        <v>0</v>
      </c>
    </row>
    <row r="169" spans="2:3" hidden="1">
      <c r="B169" s="86">
        <f t="shared" si="0"/>
        <v>2046</v>
      </c>
      <c r="C169" s="135">
        <f>[12]С2.5!$AE$11</f>
        <v>0</v>
      </c>
    </row>
    <row r="170" spans="2:3" hidden="1">
      <c r="B170" s="86">
        <f t="shared" si="0"/>
        <v>2047</v>
      </c>
      <c r="C170" s="135">
        <f>[12]С2.5!$AF$11</f>
        <v>0</v>
      </c>
    </row>
    <row r="171" spans="2:3" hidden="1">
      <c r="B171" s="86">
        <f t="shared" si="0"/>
        <v>2048</v>
      </c>
      <c r="C171" s="135">
        <f>[12]С2.5!$AG$11</f>
        <v>0</v>
      </c>
    </row>
    <row r="172" spans="2:3" hidden="1">
      <c r="B172" s="86">
        <f t="shared" si="0"/>
        <v>2049</v>
      </c>
      <c r="C172" s="135">
        <f>[12]С2.5!$AH$11</f>
        <v>0</v>
      </c>
    </row>
    <row r="173" spans="2:3" hidden="1">
      <c r="B173" s="86">
        <f t="shared" si="0"/>
        <v>2050</v>
      </c>
      <c r="C173" s="135">
        <f>[12]С2.5!$AI$11</f>
        <v>0</v>
      </c>
    </row>
    <row r="174" spans="2:3" hidden="1">
      <c r="B174" s="86">
        <f t="shared" si="0"/>
        <v>2051</v>
      </c>
      <c r="C174" s="135">
        <f>[12]С2.5!$AJ$11</f>
        <v>0</v>
      </c>
    </row>
    <row r="175" spans="2:3" hidden="1">
      <c r="B175" s="86">
        <f t="shared" si="0"/>
        <v>2052</v>
      </c>
      <c r="C175" s="135">
        <f>[12]С2.5!$AK$11</f>
        <v>0</v>
      </c>
    </row>
    <row r="176" spans="2:3" hidden="1">
      <c r="B176" s="86">
        <f t="shared" si="0"/>
        <v>2053</v>
      </c>
      <c r="C176" s="135">
        <f>[12]С2.5!$AL$11</f>
        <v>0</v>
      </c>
    </row>
    <row r="177" spans="2:3" hidden="1">
      <c r="B177" s="86">
        <f t="shared" si="0"/>
        <v>2054</v>
      </c>
      <c r="C177" s="135">
        <f>[12]С2.5!$AM$11</f>
        <v>0</v>
      </c>
    </row>
    <row r="178" spans="2:3" hidden="1">
      <c r="B178" s="86">
        <f t="shared" si="0"/>
        <v>2055</v>
      </c>
      <c r="C178" s="135">
        <f>[12]С2.5!$AN$11</f>
        <v>0</v>
      </c>
    </row>
    <row r="179" spans="2:3" hidden="1">
      <c r="B179" s="86">
        <f t="shared" si="0"/>
        <v>2056</v>
      </c>
      <c r="C179" s="135">
        <f>[12]С2.5!$AO$11</f>
        <v>0</v>
      </c>
    </row>
    <row r="180" spans="2:3" hidden="1">
      <c r="B180" s="86">
        <f t="shared" si="0"/>
        <v>2057</v>
      </c>
      <c r="C180" s="135">
        <f>[12]С2.5!$AP$11</f>
        <v>0</v>
      </c>
    </row>
    <row r="181" spans="2:3" hidden="1">
      <c r="B181" s="86">
        <f t="shared" si="0"/>
        <v>2058</v>
      </c>
      <c r="C181" s="135">
        <f>[12]С2.5!$AQ$11</f>
        <v>0</v>
      </c>
    </row>
    <row r="182" spans="2:3" hidden="1">
      <c r="B182" s="86">
        <f t="shared" si="0"/>
        <v>2059</v>
      </c>
      <c r="C182" s="135">
        <f>[12]С2.5!$AR$11</f>
        <v>0</v>
      </c>
    </row>
    <row r="183" spans="2:3" hidden="1">
      <c r="B183" s="86">
        <f t="shared" si="0"/>
        <v>2060</v>
      </c>
      <c r="C183" s="135">
        <f>[12]С2.5!$AS$11</f>
        <v>0</v>
      </c>
    </row>
    <row r="184" spans="2:3" hidden="1">
      <c r="B184" s="86">
        <f t="shared" si="0"/>
        <v>2061</v>
      </c>
      <c r="C184" s="135">
        <f>[12]С2.5!$AT$11</f>
        <v>0</v>
      </c>
    </row>
    <row r="185" spans="2:3" hidden="1">
      <c r="B185" s="86">
        <f t="shared" si="0"/>
        <v>2062</v>
      </c>
      <c r="C185" s="135">
        <f>[12]С2.5!$AU$11</f>
        <v>0</v>
      </c>
    </row>
    <row r="186" spans="2:3" hidden="1">
      <c r="B186" s="86">
        <f t="shared" si="0"/>
        <v>2063</v>
      </c>
      <c r="C186" s="135">
        <f>[12]С2.5!$AV$11</f>
        <v>0</v>
      </c>
    </row>
    <row r="187" spans="2:3" hidden="1">
      <c r="B187" s="86">
        <f t="shared" si="0"/>
        <v>2064</v>
      </c>
      <c r="C187" s="135">
        <f>[12]С2.5!$AW$11</f>
        <v>0</v>
      </c>
    </row>
    <row r="188" spans="2:3" hidden="1">
      <c r="B188" s="86">
        <f t="shared" si="0"/>
        <v>2065</v>
      </c>
      <c r="C188" s="135">
        <f>[12]С2.5!$AX$11</f>
        <v>0</v>
      </c>
    </row>
    <row r="189" spans="2:3" hidden="1">
      <c r="B189" s="86">
        <f t="shared" si="0"/>
        <v>2066</v>
      </c>
      <c r="C189" s="135">
        <f>[12]С2.5!$AY$11</f>
        <v>0</v>
      </c>
    </row>
    <row r="190" spans="2:3" hidden="1">
      <c r="B190" s="86">
        <f t="shared" si="0"/>
        <v>2067</v>
      </c>
      <c r="C190" s="135">
        <f>[12]С2.5!$AZ$11</f>
        <v>0</v>
      </c>
    </row>
    <row r="191" spans="2:3" hidden="1">
      <c r="B191" s="86">
        <f t="shared" si="0"/>
        <v>2068</v>
      </c>
      <c r="C191" s="135">
        <f>[12]С2.5!$BA$11</f>
        <v>0</v>
      </c>
    </row>
    <row r="192" spans="2:3" hidden="1">
      <c r="B192" s="86">
        <f t="shared" si="0"/>
        <v>2069</v>
      </c>
      <c r="C192" s="135">
        <f>[12]С2.5!$BB$11</f>
        <v>0</v>
      </c>
    </row>
    <row r="193" spans="2:3" hidden="1">
      <c r="B193" s="86">
        <f t="shared" si="0"/>
        <v>2070</v>
      </c>
      <c r="C193" s="135">
        <f>[12]С2.5!$BC$11</f>
        <v>0</v>
      </c>
    </row>
    <row r="194" spans="2:3" hidden="1">
      <c r="B194" s="86">
        <f t="shared" si="0"/>
        <v>2071</v>
      </c>
      <c r="C194" s="135">
        <f>[12]С2.5!$BD$11</f>
        <v>0</v>
      </c>
    </row>
    <row r="195" spans="2:3" hidden="1">
      <c r="B195" s="86">
        <f t="shared" si="0"/>
        <v>2072</v>
      </c>
      <c r="C195" s="135">
        <f>[12]С2.5!$BE$11</f>
        <v>0</v>
      </c>
    </row>
    <row r="196" spans="2:3" hidden="1">
      <c r="B196" s="86">
        <f t="shared" si="0"/>
        <v>2073</v>
      </c>
      <c r="C196" s="135">
        <f>[12]С2.5!$BF$11</f>
        <v>0</v>
      </c>
    </row>
    <row r="197" spans="2:3" hidden="1">
      <c r="B197" s="86">
        <f t="shared" si="0"/>
        <v>2074</v>
      </c>
      <c r="C197" s="135">
        <f>[12]С2.5!$BG$11</f>
        <v>0</v>
      </c>
    </row>
    <row r="198" spans="2:3" hidden="1">
      <c r="B198" s="86">
        <f t="shared" si="0"/>
        <v>2075</v>
      </c>
      <c r="C198" s="135">
        <f>[12]С2.5!$BH$11</f>
        <v>0</v>
      </c>
    </row>
    <row r="199" spans="2:3" hidden="1">
      <c r="B199" s="86">
        <f t="shared" si="0"/>
        <v>2076</v>
      </c>
      <c r="C199" s="135">
        <f>[12]С2.5!$BI$11</f>
        <v>0</v>
      </c>
    </row>
    <row r="200" spans="2:3" hidden="1">
      <c r="B200" s="86">
        <f t="shared" si="0"/>
        <v>2077</v>
      </c>
      <c r="C200" s="135">
        <f>[12]С2.5!$BJ$11</f>
        <v>0</v>
      </c>
    </row>
    <row r="201" spans="2:3" hidden="1">
      <c r="B201" s="86">
        <f t="shared" si="0"/>
        <v>2078</v>
      </c>
      <c r="C201" s="135">
        <f>[12]С2.5!$BK$11</f>
        <v>0</v>
      </c>
    </row>
    <row r="202" spans="2:3" hidden="1">
      <c r="B202" s="86">
        <f t="shared" si="0"/>
        <v>2079</v>
      </c>
      <c r="C202" s="135">
        <f>[12]С2.5!$BL$11</f>
        <v>0</v>
      </c>
    </row>
    <row r="203" spans="2:3" hidden="1">
      <c r="B203" s="86">
        <f t="shared" si="0"/>
        <v>2080</v>
      </c>
      <c r="C203" s="135">
        <f>[12]С2.5!$BM$11</f>
        <v>0</v>
      </c>
    </row>
    <row r="204" spans="2:3" hidden="1">
      <c r="B204" s="86">
        <f t="shared" si="0"/>
        <v>2081</v>
      </c>
      <c r="C204" s="135">
        <f>[12]С2.5!$BN$11</f>
        <v>0</v>
      </c>
    </row>
    <row r="205" spans="2:3" hidden="1">
      <c r="B205" s="86">
        <f t="shared" si="0"/>
        <v>2082</v>
      </c>
      <c r="C205" s="135">
        <f>[12]С2.5!$BO$11</f>
        <v>0</v>
      </c>
    </row>
    <row r="206" spans="2:3" hidden="1">
      <c r="B206" s="86">
        <f t="shared" si="0"/>
        <v>2083</v>
      </c>
      <c r="C206" s="135">
        <f>[12]С2.5!$BP$11</f>
        <v>0</v>
      </c>
    </row>
    <row r="207" spans="2:3" hidden="1">
      <c r="B207" s="86">
        <f t="shared" si="0"/>
        <v>2084</v>
      </c>
      <c r="C207" s="135">
        <f>[12]С2.5!$BQ$11</f>
        <v>0</v>
      </c>
    </row>
    <row r="208" spans="2:3" hidden="1">
      <c r="B208" s="86">
        <f t="shared" si="0"/>
        <v>2085</v>
      </c>
      <c r="C208" s="135">
        <f>[12]С2.5!$BR$11</f>
        <v>0</v>
      </c>
    </row>
    <row r="209" spans="2:3" hidden="1">
      <c r="B209" s="86">
        <f t="shared" ref="B209:B223" si="1">B208+1</f>
        <v>2086</v>
      </c>
      <c r="C209" s="135">
        <f>[12]С2.5!$BS$11</f>
        <v>0</v>
      </c>
    </row>
    <row r="210" spans="2:3" hidden="1">
      <c r="B210" s="86">
        <f t="shared" si="1"/>
        <v>2087</v>
      </c>
      <c r="C210" s="135">
        <f>[12]С2.5!$BT$11</f>
        <v>0</v>
      </c>
    </row>
    <row r="211" spans="2:3" hidden="1">
      <c r="B211" s="86">
        <f t="shared" si="1"/>
        <v>2088</v>
      </c>
      <c r="C211" s="135">
        <f>[12]С2.5!$BU$11</f>
        <v>0</v>
      </c>
    </row>
    <row r="212" spans="2:3" hidden="1">
      <c r="B212" s="86">
        <f t="shared" si="1"/>
        <v>2089</v>
      </c>
      <c r="C212" s="135">
        <f>[12]С2.5!$BV$11</f>
        <v>0</v>
      </c>
    </row>
    <row r="213" spans="2:3" hidden="1">
      <c r="B213" s="86">
        <f t="shared" si="1"/>
        <v>2090</v>
      </c>
      <c r="C213" s="135">
        <f>[12]С2.5!$BW$11</f>
        <v>0</v>
      </c>
    </row>
    <row r="214" spans="2:3" hidden="1">
      <c r="B214" s="86">
        <f t="shared" si="1"/>
        <v>2091</v>
      </c>
      <c r="C214" s="135">
        <f>[12]С2.5!$BX$11</f>
        <v>0</v>
      </c>
    </row>
    <row r="215" spans="2:3" hidden="1">
      <c r="B215" s="86">
        <f t="shared" si="1"/>
        <v>2092</v>
      </c>
      <c r="C215" s="135">
        <f>[12]С2.5!$BY$11</f>
        <v>0</v>
      </c>
    </row>
    <row r="216" spans="2:3" hidden="1">
      <c r="B216" s="86">
        <f t="shared" si="1"/>
        <v>2093</v>
      </c>
      <c r="C216" s="135">
        <f>[12]С2.5!$BZ$11</f>
        <v>0</v>
      </c>
    </row>
    <row r="217" spans="2:3" hidden="1">
      <c r="B217" s="86">
        <f t="shared" si="1"/>
        <v>2094</v>
      </c>
      <c r="C217" s="135">
        <f>[12]С2.5!$CA$11</f>
        <v>0</v>
      </c>
    </row>
    <row r="218" spans="2:3" hidden="1">
      <c r="B218" s="86">
        <f t="shared" si="1"/>
        <v>2095</v>
      </c>
      <c r="C218" s="135">
        <f>[12]С2.5!$CB$11</f>
        <v>0</v>
      </c>
    </row>
    <row r="219" spans="2:3" hidden="1">
      <c r="B219" s="86">
        <f t="shared" si="1"/>
        <v>2096</v>
      </c>
      <c r="C219" s="135">
        <f>[12]С2.5!$CC$11</f>
        <v>0</v>
      </c>
    </row>
    <row r="220" spans="2:3" hidden="1">
      <c r="B220" s="86">
        <f t="shared" si="1"/>
        <v>2097</v>
      </c>
      <c r="C220" s="135">
        <f>[12]С2.5!$CD$11</f>
        <v>0</v>
      </c>
    </row>
    <row r="221" spans="2:3" hidden="1">
      <c r="B221" s="86">
        <f t="shared" si="1"/>
        <v>2098</v>
      </c>
      <c r="C221" s="135">
        <f>[12]С2.5!$CE$11</f>
        <v>0</v>
      </c>
    </row>
    <row r="222" spans="2:3" hidden="1">
      <c r="B222" s="86">
        <f t="shared" si="1"/>
        <v>2099</v>
      </c>
      <c r="C222" s="135">
        <f>[12]С2.5!$CF$11</f>
        <v>0</v>
      </c>
    </row>
    <row r="223" spans="2:3" ht="13.5" hidden="1" thickBot="1">
      <c r="B223" s="87">
        <f t="shared" si="1"/>
        <v>2100</v>
      </c>
      <c r="C223" s="136">
        <f>[12]С2.5!$CG$11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[13]И1!D13</f>
        <v>Субъект Российской Федерации</v>
      </c>
      <c r="C4" s="8" t="str">
        <f>[13]И1!E13</f>
        <v>Новосибирская область</v>
      </c>
    </row>
    <row r="5" spans="1:3" ht="46.9" customHeight="1">
      <c r="A5" s="6"/>
      <c r="B5" s="7" t="str">
        <f>[13]И1!D14</f>
        <v>Тип муниципального образования (выберите из списка)</v>
      </c>
      <c r="C5" s="8" t="str">
        <f>[13]И1!E14</f>
        <v>село Кундран, Убинский муниципальный район</v>
      </c>
    </row>
    <row r="6" spans="1:3">
      <c r="A6" s="6"/>
      <c r="B6" s="7" t="str">
        <f>IF([13]И1!E15="","",[13]И1!D15)</f>
        <v/>
      </c>
      <c r="C6" s="8" t="str">
        <f>IF([13]И1!E15="","",[13]И1!E15)</f>
        <v/>
      </c>
    </row>
    <row r="7" spans="1:3">
      <c r="A7" s="6"/>
      <c r="B7" s="7" t="str">
        <f>[13]И1!D16</f>
        <v>Код ОКТМО</v>
      </c>
      <c r="C7" s="9" t="str">
        <f>[13]И1!E16</f>
        <v>50654422101</v>
      </c>
    </row>
    <row r="8" spans="1:3">
      <c r="A8" s="6"/>
      <c r="B8" s="10" t="str">
        <f>[13]И1!D17</f>
        <v>Система теплоснабжения</v>
      </c>
      <c r="C8" s="11">
        <f>[13]И1!E17</f>
        <v>0</v>
      </c>
    </row>
    <row r="9" spans="1:3">
      <c r="A9" s="6"/>
      <c r="B9" s="7" t="str">
        <f>[13]И1!D8</f>
        <v>Период регулирования (i)-й</v>
      </c>
      <c r="C9" s="12">
        <f>[13]И1!E8</f>
        <v>2025</v>
      </c>
    </row>
    <row r="10" spans="1:3">
      <c r="A10" s="6"/>
      <c r="B10" s="7" t="str">
        <f>[13]И1!D9</f>
        <v>Период регулирования (i-1)-й</v>
      </c>
      <c r="C10" s="12">
        <f>[13]И1!E9</f>
        <v>2024</v>
      </c>
    </row>
    <row r="11" spans="1:3">
      <c r="A11" s="6"/>
      <c r="B11" s="7" t="str">
        <f>[13]И1!D10</f>
        <v>Период регулирования (i-2)-й</v>
      </c>
      <c r="C11" s="12">
        <f>[13]И1!E10</f>
        <v>2023</v>
      </c>
    </row>
    <row r="12" spans="1:3">
      <c r="A12" s="6"/>
      <c r="B12" s="7" t="str">
        <f>[13]И1!D11</f>
        <v>Базовый год (б)</v>
      </c>
      <c r="C12" s="12">
        <f>[13]И1!E11</f>
        <v>2019</v>
      </c>
    </row>
    <row r="13" spans="1:3" ht="38.25">
      <c r="A13" s="6"/>
      <c r="B13" s="7" t="str">
        <f>[13]И1!D18</f>
        <v>Вид топлива, использование которого преобладает в системе теплоснабжения</v>
      </c>
      <c r="C13" s="13" t="str">
        <f>[13]С1.1!E13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5659.8216753440902</v>
      </c>
    </row>
    <row r="18" spans="1:3" ht="42.75">
      <c r="A18" s="16" t="s">
        <v>7</v>
      </c>
      <c r="B18" s="19" t="s">
        <v>8</v>
      </c>
      <c r="C18" s="20">
        <f>[13]С1!F12</f>
        <v>1066.6005556136108</v>
      </c>
    </row>
    <row r="19" spans="1:3" ht="42.75">
      <c r="A19" s="16" t="s">
        <v>9</v>
      </c>
      <c r="B19" s="19" t="s">
        <v>10</v>
      </c>
      <c r="C19" s="20">
        <f>[13]С2!F12</f>
        <v>3044.269023973251</v>
      </c>
    </row>
    <row r="20" spans="1:3" ht="30">
      <c r="A20" s="16" t="s">
        <v>11</v>
      </c>
      <c r="B20" s="19" t="s">
        <v>12</v>
      </c>
      <c r="C20" s="20">
        <f>[13]С3!F12</f>
        <v>911.32264748625244</v>
      </c>
    </row>
    <row r="21" spans="1:3" ht="42.75">
      <c r="A21" s="16" t="s">
        <v>13</v>
      </c>
      <c r="B21" s="19" t="s">
        <v>226</v>
      </c>
      <c r="C21" s="20">
        <f>[13]С4!F12</f>
        <v>526.65255267599412</v>
      </c>
    </row>
    <row r="22" spans="1:3" ht="30">
      <c r="A22" s="16" t="s">
        <v>14</v>
      </c>
      <c r="B22" s="19" t="s">
        <v>227</v>
      </c>
      <c r="C22" s="20">
        <f>[13]С5!F12</f>
        <v>110.97689559498217</v>
      </c>
    </row>
    <row r="23" spans="1:3" ht="43.5" thickBot="1">
      <c r="A23" s="21" t="s">
        <v>15</v>
      </c>
      <c r="B23" s="140" t="s">
        <v>228</v>
      </c>
      <c r="C23" s="22" t="str">
        <f>[13]С6!F12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[13]С1.1!E16</f>
        <v>5100</v>
      </c>
    </row>
    <row r="29" spans="1:3" ht="42.75">
      <c r="A29" s="16" t="s">
        <v>9</v>
      </c>
      <c r="B29" s="27" t="s">
        <v>230</v>
      </c>
      <c r="C29" s="28">
        <f>[13]С1.1!E27</f>
        <v>3847.5</v>
      </c>
    </row>
    <row r="30" spans="1:3" ht="17.25">
      <c r="A30" s="16" t="s">
        <v>11</v>
      </c>
      <c r="B30" s="27" t="s">
        <v>17</v>
      </c>
      <c r="C30" s="29">
        <f>[13]С1.1!E19</f>
        <v>1.4E-2</v>
      </c>
    </row>
    <row r="31" spans="1:3" ht="17.25">
      <c r="A31" s="16" t="s">
        <v>13</v>
      </c>
      <c r="B31" s="27" t="s">
        <v>18</v>
      </c>
      <c r="C31" s="29">
        <f>[13]С1.1!E20</f>
        <v>0.04</v>
      </c>
    </row>
    <row r="32" spans="1:3" ht="30">
      <c r="A32" s="16" t="s">
        <v>14</v>
      </c>
      <c r="B32" s="30" t="s">
        <v>231</v>
      </c>
      <c r="C32" s="117">
        <f>[13]С1!F13</f>
        <v>176.4</v>
      </c>
    </row>
    <row r="33" spans="1:3">
      <c r="A33" s="16" t="s">
        <v>15</v>
      </c>
      <c r="B33" s="30" t="s">
        <v>19</v>
      </c>
      <c r="C33" s="31">
        <f>[13]С1!F16</f>
        <v>7000</v>
      </c>
    </row>
    <row r="34" spans="1:3" ht="14.25">
      <c r="A34" s="16" t="s">
        <v>20</v>
      </c>
      <c r="B34" s="32" t="s">
        <v>232</v>
      </c>
      <c r="C34" s="33">
        <f>[13]С1!F17</f>
        <v>0.72857142857142854</v>
      </c>
    </row>
    <row r="35" spans="1:3" ht="15.75">
      <c r="A35" s="118" t="s">
        <v>21</v>
      </c>
      <c r="B35" s="34" t="s">
        <v>22</v>
      </c>
      <c r="C35" s="33">
        <f>[13]С1!F20</f>
        <v>21.588411179999994</v>
      </c>
    </row>
    <row r="36" spans="1:3" ht="15.75">
      <c r="A36" s="118" t="s">
        <v>23</v>
      </c>
      <c r="B36" s="35" t="s">
        <v>24</v>
      </c>
      <c r="C36" s="33">
        <f>[13]С1!F21</f>
        <v>20.818139999999996</v>
      </c>
    </row>
    <row r="37" spans="1:3" ht="14.25">
      <c r="A37" s="118" t="s">
        <v>25</v>
      </c>
      <c r="B37" s="36" t="s">
        <v>26</v>
      </c>
      <c r="C37" s="33">
        <f>[13]С1!F22</f>
        <v>1.0369999999999999</v>
      </c>
    </row>
    <row r="38" spans="1:3" ht="53.25" thickBot="1">
      <c r="A38" s="21" t="s">
        <v>27</v>
      </c>
      <c r="B38" s="37" t="s">
        <v>28</v>
      </c>
      <c r="C38" s="38">
        <f>[13]С1!F23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[13]С2.1!E12</f>
        <v>V</v>
      </c>
    </row>
    <row r="42" spans="1:3" ht="25.5">
      <c r="A42" s="16" t="s">
        <v>33</v>
      </c>
      <c r="B42" s="27" t="s">
        <v>34</v>
      </c>
      <c r="C42" s="41" t="str">
        <f>[13]С2.1!E13</f>
        <v>6 и менее баллов</v>
      </c>
    </row>
    <row r="43" spans="1:3" ht="25.5">
      <c r="A43" s="16" t="s">
        <v>35</v>
      </c>
      <c r="B43" s="27" t="s">
        <v>233</v>
      </c>
      <c r="C43" s="41" t="str">
        <f>[13]С2.1!E14</f>
        <v>от 200 до 500</v>
      </c>
    </row>
    <row r="44" spans="1:3" ht="25.5">
      <c r="A44" s="16" t="s">
        <v>36</v>
      </c>
      <c r="B44" s="27" t="s">
        <v>234</v>
      </c>
      <c r="C44" s="42" t="str">
        <f>[13]С2.1!E15</f>
        <v>нет</v>
      </c>
    </row>
    <row r="45" spans="1:3" ht="30">
      <c r="A45" s="16" t="s">
        <v>37</v>
      </c>
      <c r="B45" s="27" t="s">
        <v>38</v>
      </c>
      <c r="C45" s="28">
        <f>[13]С2!F18</f>
        <v>38910.02669467502</v>
      </c>
    </row>
    <row r="46" spans="1:3" ht="30">
      <c r="A46" s="16" t="s">
        <v>39</v>
      </c>
      <c r="B46" s="43" t="s">
        <v>40</v>
      </c>
      <c r="C46" s="28">
        <f>IF([13]С2!F19&gt;0,[13]С2!F19,[13]С2!F20)</f>
        <v>23441.524932855718</v>
      </c>
    </row>
    <row r="47" spans="1:3" ht="25.5">
      <c r="A47" s="16" t="s">
        <v>41</v>
      </c>
      <c r="B47" s="44" t="s">
        <v>42</v>
      </c>
      <c r="C47" s="28">
        <f>[13]С2.1!E19</f>
        <v>-38</v>
      </c>
    </row>
    <row r="48" spans="1:3" ht="25.5">
      <c r="A48" s="16" t="s">
        <v>43</v>
      </c>
      <c r="B48" s="44" t="s">
        <v>44</v>
      </c>
      <c r="C48" s="28" t="str">
        <f>[13]С2.1!E22</f>
        <v>нет</v>
      </c>
    </row>
    <row r="49" spans="1:3" ht="38.25">
      <c r="A49" s="16" t="s">
        <v>45</v>
      </c>
      <c r="B49" s="45" t="s">
        <v>46</v>
      </c>
      <c r="C49" s="28">
        <f>[13]С2.2!E10</f>
        <v>1287</v>
      </c>
    </row>
    <row r="50" spans="1:3" ht="25.5">
      <c r="A50" s="16" t="s">
        <v>47</v>
      </c>
      <c r="B50" s="46" t="s">
        <v>48</v>
      </c>
      <c r="C50" s="28">
        <f>[13]С2.2!E12</f>
        <v>5.97</v>
      </c>
    </row>
    <row r="51" spans="1:3" ht="52.5">
      <c r="A51" s="16" t="s">
        <v>49</v>
      </c>
      <c r="B51" s="47" t="s">
        <v>50</v>
      </c>
      <c r="C51" s="28">
        <f>[13]С2.2!E13</f>
        <v>1</v>
      </c>
    </row>
    <row r="52" spans="1:3" ht="27.75">
      <c r="A52" s="16" t="s">
        <v>51</v>
      </c>
      <c r="B52" s="46" t="s">
        <v>52</v>
      </c>
      <c r="C52" s="28">
        <f>[13]С2.2!E14</f>
        <v>12104</v>
      </c>
    </row>
    <row r="53" spans="1:3" ht="25.5">
      <c r="A53" s="16" t="s">
        <v>53</v>
      </c>
      <c r="B53" s="47" t="s">
        <v>54</v>
      </c>
      <c r="C53" s="29">
        <f>[13]С2.2!E15</f>
        <v>4.8000000000000001E-2</v>
      </c>
    </row>
    <row r="54" spans="1:3">
      <c r="A54" s="16" t="s">
        <v>55</v>
      </c>
      <c r="B54" s="47" t="s">
        <v>56</v>
      </c>
      <c r="C54" s="28">
        <f>[13]С2.2!E16</f>
        <v>1</v>
      </c>
    </row>
    <row r="55" spans="1:3" ht="15.75">
      <c r="A55" s="16" t="s">
        <v>57</v>
      </c>
      <c r="B55" s="48" t="s">
        <v>58</v>
      </c>
      <c r="C55" s="28">
        <f>[13]С2!F21</f>
        <v>1</v>
      </c>
    </row>
    <row r="56" spans="1:3" ht="30">
      <c r="A56" s="49" t="s">
        <v>59</v>
      </c>
      <c r="B56" s="27" t="s">
        <v>235</v>
      </c>
      <c r="C56" s="28">
        <f>[13]С2!F13</f>
        <v>203708.97017230222</v>
      </c>
    </row>
    <row r="57" spans="1:3" ht="30">
      <c r="A57" s="49" t="s">
        <v>60</v>
      </c>
      <c r="B57" s="48" t="s">
        <v>236</v>
      </c>
      <c r="C57" s="28">
        <f>[13]С2!F14</f>
        <v>113455</v>
      </c>
    </row>
    <row r="58" spans="1:3" ht="15.75">
      <c r="A58" s="49" t="s">
        <v>61</v>
      </c>
      <c r="B58" s="50" t="s">
        <v>62</v>
      </c>
      <c r="C58" s="33">
        <f>[13]С2!F15</f>
        <v>1.071</v>
      </c>
    </row>
    <row r="59" spans="1:3" ht="15.75">
      <c r="A59" s="49" t="s">
        <v>63</v>
      </c>
      <c r="B59" s="50" t="s">
        <v>64</v>
      </c>
      <c r="C59" s="33">
        <f>[13]С2!F16</f>
        <v>1</v>
      </c>
    </row>
    <row r="60" spans="1:3" ht="17.25">
      <c r="A60" s="49" t="s">
        <v>65</v>
      </c>
      <c r="B60" s="48" t="s">
        <v>66</v>
      </c>
      <c r="C60" s="28">
        <f>[13]С2!F17</f>
        <v>1.01</v>
      </c>
    </row>
    <row r="61" spans="1:3" s="53" customFormat="1" ht="14.25">
      <c r="A61" s="49" t="s">
        <v>67</v>
      </c>
      <c r="B61" s="51" t="s">
        <v>68</v>
      </c>
      <c r="C61" s="52">
        <f>[13]С2!F33</f>
        <v>10</v>
      </c>
    </row>
    <row r="62" spans="1:3" ht="30">
      <c r="A62" s="49" t="s">
        <v>69</v>
      </c>
      <c r="B62" s="54" t="s">
        <v>70</v>
      </c>
      <c r="C62" s="28">
        <f>[13]С2!F26</f>
        <v>1296.3109177946333</v>
      </c>
    </row>
    <row r="63" spans="1:3" ht="17.25">
      <c r="A63" s="49" t="s">
        <v>71</v>
      </c>
      <c r="B63" s="43" t="s">
        <v>237</v>
      </c>
      <c r="C63" s="28">
        <f>[13]С2!F27</f>
        <v>0.18594487800000001</v>
      </c>
    </row>
    <row r="64" spans="1:3" ht="17.25">
      <c r="A64" s="49" t="s">
        <v>72</v>
      </c>
      <c r="B64" s="48" t="s">
        <v>238</v>
      </c>
      <c r="C64" s="52">
        <f>[13]С2!F28</f>
        <v>4200</v>
      </c>
    </row>
    <row r="65" spans="1:3" ht="42.75">
      <c r="A65" s="49" t="s">
        <v>73</v>
      </c>
      <c r="B65" s="27" t="s">
        <v>239</v>
      </c>
      <c r="C65" s="28">
        <f>[13]С2!F22</f>
        <v>42890.921752741691</v>
      </c>
    </row>
    <row r="66" spans="1:3" ht="30">
      <c r="A66" s="49" t="s">
        <v>74</v>
      </c>
      <c r="B66" s="50" t="s">
        <v>240</v>
      </c>
      <c r="C66" s="28">
        <f>[13]С2!F23</f>
        <v>1990</v>
      </c>
    </row>
    <row r="67" spans="1:3" ht="30">
      <c r="A67" s="49" t="s">
        <v>75</v>
      </c>
      <c r="B67" s="43" t="s">
        <v>76</v>
      </c>
      <c r="C67" s="28">
        <f>[13]С2.1!E27</f>
        <v>14307.876789999998</v>
      </c>
    </row>
    <row r="68" spans="1:3" ht="38.25">
      <c r="A68" s="49" t="s">
        <v>77</v>
      </c>
      <c r="B68" s="55" t="s">
        <v>78</v>
      </c>
      <c r="C68" s="42">
        <f>[13]С2.3!E21</f>
        <v>0</v>
      </c>
    </row>
    <row r="69" spans="1:3" ht="25.5">
      <c r="A69" s="49" t="s">
        <v>79</v>
      </c>
      <c r="B69" s="56" t="s">
        <v>80</v>
      </c>
      <c r="C69" s="57">
        <f>[13]С2.3!E11</f>
        <v>9.89</v>
      </c>
    </row>
    <row r="70" spans="1:3" ht="25.5">
      <c r="A70" s="49" t="s">
        <v>81</v>
      </c>
      <c r="B70" s="56" t="s">
        <v>82</v>
      </c>
      <c r="C70" s="52">
        <f>[13]С2.3!E13</f>
        <v>300</v>
      </c>
    </row>
    <row r="71" spans="1:3" ht="25.5">
      <c r="A71" s="49" t="s">
        <v>83</v>
      </c>
      <c r="B71" s="55" t="s">
        <v>84</v>
      </c>
      <c r="C71" s="58">
        <f>IF([13]С2.3!E22&gt;0,[13]С2.3!E22,[13]С2.3!E14)</f>
        <v>61211</v>
      </c>
    </row>
    <row r="72" spans="1:3" ht="38.25">
      <c r="A72" s="49" t="s">
        <v>85</v>
      </c>
      <c r="B72" s="55" t="s">
        <v>86</v>
      </c>
      <c r="C72" s="58">
        <f>IF([13]С2.3!E23&gt;0,[13]С2.3!E23,[13]С2.3!E15)</f>
        <v>45675</v>
      </c>
    </row>
    <row r="73" spans="1:3" ht="30">
      <c r="A73" s="49" t="s">
        <v>87</v>
      </c>
      <c r="B73" s="43" t="s">
        <v>88</v>
      </c>
      <c r="C73" s="28">
        <f>[13]С2.1!E28</f>
        <v>9541.9567200000001</v>
      </c>
    </row>
    <row r="74" spans="1:3" ht="38.25">
      <c r="A74" s="49" t="s">
        <v>89</v>
      </c>
      <c r="B74" s="55" t="s">
        <v>90</v>
      </c>
      <c r="C74" s="42">
        <f>[13]С2.3!E25</f>
        <v>0</v>
      </c>
    </row>
    <row r="75" spans="1:3" ht="25.5">
      <c r="A75" s="49" t="s">
        <v>91</v>
      </c>
      <c r="B75" s="56" t="s">
        <v>92</v>
      </c>
      <c r="C75" s="57">
        <f>[13]С2.3!E12</f>
        <v>0.56000000000000005</v>
      </c>
    </row>
    <row r="76" spans="1:3" ht="25.5">
      <c r="A76" s="49" t="s">
        <v>93</v>
      </c>
      <c r="B76" s="56" t="s">
        <v>82</v>
      </c>
      <c r="C76" s="52">
        <f>[13]С2.3!E13</f>
        <v>300</v>
      </c>
    </row>
    <row r="77" spans="1:3" ht="25.5">
      <c r="A77" s="49" t="s">
        <v>94</v>
      </c>
      <c r="B77" s="59" t="s">
        <v>95</v>
      </c>
      <c r="C77" s="58">
        <f>IF([13]С2.3!E26&gt;0,[13]С2.3!E26,[13]С2.3!E16)</f>
        <v>65637</v>
      </c>
    </row>
    <row r="78" spans="1:3" ht="38.25">
      <c r="A78" s="49" t="s">
        <v>96</v>
      </c>
      <c r="B78" s="59" t="s">
        <v>97</v>
      </c>
      <c r="C78" s="58">
        <f>IF([13]С2.3!E27&gt;0,[13]С2.3!E27,[13]С2.3!E17)</f>
        <v>31684</v>
      </c>
    </row>
    <row r="79" spans="1:3" ht="17.25">
      <c r="A79" s="49" t="s">
        <v>98</v>
      </c>
      <c r="B79" s="27" t="s">
        <v>99</v>
      </c>
      <c r="C79" s="29">
        <f>[13]С2!F29</f>
        <v>0.17804631770487722</v>
      </c>
    </row>
    <row r="80" spans="1:3" ht="30">
      <c r="A80" s="49" t="s">
        <v>100</v>
      </c>
      <c r="B80" s="43" t="s">
        <v>101</v>
      </c>
      <c r="C80" s="60">
        <f>[13]С2!F30</f>
        <v>0.1652189781021898</v>
      </c>
    </row>
    <row r="81" spans="1:3" ht="17.25">
      <c r="A81" s="49" t="s">
        <v>102</v>
      </c>
      <c r="B81" s="61" t="s">
        <v>103</v>
      </c>
      <c r="C81" s="29">
        <f>[13]С2!F31</f>
        <v>0.13880000000000001</v>
      </c>
    </row>
    <row r="82" spans="1:3" s="53" customFormat="1" ht="18" thickBot="1">
      <c r="A82" s="62" t="s">
        <v>104</v>
      </c>
      <c r="B82" s="63" t="s">
        <v>105</v>
      </c>
      <c r="C82" s="64">
        <f>[13]С2!F32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[13]С3!F14</f>
        <v>14780.674721363519</v>
      </c>
    </row>
    <row r="86" spans="1:3" s="53" customFormat="1" ht="42.75">
      <c r="A86" s="67" t="s">
        <v>110</v>
      </c>
      <c r="B86" s="43" t="s">
        <v>111</v>
      </c>
      <c r="C86" s="68">
        <f>[13]С3!F15</f>
        <v>0.25</v>
      </c>
    </row>
    <row r="87" spans="1:3" s="53" customFormat="1" ht="14.25">
      <c r="A87" s="67" t="s">
        <v>112</v>
      </c>
      <c r="B87" s="69" t="s">
        <v>113</v>
      </c>
      <c r="C87" s="52">
        <f>[13]С3!F18</f>
        <v>15</v>
      </c>
    </row>
    <row r="88" spans="1:3" s="53" customFormat="1" ht="17.25">
      <c r="A88" s="67" t="s">
        <v>114</v>
      </c>
      <c r="B88" s="27" t="s">
        <v>115</v>
      </c>
      <c r="C88" s="28">
        <f>[13]С3!F19</f>
        <v>4187.478806422544</v>
      </c>
    </row>
    <row r="89" spans="1:3" s="53" customFormat="1" ht="55.5">
      <c r="A89" s="67" t="s">
        <v>116</v>
      </c>
      <c r="B89" s="43" t="s">
        <v>117</v>
      </c>
      <c r="C89" s="70">
        <f>[13]С3!F20</f>
        <v>2.1999999999999999E-2</v>
      </c>
    </row>
    <row r="90" spans="1:3" s="53" customFormat="1" ht="14.25">
      <c r="A90" s="67" t="s">
        <v>118</v>
      </c>
      <c r="B90" s="48" t="s">
        <v>68</v>
      </c>
      <c r="C90" s="52">
        <f>[13]С3!F21</f>
        <v>10</v>
      </c>
    </row>
    <row r="91" spans="1:3" s="53" customFormat="1" ht="17.25">
      <c r="A91" s="67" t="s">
        <v>119</v>
      </c>
      <c r="B91" s="27" t="s">
        <v>120</v>
      </c>
      <c r="C91" s="28">
        <f>[13]С3!F22</f>
        <v>3.8889327533838998</v>
      </c>
    </row>
    <row r="92" spans="1:3" s="53" customFormat="1" ht="55.5">
      <c r="A92" s="67" t="s">
        <v>121</v>
      </c>
      <c r="B92" s="43" t="s">
        <v>122</v>
      </c>
      <c r="C92" s="70">
        <f>[13]С3!F23</f>
        <v>3.0000000000000001E-3</v>
      </c>
    </row>
    <row r="93" spans="1:3" s="53" customFormat="1" ht="27.75" thickBot="1">
      <c r="A93" s="71" t="s">
        <v>123</v>
      </c>
      <c r="B93" s="72" t="s">
        <v>241</v>
      </c>
      <c r="C93" s="73">
        <f>[13]С3!F24</f>
        <v>1296.3109177946333</v>
      </c>
    </row>
    <row r="94" spans="1:3" ht="13.5" thickBot="1">
      <c r="A94" s="39"/>
      <c r="B94" s="65"/>
      <c r="C94" s="13"/>
    </row>
    <row r="95" spans="1:3" ht="30" customHeight="1">
      <c r="A95" s="74" t="s">
        <v>124</v>
      </c>
      <c r="B95" s="141" t="s">
        <v>125</v>
      </c>
      <c r="C95" s="141"/>
    </row>
    <row r="96" spans="1:3" ht="30">
      <c r="A96" s="49" t="s">
        <v>126</v>
      </c>
      <c r="B96" s="27" t="s">
        <v>242</v>
      </c>
      <c r="C96" s="28">
        <f>[13]С4!F16</f>
        <v>1652.5</v>
      </c>
    </row>
    <row r="97" spans="1:3" ht="30">
      <c r="A97" s="49" t="s">
        <v>127</v>
      </c>
      <c r="B97" s="48" t="s">
        <v>243</v>
      </c>
      <c r="C97" s="28">
        <f>[13]С4!F17</f>
        <v>73547</v>
      </c>
    </row>
    <row r="98" spans="1:3" ht="17.25">
      <c r="A98" s="49" t="s">
        <v>128</v>
      </c>
      <c r="B98" s="48" t="s">
        <v>129</v>
      </c>
      <c r="C98" s="33">
        <f>[13]С4!F18</f>
        <v>0.02</v>
      </c>
    </row>
    <row r="99" spans="1:3" ht="30">
      <c r="A99" s="49" t="s">
        <v>130</v>
      </c>
      <c r="B99" s="48" t="s">
        <v>131</v>
      </c>
      <c r="C99" s="28">
        <f>[13]С4!F19</f>
        <v>12104</v>
      </c>
    </row>
    <row r="100" spans="1:3" ht="31.5">
      <c r="A100" s="49" t="s">
        <v>132</v>
      </c>
      <c r="B100" s="48" t="s">
        <v>133</v>
      </c>
      <c r="C100" s="33">
        <f>[13]С4!F20</f>
        <v>1.4999999999999999E-2</v>
      </c>
    </row>
    <row r="101" spans="1:3" ht="30">
      <c r="A101" s="49" t="s">
        <v>134</v>
      </c>
      <c r="B101" s="27" t="s">
        <v>244</v>
      </c>
      <c r="C101" s="28">
        <f>[13]С4!F21</f>
        <v>1933.1949342509995</v>
      </c>
    </row>
    <row r="102" spans="1:3" ht="24" customHeight="1">
      <c r="A102" s="49" t="s">
        <v>135</v>
      </c>
      <c r="B102" s="43" t="s">
        <v>136</v>
      </c>
      <c r="C102" s="75">
        <f>IF([13]С4.2!F8="да",[13]С4.2!D21,[13]С4.2!D15)</f>
        <v>0</v>
      </c>
    </row>
    <row r="103" spans="1:3" ht="68.25">
      <c r="A103" s="49" t="s">
        <v>137</v>
      </c>
      <c r="B103" s="43" t="s">
        <v>138</v>
      </c>
      <c r="C103" s="28">
        <f>[13]С4!F22</f>
        <v>3.6112641666666665</v>
      </c>
    </row>
    <row r="104" spans="1:3" ht="30">
      <c r="A104" s="49" t="s">
        <v>139</v>
      </c>
      <c r="B104" s="48" t="s">
        <v>245</v>
      </c>
      <c r="C104" s="28">
        <f>[13]С4!F23</f>
        <v>180</v>
      </c>
    </row>
    <row r="105" spans="1:3" ht="14.25">
      <c r="A105" s="49" t="s">
        <v>140</v>
      </c>
      <c r="B105" s="43" t="s">
        <v>141</v>
      </c>
      <c r="C105" s="28">
        <f>[13]С4!F24</f>
        <v>8497.1999999999989</v>
      </c>
    </row>
    <row r="106" spans="1:3" ht="14.25">
      <c r="A106" s="49" t="s">
        <v>142</v>
      </c>
      <c r="B106" s="48" t="s">
        <v>143</v>
      </c>
      <c r="C106" s="33">
        <f>[13]С4!F25</f>
        <v>0.35</v>
      </c>
    </row>
    <row r="107" spans="1:3" ht="17.25">
      <c r="A107" s="49" t="s">
        <v>144</v>
      </c>
      <c r="B107" s="27" t="s">
        <v>145</v>
      </c>
      <c r="C107" s="28">
        <f>[13]С4!F26</f>
        <v>59.934629999999999</v>
      </c>
    </row>
    <row r="108" spans="1:3" ht="25.5">
      <c r="A108" s="49" t="s">
        <v>146</v>
      </c>
      <c r="B108" s="43" t="s">
        <v>78</v>
      </c>
      <c r="C108" s="75">
        <f>[13]С4.3!E16</f>
        <v>0</v>
      </c>
    </row>
    <row r="109" spans="1:3" ht="25.5">
      <c r="A109" s="49" t="s">
        <v>147</v>
      </c>
      <c r="B109" s="43" t="s">
        <v>148</v>
      </c>
      <c r="C109" s="28">
        <f>[13]С4.3!E17</f>
        <v>17.09</v>
      </c>
    </row>
    <row r="110" spans="1:3" ht="38.25">
      <c r="A110" s="49" t="s">
        <v>149</v>
      </c>
      <c r="B110" s="43" t="s">
        <v>90</v>
      </c>
      <c r="C110" s="75">
        <f>[13]С4.3!E18</f>
        <v>0</v>
      </c>
    </row>
    <row r="111" spans="1:3">
      <c r="A111" s="49" t="s">
        <v>150</v>
      </c>
      <c r="B111" s="43" t="s">
        <v>151</v>
      </c>
      <c r="C111" s="28">
        <f>[13]С4.3!E19</f>
        <v>0</v>
      </c>
    </row>
    <row r="112" spans="1:3">
      <c r="A112" s="49" t="s">
        <v>152</v>
      </c>
      <c r="B112" s="48" t="s">
        <v>153</v>
      </c>
      <c r="C112" s="28">
        <f>[13]С4.3!E11</f>
        <v>1871</v>
      </c>
    </row>
    <row r="113" spans="1:3">
      <c r="A113" s="49" t="s">
        <v>154</v>
      </c>
      <c r="B113" s="48" t="s">
        <v>155</v>
      </c>
      <c r="C113" s="42">
        <f>[13]С4.3!E12</f>
        <v>1636</v>
      </c>
    </row>
    <row r="114" spans="1:3">
      <c r="A114" s="49" t="s">
        <v>156</v>
      </c>
      <c r="B114" s="48" t="s">
        <v>157</v>
      </c>
      <c r="C114" s="42">
        <f>[13]С4.3!E13</f>
        <v>204</v>
      </c>
    </row>
    <row r="115" spans="1:3" ht="30">
      <c r="A115" s="49" t="s">
        <v>158</v>
      </c>
      <c r="B115" s="27" t="s">
        <v>246</v>
      </c>
      <c r="C115" s="28">
        <f>[13]С4!F27</f>
        <v>1291.2863994686898</v>
      </c>
    </row>
    <row r="116" spans="1:3" ht="25.5">
      <c r="A116" s="49" t="s">
        <v>159</v>
      </c>
      <c r="B116" s="43" t="s">
        <v>247</v>
      </c>
      <c r="C116" s="28">
        <f>[13]С4!F28</f>
        <v>991.77142816335618</v>
      </c>
    </row>
    <row r="117" spans="1:3" ht="42.75">
      <c r="A117" s="49" t="s">
        <v>160</v>
      </c>
      <c r="B117" s="43" t="s">
        <v>161</v>
      </c>
      <c r="C117" s="28">
        <f>[13]С4!F29</f>
        <v>299.51497130533357</v>
      </c>
    </row>
    <row r="118" spans="1:3" ht="30">
      <c r="A118" s="49" t="s">
        <v>162</v>
      </c>
      <c r="B118" s="32" t="s">
        <v>163</v>
      </c>
      <c r="C118" s="28">
        <f>[13]С4!F30</f>
        <v>2769.2578179289276</v>
      </c>
    </row>
    <row r="119" spans="1:3" ht="42.75">
      <c r="A119" s="49" t="s">
        <v>248</v>
      </c>
      <c r="B119" s="76" t="s">
        <v>249</v>
      </c>
      <c r="C119" s="28">
        <f>[13]С4!F33</f>
        <v>1571.3654593589354</v>
      </c>
    </row>
    <row r="120" spans="1:3" ht="30">
      <c r="A120" s="49" t="s">
        <v>250</v>
      </c>
      <c r="B120" s="121" t="s">
        <v>251</v>
      </c>
      <c r="C120" s="28">
        <f>[13]С4!F35</f>
        <v>17.040680999999999</v>
      </c>
    </row>
    <row r="121" spans="1:3" ht="14.25">
      <c r="A121" s="49" t="s">
        <v>252</v>
      </c>
      <c r="B121" s="46" t="s">
        <v>253</v>
      </c>
      <c r="C121" s="28">
        <f>[13]С4!F36</f>
        <v>14319.9</v>
      </c>
    </row>
    <row r="122" spans="1:3" ht="28.5" thickBot="1">
      <c r="A122" s="62" t="s">
        <v>254</v>
      </c>
      <c r="B122" s="122" t="s">
        <v>255</v>
      </c>
      <c r="C122" s="73">
        <f>[13]С4!F37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[13]С5!F17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[13]С2!F37</f>
        <v>20.818139999999996</v>
      </c>
    </row>
    <row r="136" spans="1:3" ht="14.25">
      <c r="A136" s="49" t="s">
        <v>183</v>
      </c>
      <c r="B136" s="128" t="s">
        <v>184</v>
      </c>
      <c r="C136" s="28">
        <f>[13]С2!F38</f>
        <v>7</v>
      </c>
    </row>
    <row r="137" spans="1:3" ht="17.25">
      <c r="A137" s="49" t="s">
        <v>185</v>
      </c>
      <c r="B137" s="128" t="s">
        <v>186</v>
      </c>
      <c r="C137" s="28">
        <f>[13]С2!F40</f>
        <v>0.97</v>
      </c>
    </row>
    <row r="138" spans="1:3" ht="15" thickBot="1">
      <c r="A138" s="62" t="s">
        <v>187</v>
      </c>
      <c r="B138" s="129" t="s">
        <v>188</v>
      </c>
      <c r="C138" s="38">
        <f>[13]С2!F42</f>
        <v>0.35</v>
      </c>
    </row>
    <row r="139" spans="1:3" s="77" customFormat="1" ht="13.5" thickBot="1">
      <c r="A139" s="39"/>
      <c r="B139" s="65"/>
      <c r="C139" s="13"/>
    </row>
    <row r="140" spans="1:3" ht="30">
      <c r="A140" s="74" t="s">
        <v>189</v>
      </c>
      <c r="B140" s="84" t="s">
        <v>258</v>
      </c>
      <c r="C140" s="130">
        <f>[13]С2!F35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[13]С2.5!$E$11</f>
        <v>-2.9000000000000026E-2</v>
      </c>
    </row>
    <row r="144" spans="1:3">
      <c r="A144" s="85"/>
      <c r="B144" s="86">
        <f>B143+1</f>
        <v>2021</v>
      </c>
      <c r="C144" s="135">
        <f>[13]С2.5!$F$11</f>
        <v>0.245</v>
      </c>
    </row>
    <row r="145" spans="1:3">
      <c r="A145" s="85"/>
      <c r="B145" s="86">
        <f t="shared" ref="B145:B208" si="0">B144+1</f>
        <v>2022</v>
      </c>
      <c r="C145" s="135">
        <f>[13]С2.5!$G$11</f>
        <v>0.114</v>
      </c>
    </row>
    <row r="146" spans="1:3" ht="13.5" thickBot="1">
      <c r="A146" s="85"/>
      <c r="B146" s="87">
        <f t="shared" si="0"/>
        <v>2023</v>
      </c>
      <c r="C146" s="136">
        <f>[13]С2.5!$H$11</f>
        <v>0.04</v>
      </c>
    </row>
    <row r="147" spans="1:3">
      <c r="A147" s="85"/>
      <c r="B147" s="137">
        <f t="shared" si="0"/>
        <v>2024</v>
      </c>
      <c r="C147" s="138">
        <f>[13]С2.5!$I$11</f>
        <v>0.11700000000000001</v>
      </c>
    </row>
    <row r="148" spans="1:3">
      <c r="A148" s="85"/>
      <c r="B148" s="86">
        <f t="shared" si="0"/>
        <v>2025</v>
      </c>
      <c r="C148" s="135">
        <f>[13]С2.5!$J$11</f>
        <v>6.0999999999999999E-2</v>
      </c>
    </row>
    <row r="149" spans="1:3" hidden="1">
      <c r="A149" s="85"/>
      <c r="B149" s="86">
        <f t="shared" si="0"/>
        <v>2026</v>
      </c>
      <c r="C149" s="135">
        <f>[13]С2.5!$K$11</f>
        <v>3.5813361771260002E-2</v>
      </c>
    </row>
    <row r="150" spans="1:3" hidden="1">
      <c r="A150" s="85"/>
      <c r="B150" s="86">
        <f t="shared" si="0"/>
        <v>2027</v>
      </c>
      <c r="C150" s="135">
        <f>[13]С2.5!$L$11</f>
        <v>3.2682303599220003E-2</v>
      </c>
    </row>
    <row r="151" spans="1:3" hidden="1">
      <c r="A151" s="85"/>
      <c r="B151" s="86">
        <f t="shared" si="0"/>
        <v>2028</v>
      </c>
      <c r="C151" s="135">
        <f>[13]С2.5!$M$11</f>
        <v>0</v>
      </c>
    </row>
    <row r="152" spans="1:3" hidden="1">
      <c r="A152" s="85"/>
      <c r="B152" s="86">
        <f t="shared" si="0"/>
        <v>2029</v>
      </c>
      <c r="C152" s="135">
        <f>[13]С2.5!$N$11</f>
        <v>0</v>
      </c>
    </row>
    <row r="153" spans="1:3" hidden="1">
      <c r="A153" s="85"/>
      <c r="B153" s="86">
        <f t="shared" si="0"/>
        <v>2030</v>
      </c>
      <c r="C153" s="135">
        <f>[13]С2.5!$O$11</f>
        <v>0</v>
      </c>
    </row>
    <row r="154" spans="1:3" hidden="1">
      <c r="A154" s="85"/>
      <c r="B154" s="86">
        <f t="shared" si="0"/>
        <v>2031</v>
      </c>
      <c r="C154" s="135">
        <f>[13]С2.5!$P$11</f>
        <v>0</v>
      </c>
    </row>
    <row r="155" spans="1:3" hidden="1">
      <c r="A155" s="77"/>
      <c r="B155" s="86">
        <f t="shared" si="0"/>
        <v>2032</v>
      </c>
      <c r="C155" s="135">
        <f>[13]С2.5!$Q$11</f>
        <v>0</v>
      </c>
    </row>
    <row r="156" spans="1:3" hidden="1">
      <c r="A156" s="77"/>
      <c r="B156" s="86">
        <f t="shared" si="0"/>
        <v>2033</v>
      </c>
      <c r="C156" s="135">
        <f>[13]С2.5!$R$11</f>
        <v>0</v>
      </c>
    </row>
    <row r="157" spans="1:3" hidden="1">
      <c r="B157" s="86">
        <f t="shared" si="0"/>
        <v>2034</v>
      </c>
      <c r="C157" s="135">
        <f>[13]С2.5!$S$11</f>
        <v>0</v>
      </c>
    </row>
    <row r="158" spans="1:3" hidden="1">
      <c r="B158" s="86">
        <f t="shared" si="0"/>
        <v>2035</v>
      </c>
      <c r="C158" s="135">
        <f>[13]С2.5!$T$11</f>
        <v>0</v>
      </c>
    </row>
    <row r="159" spans="1:3" hidden="1">
      <c r="B159" s="86">
        <f t="shared" si="0"/>
        <v>2036</v>
      </c>
      <c r="C159" s="135">
        <f>[13]С2.5!$U$11</f>
        <v>0</v>
      </c>
    </row>
    <row r="160" spans="1:3" hidden="1">
      <c r="B160" s="86">
        <f t="shared" si="0"/>
        <v>2037</v>
      </c>
      <c r="C160" s="135">
        <f>[13]С2.5!$V$11</f>
        <v>0</v>
      </c>
    </row>
    <row r="161" spans="2:3" hidden="1">
      <c r="B161" s="86">
        <f t="shared" si="0"/>
        <v>2038</v>
      </c>
      <c r="C161" s="135">
        <f>[13]С2.5!$W$11</f>
        <v>0</v>
      </c>
    </row>
    <row r="162" spans="2:3" hidden="1">
      <c r="B162" s="86">
        <f t="shared" si="0"/>
        <v>2039</v>
      </c>
      <c r="C162" s="135">
        <f>[13]С2.5!$X$11</f>
        <v>0</v>
      </c>
    </row>
    <row r="163" spans="2:3" hidden="1">
      <c r="B163" s="86">
        <f t="shared" si="0"/>
        <v>2040</v>
      </c>
      <c r="C163" s="135">
        <f>[13]С2.5!$Y$11</f>
        <v>0</v>
      </c>
    </row>
    <row r="164" spans="2:3" hidden="1">
      <c r="B164" s="86">
        <f t="shared" si="0"/>
        <v>2041</v>
      </c>
      <c r="C164" s="135">
        <f>[13]С2.5!$Z$11</f>
        <v>0</v>
      </c>
    </row>
    <row r="165" spans="2:3" hidden="1">
      <c r="B165" s="86">
        <f t="shared" si="0"/>
        <v>2042</v>
      </c>
      <c r="C165" s="135">
        <f>[13]С2.5!$AA$11</f>
        <v>0</v>
      </c>
    </row>
    <row r="166" spans="2:3" hidden="1">
      <c r="B166" s="86">
        <f t="shared" si="0"/>
        <v>2043</v>
      </c>
      <c r="C166" s="135">
        <f>[13]С2.5!$AB$11</f>
        <v>0</v>
      </c>
    </row>
    <row r="167" spans="2:3" hidden="1">
      <c r="B167" s="86">
        <f t="shared" si="0"/>
        <v>2044</v>
      </c>
      <c r="C167" s="135">
        <f>[13]С2.5!$AC$11</f>
        <v>0</v>
      </c>
    </row>
    <row r="168" spans="2:3" hidden="1">
      <c r="B168" s="86">
        <f t="shared" si="0"/>
        <v>2045</v>
      </c>
      <c r="C168" s="135">
        <f>[13]С2.5!$AD$11</f>
        <v>0</v>
      </c>
    </row>
    <row r="169" spans="2:3" hidden="1">
      <c r="B169" s="86">
        <f t="shared" si="0"/>
        <v>2046</v>
      </c>
      <c r="C169" s="135">
        <f>[13]С2.5!$AE$11</f>
        <v>0</v>
      </c>
    </row>
    <row r="170" spans="2:3" hidden="1">
      <c r="B170" s="86">
        <f t="shared" si="0"/>
        <v>2047</v>
      </c>
      <c r="C170" s="135">
        <f>[13]С2.5!$AF$11</f>
        <v>0</v>
      </c>
    </row>
    <row r="171" spans="2:3" hidden="1">
      <c r="B171" s="86">
        <f t="shared" si="0"/>
        <v>2048</v>
      </c>
      <c r="C171" s="135">
        <f>[13]С2.5!$AG$11</f>
        <v>0</v>
      </c>
    </row>
    <row r="172" spans="2:3" hidden="1">
      <c r="B172" s="86">
        <f t="shared" si="0"/>
        <v>2049</v>
      </c>
      <c r="C172" s="135">
        <f>[13]С2.5!$AH$11</f>
        <v>0</v>
      </c>
    </row>
    <row r="173" spans="2:3" hidden="1">
      <c r="B173" s="86">
        <f t="shared" si="0"/>
        <v>2050</v>
      </c>
      <c r="C173" s="135">
        <f>[13]С2.5!$AI$11</f>
        <v>0</v>
      </c>
    </row>
    <row r="174" spans="2:3" hidden="1">
      <c r="B174" s="86">
        <f t="shared" si="0"/>
        <v>2051</v>
      </c>
      <c r="C174" s="135">
        <f>[13]С2.5!$AJ$11</f>
        <v>0</v>
      </c>
    </row>
    <row r="175" spans="2:3" hidden="1">
      <c r="B175" s="86">
        <f t="shared" si="0"/>
        <v>2052</v>
      </c>
      <c r="C175" s="135">
        <f>[13]С2.5!$AK$11</f>
        <v>0</v>
      </c>
    </row>
    <row r="176" spans="2:3" hidden="1">
      <c r="B176" s="86">
        <f t="shared" si="0"/>
        <v>2053</v>
      </c>
      <c r="C176" s="135">
        <f>[13]С2.5!$AL$11</f>
        <v>0</v>
      </c>
    </row>
    <row r="177" spans="2:3" hidden="1">
      <c r="B177" s="86">
        <f t="shared" si="0"/>
        <v>2054</v>
      </c>
      <c r="C177" s="135">
        <f>[13]С2.5!$AM$11</f>
        <v>0</v>
      </c>
    </row>
    <row r="178" spans="2:3" hidden="1">
      <c r="B178" s="86">
        <f t="shared" si="0"/>
        <v>2055</v>
      </c>
      <c r="C178" s="135">
        <f>[13]С2.5!$AN$11</f>
        <v>0</v>
      </c>
    </row>
    <row r="179" spans="2:3" hidden="1">
      <c r="B179" s="86">
        <f t="shared" si="0"/>
        <v>2056</v>
      </c>
      <c r="C179" s="135">
        <f>[13]С2.5!$AO$11</f>
        <v>0</v>
      </c>
    </row>
    <row r="180" spans="2:3" hidden="1">
      <c r="B180" s="86">
        <f t="shared" si="0"/>
        <v>2057</v>
      </c>
      <c r="C180" s="135">
        <f>[13]С2.5!$AP$11</f>
        <v>0</v>
      </c>
    </row>
    <row r="181" spans="2:3" hidden="1">
      <c r="B181" s="86">
        <f t="shared" si="0"/>
        <v>2058</v>
      </c>
      <c r="C181" s="135">
        <f>[13]С2.5!$AQ$11</f>
        <v>0</v>
      </c>
    </row>
    <row r="182" spans="2:3" hidden="1">
      <c r="B182" s="86">
        <f t="shared" si="0"/>
        <v>2059</v>
      </c>
      <c r="C182" s="135">
        <f>[13]С2.5!$AR$11</f>
        <v>0</v>
      </c>
    </row>
    <row r="183" spans="2:3" hidden="1">
      <c r="B183" s="86">
        <f t="shared" si="0"/>
        <v>2060</v>
      </c>
      <c r="C183" s="135">
        <f>[13]С2.5!$AS$11</f>
        <v>0</v>
      </c>
    </row>
    <row r="184" spans="2:3" hidden="1">
      <c r="B184" s="86">
        <f t="shared" si="0"/>
        <v>2061</v>
      </c>
      <c r="C184" s="135">
        <f>[13]С2.5!$AT$11</f>
        <v>0</v>
      </c>
    </row>
    <row r="185" spans="2:3" hidden="1">
      <c r="B185" s="86">
        <f t="shared" si="0"/>
        <v>2062</v>
      </c>
      <c r="C185" s="135">
        <f>[13]С2.5!$AU$11</f>
        <v>0</v>
      </c>
    </row>
    <row r="186" spans="2:3" hidden="1">
      <c r="B186" s="86">
        <f t="shared" si="0"/>
        <v>2063</v>
      </c>
      <c r="C186" s="135">
        <f>[13]С2.5!$AV$11</f>
        <v>0</v>
      </c>
    </row>
    <row r="187" spans="2:3" hidden="1">
      <c r="B187" s="86">
        <f t="shared" si="0"/>
        <v>2064</v>
      </c>
      <c r="C187" s="135">
        <f>[13]С2.5!$AW$11</f>
        <v>0</v>
      </c>
    </row>
    <row r="188" spans="2:3" hidden="1">
      <c r="B188" s="86">
        <f t="shared" si="0"/>
        <v>2065</v>
      </c>
      <c r="C188" s="135">
        <f>[13]С2.5!$AX$11</f>
        <v>0</v>
      </c>
    </row>
    <row r="189" spans="2:3" hidden="1">
      <c r="B189" s="86">
        <f t="shared" si="0"/>
        <v>2066</v>
      </c>
      <c r="C189" s="135">
        <f>[13]С2.5!$AY$11</f>
        <v>0</v>
      </c>
    </row>
    <row r="190" spans="2:3" hidden="1">
      <c r="B190" s="86">
        <f t="shared" si="0"/>
        <v>2067</v>
      </c>
      <c r="C190" s="135">
        <f>[13]С2.5!$AZ$11</f>
        <v>0</v>
      </c>
    </row>
    <row r="191" spans="2:3" hidden="1">
      <c r="B191" s="86">
        <f t="shared" si="0"/>
        <v>2068</v>
      </c>
      <c r="C191" s="135">
        <f>[13]С2.5!$BA$11</f>
        <v>0</v>
      </c>
    </row>
    <row r="192" spans="2:3" hidden="1">
      <c r="B192" s="86">
        <f t="shared" si="0"/>
        <v>2069</v>
      </c>
      <c r="C192" s="135">
        <f>[13]С2.5!$BB$11</f>
        <v>0</v>
      </c>
    </row>
    <row r="193" spans="2:3" hidden="1">
      <c r="B193" s="86">
        <f t="shared" si="0"/>
        <v>2070</v>
      </c>
      <c r="C193" s="135">
        <f>[13]С2.5!$BC$11</f>
        <v>0</v>
      </c>
    </row>
    <row r="194" spans="2:3" hidden="1">
      <c r="B194" s="86">
        <f t="shared" si="0"/>
        <v>2071</v>
      </c>
      <c r="C194" s="135">
        <f>[13]С2.5!$BD$11</f>
        <v>0</v>
      </c>
    </row>
    <row r="195" spans="2:3" hidden="1">
      <c r="B195" s="86">
        <f t="shared" si="0"/>
        <v>2072</v>
      </c>
      <c r="C195" s="135">
        <f>[13]С2.5!$BE$11</f>
        <v>0</v>
      </c>
    </row>
    <row r="196" spans="2:3" hidden="1">
      <c r="B196" s="86">
        <f t="shared" si="0"/>
        <v>2073</v>
      </c>
      <c r="C196" s="135">
        <f>[13]С2.5!$BF$11</f>
        <v>0</v>
      </c>
    </row>
    <row r="197" spans="2:3" hidden="1">
      <c r="B197" s="86">
        <f t="shared" si="0"/>
        <v>2074</v>
      </c>
      <c r="C197" s="135">
        <f>[13]С2.5!$BG$11</f>
        <v>0</v>
      </c>
    </row>
    <row r="198" spans="2:3" hidden="1">
      <c r="B198" s="86">
        <f t="shared" si="0"/>
        <v>2075</v>
      </c>
      <c r="C198" s="135">
        <f>[13]С2.5!$BH$11</f>
        <v>0</v>
      </c>
    </row>
    <row r="199" spans="2:3" hidden="1">
      <c r="B199" s="86">
        <f t="shared" si="0"/>
        <v>2076</v>
      </c>
      <c r="C199" s="135">
        <f>[13]С2.5!$BI$11</f>
        <v>0</v>
      </c>
    </row>
    <row r="200" spans="2:3" hidden="1">
      <c r="B200" s="86">
        <f t="shared" si="0"/>
        <v>2077</v>
      </c>
      <c r="C200" s="135">
        <f>[13]С2.5!$BJ$11</f>
        <v>0</v>
      </c>
    </row>
    <row r="201" spans="2:3" hidden="1">
      <c r="B201" s="86">
        <f t="shared" si="0"/>
        <v>2078</v>
      </c>
      <c r="C201" s="135">
        <f>[13]С2.5!$BK$11</f>
        <v>0</v>
      </c>
    </row>
    <row r="202" spans="2:3" hidden="1">
      <c r="B202" s="86">
        <f t="shared" si="0"/>
        <v>2079</v>
      </c>
      <c r="C202" s="135">
        <f>[13]С2.5!$BL$11</f>
        <v>0</v>
      </c>
    </row>
    <row r="203" spans="2:3" hidden="1">
      <c r="B203" s="86">
        <f t="shared" si="0"/>
        <v>2080</v>
      </c>
      <c r="C203" s="135">
        <f>[13]С2.5!$BM$11</f>
        <v>0</v>
      </c>
    </row>
    <row r="204" spans="2:3" hidden="1">
      <c r="B204" s="86">
        <f t="shared" si="0"/>
        <v>2081</v>
      </c>
      <c r="C204" s="135">
        <f>[13]С2.5!$BN$11</f>
        <v>0</v>
      </c>
    </row>
    <row r="205" spans="2:3" hidden="1">
      <c r="B205" s="86">
        <f t="shared" si="0"/>
        <v>2082</v>
      </c>
      <c r="C205" s="135">
        <f>[13]С2.5!$BO$11</f>
        <v>0</v>
      </c>
    </row>
    <row r="206" spans="2:3" hidden="1">
      <c r="B206" s="86">
        <f t="shared" si="0"/>
        <v>2083</v>
      </c>
      <c r="C206" s="135">
        <f>[13]С2.5!$BP$11</f>
        <v>0</v>
      </c>
    </row>
    <row r="207" spans="2:3" hidden="1">
      <c r="B207" s="86">
        <f t="shared" si="0"/>
        <v>2084</v>
      </c>
      <c r="C207" s="135">
        <f>[13]С2.5!$BQ$11</f>
        <v>0</v>
      </c>
    </row>
    <row r="208" spans="2:3" hidden="1">
      <c r="B208" s="86">
        <f t="shared" si="0"/>
        <v>2085</v>
      </c>
      <c r="C208" s="135">
        <f>[13]С2.5!$BR$11</f>
        <v>0</v>
      </c>
    </row>
    <row r="209" spans="2:3" hidden="1">
      <c r="B209" s="86">
        <f t="shared" ref="B209:B223" si="1">B208+1</f>
        <v>2086</v>
      </c>
      <c r="C209" s="135">
        <f>[13]С2.5!$BS$11</f>
        <v>0</v>
      </c>
    </row>
    <row r="210" spans="2:3" hidden="1">
      <c r="B210" s="86">
        <f t="shared" si="1"/>
        <v>2087</v>
      </c>
      <c r="C210" s="135">
        <f>[13]С2.5!$BT$11</f>
        <v>0</v>
      </c>
    </row>
    <row r="211" spans="2:3" hidden="1">
      <c r="B211" s="86">
        <f t="shared" si="1"/>
        <v>2088</v>
      </c>
      <c r="C211" s="135">
        <f>[13]С2.5!$BU$11</f>
        <v>0</v>
      </c>
    </row>
    <row r="212" spans="2:3" hidden="1">
      <c r="B212" s="86">
        <f t="shared" si="1"/>
        <v>2089</v>
      </c>
      <c r="C212" s="135">
        <f>[13]С2.5!$BV$11</f>
        <v>0</v>
      </c>
    </row>
    <row r="213" spans="2:3" hidden="1">
      <c r="B213" s="86">
        <f t="shared" si="1"/>
        <v>2090</v>
      </c>
      <c r="C213" s="135">
        <f>[13]С2.5!$BW$11</f>
        <v>0</v>
      </c>
    </row>
    <row r="214" spans="2:3" hidden="1">
      <c r="B214" s="86">
        <f t="shared" si="1"/>
        <v>2091</v>
      </c>
      <c r="C214" s="135">
        <f>[13]С2.5!$BX$11</f>
        <v>0</v>
      </c>
    </row>
    <row r="215" spans="2:3" hidden="1">
      <c r="B215" s="86">
        <f t="shared" si="1"/>
        <v>2092</v>
      </c>
      <c r="C215" s="135">
        <f>[13]С2.5!$BY$11</f>
        <v>0</v>
      </c>
    </row>
    <row r="216" spans="2:3" hidden="1">
      <c r="B216" s="86">
        <f t="shared" si="1"/>
        <v>2093</v>
      </c>
      <c r="C216" s="135">
        <f>[13]С2.5!$BZ$11</f>
        <v>0</v>
      </c>
    </row>
    <row r="217" spans="2:3" hidden="1">
      <c r="B217" s="86">
        <f t="shared" si="1"/>
        <v>2094</v>
      </c>
      <c r="C217" s="135">
        <f>[13]С2.5!$CA$11</f>
        <v>0</v>
      </c>
    </row>
    <row r="218" spans="2:3" hidden="1">
      <c r="B218" s="86">
        <f t="shared" si="1"/>
        <v>2095</v>
      </c>
      <c r="C218" s="135">
        <f>[13]С2.5!$CB$11</f>
        <v>0</v>
      </c>
    </row>
    <row r="219" spans="2:3" hidden="1">
      <c r="B219" s="86">
        <f t="shared" si="1"/>
        <v>2096</v>
      </c>
      <c r="C219" s="135">
        <f>[13]С2.5!$CC$11</f>
        <v>0</v>
      </c>
    </row>
    <row r="220" spans="2:3" hidden="1">
      <c r="B220" s="86">
        <f t="shared" si="1"/>
        <v>2097</v>
      </c>
      <c r="C220" s="135">
        <f>[13]С2.5!$CD$11</f>
        <v>0</v>
      </c>
    </row>
    <row r="221" spans="2:3" hidden="1">
      <c r="B221" s="86">
        <f t="shared" si="1"/>
        <v>2098</v>
      </c>
      <c r="C221" s="135">
        <f>[13]С2.5!$CE$11</f>
        <v>0</v>
      </c>
    </row>
    <row r="222" spans="2:3" hidden="1">
      <c r="B222" s="86">
        <f t="shared" si="1"/>
        <v>2099</v>
      </c>
      <c r="C222" s="135">
        <f>[13]С2.5!$CF$11</f>
        <v>0</v>
      </c>
    </row>
    <row r="223" spans="2:3" ht="13.5" hidden="1" thickBot="1">
      <c r="B223" s="87">
        <f t="shared" si="1"/>
        <v>2100</v>
      </c>
      <c r="C223" s="136">
        <f>[13]С2.5!$CG$11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[14]И1!D13</f>
        <v>Субъект Российской Федерации</v>
      </c>
      <c r="C4" s="8" t="str">
        <f>[14]И1!E13</f>
        <v>Новосибирская область</v>
      </c>
    </row>
    <row r="5" spans="1:3" ht="46.9" customHeight="1">
      <c r="A5" s="6"/>
      <c r="B5" s="7" t="str">
        <f>[14]И1!D14</f>
        <v>Тип муниципального образования (выберите из списка)</v>
      </c>
      <c r="C5" s="8" t="str">
        <f>[14]И1!E14</f>
        <v>село Александро-Невское, Убинский муниципальный район</v>
      </c>
    </row>
    <row r="6" spans="1:3">
      <c r="A6" s="6"/>
      <c r="B6" s="7" t="str">
        <f>IF([14]И1!E15="","",[14]И1!D15)</f>
        <v/>
      </c>
      <c r="C6" s="8" t="str">
        <f>IF([14]И1!E15="","",[14]И1!E15)</f>
        <v/>
      </c>
    </row>
    <row r="7" spans="1:3">
      <c r="A7" s="6"/>
      <c r="B7" s="7" t="str">
        <f>[14]И1!D16</f>
        <v>Код ОКТМО</v>
      </c>
      <c r="C7" s="9" t="str">
        <f>[14]И1!E16</f>
        <v>50654425101</v>
      </c>
    </row>
    <row r="8" spans="1:3">
      <c r="A8" s="6"/>
      <c r="B8" s="10" t="str">
        <f>[14]И1!D17</f>
        <v>Система теплоснабжения</v>
      </c>
      <c r="C8" s="11">
        <f>[14]И1!E17</f>
        <v>0</v>
      </c>
    </row>
    <row r="9" spans="1:3">
      <c r="A9" s="6"/>
      <c r="B9" s="7" t="str">
        <f>[14]И1!D8</f>
        <v>Период регулирования (i)-й</v>
      </c>
      <c r="C9" s="12">
        <f>[14]И1!E8</f>
        <v>2025</v>
      </c>
    </row>
    <row r="10" spans="1:3">
      <c r="A10" s="6"/>
      <c r="B10" s="7" t="str">
        <f>[14]И1!D9</f>
        <v>Период регулирования (i-1)-й</v>
      </c>
      <c r="C10" s="12">
        <f>[14]И1!E9</f>
        <v>2024</v>
      </c>
    </row>
    <row r="11" spans="1:3">
      <c r="A11" s="6"/>
      <c r="B11" s="7" t="str">
        <f>[14]И1!D10</f>
        <v>Период регулирования (i-2)-й</v>
      </c>
      <c r="C11" s="12">
        <f>[14]И1!E10</f>
        <v>2023</v>
      </c>
    </row>
    <row r="12" spans="1:3">
      <c r="A12" s="6"/>
      <c r="B12" s="7" t="str">
        <f>[14]И1!D11</f>
        <v>Базовый год (б)</v>
      </c>
      <c r="C12" s="12">
        <f>[14]И1!E11</f>
        <v>2019</v>
      </c>
    </row>
    <row r="13" spans="1:3" ht="38.25">
      <c r="A13" s="6"/>
      <c r="B13" s="7" t="str">
        <f>[14]И1!D18</f>
        <v>Вид топлива, использование которого преобладает в системе теплоснабжения</v>
      </c>
      <c r="C13" s="13" t="str">
        <f>[14]С1.1!E13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5659.1688222390394</v>
      </c>
    </row>
    <row r="18" spans="1:3" ht="42.75">
      <c r="A18" s="16" t="s">
        <v>7</v>
      </c>
      <c r="B18" s="19" t="s">
        <v>8</v>
      </c>
      <c r="C18" s="20">
        <f>[14]С1!F12</f>
        <v>1066.6005556136108</v>
      </c>
    </row>
    <row r="19" spans="1:3" ht="42.75">
      <c r="A19" s="16" t="s">
        <v>9</v>
      </c>
      <c r="B19" s="19" t="s">
        <v>10</v>
      </c>
      <c r="C19" s="20">
        <f>[14]С2!F12</f>
        <v>3044.269023973251</v>
      </c>
    </row>
    <row r="20" spans="1:3" ht="30">
      <c r="A20" s="16" t="s">
        <v>11</v>
      </c>
      <c r="B20" s="19" t="s">
        <v>12</v>
      </c>
      <c r="C20" s="20">
        <f>[14]С3!F12</f>
        <v>911.32264748625244</v>
      </c>
    </row>
    <row r="21" spans="1:3" ht="42.75">
      <c r="A21" s="16" t="s">
        <v>13</v>
      </c>
      <c r="B21" s="19" t="s">
        <v>226</v>
      </c>
      <c r="C21" s="20">
        <f>[14]С4!F12</f>
        <v>526.01250061221901</v>
      </c>
    </row>
    <row r="22" spans="1:3" ht="30">
      <c r="A22" s="16" t="s">
        <v>14</v>
      </c>
      <c r="B22" s="19" t="s">
        <v>227</v>
      </c>
      <c r="C22" s="20">
        <f>[14]С5!F12</f>
        <v>110.96409455370666</v>
      </c>
    </row>
    <row r="23" spans="1:3" ht="43.5" thickBot="1">
      <c r="A23" s="21" t="s">
        <v>15</v>
      </c>
      <c r="B23" s="140" t="s">
        <v>228</v>
      </c>
      <c r="C23" s="22" t="str">
        <f>[14]С6!F12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[14]С1.1!E16</f>
        <v>5100</v>
      </c>
    </row>
    <row r="29" spans="1:3" ht="42.75">
      <c r="A29" s="16" t="s">
        <v>9</v>
      </c>
      <c r="B29" s="27" t="s">
        <v>230</v>
      </c>
      <c r="C29" s="28">
        <f>[14]С1.1!E27</f>
        <v>3847.5</v>
      </c>
    </row>
    <row r="30" spans="1:3" ht="17.25">
      <c r="A30" s="16" t="s">
        <v>11</v>
      </c>
      <c r="B30" s="27" t="s">
        <v>17</v>
      </c>
      <c r="C30" s="29">
        <f>[14]С1.1!E19</f>
        <v>1.4E-2</v>
      </c>
    </row>
    <row r="31" spans="1:3" ht="17.25">
      <c r="A31" s="16" t="s">
        <v>13</v>
      </c>
      <c r="B31" s="27" t="s">
        <v>18</v>
      </c>
      <c r="C31" s="29">
        <f>[14]С1.1!E20</f>
        <v>0.04</v>
      </c>
    </row>
    <row r="32" spans="1:3" ht="30">
      <c r="A32" s="16" t="s">
        <v>14</v>
      </c>
      <c r="B32" s="30" t="s">
        <v>231</v>
      </c>
      <c r="C32" s="117">
        <f>[14]С1!F13</f>
        <v>176.4</v>
      </c>
    </row>
    <row r="33" spans="1:3">
      <c r="A33" s="16" t="s">
        <v>15</v>
      </c>
      <c r="B33" s="30" t="s">
        <v>19</v>
      </c>
      <c r="C33" s="31">
        <f>[14]С1!F16</f>
        <v>7000</v>
      </c>
    </row>
    <row r="34" spans="1:3" ht="14.25">
      <c r="A34" s="16" t="s">
        <v>20</v>
      </c>
      <c r="B34" s="32" t="s">
        <v>232</v>
      </c>
      <c r="C34" s="33">
        <f>[14]С1!F17</f>
        <v>0.72857142857142854</v>
      </c>
    </row>
    <row r="35" spans="1:3" ht="15.75">
      <c r="A35" s="118" t="s">
        <v>21</v>
      </c>
      <c r="B35" s="34" t="s">
        <v>22</v>
      </c>
      <c r="C35" s="33">
        <f>[14]С1!F20</f>
        <v>21.588411179999994</v>
      </c>
    </row>
    <row r="36" spans="1:3" ht="15.75">
      <c r="A36" s="118" t="s">
        <v>23</v>
      </c>
      <c r="B36" s="35" t="s">
        <v>24</v>
      </c>
      <c r="C36" s="33">
        <f>[14]С1!F21</f>
        <v>20.818139999999996</v>
      </c>
    </row>
    <row r="37" spans="1:3" ht="14.25">
      <c r="A37" s="118" t="s">
        <v>25</v>
      </c>
      <c r="B37" s="36" t="s">
        <v>26</v>
      </c>
      <c r="C37" s="33">
        <f>[14]С1!F22</f>
        <v>1.0369999999999999</v>
      </c>
    </row>
    <row r="38" spans="1:3" ht="53.25" thickBot="1">
      <c r="A38" s="21" t="s">
        <v>27</v>
      </c>
      <c r="B38" s="37" t="s">
        <v>28</v>
      </c>
      <c r="C38" s="38">
        <f>[14]С1!F23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[14]С2.1!E12</f>
        <v>V</v>
      </c>
    </row>
    <row r="42" spans="1:3" ht="25.5">
      <c r="A42" s="16" t="s">
        <v>33</v>
      </c>
      <c r="B42" s="27" t="s">
        <v>34</v>
      </c>
      <c r="C42" s="41" t="str">
        <f>[14]С2.1!E13</f>
        <v>6 и менее баллов</v>
      </c>
    </row>
    <row r="43" spans="1:3" ht="25.5">
      <c r="A43" s="16" t="s">
        <v>35</v>
      </c>
      <c r="B43" s="27" t="s">
        <v>233</v>
      </c>
      <c r="C43" s="41" t="str">
        <f>[14]С2.1!E14</f>
        <v>от 200 до 500</v>
      </c>
    </row>
    <row r="44" spans="1:3" ht="25.5">
      <c r="A44" s="16" t="s">
        <v>36</v>
      </c>
      <c r="B44" s="27" t="s">
        <v>234</v>
      </c>
      <c r="C44" s="42" t="str">
        <f>[14]С2.1!E15</f>
        <v>нет</v>
      </c>
    </row>
    <row r="45" spans="1:3" ht="30">
      <c r="A45" s="16" t="s">
        <v>37</v>
      </c>
      <c r="B45" s="27" t="s">
        <v>38</v>
      </c>
      <c r="C45" s="28">
        <f>[14]С2!F18</f>
        <v>38910.02669467502</v>
      </c>
    </row>
    <row r="46" spans="1:3" ht="30">
      <c r="A46" s="16" t="s">
        <v>39</v>
      </c>
      <c r="B46" s="43" t="s">
        <v>40</v>
      </c>
      <c r="C46" s="28">
        <f>IF([14]С2!F19&gt;0,[14]С2!F19,[14]С2!F20)</f>
        <v>23441.524932855718</v>
      </c>
    </row>
    <row r="47" spans="1:3" ht="25.5">
      <c r="A47" s="16" t="s">
        <v>41</v>
      </c>
      <c r="B47" s="44" t="s">
        <v>42</v>
      </c>
      <c r="C47" s="28">
        <f>[14]С2.1!E19</f>
        <v>-38</v>
      </c>
    </row>
    <row r="48" spans="1:3" ht="25.5">
      <c r="A48" s="16" t="s">
        <v>43</v>
      </c>
      <c r="B48" s="44" t="s">
        <v>44</v>
      </c>
      <c r="C48" s="28" t="str">
        <f>[14]С2.1!E22</f>
        <v>нет</v>
      </c>
    </row>
    <row r="49" spans="1:3" ht="38.25">
      <c r="A49" s="16" t="s">
        <v>45</v>
      </c>
      <c r="B49" s="45" t="s">
        <v>46</v>
      </c>
      <c r="C49" s="28">
        <f>[14]С2.2!E10</f>
        <v>1287</v>
      </c>
    </row>
    <row r="50" spans="1:3" ht="25.5">
      <c r="A50" s="16" t="s">
        <v>47</v>
      </c>
      <c r="B50" s="46" t="s">
        <v>48</v>
      </c>
      <c r="C50" s="28">
        <f>[14]С2.2!E12</f>
        <v>5.97</v>
      </c>
    </row>
    <row r="51" spans="1:3" ht="52.5">
      <c r="A51" s="16" t="s">
        <v>49</v>
      </c>
      <c r="B51" s="47" t="s">
        <v>50</v>
      </c>
      <c r="C51" s="28">
        <f>[14]С2.2!E13</f>
        <v>1</v>
      </c>
    </row>
    <row r="52" spans="1:3" ht="27.75">
      <c r="A52" s="16" t="s">
        <v>51</v>
      </c>
      <c r="B52" s="46" t="s">
        <v>52</v>
      </c>
      <c r="C52" s="28">
        <f>[14]С2.2!E14</f>
        <v>12104</v>
      </c>
    </row>
    <row r="53" spans="1:3" ht="25.5">
      <c r="A53" s="16" t="s">
        <v>53</v>
      </c>
      <c r="B53" s="47" t="s">
        <v>54</v>
      </c>
      <c r="C53" s="29">
        <f>[14]С2.2!E15</f>
        <v>4.8000000000000001E-2</v>
      </c>
    </row>
    <row r="54" spans="1:3">
      <c r="A54" s="16" t="s">
        <v>55</v>
      </c>
      <c r="B54" s="47" t="s">
        <v>56</v>
      </c>
      <c r="C54" s="28">
        <f>[14]С2.2!E16</f>
        <v>1</v>
      </c>
    </row>
    <row r="55" spans="1:3" ht="15.75">
      <c r="A55" s="16" t="s">
        <v>57</v>
      </c>
      <c r="B55" s="48" t="s">
        <v>58</v>
      </c>
      <c r="C55" s="28">
        <f>[14]С2!F21</f>
        <v>1</v>
      </c>
    </row>
    <row r="56" spans="1:3" ht="30">
      <c r="A56" s="49" t="s">
        <v>59</v>
      </c>
      <c r="B56" s="27" t="s">
        <v>235</v>
      </c>
      <c r="C56" s="28">
        <f>[14]С2!F13</f>
        <v>203708.97017230222</v>
      </c>
    </row>
    <row r="57" spans="1:3" ht="30">
      <c r="A57" s="49" t="s">
        <v>60</v>
      </c>
      <c r="B57" s="48" t="s">
        <v>236</v>
      </c>
      <c r="C57" s="28">
        <f>[14]С2!F14</f>
        <v>113455</v>
      </c>
    </row>
    <row r="58" spans="1:3" ht="15.75">
      <c r="A58" s="49" t="s">
        <v>61</v>
      </c>
      <c r="B58" s="50" t="s">
        <v>62</v>
      </c>
      <c r="C58" s="33">
        <f>[14]С2!F15</f>
        <v>1.071</v>
      </c>
    </row>
    <row r="59" spans="1:3" ht="15.75">
      <c r="A59" s="49" t="s">
        <v>63</v>
      </c>
      <c r="B59" s="50" t="s">
        <v>64</v>
      </c>
      <c r="C59" s="33">
        <f>[14]С2!F16</f>
        <v>1</v>
      </c>
    </row>
    <row r="60" spans="1:3" ht="17.25">
      <c r="A60" s="49" t="s">
        <v>65</v>
      </c>
      <c r="B60" s="48" t="s">
        <v>66</v>
      </c>
      <c r="C60" s="28">
        <f>[14]С2!F17</f>
        <v>1.01</v>
      </c>
    </row>
    <row r="61" spans="1:3" s="53" customFormat="1" ht="14.25">
      <c r="A61" s="49" t="s">
        <v>67</v>
      </c>
      <c r="B61" s="51" t="s">
        <v>68</v>
      </c>
      <c r="C61" s="52">
        <f>[14]С2!F33</f>
        <v>10</v>
      </c>
    </row>
    <row r="62" spans="1:3" ht="30">
      <c r="A62" s="49" t="s">
        <v>69</v>
      </c>
      <c r="B62" s="54" t="s">
        <v>70</v>
      </c>
      <c r="C62" s="28">
        <f>[14]С2!F26</f>
        <v>1296.3109177946333</v>
      </c>
    </row>
    <row r="63" spans="1:3" ht="17.25">
      <c r="A63" s="49" t="s">
        <v>71</v>
      </c>
      <c r="B63" s="43" t="s">
        <v>237</v>
      </c>
      <c r="C63" s="28">
        <f>[14]С2!F27</f>
        <v>0.18594487800000001</v>
      </c>
    </row>
    <row r="64" spans="1:3" ht="17.25">
      <c r="A64" s="49" t="s">
        <v>72</v>
      </c>
      <c r="B64" s="48" t="s">
        <v>238</v>
      </c>
      <c r="C64" s="52">
        <f>[14]С2!F28</f>
        <v>4200</v>
      </c>
    </row>
    <row r="65" spans="1:3" ht="42.75">
      <c r="A65" s="49" t="s">
        <v>73</v>
      </c>
      <c r="B65" s="27" t="s">
        <v>239</v>
      </c>
      <c r="C65" s="28">
        <f>[14]С2!F22</f>
        <v>42890.921752741691</v>
      </c>
    </row>
    <row r="66" spans="1:3" ht="30">
      <c r="A66" s="49" t="s">
        <v>74</v>
      </c>
      <c r="B66" s="50" t="s">
        <v>240</v>
      </c>
      <c r="C66" s="28">
        <f>[14]С2!F23</f>
        <v>1990</v>
      </c>
    </row>
    <row r="67" spans="1:3" ht="30">
      <c r="A67" s="49" t="s">
        <v>75</v>
      </c>
      <c r="B67" s="43" t="s">
        <v>76</v>
      </c>
      <c r="C67" s="28">
        <f>[14]С2.1!E27</f>
        <v>14307.876789999998</v>
      </c>
    </row>
    <row r="68" spans="1:3" ht="38.25">
      <c r="A68" s="49" t="s">
        <v>77</v>
      </c>
      <c r="B68" s="55" t="s">
        <v>78</v>
      </c>
      <c r="C68" s="42">
        <f>[14]С2.3!E21</f>
        <v>0</v>
      </c>
    </row>
    <row r="69" spans="1:3" ht="25.5">
      <c r="A69" s="49" t="s">
        <v>79</v>
      </c>
      <c r="B69" s="56" t="s">
        <v>80</v>
      </c>
      <c r="C69" s="57">
        <f>[14]С2.3!E11</f>
        <v>9.89</v>
      </c>
    </row>
    <row r="70" spans="1:3" ht="25.5">
      <c r="A70" s="49" t="s">
        <v>81</v>
      </c>
      <c r="B70" s="56" t="s">
        <v>82</v>
      </c>
      <c r="C70" s="52">
        <f>[14]С2.3!E13</f>
        <v>300</v>
      </c>
    </row>
    <row r="71" spans="1:3" ht="25.5">
      <c r="A71" s="49" t="s">
        <v>83</v>
      </c>
      <c r="B71" s="55" t="s">
        <v>84</v>
      </c>
      <c r="C71" s="58">
        <f>IF([14]С2.3!E22&gt;0,[14]С2.3!E22,[14]С2.3!E14)</f>
        <v>61211</v>
      </c>
    </row>
    <row r="72" spans="1:3" ht="38.25">
      <c r="A72" s="49" t="s">
        <v>85</v>
      </c>
      <c r="B72" s="55" t="s">
        <v>86</v>
      </c>
      <c r="C72" s="58">
        <f>IF([14]С2.3!E23&gt;0,[14]С2.3!E23,[14]С2.3!E15)</f>
        <v>45675</v>
      </c>
    </row>
    <row r="73" spans="1:3" ht="30">
      <c r="A73" s="49" t="s">
        <v>87</v>
      </c>
      <c r="B73" s="43" t="s">
        <v>88</v>
      </c>
      <c r="C73" s="28">
        <f>[14]С2.1!E28</f>
        <v>9541.9567200000001</v>
      </c>
    </row>
    <row r="74" spans="1:3" ht="38.25">
      <c r="A74" s="49" t="s">
        <v>89</v>
      </c>
      <c r="B74" s="55" t="s">
        <v>90</v>
      </c>
      <c r="C74" s="42">
        <f>[14]С2.3!E25</f>
        <v>0</v>
      </c>
    </row>
    <row r="75" spans="1:3" ht="25.5">
      <c r="A75" s="49" t="s">
        <v>91</v>
      </c>
      <c r="B75" s="56" t="s">
        <v>92</v>
      </c>
      <c r="C75" s="57">
        <f>[14]С2.3!E12</f>
        <v>0.56000000000000005</v>
      </c>
    </row>
    <row r="76" spans="1:3" ht="25.5">
      <c r="A76" s="49" t="s">
        <v>93</v>
      </c>
      <c r="B76" s="56" t="s">
        <v>82</v>
      </c>
      <c r="C76" s="52">
        <f>[14]С2.3!E13</f>
        <v>300</v>
      </c>
    </row>
    <row r="77" spans="1:3" ht="25.5">
      <c r="A77" s="49" t="s">
        <v>94</v>
      </c>
      <c r="B77" s="59" t="s">
        <v>95</v>
      </c>
      <c r="C77" s="58">
        <f>IF([14]С2.3!E26&gt;0,[14]С2.3!E26,[14]С2.3!E16)</f>
        <v>65637</v>
      </c>
    </row>
    <row r="78" spans="1:3" ht="38.25">
      <c r="A78" s="49" t="s">
        <v>96</v>
      </c>
      <c r="B78" s="59" t="s">
        <v>97</v>
      </c>
      <c r="C78" s="58">
        <f>IF([14]С2.3!E27&gt;0,[14]С2.3!E27,[14]С2.3!E17)</f>
        <v>31684</v>
      </c>
    </row>
    <row r="79" spans="1:3" ht="17.25">
      <c r="A79" s="49" t="s">
        <v>98</v>
      </c>
      <c r="B79" s="27" t="s">
        <v>99</v>
      </c>
      <c r="C79" s="29">
        <f>[14]С2!F29</f>
        <v>0.17804631770487722</v>
      </c>
    </row>
    <row r="80" spans="1:3" ht="30">
      <c r="A80" s="49" t="s">
        <v>100</v>
      </c>
      <c r="B80" s="43" t="s">
        <v>101</v>
      </c>
      <c r="C80" s="60">
        <f>[14]С2!F30</f>
        <v>0.1652189781021898</v>
      </c>
    </row>
    <row r="81" spans="1:3" ht="17.25">
      <c r="A81" s="49" t="s">
        <v>102</v>
      </c>
      <c r="B81" s="61" t="s">
        <v>103</v>
      </c>
      <c r="C81" s="29">
        <f>[14]С2!F31</f>
        <v>0.13880000000000001</v>
      </c>
    </row>
    <row r="82" spans="1:3" s="53" customFormat="1" ht="18" thickBot="1">
      <c r="A82" s="62" t="s">
        <v>104</v>
      </c>
      <c r="B82" s="63" t="s">
        <v>105</v>
      </c>
      <c r="C82" s="64">
        <f>[14]С2!F32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[14]С3!F14</f>
        <v>14780.674721363519</v>
      </c>
    </row>
    <row r="86" spans="1:3" s="53" customFormat="1" ht="42.75">
      <c r="A86" s="67" t="s">
        <v>110</v>
      </c>
      <c r="B86" s="43" t="s">
        <v>111</v>
      </c>
      <c r="C86" s="68">
        <f>[14]С3!F15</f>
        <v>0.25</v>
      </c>
    </row>
    <row r="87" spans="1:3" s="53" customFormat="1" ht="14.25">
      <c r="A87" s="67" t="s">
        <v>112</v>
      </c>
      <c r="B87" s="69" t="s">
        <v>113</v>
      </c>
      <c r="C87" s="52">
        <f>[14]С3!F18</f>
        <v>15</v>
      </c>
    </row>
    <row r="88" spans="1:3" s="53" customFormat="1" ht="17.25">
      <c r="A88" s="67" t="s">
        <v>114</v>
      </c>
      <c r="B88" s="27" t="s">
        <v>115</v>
      </c>
      <c r="C88" s="28">
        <f>[14]С3!F19</f>
        <v>4187.478806422544</v>
      </c>
    </row>
    <row r="89" spans="1:3" s="53" customFormat="1" ht="55.5">
      <c r="A89" s="67" t="s">
        <v>116</v>
      </c>
      <c r="B89" s="43" t="s">
        <v>117</v>
      </c>
      <c r="C89" s="70">
        <f>[14]С3!F20</f>
        <v>2.1999999999999999E-2</v>
      </c>
    </row>
    <row r="90" spans="1:3" s="53" customFormat="1" ht="14.25">
      <c r="A90" s="67" t="s">
        <v>118</v>
      </c>
      <c r="B90" s="48" t="s">
        <v>68</v>
      </c>
      <c r="C90" s="52">
        <f>[14]С3!F21</f>
        <v>10</v>
      </c>
    </row>
    <row r="91" spans="1:3" s="53" customFormat="1" ht="17.25">
      <c r="A91" s="67" t="s">
        <v>119</v>
      </c>
      <c r="B91" s="27" t="s">
        <v>120</v>
      </c>
      <c r="C91" s="28">
        <f>[14]С3!F22</f>
        <v>3.8889327533838998</v>
      </c>
    </row>
    <row r="92" spans="1:3" s="53" customFormat="1" ht="55.5">
      <c r="A92" s="67" t="s">
        <v>121</v>
      </c>
      <c r="B92" s="43" t="s">
        <v>122</v>
      </c>
      <c r="C92" s="70">
        <f>[14]С3!F23</f>
        <v>3.0000000000000001E-3</v>
      </c>
    </row>
    <row r="93" spans="1:3" s="53" customFormat="1" ht="27.75" thickBot="1">
      <c r="A93" s="71" t="s">
        <v>123</v>
      </c>
      <c r="B93" s="72" t="s">
        <v>241</v>
      </c>
      <c r="C93" s="73">
        <f>[14]С3!F24</f>
        <v>1296.3109177946333</v>
      </c>
    </row>
    <row r="94" spans="1:3" ht="13.5" thickBot="1">
      <c r="A94" s="39"/>
      <c r="B94" s="65"/>
      <c r="C94" s="13"/>
    </row>
    <row r="95" spans="1:3" ht="30" customHeight="1">
      <c r="A95" s="74" t="s">
        <v>124</v>
      </c>
      <c r="B95" s="141" t="s">
        <v>125</v>
      </c>
      <c r="C95" s="141"/>
    </row>
    <row r="96" spans="1:3" ht="30">
      <c r="A96" s="49" t="s">
        <v>126</v>
      </c>
      <c r="B96" s="27" t="s">
        <v>242</v>
      </c>
      <c r="C96" s="28">
        <f>[14]С4!F16</f>
        <v>1652.5</v>
      </c>
    </row>
    <row r="97" spans="1:3" ht="30">
      <c r="A97" s="49" t="s">
        <v>127</v>
      </c>
      <c r="B97" s="48" t="s">
        <v>243</v>
      </c>
      <c r="C97" s="28">
        <f>[14]С4!F17</f>
        <v>73547</v>
      </c>
    </row>
    <row r="98" spans="1:3" ht="17.25">
      <c r="A98" s="49" t="s">
        <v>128</v>
      </c>
      <c r="B98" s="48" t="s">
        <v>129</v>
      </c>
      <c r="C98" s="33">
        <f>[14]С4!F18</f>
        <v>0.02</v>
      </c>
    </row>
    <row r="99" spans="1:3" ht="30">
      <c r="A99" s="49" t="s">
        <v>130</v>
      </c>
      <c r="B99" s="48" t="s">
        <v>131</v>
      </c>
      <c r="C99" s="28">
        <f>[14]С4!F19</f>
        <v>12104</v>
      </c>
    </row>
    <row r="100" spans="1:3" ht="31.5">
      <c r="A100" s="49" t="s">
        <v>132</v>
      </c>
      <c r="B100" s="48" t="s">
        <v>133</v>
      </c>
      <c r="C100" s="33">
        <f>[14]С4!F20</f>
        <v>1.4999999999999999E-2</v>
      </c>
    </row>
    <row r="101" spans="1:3" ht="30">
      <c r="A101" s="49" t="s">
        <v>134</v>
      </c>
      <c r="B101" s="27" t="s">
        <v>244</v>
      </c>
      <c r="C101" s="28">
        <f>[14]С4!F21</f>
        <v>1933.1949342509995</v>
      </c>
    </row>
    <row r="102" spans="1:3" ht="24" customHeight="1">
      <c r="A102" s="49" t="s">
        <v>135</v>
      </c>
      <c r="B102" s="43" t="s">
        <v>136</v>
      </c>
      <c r="C102" s="75">
        <f>IF([14]С4.2!F8="да",[14]С4.2!D21,[14]С4.2!D15)</f>
        <v>0</v>
      </c>
    </row>
    <row r="103" spans="1:3" ht="68.25">
      <c r="A103" s="49" t="s">
        <v>137</v>
      </c>
      <c r="B103" s="43" t="s">
        <v>138</v>
      </c>
      <c r="C103" s="28">
        <f>[14]С4!F22</f>
        <v>3.6112641666666665</v>
      </c>
    </row>
    <row r="104" spans="1:3" ht="30">
      <c r="A104" s="49" t="s">
        <v>139</v>
      </c>
      <c r="B104" s="48" t="s">
        <v>245</v>
      </c>
      <c r="C104" s="28">
        <f>[14]С4!F23</f>
        <v>180</v>
      </c>
    </row>
    <row r="105" spans="1:3" ht="14.25">
      <c r="A105" s="49" t="s">
        <v>140</v>
      </c>
      <c r="B105" s="43" t="s">
        <v>141</v>
      </c>
      <c r="C105" s="28">
        <f>[14]С4!F24</f>
        <v>8497.1999999999989</v>
      </c>
    </row>
    <row r="106" spans="1:3" ht="14.25">
      <c r="A106" s="49" t="s">
        <v>142</v>
      </c>
      <c r="B106" s="48" t="s">
        <v>143</v>
      </c>
      <c r="C106" s="33">
        <f>[14]С4!F25</f>
        <v>0.35</v>
      </c>
    </row>
    <row r="107" spans="1:3" ht="17.25">
      <c r="A107" s="49" t="s">
        <v>144</v>
      </c>
      <c r="B107" s="27" t="s">
        <v>145</v>
      </c>
      <c r="C107" s="28">
        <f>[14]С4!F26</f>
        <v>52.289370000000005</v>
      </c>
    </row>
    <row r="108" spans="1:3" ht="25.5">
      <c r="A108" s="49" t="s">
        <v>146</v>
      </c>
      <c r="B108" s="43" t="s">
        <v>78</v>
      </c>
      <c r="C108" s="75">
        <f>[14]С4.3!E16</f>
        <v>0</v>
      </c>
    </row>
    <row r="109" spans="1:3" ht="25.5">
      <c r="A109" s="49" t="s">
        <v>147</v>
      </c>
      <c r="B109" s="43" t="s">
        <v>148</v>
      </c>
      <c r="C109" s="28">
        <f>[14]С4.3!E17</f>
        <v>14.91</v>
      </c>
    </row>
    <row r="110" spans="1:3" ht="38.25">
      <c r="A110" s="49" t="s">
        <v>149</v>
      </c>
      <c r="B110" s="43" t="s">
        <v>90</v>
      </c>
      <c r="C110" s="75">
        <f>[14]С4.3!E18</f>
        <v>0</v>
      </c>
    </row>
    <row r="111" spans="1:3">
      <c r="A111" s="49" t="s">
        <v>150</v>
      </c>
      <c r="B111" s="43" t="s">
        <v>151</v>
      </c>
      <c r="C111" s="28">
        <f>[14]С4.3!E19</f>
        <v>0</v>
      </c>
    </row>
    <row r="112" spans="1:3">
      <c r="A112" s="49" t="s">
        <v>152</v>
      </c>
      <c r="B112" s="48" t="s">
        <v>153</v>
      </c>
      <c r="C112" s="28">
        <f>[14]С4.3!E11</f>
        <v>1871</v>
      </c>
    </row>
    <row r="113" spans="1:3">
      <c r="A113" s="49" t="s">
        <v>154</v>
      </c>
      <c r="B113" s="48" t="s">
        <v>155</v>
      </c>
      <c r="C113" s="42">
        <f>[14]С4.3!E12</f>
        <v>1636</v>
      </c>
    </row>
    <row r="114" spans="1:3">
      <c r="A114" s="49" t="s">
        <v>156</v>
      </c>
      <c r="B114" s="48" t="s">
        <v>157</v>
      </c>
      <c r="C114" s="42">
        <f>[14]С4.3!E13</f>
        <v>204</v>
      </c>
    </row>
    <row r="115" spans="1:3" ht="30">
      <c r="A115" s="49" t="s">
        <v>158</v>
      </c>
      <c r="B115" s="27" t="s">
        <v>246</v>
      </c>
      <c r="C115" s="28">
        <f>[14]С4!F27</f>
        <v>1291.2863994686898</v>
      </c>
    </row>
    <row r="116" spans="1:3" ht="25.5">
      <c r="A116" s="49" t="s">
        <v>159</v>
      </c>
      <c r="B116" s="43" t="s">
        <v>247</v>
      </c>
      <c r="C116" s="28">
        <f>[14]С4!F28</f>
        <v>991.77142816335618</v>
      </c>
    </row>
    <row r="117" spans="1:3" ht="42.75">
      <c r="A117" s="49" t="s">
        <v>160</v>
      </c>
      <c r="B117" s="43" t="s">
        <v>161</v>
      </c>
      <c r="C117" s="28">
        <f>[14]С4!F29</f>
        <v>299.51497130533357</v>
      </c>
    </row>
    <row r="118" spans="1:3" ht="30">
      <c r="A118" s="49" t="s">
        <v>162</v>
      </c>
      <c r="B118" s="32" t="s">
        <v>163</v>
      </c>
      <c r="C118" s="28">
        <f>[14]С4!F30</f>
        <v>2768.6233087160249</v>
      </c>
    </row>
    <row r="119" spans="1:3" ht="42.75">
      <c r="A119" s="49" t="s">
        <v>248</v>
      </c>
      <c r="B119" s="76" t="s">
        <v>249</v>
      </c>
      <c r="C119" s="28">
        <f>[14]С4!F33</f>
        <v>1571.3654593589354</v>
      </c>
    </row>
    <row r="120" spans="1:3" ht="30">
      <c r="A120" s="49" t="s">
        <v>250</v>
      </c>
      <c r="B120" s="121" t="s">
        <v>251</v>
      </c>
      <c r="C120" s="28">
        <f>[14]С4!F35</f>
        <v>17.040680999999999</v>
      </c>
    </row>
    <row r="121" spans="1:3" ht="14.25">
      <c r="A121" s="49" t="s">
        <v>252</v>
      </c>
      <c r="B121" s="46" t="s">
        <v>253</v>
      </c>
      <c r="C121" s="28">
        <f>[14]С4!F36</f>
        <v>14319.9</v>
      </c>
    </row>
    <row r="122" spans="1:3" ht="28.5" thickBot="1">
      <c r="A122" s="62" t="s">
        <v>254</v>
      </c>
      <c r="B122" s="122" t="s">
        <v>255</v>
      </c>
      <c r="C122" s="73">
        <f>[14]С4!F37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[14]С5!F17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[14]С2!F37</f>
        <v>20.818139999999996</v>
      </c>
    </row>
    <row r="136" spans="1:3" ht="14.25">
      <c r="A136" s="49" t="s">
        <v>183</v>
      </c>
      <c r="B136" s="128" t="s">
        <v>184</v>
      </c>
      <c r="C136" s="28">
        <f>[14]С2!F38</f>
        <v>7</v>
      </c>
    </row>
    <row r="137" spans="1:3" ht="17.25">
      <c r="A137" s="49" t="s">
        <v>185</v>
      </c>
      <c r="B137" s="128" t="s">
        <v>186</v>
      </c>
      <c r="C137" s="28">
        <f>[14]С2!F40</f>
        <v>0.97</v>
      </c>
    </row>
    <row r="138" spans="1:3" ht="15" thickBot="1">
      <c r="A138" s="62" t="s">
        <v>187</v>
      </c>
      <c r="B138" s="129" t="s">
        <v>188</v>
      </c>
      <c r="C138" s="38">
        <f>[14]С2!F42</f>
        <v>0.35</v>
      </c>
    </row>
    <row r="139" spans="1:3" s="77" customFormat="1" ht="13.5" thickBot="1">
      <c r="A139" s="39"/>
      <c r="B139" s="65"/>
      <c r="C139" s="13"/>
    </row>
    <row r="140" spans="1:3" ht="30">
      <c r="A140" s="74" t="s">
        <v>189</v>
      </c>
      <c r="B140" s="84" t="s">
        <v>258</v>
      </c>
      <c r="C140" s="130">
        <f>[14]С2!F35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[14]С2.5!$E$11</f>
        <v>-2.9000000000000026E-2</v>
      </c>
    </row>
    <row r="144" spans="1:3">
      <c r="A144" s="85"/>
      <c r="B144" s="86">
        <f>B143+1</f>
        <v>2021</v>
      </c>
      <c r="C144" s="135">
        <f>[14]С2.5!$F$11</f>
        <v>0.245</v>
      </c>
    </row>
    <row r="145" spans="1:3">
      <c r="A145" s="85"/>
      <c r="B145" s="86">
        <f t="shared" ref="B145:B208" si="0">B144+1</f>
        <v>2022</v>
      </c>
      <c r="C145" s="135">
        <f>[14]С2.5!$G$11</f>
        <v>0.114</v>
      </c>
    </row>
    <row r="146" spans="1:3" ht="13.5" thickBot="1">
      <c r="A146" s="85"/>
      <c r="B146" s="87">
        <f t="shared" si="0"/>
        <v>2023</v>
      </c>
      <c r="C146" s="136">
        <f>[14]С2.5!$H$11</f>
        <v>0.04</v>
      </c>
    </row>
    <row r="147" spans="1:3">
      <c r="A147" s="85"/>
      <c r="B147" s="137">
        <f t="shared" si="0"/>
        <v>2024</v>
      </c>
      <c r="C147" s="138">
        <f>[14]С2.5!$I$11</f>
        <v>0.11700000000000001</v>
      </c>
    </row>
    <row r="148" spans="1:3">
      <c r="A148" s="85"/>
      <c r="B148" s="86">
        <f t="shared" si="0"/>
        <v>2025</v>
      </c>
      <c r="C148" s="135">
        <f>[14]С2.5!$J$11</f>
        <v>6.0999999999999999E-2</v>
      </c>
    </row>
    <row r="149" spans="1:3" hidden="1">
      <c r="A149" s="85"/>
      <c r="B149" s="86">
        <f t="shared" si="0"/>
        <v>2026</v>
      </c>
      <c r="C149" s="135">
        <f>[14]С2.5!$K$11</f>
        <v>3.5813361771260002E-2</v>
      </c>
    </row>
    <row r="150" spans="1:3" hidden="1">
      <c r="A150" s="85"/>
      <c r="B150" s="86">
        <f t="shared" si="0"/>
        <v>2027</v>
      </c>
      <c r="C150" s="135">
        <f>[14]С2.5!$L$11</f>
        <v>3.2682303599220003E-2</v>
      </c>
    </row>
    <row r="151" spans="1:3" hidden="1">
      <c r="A151" s="85"/>
      <c r="B151" s="86">
        <f t="shared" si="0"/>
        <v>2028</v>
      </c>
      <c r="C151" s="135">
        <f>[14]С2.5!$M$11</f>
        <v>0</v>
      </c>
    </row>
    <row r="152" spans="1:3" hidden="1">
      <c r="A152" s="85"/>
      <c r="B152" s="86">
        <f t="shared" si="0"/>
        <v>2029</v>
      </c>
      <c r="C152" s="135">
        <f>[14]С2.5!$N$11</f>
        <v>0</v>
      </c>
    </row>
    <row r="153" spans="1:3" hidden="1">
      <c r="A153" s="85"/>
      <c r="B153" s="86">
        <f t="shared" si="0"/>
        <v>2030</v>
      </c>
      <c r="C153" s="135">
        <f>[14]С2.5!$O$11</f>
        <v>0</v>
      </c>
    </row>
    <row r="154" spans="1:3" hidden="1">
      <c r="A154" s="85"/>
      <c r="B154" s="86">
        <f t="shared" si="0"/>
        <v>2031</v>
      </c>
      <c r="C154" s="135">
        <f>[14]С2.5!$P$11</f>
        <v>0</v>
      </c>
    </row>
    <row r="155" spans="1:3" hidden="1">
      <c r="A155" s="77"/>
      <c r="B155" s="86">
        <f t="shared" si="0"/>
        <v>2032</v>
      </c>
      <c r="C155" s="135">
        <f>[14]С2.5!$Q$11</f>
        <v>0</v>
      </c>
    </row>
    <row r="156" spans="1:3" hidden="1">
      <c r="A156" s="77"/>
      <c r="B156" s="86">
        <f t="shared" si="0"/>
        <v>2033</v>
      </c>
      <c r="C156" s="135">
        <f>[14]С2.5!$R$11</f>
        <v>0</v>
      </c>
    </row>
    <row r="157" spans="1:3" hidden="1">
      <c r="B157" s="86">
        <f t="shared" si="0"/>
        <v>2034</v>
      </c>
      <c r="C157" s="135">
        <f>[14]С2.5!$S$11</f>
        <v>0</v>
      </c>
    </row>
    <row r="158" spans="1:3" hidden="1">
      <c r="B158" s="86">
        <f t="shared" si="0"/>
        <v>2035</v>
      </c>
      <c r="C158" s="135">
        <f>[14]С2.5!$T$11</f>
        <v>0</v>
      </c>
    </row>
    <row r="159" spans="1:3" hidden="1">
      <c r="B159" s="86">
        <f t="shared" si="0"/>
        <v>2036</v>
      </c>
      <c r="C159" s="135">
        <f>[14]С2.5!$U$11</f>
        <v>0</v>
      </c>
    </row>
    <row r="160" spans="1:3" hidden="1">
      <c r="B160" s="86">
        <f t="shared" si="0"/>
        <v>2037</v>
      </c>
      <c r="C160" s="135">
        <f>[14]С2.5!$V$11</f>
        <v>0</v>
      </c>
    </row>
    <row r="161" spans="2:3" hidden="1">
      <c r="B161" s="86">
        <f t="shared" si="0"/>
        <v>2038</v>
      </c>
      <c r="C161" s="135">
        <f>[14]С2.5!$W$11</f>
        <v>0</v>
      </c>
    </row>
    <row r="162" spans="2:3" hidden="1">
      <c r="B162" s="86">
        <f t="shared" si="0"/>
        <v>2039</v>
      </c>
      <c r="C162" s="135">
        <f>[14]С2.5!$X$11</f>
        <v>0</v>
      </c>
    </row>
    <row r="163" spans="2:3" hidden="1">
      <c r="B163" s="86">
        <f t="shared" si="0"/>
        <v>2040</v>
      </c>
      <c r="C163" s="135">
        <f>[14]С2.5!$Y$11</f>
        <v>0</v>
      </c>
    </row>
    <row r="164" spans="2:3" hidden="1">
      <c r="B164" s="86">
        <f t="shared" si="0"/>
        <v>2041</v>
      </c>
      <c r="C164" s="135">
        <f>[14]С2.5!$Z$11</f>
        <v>0</v>
      </c>
    </row>
    <row r="165" spans="2:3" hidden="1">
      <c r="B165" s="86">
        <f t="shared" si="0"/>
        <v>2042</v>
      </c>
      <c r="C165" s="135">
        <f>[14]С2.5!$AA$11</f>
        <v>0</v>
      </c>
    </row>
    <row r="166" spans="2:3" hidden="1">
      <c r="B166" s="86">
        <f t="shared" si="0"/>
        <v>2043</v>
      </c>
      <c r="C166" s="135">
        <f>[14]С2.5!$AB$11</f>
        <v>0</v>
      </c>
    </row>
    <row r="167" spans="2:3" hidden="1">
      <c r="B167" s="86">
        <f t="shared" si="0"/>
        <v>2044</v>
      </c>
      <c r="C167" s="135">
        <f>[14]С2.5!$AC$11</f>
        <v>0</v>
      </c>
    </row>
    <row r="168" spans="2:3" hidden="1">
      <c r="B168" s="86">
        <f t="shared" si="0"/>
        <v>2045</v>
      </c>
      <c r="C168" s="135">
        <f>[14]С2.5!$AD$11</f>
        <v>0</v>
      </c>
    </row>
    <row r="169" spans="2:3" hidden="1">
      <c r="B169" s="86">
        <f t="shared" si="0"/>
        <v>2046</v>
      </c>
      <c r="C169" s="135">
        <f>[14]С2.5!$AE$11</f>
        <v>0</v>
      </c>
    </row>
    <row r="170" spans="2:3" hidden="1">
      <c r="B170" s="86">
        <f t="shared" si="0"/>
        <v>2047</v>
      </c>
      <c r="C170" s="135">
        <f>[14]С2.5!$AF$11</f>
        <v>0</v>
      </c>
    </row>
    <row r="171" spans="2:3" hidden="1">
      <c r="B171" s="86">
        <f t="shared" si="0"/>
        <v>2048</v>
      </c>
      <c r="C171" s="135">
        <f>[14]С2.5!$AG$11</f>
        <v>0</v>
      </c>
    </row>
    <row r="172" spans="2:3" hidden="1">
      <c r="B172" s="86">
        <f t="shared" si="0"/>
        <v>2049</v>
      </c>
      <c r="C172" s="135">
        <f>[14]С2.5!$AH$11</f>
        <v>0</v>
      </c>
    </row>
    <row r="173" spans="2:3" hidden="1">
      <c r="B173" s="86">
        <f t="shared" si="0"/>
        <v>2050</v>
      </c>
      <c r="C173" s="135">
        <f>[14]С2.5!$AI$11</f>
        <v>0</v>
      </c>
    </row>
    <row r="174" spans="2:3" hidden="1">
      <c r="B174" s="86">
        <f t="shared" si="0"/>
        <v>2051</v>
      </c>
      <c r="C174" s="135">
        <f>[14]С2.5!$AJ$11</f>
        <v>0</v>
      </c>
    </row>
    <row r="175" spans="2:3" hidden="1">
      <c r="B175" s="86">
        <f t="shared" si="0"/>
        <v>2052</v>
      </c>
      <c r="C175" s="135">
        <f>[14]С2.5!$AK$11</f>
        <v>0</v>
      </c>
    </row>
    <row r="176" spans="2:3" hidden="1">
      <c r="B176" s="86">
        <f t="shared" si="0"/>
        <v>2053</v>
      </c>
      <c r="C176" s="135">
        <f>[14]С2.5!$AL$11</f>
        <v>0</v>
      </c>
    </row>
    <row r="177" spans="2:3" hidden="1">
      <c r="B177" s="86">
        <f t="shared" si="0"/>
        <v>2054</v>
      </c>
      <c r="C177" s="135">
        <f>[14]С2.5!$AM$11</f>
        <v>0</v>
      </c>
    </row>
    <row r="178" spans="2:3" hidden="1">
      <c r="B178" s="86">
        <f t="shared" si="0"/>
        <v>2055</v>
      </c>
      <c r="C178" s="135">
        <f>[14]С2.5!$AN$11</f>
        <v>0</v>
      </c>
    </row>
    <row r="179" spans="2:3" hidden="1">
      <c r="B179" s="86">
        <f t="shared" si="0"/>
        <v>2056</v>
      </c>
      <c r="C179" s="135">
        <f>[14]С2.5!$AO$11</f>
        <v>0</v>
      </c>
    </row>
    <row r="180" spans="2:3" hidden="1">
      <c r="B180" s="86">
        <f t="shared" si="0"/>
        <v>2057</v>
      </c>
      <c r="C180" s="135">
        <f>[14]С2.5!$AP$11</f>
        <v>0</v>
      </c>
    </row>
    <row r="181" spans="2:3" hidden="1">
      <c r="B181" s="86">
        <f t="shared" si="0"/>
        <v>2058</v>
      </c>
      <c r="C181" s="135">
        <f>[14]С2.5!$AQ$11</f>
        <v>0</v>
      </c>
    </row>
    <row r="182" spans="2:3" hidden="1">
      <c r="B182" s="86">
        <f t="shared" si="0"/>
        <v>2059</v>
      </c>
      <c r="C182" s="135">
        <f>[14]С2.5!$AR$11</f>
        <v>0</v>
      </c>
    </row>
    <row r="183" spans="2:3" hidden="1">
      <c r="B183" s="86">
        <f t="shared" si="0"/>
        <v>2060</v>
      </c>
      <c r="C183" s="135">
        <f>[14]С2.5!$AS$11</f>
        <v>0</v>
      </c>
    </row>
    <row r="184" spans="2:3" hidden="1">
      <c r="B184" s="86">
        <f t="shared" si="0"/>
        <v>2061</v>
      </c>
      <c r="C184" s="135">
        <f>[14]С2.5!$AT$11</f>
        <v>0</v>
      </c>
    </row>
    <row r="185" spans="2:3" hidden="1">
      <c r="B185" s="86">
        <f t="shared" si="0"/>
        <v>2062</v>
      </c>
      <c r="C185" s="135">
        <f>[14]С2.5!$AU$11</f>
        <v>0</v>
      </c>
    </row>
    <row r="186" spans="2:3" hidden="1">
      <c r="B186" s="86">
        <f t="shared" si="0"/>
        <v>2063</v>
      </c>
      <c r="C186" s="135">
        <f>[14]С2.5!$AV$11</f>
        <v>0</v>
      </c>
    </row>
    <row r="187" spans="2:3" hidden="1">
      <c r="B187" s="86">
        <f t="shared" si="0"/>
        <v>2064</v>
      </c>
      <c r="C187" s="135">
        <f>[14]С2.5!$AW$11</f>
        <v>0</v>
      </c>
    </row>
    <row r="188" spans="2:3" hidden="1">
      <c r="B188" s="86">
        <f t="shared" si="0"/>
        <v>2065</v>
      </c>
      <c r="C188" s="135">
        <f>[14]С2.5!$AX$11</f>
        <v>0</v>
      </c>
    </row>
    <row r="189" spans="2:3" hidden="1">
      <c r="B189" s="86">
        <f t="shared" si="0"/>
        <v>2066</v>
      </c>
      <c r="C189" s="135">
        <f>[14]С2.5!$AY$11</f>
        <v>0</v>
      </c>
    </row>
    <row r="190" spans="2:3" hidden="1">
      <c r="B190" s="86">
        <f t="shared" si="0"/>
        <v>2067</v>
      </c>
      <c r="C190" s="135">
        <f>[14]С2.5!$AZ$11</f>
        <v>0</v>
      </c>
    </row>
    <row r="191" spans="2:3" hidden="1">
      <c r="B191" s="86">
        <f t="shared" si="0"/>
        <v>2068</v>
      </c>
      <c r="C191" s="135">
        <f>[14]С2.5!$BA$11</f>
        <v>0</v>
      </c>
    </row>
    <row r="192" spans="2:3" hidden="1">
      <c r="B192" s="86">
        <f t="shared" si="0"/>
        <v>2069</v>
      </c>
      <c r="C192" s="135">
        <f>[14]С2.5!$BB$11</f>
        <v>0</v>
      </c>
    </row>
    <row r="193" spans="2:3" hidden="1">
      <c r="B193" s="86">
        <f t="shared" si="0"/>
        <v>2070</v>
      </c>
      <c r="C193" s="135">
        <f>[14]С2.5!$BC$11</f>
        <v>0</v>
      </c>
    </row>
    <row r="194" spans="2:3" hidden="1">
      <c r="B194" s="86">
        <f t="shared" si="0"/>
        <v>2071</v>
      </c>
      <c r="C194" s="135">
        <f>[14]С2.5!$BD$11</f>
        <v>0</v>
      </c>
    </row>
    <row r="195" spans="2:3" hidden="1">
      <c r="B195" s="86">
        <f t="shared" si="0"/>
        <v>2072</v>
      </c>
      <c r="C195" s="135">
        <f>[14]С2.5!$BE$11</f>
        <v>0</v>
      </c>
    </row>
    <row r="196" spans="2:3" hidden="1">
      <c r="B196" s="86">
        <f t="shared" si="0"/>
        <v>2073</v>
      </c>
      <c r="C196" s="135">
        <f>[14]С2.5!$BF$11</f>
        <v>0</v>
      </c>
    </row>
    <row r="197" spans="2:3" hidden="1">
      <c r="B197" s="86">
        <f t="shared" si="0"/>
        <v>2074</v>
      </c>
      <c r="C197" s="135">
        <f>[14]С2.5!$BG$11</f>
        <v>0</v>
      </c>
    </row>
    <row r="198" spans="2:3" hidden="1">
      <c r="B198" s="86">
        <f t="shared" si="0"/>
        <v>2075</v>
      </c>
      <c r="C198" s="135">
        <f>[14]С2.5!$BH$11</f>
        <v>0</v>
      </c>
    </row>
    <row r="199" spans="2:3" hidden="1">
      <c r="B199" s="86">
        <f t="shared" si="0"/>
        <v>2076</v>
      </c>
      <c r="C199" s="135">
        <f>[14]С2.5!$BI$11</f>
        <v>0</v>
      </c>
    </row>
    <row r="200" spans="2:3" hidden="1">
      <c r="B200" s="86">
        <f t="shared" si="0"/>
        <v>2077</v>
      </c>
      <c r="C200" s="135">
        <f>[14]С2.5!$BJ$11</f>
        <v>0</v>
      </c>
    </row>
    <row r="201" spans="2:3" hidden="1">
      <c r="B201" s="86">
        <f t="shared" si="0"/>
        <v>2078</v>
      </c>
      <c r="C201" s="135">
        <f>[14]С2.5!$BK$11</f>
        <v>0</v>
      </c>
    </row>
    <row r="202" spans="2:3" hidden="1">
      <c r="B202" s="86">
        <f t="shared" si="0"/>
        <v>2079</v>
      </c>
      <c r="C202" s="135">
        <f>[14]С2.5!$BL$11</f>
        <v>0</v>
      </c>
    </row>
    <row r="203" spans="2:3" hidden="1">
      <c r="B203" s="86">
        <f t="shared" si="0"/>
        <v>2080</v>
      </c>
      <c r="C203" s="135">
        <f>[14]С2.5!$BM$11</f>
        <v>0</v>
      </c>
    </row>
    <row r="204" spans="2:3" hidden="1">
      <c r="B204" s="86">
        <f t="shared" si="0"/>
        <v>2081</v>
      </c>
      <c r="C204" s="135">
        <f>[14]С2.5!$BN$11</f>
        <v>0</v>
      </c>
    </row>
    <row r="205" spans="2:3" hidden="1">
      <c r="B205" s="86">
        <f t="shared" si="0"/>
        <v>2082</v>
      </c>
      <c r="C205" s="135">
        <f>[14]С2.5!$BO$11</f>
        <v>0</v>
      </c>
    </row>
    <row r="206" spans="2:3" hidden="1">
      <c r="B206" s="86">
        <f t="shared" si="0"/>
        <v>2083</v>
      </c>
      <c r="C206" s="135">
        <f>[14]С2.5!$BP$11</f>
        <v>0</v>
      </c>
    </row>
    <row r="207" spans="2:3" hidden="1">
      <c r="B207" s="86">
        <f t="shared" si="0"/>
        <v>2084</v>
      </c>
      <c r="C207" s="135">
        <f>[14]С2.5!$BQ$11</f>
        <v>0</v>
      </c>
    </row>
    <row r="208" spans="2:3" hidden="1">
      <c r="B208" s="86">
        <f t="shared" si="0"/>
        <v>2085</v>
      </c>
      <c r="C208" s="135">
        <f>[14]С2.5!$BR$11</f>
        <v>0</v>
      </c>
    </row>
    <row r="209" spans="2:3" hidden="1">
      <c r="B209" s="86">
        <f t="shared" ref="B209:B223" si="1">B208+1</f>
        <v>2086</v>
      </c>
      <c r="C209" s="135">
        <f>[14]С2.5!$BS$11</f>
        <v>0</v>
      </c>
    </row>
    <row r="210" spans="2:3" hidden="1">
      <c r="B210" s="86">
        <f t="shared" si="1"/>
        <v>2087</v>
      </c>
      <c r="C210" s="135">
        <f>[14]С2.5!$BT$11</f>
        <v>0</v>
      </c>
    </row>
    <row r="211" spans="2:3" hidden="1">
      <c r="B211" s="86">
        <f t="shared" si="1"/>
        <v>2088</v>
      </c>
      <c r="C211" s="135">
        <f>[14]С2.5!$BU$11</f>
        <v>0</v>
      </c>
    </row>
    <row r="212" spans="2:3" hidden="1">
      <c r="B212" s="86">
        <f t="shared" si="1"/>
        <v>2089</v>
      </c>
      <c r="C212" s="135">
        <f>[14]С2.5!$BV$11</f>
        <v>0</v>
      </c>
    </row>
    <row r="213" spans="2:3" hidden="1">
      <c r="B213" s="86">
        <f t="shared" si="1"/>
        <v>2090</v>
      </c>
      <c r="C213" s="135">
        <f>[14]С2.5!$BW$11</f>
        <v>0</v>
      </c>
    </row>
    <row r="214" spans="2:3" hidden="1">
      <c r="B214" s="86">
        <f t="shared" si="1"/>
        <v>2091</v>
      </c>
      <c r="C214" s="135">
        <f>[14]С2.5!$BX$11</f>
        <v>0</v>
      </c>
    </row>
    <row r="215" spans="2:3" hidden="1">
      <c r="B215" s="86">
        <f t="shared" si="1"/>
        <v>2092</v>
      </c>
      <c r="C215" s="135">
        <f>[14]С2.5!$BY$11</f>
        <v>0</v>
      </c>
    </row>
    <row r="216" spans="2:3" hidden="1">
      <c r="B216" s="86">
        <f t="shared" si="1"/>
        <v>2093</v>
      </c>
      <c r="C216" s="135">
        <f>[14]С2.5!$BZ$11</f>
        <v>0</v>
      </c>
    </row>
    <row r="217" spans="2:3" hidden="1">
      <c r="B217" s="86">
        <f t="shared" si="1"/>
        <v>2094</v>
      </c>
      <c r="C217" s="135">
        <f>[14]С2.5!$CA$11</f>
        <v>0</v>
      </c>
    </row>
    <row r="218" spans="2:3" hidden="1">
      <c r="B218" s="86">
        <f t="shared" si="1"/>
        <v>2095</v>
      </c>
      <c r="C218" s="135">
        <f>[14]С2.5!$CB$11</f>
        <v>0</v>
      </c>
    </row>
    <row r="219" spans="2:3" hidden="1">
      <c r="B219" s="86">
        <f t="shared" si="1"/>
        <v>2096</v>
      </c>
      <c r="C219" s="135">
        <f>[14]С2.5!$CC$11</f>
        <v>0</v>
      </c>
    </row>
    <row r="220" spans="2:3" hidden="1">
      <c r="B220" s="86">
        <f t="shared" si="1"/>
        <v>2097</v>
      </c>
      <c r="C220" s="135">
        <f>[14]С2.5!$CD$11</f>
        <v>0</v>
      </c>
    </row>
    <row r="221" spans="2:3" hidden="1">
      <c r="B221" s="86">
        <f t="shared" si="1"/>
        <v>2098</v>
      </c>
      <c r="C221" s="135">
        <f>[14]С2.5!$CE$11</f>
        <v>0</v>
      </c>
    </row>
    <row r="222" spans="2:3" hidden="1">
      <c r="B222" s="86">
        <f t="shared" si="1"/>
        <v>2099</v>
      </c>
      <c r="C222" s="135">
        <f>[14]С2.5!$CF$11</f>
        <v>0</v>
      </c>
    </row>
    <row r="223" spans="2:3" ht="13.5" hidden="1" thickBot="1">
      <c r="B223" s="87">
        <f t="shared" si="1"/>
        <v>2100</v>
      </c>
      <c r="C223" s="136">
        <f>[14]С2.5!$CG$11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[15]И1!D13</f>
        <v>Субъект Российской Федерации</v>
      </c>
      <c r="C4" s="8" t="str">
        <f>[15]И1!E13</f>
        <v>Новосибирская область</v>
      </c>
    </row>
    <row r="5" spans="1:3" ht="46.9" customHeight="1">
      <c r="A5" s="6"/>
      <c r="B5" s="7" t="str">
        <f>[15]И1!D14</f>
        <v>Тип муниципального образования (выберите из списка)</v>
      </c>
      <c r="C5" s="8" t="str">
        <f>[15]И1!E14</f>
        <v>село Новодубровское, Убинский муниципальный район</v>
      </c>
    </row>
    <row r="6" spans="1:3">
      <c r="A6" s="6"/>
      <c r="B6" s="7" t="str">
        <f>IF([15]И1!E15="","",[15]И1!D15)</f>
        <v/>
      </c>
      <c r="C6" s="8" t="str">
        <f>IF([15]И1!E15="","",[15]И1!E15)</f>
        <v/>
      </c>
    </row>
    <row r="7" spans="1:3">
      <c r="A7" s="6"/>
      <c r="B7" s="7" t="str">
        <f>[15]И1!D16</f>
        <v>Код ОКТМО</v>
      </c>
      <c r="C7" s="9" t="str">
        <f>[15]И1!E16</f>
        <v>50654428101</v>
      </c>
    </row>
    <row r="8" spans="1:3">
      <c r="A8" s="6"/>
      <c r="B8" s="10" t="str">
        <f>[15]И1!D17</f>
        <v>Система теплоснабжения</v>
      </c>
      <c r="C8" s="11">
        <f>[15]И1!E17</f>
        <v>0</v>
      </c>
    </row>
    <row r="9" spans="1:3">
      <c r="A9" s="6"/>
      <c r="B9" s="7" t="str">
        <f>[15]И1!D8</f>
        <v>Период регулирования (i)-й</v>
      </c>
      <c r="C9" s="12">
        <f>[15]И1!E8</f>
        <v>2025</v>
      </c>
    </row>
    <row r="10" spans="1:3">
      <c r="A10" s="6"/>
      <c r="B10" s="7" t="str">
        <f>[15]И1!D9</f>
        <v>Период регулирования (i-1)-й</v>
      </c>
      <c r="C10" s="12">
        <f>[15]И1!E9</f>
        <v>2024</v>
      </c>
    </row>
    <row r="11" spans="1:3">
      <c r="A11" s="6"/>
      <c r="B11" s="7" t="str">
        <f>[15]И1!D10</f>
        <v>Период регулирования (i-2)-й</v>
      </c>
      <c r="C11" s="12">
        <f>[15]И1!E10</f>
        <v>2023</v>
      </c>
    </row>
    <row r="12" spans="1:3">
      <c r="A12" s="6"/>
      <c r="B12" s="7" t="str">
        <f>[15]И1!D11</f>
        <v>Базовый год (б)</v>
      </c>
      <c r="C12" s="12">
        <f>[15]И1!E11</f>
        <v>2019</v>
      </c>
    </row>
    <row r="13" spans="1:3" ht="38.25">
      <c r="A13" s="6"/>
      <c r="B13" s="7" t="str">
        <f>[15]И1!D18</f>
        <v>Вид топлива, использование которого преобладает в системе теплоснабжения</v>
      </c>
      <c r="C13" s="13" t="str">
        <f>[15]С1.1!E13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5495.0510567495667</v>
      </c>
    </row>
    <row r="18" spans="1:3" ht="42.75">
      <c r="A18" s="16" t="s">
        <v>7</v>
      </c>
      <c r="B18" s="19" t="s">
        <v>8</v>
      </c>
      <c r="C18" s="20">
        <f>[15]С1!F12</f>
        <v>915.61778343972514</v>
      </c>
    </row>
    <row r="19" spans="1:3" ht="42.75">
      <c r="A19" s="16" t="s">
        <v>9</v>
      </c>
      <c r="B19" s="19" t="s">
        <v>10</v>
      </c>
      <c r="C19" s="20">
        <f>[15]С2!F12</f>
        <v>3044.269023973251</v>
      </c>
    </row>
    <row r="20" spans="1:3" ht="30">
      <c r="A20" s="16" t="s">
        <v>11</v>
      </c>
      <c r="B20" s="19" t="s">
        <v>12</v>
      </c>
      <c r="C20" s="20">
        <f>[15]С3!F12</f>
        <v>911.32264748625244</v>
      </c>
    </row>
    <row r="21" spans="1:3" ht="42.75">
      <c r="A21" s="16" t="s">
        <v>13</v>
      </c>
      <c r="B21" s="19" t="s">
        <v>226</v>
      </c>
      <c r="C21" s="20">
        <f>[15]С4!F12</f>
        <v>516.09550269838678</v>
      </c>
    </row>
    <row r="22" spans="1:3" ht="30">
      <c r="A22" s="16" t="s">
        <v>14</v>
      </c>
      <c r="B22" s="19" t="s">
        <v>227</v>
      </c>
      <c r="C22" s="20">
        <f>[15]С5!F12</f>
        <v>107.74609915195229</v>
      </c>
    </row>
    <row r="23" spans="1:3" ht="43.5" thickBot="1">
      <c r="A23" s="21" t="s">
        <v>15</v>
      </c>
      <c r="B23" s="140" t="s">
        <v>228</v>
      </c>
      <c r="C23" s="22" t="str">
        <f>[15]С6!F12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[15]С1.1!E16</f>
        <v>5100</v>
      </c>
    </row>
    <row r="29" spans="1:3" ht="42.75">
      <c r="A29" s="16" t="s">
        <v>9</v>
      </c>
      <c r="B29" s="27" t="s">
        <v>230</v>
      </c>
      <c r="C29" s="28">
        <f>[15]С1.1!E27</f>
        <v>3302.8666666666668</v>
      </c>
    </row>
    <row r="30" spans="1:3" ht="17.25">
      <c r="A30" s="16" t="s">
        <v>11</v>
      </c>
      <c r="B30" s="27" t="s">
        <v>17</v>
      </c>
      <c r="C30" s="29">
        <f>[15]С1.1!E19</f>
        <v>1.4E-2</v>
      </c>
    </row>
    <row r="31" spans="1:3" ht="17.25">
      <c r="A31" s="16" t="s">
        <v>13</v>
      </c>
      <c r="B31" s="27" t="s">
        <v>18</v>
      </c>
      <c r="C31" s="29">
        <f>[15]С1.1!E20</f>
        <v>0.04</v>
      </c>
    </row>
    <row r="32" spans="1:3" ht="30">
      <c r="A32" s="16" t="s">
        <v>14</v>
      </c>
      <c r="B32" s="30" t="s">
        <v>231</v>
      </c>
      <c r="C32" s="117">
        <f>[15]С1!F13</f>
        <v>176.4</v>
      </c>
    </row>
    <row r="33" spans="1:3">
      <c r="A33" s="16" t="s">
        <v>15</v>
      </c>
      <c r="B33" s="30" t="s">
        <v>19</v>
      </c>
      <c r="C33" s="31">
        <f>[15]С1!F16</f>
        <v>7000</v>
      </c>
    </row>
    <row r="34" spans="1:3" ht="14.25">
      <c r="A34" s="16" t="s">
        <v>20</v>
      </c>
      <c r="B34" s="32" t="s">
        <v>232</v>
      </c>
      <c r="C34" s="33">
        <f>[15]С1!F17</f>
        <v>0.72857142857142854</v>
      </c>
    </row>
    <row r="35" spans="1:3" ht="15.75">
      <c r="A35" s="118" t="s">
        <v>21</v>
      </c>
      <c r="B35" s="34" t="s">
        <v>22</v>
      </c>
      <c r="C35" s="33">
        <f>[15]С1!F20</f>
        <v>21.588411179999994</v>
      </c>
    </row>
    <row r="36" spans="1:3" ht="15.75">
      <c r="A36" s="118" t="s">
        <v>23</v>
      </c>
      <c r="B36" s="35" t="s">
        <v>24</v>
      </c>
      <c r="C36" s="33">
        <f>[15]С1!F21</f>
        <v>20.818139999999996</v>
      </c>
    </row>
    <row r="37" spans="1:3" ht="14.25">
      <c r="A37" s="118" t="s">
        <v>25</v>
      </c>
      <c r="B37" s="36" t="s">
        <v>26</v>
      </c>
      <c r="C37" s="33">
        <f>[15]С1!F22</f>
        <v>1.0369999999999999</v>
      </c>
    </row>
    <row r="38" spans="1:3" ht="53.25" thickBot="1">
      <c r="A38" s="21" t="s">
        <v>27</v>
      </c>
      <c r="B38" s="37" t="s">
        <v>28</v>
      </c>
      <c r="C38" s="38">
        <f>[15]С1!F23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[15]С2.1!E12</f>
        <v>V</v>
      </c>
    </row>
    <row r="42" spans="1:3" ht="25.5">
      <c r="A42" s="16" t="s">
        <v>33</v>
      </c>
      <c r="B42" s="27" t="s">
        <v>34</v>
      </c>
      <c r="C42" s="41" t="str">
        <f>[15]С2.1!E13</f>
        <v>6 и менее баллов</v>
      </c>
    </row>
    <row r="43" spans="1:3" ht="25.5">
      <c r="A43" s="16" t="s">
        <v>35</v>
      </c>
      <c r="B43" s="27" t="s">
        <v>233</v>
      </c>
      <c r="C43" s="41" t="str">
        <f>[15]С2.1!E14</f>
        <v>от 200 до 500</v>
      </c>
    </row>
    <row r="44" spans="1:3" ht="25.5">
      <c r="A44" s="16" t="s">
        <v>36</v>
      </c>
      <c r="B44" s="27" t="s">
        <v>234</v>
      </c>
      <c r="C44" s="42" t="str">
        <f>[15]С2.1!E15</f>
        <v>нет</v>
      </c>
    </row>
    <row r="45" spans="1:3" ht="30">
      <c r="A45" s="16" t="s">
        <v>37</v>
      </c>
      <c r="B45" s="27" t="s">
        <v>38</v>
      </c>
      <c r="C45" s="28">
        <f>[15]С2!F18</f>
        <v>38910.02669467502</v>
      </c>
    </row>
    <row r="46" spans="1:3" ht="30">
      <c r="A46" s="16" t="s">
        <v>39</v>
      </c>
      <c r="B46" s="43" t="s">
        <v>40</v>
      </c>
      <c r="C46" s="28">
        <f>IF([15]С2!F19&gt;0,[15]С2!F19,[15]С2!F20)</f>
        <v>23441.524932855718</v>
      </c>
    </row>
    <row r="47" spans="1:3" ht="25.5">
      <c r="A47" s="16" t="s">
        <v>41</v>
      </c>
      <c r="B47" s="44" t="s">
        <v>42</v>
      </c>
      <c r="C47" s="28">
        <f>[15]С2.1!E19</f>
        <v>-38</v>
      </c>
    </row>
    <row r="48" spans="1:3" ht="25.5">
      <c r="A48" s="16" t="s">
        <v>43</v>
      </c>
      <c r="B48" s="44" t="s">
        <v>44</v>
      </c>
      <c r="C48" s="28" t="str">
        <f>[15]С2.1!E22</f>
        <v>нет</v>
      </c>
    </row>
    <row r="49" spans="1:3" ht="38.25">
      <c r="A49" s="16" t="s">
        <v>45</v>
      </c>
      <c r="B49" s="45" t="s">
        <v>46</v>
      </c>
      <c r="C49" s="28">
        <f>[15]С2.2!E10</f>
        <v>1287</v>
      </c>
    </row>
    <row r="50" spans="1:3" ht="25.5">
      <c r="A50" s="16" t="s">
        <v>47</v>
      </c>
      <c r="B50" s="46" t="s">
        <v>48</v>
      </c>
      <c r="C50" s="28">
        <f>[15]С2.2!E12</f>
        <v>5.97</v>
      </c>
    </row>
    <row r="51" spans="1:3" ht="52.5">
      <c r="A51" s="16" t="s">
        <v>49</v>
      </c>
      <c r="B51" s="47" t="s">
        <v>50</v>
      </c>
      <c r="C51" s="28">
        <f>[15]С2.2!E13</f>
        <v>1</v>
      </c>
    </row>
    <row r="52" spans="1:3" ht="27.75">
      <c r="A52" s="16" t="s">
        <v>51</v>
      </c>
      <c r="B52" s="46" t="s">
        <v>52</v>
      </c>
      <c r="C52" s="28">
        <f>[15]С2.2!E14</f>
        <v>12104</v>
      </c>
    </row>
    <row r="53" spans="1:3" ht="25.5">
      <c r="A53" s="16" t="s">
        <v>53</v>
      </c>
      <c r="B53" s="47" t="s">
        <v>54</v>
      </c>
      <c r="C53" s="29">
        <f>[15]С2.2!E15</f>
        <v>4.8000000000000001E-2</v>
      </c>
    </row>
    <row r="54" spans="1:3">
      <c r="A54" s="16" t="s">
        <v>55</v>
      </c>
      <c r="B54" s="47" t="s">
        <v>56</v>
      </c>
      <c r="C54" s="28">
        <f>[15]С2.2!E16</f>
        <v>1</v>
      </c>
    </row>
    <row r="55" spans="1:3" ht="15.75">
      <c r="A55" s="16" t="s">
        <v>57</v>
      </c>
      <c r="B55" s="48" t="s">
        <v>58</v>
      </c>
      <c r="C55" s="28">
        <f>[15]С2!F21</f>
        <v>1</v>
      </c>
    </row>
    <row r="56" spans="1:3" ht="30">
      <c r="A56" s="49" t="s">
        <v>59</v>
      </c>
      <c r="B56" s="27" t="s">
        <v>235</v>
      </c>
      <c r="C56" s="28">
        <f>[15]С2!F13</f>
        <v>203708.97017230222</v>
      </c>
    </row>
    <row r="57" spans="1:3" ht="30">
      <c r="A57" s="49" t="s">
        <v>60</v>
      </c>
      <c r="B57" s="48" t="s">
        <v>236</v>
      </c>
      <c r="C57" s="28">
        <f>[15]С2!F14</f>
        <v>113455</v>
      </c>
    </row>
    <row r="58" spans="1:3" ht="15.75">
      <c r="A58" s="49" t="s">
        <v>61</v>
      </c>
      <c r="B58" s="50" t="s">
        <v>62</v>
      </c>
      <c r="C58" s="33">
        <f>[15]С2!F15</f>
        <v>1.071</v>
      </c>
    </row>
    <row r="59" spans="1:3" ht="15.75">
      <c r="A59" s="49" t="s">
        <v>63</v>
      </c>
      <c r="B59" s="50" t="s">
        <v>64</v>
      </c>
      <c r="C59" s="33">
        <f>[15]С2!F16</f>
        <v>1</v>
      </c>
    </row>
    <row r="60" spans="1:3" ht="17.25">
      <c r="A60" s="49" t="s">
        <v>65</v>
      </c>
      <c r="B60" s="48" t="s">
        <v>66</v>
      </c>
      <c r="C60" s="28">
        <f>[15]С2!F17</f>
        <v>1.01</v>
      </c>
    </row>
    <row r="61" spans="1:3" s="53" customFormat="1" ht="14.25">
      <c r="A61" s="49" t="s">
        <v>67</v>
      </c>
      <c r="B61" s="51" t="s">
        <v>68</v>
      </c>
      <c r="C61" s="52">
        <f>[15]С2!F33</f>
        <v>10</v>
      </c>
    </row>
    <row r="62" spans="1:3" ht="30">
      <c r="A62" s="49" t="s">
        <v>69</v>
      </c>
      <c r="B62" s="54" t="s">
        <v>70</v>
      </c>
      <c r="C62" s="28">
        <f>[15]С2!F26</f>
        <v>1296.3109177946333</v>
      </c>
    </row>
    <row r="63" spans="1:3" ht="17.25">
      <c r="A63" s="49" t="s">
        <v>71</v>
      </c>
      <c r="B63" s="43" t="s">
        <v>237</v>
      </c>
      <c r="C63" s="28">
        <f>[15]С2!F27</f>
        <v>0.18594487800000001</v>
      </c>
    </row>
    <row r="64" spans="1:3" ht="17.25">
      <c r="A64" s="49" t="s">
        <v>72</v>
      </c>
      <c r="B64" s="48" t="s">
        <v>238</v>
      </c>
      <c r="C64" s="52">
        <f>[15]С2!F28</f>
        <v>4200</v>
      </c>
    </row>
    <row r="65" spans="1:3" ht="42.75">
      <c r="A65" s="49" t="s">
        <v>73</v>
      </c>
      <c r="B65" s="27" t="s">
        <v>239</v>
      </c>
      <c r="C65" s="28">
        <f>[15]С2!F22</f>
        <v>42890.921752741691</v>
      </c>
    </row>
    <row r="66" spans="1:3" ht="30">
      <c r="A66" s="49" t="s">
        <v>74</v>
      </c>
      <c r="B66" s="50" t="s">
        <v>240</v>
      </c>
      <c r="C66" s="28">
        <f>[15]С2!F23</f>
        <v>1990</v>
      </c>
    </row>
    <row r="67" spans="1:3" ht="30">
      <c r="A67" s="49" t="s">
        <v>75</v>
      </c>
      <c r="B67" s="43" t="s">
        <v>76</v>
      </c>
      <c r="C67" s="28">
        <f>[15]С2.1!E27</f>
        <v>14307.876789999998</v>
      </c>
    </row>
    <row r="68" spans="1:3" ht="38.25">
      <c r="A68" s="49" t="s">
        <v>77</v>
      </c>
      <c r="B68" s="55" t="s">
        <v>78</v>
      </c>
      <c r="C68" s="42">
        <f>[15]С2.3!E21</f>
        <v>0</v>
      </c>
    </row>
    <row r="69" spans="1:3" ht="25.5">
      <c r="A69" s="49" t="s">
        <v>79</v>
      </c>
      <c r="B69" s="56" t="s">
        <v>80</v>
      </c>
      <c r="C69" s="57">
        <f>[15]С2.3!E11</f>
        <v>9.89</v>
      </c>
    </row>
    <row r="70" spans="1:3" ht="25.5">
      <c r="A70" s="49" t="s">
        <v>81</v>
      </c>
      <c r="B70" s="56" t="s">
        <v>82</v>
      </c>
      <c r="C70" s="52">
        <f>[15]С2.3!E13</f>
        <v>300</v>
      </c>
    </row>
    <row r="71" spans="1:3" ht="25.5">
      <c r="A71" s="49" t="s">
        <v>83</v>
      </c>
      <c r="B71" s="55" t="s">
        <v>84</v>
      </c>
      <c r="C71" s="58">
        <f>IF([15]С2.3!E22&gt;0,[15]С2.3!E22,[15]С2.3!E14)</f>
        <v>61211</v>
      </c>
    </row>
    <row r="72" spans="1:3" ht="38.25">
      <c r="A72" s="49" t="s">
        <v>85</v>
      </c>
      <c r="B72" s="55" t="s">
        <v>86</v>
      </c>
      <c r="C72" s="58">
        <f>IF([15]С2.3!E23&gt;0,[15]С2.3!E23,[15]С2.3!E15)</f>
        <v>45675</v>
      </c>
    </row>
    <row r="73" spans="1:3" ht="30">
      <c r="A73" s="49" t="s">
        <v>87</v>
      </c>
      <c r="B73" s="43" t="s">
        <v>88</v>
      </c>
      <c r="C73" s="28">
        <f>[15]С2.1!E28</f>
        <v>9541.9567200000001</v>
      </c>
    </row>
    <row r="74" spans="1:3" ht="38.25">
      <c r="A74" s="49" t="s">
        <v>89</v>
      </c>
      <c r="B74" s="55" t="s">
        <v>90</v>
      </c>
      <c r="C74" s="42">
        <f>[15]С2.3!E25</f>
        <v>0</v>
      </c>
    </row>
    <row r="75" spans="1:3" ht="25.5">
      <c r="A75" s="49" t="s">
        <v>91</v>
      </c>
      <c r="B75" s="56" t="s">
        <v>92</v>
      </c>
      <c r="C75" s="57">
        <f>[15]С2.3!E12</f>
        <v>0.56000000000000005</v>
      </c>
    </row>
    <row r="76" spans="1:3" ht="25.5">
      <c r="A76" s="49" t="s">
        <v>93</v>
      </c>
      <c r="B76" s="56" t="s">
        <v>82</v>
      </c>
      <c r="C76" s="52">
        <f>[15]С2.3!E13</f>
        <v>300</v>
      </c>
    </row>
    <row r="77" spans="1:3" ht="25.5">
      <c r="A77" s="49" t="s">
        <v>94</v>
      </c>
      <c r="B77" s="59" t="s">
        <v>95</v>
      </c>
      <c r="C77" s="58">
        <f>IF([15]С2.3!E26&gt;0,[15]С2.3!E26,[15]С2.3!E16)</f>
        <v>65637</v>
      </c>
    </row>
    <row r="78" spans="1:3" ht="38.25">
      <c r="A78" s="49" t="s">
        <v>96</v>
      </c>
      <c r="B78" s="59" t="s">
        <v>97</v>
      </c>
      <c r="C78" s="58">
        <f>IF([15]С2.3!E27&gt;0,[15]С2.3!E27,[15]С2.3!E17)</f>
        <v>31684</v>
      </c>
    </row>
    <row r="79" spans="1:3" ht="17.25">
      <c r="A79" s="49" t="s">
        <v>98</v>
      </c>
      <c r="B79" s="27" t="s">
        <v>99</v>
      </c>
      <c r="C79" s="29">
        <f>[15]С2!F29</f>
        <v>0.17804631770487722</v>
      </c>
    </row>
    <row r="80" spans="1:3" ht="30">
      <c r="A80" s="49" t="s">
        <v>100</v>
      </c>
      <c r="B80" s="43" t="s">
        <v>101</v>
      </c>
      <c r="C80" s="60">
        <f>[15]С2!F30</f>
        <v>0.1652189781021898</v>
      </c>
    </row>
    <row r="81" spans="1:3" ht="17.25">
      <c r="A81" s="49" t="s">
        <v>102</v>
      </c>
      <c r="B81" s="61" t="s">
        <v>103</v>
      </c>
      <c r="C81" s="29">
        <f>[15]С2!F31</f>
        <v>0.13880000000000001</v>
      </c>
    </row>
    <row r="82" spans="1:3" s="53" customFormat="1" ht="18" thickBot="1">
      <c r="A82" s="62" t="s">
        <v>104</v>
      </c>
      <c r="B82" s="63" t="s">
        <v>105</v>
      </c>
      <c r="C82" s="64">
        <f>[15]С2!F32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[15]С3!F14</f>
        <v>14780.674721363519</v>
      </c>
    </row>
    <row r="86" spans="1:3" s="53" customFormat="1" ht="42.75">
      <c r="A86" s="67" t="s">
        <v>110</v>
      </c>
      <c r="B86" s="43" t="s">
        <v>111</v>
      </c>
      <c r="C86" s="68">
        <f>[15]С3!F15</f>
        <v>0.25</v>
      </c>
    </row>
    <row r="87" spans="1:3" s="53" customFormat="1" ht="14.25">
      <c r="A87" s="67" t="s">
        <v>112</v>
      </c>
      <c r="B87" s="69" t="s">
        <v>113</v>
      </c>
      <c r="C87" s="52">
        <f>[15]С3!F18</f>
        <v>15</v>
      </c>
    </row>
    <row r="88" spans="1:3" s="53" customFormat="1" ht="17.25">
      <c r="A88" s="67" t="s">
        <v>114</v>
      </c>
      <c r="B88" s="27" t="s">
        <v>115</v>
      </c>
      <c r="C88" s="28">
        <f>[15]С3!F19</f>
        <v>4187.478806422544</v>
      </c>
    </row>
    <row r="89" spans="1:3" s="53" customFormat="1" ht="55.5">
      <c r="A89" s="67" t="s">
        <v>116</v>
      </c>
      <c r="B89" s="43" t="s">
        <v>117</v>
      </c>
      <c r="C89" s="70">
        <f>[15]С3!F20</f>
        <v>2.1999999999999999E-2</v>
      </c>
    </row>
    <row r="90" spans="1:3" s="53" customFormat="1" ht="14.25">
      <c r="A90" s="67" t="s">
        <v>118</v>
      </c>
      <c r="B90" s="48" t="s">
        <v>68</v>
      </c>
      <c r="C90" s="52">
        <f>[15]С3!F21</f>
        <v>10</v>
      </c>
    </row>
    <row r="91" spans="1:3" s="53" customFormat="1" ht="17.25">
      <c r="A91" s="67" t="s">
        <v>119</v>
      </c>
      <c r="B91" s="27" t="s">
        <v>120</v>
      </c>
      <c r="C91" s="28">
        <f>[15]С3!F22</f>
        <v>3.8889327533838998</v>
      </c>
    </row>
    <row r="92" spans="1:3" s="53" customFormat="1" ht="55.5">
      <c r="A92" s="67" t="s">
        <v>121</v>
      </c>
      <c r="B92" s="43" t="s">
        <v>122</v>
      </c>
      <c r="C92" s="70">
        <f>[15]С3!F23</f>
        <v>3.0000000000000001E-3</v>
      </c>
    </row>
    <row r="93" spans="1:3" s="53" customFormat="1" ht="27.75" thickBot="1">
      <c r="A93" s="71" t="s">
        <v>123</v>
      </c>
      <c r="B93" s="72" t="s">
        <v>241</v>
      </c>
      <c r="C93" s="73">
        <f>[15]С3!F24</f>
        <v>1296.3109177946333</v>
      </c>
    </row>
    <row r="94" spans="1:3" ht="13.5" thickBot="1">
      <c r="A94" s="39"/>
      <c r="B94" s="65"/>
      <c r="C94" s="13"/>
    </row>
    <row r="95" spans="1:3" ht="30" customHeight="1">
      <c r="A95" s="74" t="s">
        <v>124</v>
      </c>
      <c r="B95" s="141" t="s">
        <v>125</v>
      </c>
      <c r="C95" s="141"/>
    </row>
    <row r="96" spans="1:3" ht="30">
      <c r="A96" s="49" t="s">
        <v>126</v>
      </c>
      <c r="B96" s="27" t="s">
        <v>242</v>
      </c>
      <c r="C96" s="28">
        <f>[15]С4!F16</f>
        <v>1652.5</v>
      </c>
    </row>
    <row r="97" spans="1:3" ht="30">
      <c r="A97" s="49" t="s">
        <v>127</v>
      </c>
      <c r="B97" s="48" t="s">
        <v>243</v>
      </c>
      <c r="C97" s="28">
        <f>[15]С4!F17</f>
        <v>73547</v>
      </c>
    </row>
    <row r="98" spans="1:3" ht="17.25">
      <c r="A98" s="49" t="s">
        <v>128</v>
      </c>
      <c r="B98" s="48" t="s">
        <v>129</v>
      </c>
      <c r="C98" s="33">
        <f>[15]С4!F18</f>
        <v>0.02</v>
      </c>
    </row>
    <row r="99" spans="1:3" ht="30">
      <c r="A99" s="49" t="s">
        <v>130</v>
      </c>
      <c r="B99" s="48" t="s">
        <v>131</v>
      </c>
      <c r="C99" s="28">
        <f>[15]С4!F19</f>
        <v>12104</v>
      </c>
    </row>
    <row r="100" spans="1:3" ht="31.5">
      <c r="A100" s="49" t="s">
        <v>132</v>
      </c>
      <c r="B100" s="48" t="s">
        <v>133</v>
      </c>
      <c r="C100" s="33">
        <f>[15]С4!F20</f>
        <v>1.4999999999999999E-2</v>
      </c>
    </row>
    <row r="101" spans="1:3" ht="30">
      <c r="A101" s="49" t="s">
        <v>134</v>
      </c>
      <c r="B101" s="27" t="s">
        <v>244</v>
      </c>
      <c r="C101" s="28">
        <f>[15]С4!F21</f>
        <v>1933.1949342509995</v>
      </c>
    </row>
    <row r="102" spans="1:3" ht="24" customHeight="1">
      <c r="A102" s="49" t="s">
        <v>135</v>
      </c>
      <c r="B102" s="43" t="s">
        <v>136</v>
      </c>
      <c r="C102" s="75">
        <f>IF([15]С4.2!F8="да",[15]С4.2!D21,[15]С4.2!D15)</f>
        <v>0</v>
      </c>
    </row>
    <row r="103" spans="1:3" ht="68.25">
      <c r="A103" s="49" t="s">
        <v>137</v>
      </c>
      <c r="B103" s="43" t="s">
        <v>138</v>
      </c>
      <c r="C103" s="28">
        <f>[15]С4!F22</f>
        <v>3.6112641666666665</v>
      </c>
    </row>
    <row r="104" spans="1:3" ht="30">
      <c r="A104" s="49" t="s">
        <v>139</v>
      </c>
      <c r="B104" s="48" t="s">
        <v>245</v>
      </c>
      <c r="C104" s="28">
        <f>[15]С4!F23</f>
        <v>180</v>
      </c>
    </row>
    <row r="105" spans="1:3" ht="14.25">
      <c r="A105" s="49" t="s">
        <v>140</v>
      </c>
      <c r="B105" s="43" t="s">
        <v>141</v>
      </c>
      <c r="C105" s="28">
        <f>[15]С4!F24</f>
        <v>8497.1999999999989</v>
      </c>
    </row>
    <row r="106" spans="1:3" ht="14.25">
      <c r="A106" s="49" t="s">
        <v>142</v>
      </c>
      <c r="B106" s="48" t="s">
        <v>143</v>
      </c>
      <c r="C106" s="33">
        <f>[15]С4!F25</f>
        <v>0.35</v>
      </c>
    </row>
    <row r="107" spans="1:3" ht="17.25">
      <c r="A107" s="49" t="s">
        <v>144</v>
      </c>
      <c r="B107" s="27" t="s">
        <v>145</v>
      </c>
      <c r="C107" s="28">
        <f>[15]С4!F26</f>
        <v>60.074909999999996</v>
      </c>
    </row>
    <row r="108" spans="1:3" ht="25.5">
      <c r="A108" s="49" t="s">
        <v>146</v>
      </c>
      <c r="B108" s="43" t="s">
        <v>78</v>
      </c>
      <c r="C108" s="75">
        <f>[15]С4.3!E16</f>
        <v>0</v>
      </c>
    </row>
    <row r="109" spans="1:3" ht="25.5">
      <c r="A109" s="49" t="s">
        <v>147</v>
      </c>
      <c r="B109" s="43" t="s">
        <v>148</v>
      </c>
      <c r="C109" s="28">
        <f>[15]С4.3!E17</f>
        <v>17.13</v>
      </c>
    </row>
    <row r="110" spans="1:3" ht="38.25">
      <c r="A110" s="49" t="s">
        <v>149</v>
      </c>
      <c r="B110" s="43" t="s">
        <v>90</v>
      </c>
      <c r="C110" s="75">
        <f>[15]С4.3!E18</f>
        <v>0</v>
      </c>
    </row>
    <row r="111" spans="1:3">
      <c r="A111" s="49" t="s">
        <v>150</v>
      </c>
      <c r="B111" s="43" t="s">
        <v>151</v>
      </c>
      <c r="C111" s="28">
        <f>[15]С4.3!E19</f>
        <v>0</v>
      </c>
    </row>
    <row r="112" spans="1:3">
      <c r="A112" s="49" t="s">
        <v>152</v>
      </c>
      <c r="B112" s="48" t="s">
        <v>153</v>
      </c>
      <c r="C112" s="28">
        <f>[15]С4.3!E11</f>
        <v>1871</v>
      </c>
    </row>
    <row r="113" spans="1:3">
      <c r="A113" s="49" t="s">
        <v>154</v>
      </c>
      <c r="B113" s="48" t="s">
        <v>155</v>
      </c>
      <c r="C113" s="42">
        <f>[15]С4.3!E12</f>
        <v>1636</v>
      </c>
    </row>
    <row r="114" spans="1:3">
      <c r="A114" s="49" t="s">
        <v>156</v>
      </c>
      <c r="B114" s="48" t="s">
        <v>157</v>
      </c>
      <c r="C114" s="42">
        <f>[15]С4.3!E13</f>
        <v>204</v>
      </c>
    </row>
    <row r="115" spans="1:3" ht="30">
      <c r="A115" s="49" t="s">
        <v>158</v>
      </c>
      <c r="B115" s="27" t="s">
        <v>246</v>
      </c>
      <c r="C115" s="28">
        <f>[15]С4!F27</f>
        <v>1291.2863994686898</v>
      </c>
    </row>
    <row r="116" spans="1:3" ht="25.5">
      <c r="A116" s="49" t="s">
        <v>159</v>
      </c>
      <c r="B116" s="43" t="s">
        <v>247</v>
      </c>
      <c r="C116" s="28">
        <f>[15]С4!F28</f>
        <v>991.77142816335618</v>
      </c>
    </row>
    <row r="117" spans="1:3" ht="42.75">
      <c r="A117" s="49" t="s">
        <v>160</v>
      </c>
      <c r="B117" s="43" t="s">
        <v>161</v>
      </c>
      <c r="C117" s="28">
        <f>[15]С4!F29</f>
        <v>299.51497130533357</v>
      </c>
    </row>
    <row r="118" spans="1:3" ht="30">
      <c r="A118" s="49" t="s">
        <v>162</v>
      </c>
      <c r="B118" s="32" t="s">
        <v>163</v>
      </c>
      <c r="C118" s="28">
        <f>[15]С4!F30</f>
        <v>2549.2468260905225</v>
      </c>
    </row>
    <row r="119" spans="1:3" ht="42.75">
      <c r="A119" s="49" t="s">
        <v>248</v>
      </c>
      <c r="B119" s="76" t="s">
        <v>249</v>
      </c>
      <c r="C119" s="28">
        <f>[15]С4!F33</f>
        <v>1351.3428251496514</v>
      </c>
    </row>
    <row r="120" spans="1:3" ht="30">
      <c r="A120" s="49" t="s">
        <v>250</v>
      </c>
      <c r="B120" s="121" t="s">
        <v>251</v>
      </c>
      <c r="C120" s="28">
        <f>[15]С4!F35</f>
        <v>17.040680999999999</v>
      </c>
    </row>
    <row r="121" spans="1:3" ht="14.25">
      <c r="A121" s="49" t="s">
        <v>252</v>
      </c>
      <c r="B121" s="46" t="s">
        <v>253</v>
      </c>
      <c r="C121" s="28">
        <f>[15]С4!F36</f>
        <v>14319.9</v>
      </c>
    </row>
    <row r="122" spans="1:3" ht="28.5" thickBot="1">
      <c r="A122" s="62" t="s">
        <v>254</v>
      </c>
      <c r="B122" s="122" t="s">
        <v>255</v>
      </c>
      <c r="C122" s="73">
        <f>[15]С4!F37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[15]С5!F17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[15]С2!F37</f>
        <v>20.818139999999996</v>
      </c>
    </row>
    <row r="136" spans="1:3" ht="14.25">
      <c r="A136" s="49" t="s">
        <v>183</v>
      </c>
      <c r="B136" s="128" t="s">
        <v>184</v>
      </c>
      <c r="C136" s="28">
        <f>[15]С2!F38</f>
        <v>7</v>
      </c>
    </row>
    <row r="137" spans="1:3" ht="17.25">
      <c r="A137" s="49" t="s">
        <v>185</v>
      </c>
      <c r="B137" s="128" t="s">
        <v>186</v>
      </c>
      <c r="C137" s="28">
        <f>[15]С2!F40</f>
        <v>0.97</v>
      </c>
    </row>
    <row r="138" spans="1:3" ht="15" thickBot="1">
      <c r="A138" s="62" t="s">
        <v>187</v>
      </c>
      <c r="B138" s="129" t="s">
        <v>188</v>
      </c>
      <c r="C138" s="38">
        <f>[15]С2!F42</f>
        <v>0.35</v>
      </c>
    </row>
    <row r="139" spans="1:3" s="77" customFormat="1" ht="13.5" thickBot="1">
      <c r="A139" s="39"/>
      <c r="B139" s="65"/>
      <c r="C139" s="13"/>
    </row>
    <row r="140" spans="1:3" ht="30">
      <c r="A140" s="74" t="s">
        <v>189</v>
      </c>
      <c r="B140" s="84" t="s">
        <v>258</v>
      </c>
      <c r="C140" s="130">
        <f>[15]С2!F35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[15]С2.5!$E$11</f>
        <v>-2.9000000000000026E-2</v>
      </c>
    </row>
    <row r="144" spans="1:3">
      <c r="A144" s="85"/>
      <c r="B144" s="86">
        <f>B143+1</f>
        <v>2021</v>
      </c>
      <c r="C144" s="135">
        <f>[15]С2.5!$F$11</f>
        <v>0.245</v>
      </c>
    </row>
    <row r="145" spans="1:3">
      <c r="A145" s="85"/>
      <c r="B145" s="86">
        <f t="shared" ref="B145:B208" si="0">B144+1</f>
        <v>2022</v>
      </c>
      <c r="C145" s="135">
        <f>[15]С2.5!$G$11</f>
        <v>0.114</v>
      </c>
    </row>
    <row r="146" spans="1:3" ht="13.5" thickBot="1">
      <c r="A146" s="85"/>
      <c r="B146" s="87">
        <f t="shared" si="0"/>
        <v>2023</v>
      </c>
      <c r="C146" s="136">
        <f>[15]С2.5!$H$11</f>
        <v>0.04</v>
      </c>
    </row>
    <row r="147" spans="1:3">
      <c r="A147" s="85"/>
      <c r="B147" s="137">
        <f t="shared" si="0"/>
        <v>2024</v>
      </c>
      <c r="C147" s="138">
        <f>[15]С2.5!$I$11</f>
        <v>0.11700000000000001</v>
      </c>
    </row>
    <row r="148" spans="1:3">
      <c r="A148" s="85"/>
      <c r="B148" s="86">
        <f t="shared" si="0"/>
        <v>2025</v>
      </c>
      <c r="C148" s="135">
        <f>[15]С2.5!$J$11</f>
        <v>6.0999999999999999E-2</v>
      </c>
    </row>
    <row r="149" spans="1:3" hidden="1">
      <c r="A149" s="85"/>
      <c r="B149" s="86">
        <f t="shared" si="0"/>
        <v>2026</v>
      </c>
      <c r="C149" s="135">
        <f>[15]С2.5!$K$11</f>
        <v>3.5813361771260002E-2</v>
      </c>
    </row>
    <row r="150" spans="1:3" hidden="1">
      <c r="A150" s="85"/>
      <c r="B150" s="86">
        <f t="shared" si="0"/>
        <v>2027</v>
      </c>
      <c r="C150" s="135">
        <f>[15]С2.5!$L$11</f>
        <v>3.2682303599220003E-2</v>
      </c>
    </row>
    <row r="151" spans="1:3" hidden="1">
      <c r="A151" s="85"/>
      <c r="B151" s="86">
        <f t="shared" si="0"/>
        <v>2028</v>
      </c>
      <c r="C151" s="135">
        <f>[15]С2.5!$M$11</f>
        <v>0</v>
      </c>
    </row>
    <row r="152" spans="1:3" hidden="1">
      <c r="A152" s="85"/>
      <c r="B152" s="86">
        <f t="shared" si="0"/>
        <v>2029</v>
      </c>
      <c r="C152" s="135">
        <f>[15]С2.5!$N$11</f>
        <v>0</v>
      </c>
    </row>
    <row r="153" spans="1:3" hidden="1">
      <c r="A153" s="85"/>
      <c r="B153" s="86">
        <f t="shared" si="0"/>
        <v>2030</v>
      </c>
      <c r="C153" s="135">
        <f>[15]С2.5!$O$11</f>
        <v>0</v>
      </c>
    </row>
    <row r="154" spans="1:3" hidden="1">
      <c r="A154" s="85"/>
      <c r="B154" s="86">
        <f t="shared" si="0"/>
        <v>2031</v>
      </c>
      <c r="C154" s="135">
        <f>[15]С2.5!$P$11</f>
        <v>0</v>
      </c>
    </row>
    <row r="155" spans="1:3" hidden="1">
      <c r="A155" s="77"/>
      <c r="B155" s="86">
        <f t="shared" si="0"/>
        <v>2032</v>
      </c>
      <c r="C155" s="135">
        <f>[15]С2.5!$Q$11</f>
        <v>0</v>
      </c>
    </row>
    <row r="156" spans="1:3" hidden="1">
      <c r="A156" s="77"/>
      <c r="B156" s="86">
        <f t="shared" si="0"/>
        <v>2033</v>
      </c>
      <c r="C156" s="135">
        <f>[15]С2.5!$R$11</f>
        <v>0</v>
      </c>
    </row>
    <row r="157" spans="1:3" hidden="1">
      <c r="B157" s="86">
        <f t="shared" si="0"/>
        <v>2034</v>
      </c>
      <c r="C157" s="135">
        <f>[15]С2.5!$S$11</f>
        <v>0</v>
      </c>
    </row>
    <row r="158" spans="1:3" hidden="1">
      <c r="B158" s="86">
        <f t="shared" si="0"/>
        <v>2035</v>
      </c>
      <c r="C158" s="135">
        <f>[15]С2.5!$T$11</f>
        <v>0</v>
      </c>
    </row>
    <row r="159" spans="1:3" hidden="1">
      <c r="B159" s="86">
        <f t="shared" si="0"/>
        <v>2036</v>
      </c>
      <c r="C159" s="135">
        <f>[15]С2.5!$U$11</f>
        <v>0</v>
      </c>
    </row>
    <row r="160" spans="1:3" hidden="1">
      <c r="B160" s="86">
        <f t="shared" si="0"/>
        <v>2037</v>
      </c>
      <c r="C160" s="135">
        <f>[15]С2.5!$V$11</f>
        <v>0</v>
      </c>
    </row>
    <row r="161" spans="2:3" hidden="1">
      <c r="B161" s="86">
        <f t="shared" si="0"/>
        <v>2038</v>
      </c>
      <c r="C161" s="135">
        <f>[15]С2.5!$W$11</f>
        <v>0</v>
      </c>
    </row>
    <row r="162" spans="2:3" hidden="1">
      <c r="B162" s="86">
        <f t="shared" si="0"/>
        <v>2039</v>
      </c>
      <c r="C162" s="135">
        <f>[15]С2.5!$X$11</f>
        <v>0</v>
      </c>
    </row>
    <row r="163" spans="2:3" hidden="1">
      <c r="B163" s="86">
        <f t="shared" si="0"/>
        <v>2040</v>
      </c>
      <c r="C163" s="135">
        <f>[15]С2.5!$Y$11</f>
        <v>0</v>
      </c>
    </row>
    <row r="164" spans="2:3" hidden="1">
      <c r="B164" s="86">
        <f t="shared" si="0"/>
        <v>2041</v>
      </c>
      <c r="C164" s="135">
        <f>[15]С2.5!$Z$11</f>
        <v>0</v>
      </c>
    </row>
    <row r="165" spans="2:3" hidden="1">
      <c r="B165" s="86">
        <f t="shared" si="0"/>
        <v>2042</v>
      </c>
      <c r="C165" s="135">
        <f>[15]С2.5!$AA$11</f>
        <v>0</v>
      </c>
    </row>
    <row r="166" spans="2:3" hidden="1">
      <c r="B166" s="86">
        <f t="shared" si="0"/>
        <v>2043</v>
      </c>
      <c r="C166" s="135">
        <f>[15]С2.5!$AB$11</f>
        <v>0</v>
      </c>
    </row>
    <row r="167" spans="2:3" hidden="1">
      <c r="B167" s="86">
        <f t="shared" si="0"/>
        <v>2044</v>
      </c>
      <c r="C167" s="135">
        <f>[15]С2.5!$AC$11</f>
        <v>0</v>
      </c>
    </row>
    <row r="168" spans="2:3" hidden="1">
      <c r="B168" s="86">
        <f t="shared" si="0"/>
        <v>2045</v>
      </c>
      <c r="C168" s="135">
        <f>[15]С2.5!$AD$11</f>
        <v>0</v>
      </c>
    </row>
    <row r="169" spans="2:3" hidden="1">
      <c r="B169" s="86">
        <f t="shared" si="0"/>
        <v>2046</v>
      </c>
      <c r="C169" s="135">
        <f>[15]С2.5!$AE$11</f>
        <v>0</v>
      </c>
    </row>
    <row r="170" spans="2:3" hidden="1">
      <c r="B170" s="86">
        <f t="shared" si="0"/>
        <v>2047</v>
      </c>
      <c r="C170" s="135">
        <f>[15]С2.5!$AF$11</f>
        <v>0</v>
      </c>
    </row>
    <row r="171" spans="2:3" hidden="1">
      <c r="B171" s="86">
        <f t="shared" si="0"/>
        <v>2048</v>
      </c>
      <c r="C171" s="135">
        <f>[15]С2.5!$AG$11</f>
        <v>0</v>
      </c>
    </row>
    <row r="172" spans="2:3" hidden="1">
      <c r="B172" s="86">
        <f t="shared" si="0"/>
        <v>2049</v>
      </c>
      <c r="C172" s="135">
        <f>[15]С2.5!$AH$11</f>
        <v>0</v>
      </c>
    </row>
    <row r="173" spans="2:3" hidden="1">
      <c r="B173" s="86">
        <f t="shared" si="0"/>
        <v>2050</v>
      </c>
      <c r="C173" s="135">
        <f>[15]С2.5!$AI$11</f>
        <v>0</v>
      </c>
    </row>
    <row r="174" spans="2:3" hidden="1">
      <c r="B174" s="86">
        <f t="shared" si="0"/>
        <v>2051</v>
      </c>
      <c r="C174" s="135">
        <f>[15]С2.5!$AJ$11</f>
        <v>0</v>
      </c>
    </row>
    <row r="175" spans="2:3" hidden="1">
      <c r="B175" s="86">
        <f t="shared" si="0"/>
        <v>2052</v>
      </c>
      <c r="C175" s="135">
        <f>[15]С2.5!$AK$11</f>
        <v>0</v>
      </c>
    </row>
    <row r="176" spans="2:3" hidden="1">
      <c r="B176" s="86">
        <f t="shared" si="0"/>
        <v>2053</v>
      </c>
      <c r="C176" s="135">
        <f>[15]С2.5!$AL$11</f>
        <v>0</v>
      </c>
    </row>
    <row r="177" spans="2:3" hidden="1">
      <c r="B177" s="86">
        <f t="shared" si="0"/>
        <v>2054</v>
      </c>
      <c r="C177" s="135">
        <f>[15]С2.5!$AM$11</f>
        <v>0</v>
      </c>
    </row>
    <row r="178" spans="2:3" hidden="1">
      <c r="B178" s="86">
        <f t="shared" si="0"/>
        <v>2055</v>
      </c>
      <c r="C178" s="135">
        <f>[15]С2.5!$AN$11</f>
        <v>0</v>
      </c>
    </row>
    <row r="179" spans="2:3" hidden="1">
      <c r="B179" s="86">
        <f t="shared" si="0"/>
        <v>2056</v>
      </c>
      <c r="C179" s="135">
        <f>[15]С2.5!$AO$11</f>
        <v>0</v>
      </c>
    </row>
    <row r="180" spans="2:3" hidden="1">
      <c r="B180" s="86">
        <f t="shared" si="0"/>
        <v>2057</v>
      </c>
      <c r="C180" s="135">
        <f>[15]С2.5!$AP$11</f>
        <v>0</v>
      </c>
    </row>
    <row r="181" spans="2:3" hidden="1">
      <c r="B181" s="86">
        <f t="shared" si="0"/>
        <v>2058</v>
      </c>
      <c r="C181" s="135">
        <f>[15]С2.5!$AQ$11</f>
        <v>0</v>
      </c>
    </row>
    <row r="182" spans="2:3" hidden="1">
      <c r="B182" s="86">
        <f t="shared" si="0"/>
        <v>2059</v>
      </c>
      <c r="C182" s="135">
        <f>[15]С2.5!$AR$11</f>
        <v>0</v>
      </c>
    </row>
    <row r="183" spans="2:3" hidden="1">
      <c r="B183" s="86">
        <f t="shared" si="0"/>
        <v>2060</v>
      </c>
      <c r="C183" s="135">
        <f>[15]С2.5!$AS$11</f>
        <v>0</v>
      </c>
    </row>
    <row r="184" spans="2:3" hidden="1">
      <c r="B184" s="86">
        <f t="shared" si="0"/>
        <v>2061</v>
      </c>
      <c r="C184" s="135">
        <f>[15]С2.5!$AT$11</f>
        <v>0</v>
      </c>
    </row>
    <row r="185" spans="2:3" hidden="1">
      <c r="B185" s="86">
        <f t="shared" si="0"/>
        <v>2062</v>
      </c>
      <c r="C185" s="135">
        <f>[15]С2.5!$AU$11</f>
        <v>0</v>
      </c>
    </row>
    <row r="186" spans="2:3" hidden="1">
      <c r="B186" s="86">
        <f t="shared" si="0"/>
        <v>2063</v>
      </c>
      <c r="C186" s="135">
        <f>[15]С2.5!$AV$11</f>
        <v>0</v>
      </c>
    </row>
    <row r="187" spans="2:3" hidden="1">
      <c r="B187" s="86">
        <f t="shared" si="0"/>
        <v>2064</v>
      </c>
      <c r="C187" s="135">
        <f>[15]С2.5!$AW$11</f>
        <v>0</v>
      </c>
    </row>
    <row r="188" spans="2:3" hidden="1">
      <c r="B188" s="86">
        <f t="shared" si="0"/>
        <v>2065</v>
      </c>
      <c r="C188" s="135">
        <f>[15]С2.5!$AX$11</f>
        <v>0</v>
      </c>
    </row>
    <row r="189" spans="2:3" hidden="1">
      <c r="B189" s="86">
        <f t="shared" si="0"/>
        <v>2066</v>
      </c>
      <c r="C189" s="135">
        <f>[15]С2.5!$AY$11</f>
        <v>0</v>
      </c>
    </row>
    <row r="190" spans="2:3" hidden="1">
      <c r="B190" s="86">
        <f t="shared" si="0"/>
        <v>2067</v>
      </c>
      <c r="C190" s="135">
        <f>[15]С2.5!$AZ$11</f>
        <v>0</v>
      </c>
    </row>
    <row r="191" spans="2:3" hidden="1">
      <c r="B191" s="86">
        <f t="shared" si="0"/>
        <v>2068</v>
      </c>
      <c r="C191" s="135">
        <f>[15]С2.5!$BA$11</f>
        <v>0</v>
      </c>
    </row>
    <row r="192" spans="2:3" hidden="1">
      <c r="B192" s="86">
        <f t="shared" si="0"/>
        <v>2069</v>
      </c>
      <c r="C192" s="135">
        <f>[15]С2.5!$BB$11</f>
        <v>0</v>
      </c>
    </row>
    <row r="193" spans="2:3" hidden="1">
      <c r="B193" s="86">
        <f t="shared" si="0"/>
        <v>2070</v>
      </c>
      <c r="C193" s="135">
        <f>[15]С2.5!$BC$11</f>
        <v>0</v>
      </c>
    </row>
    <row r="194" spans="2:3" hidden="1">
      <c r="B194" s="86">
        <f t="shared" si="0"/>
        <v>2071</v>
      </c>
      <c r="C194" s="135">
        <f>[15]С2.5!$BD$11</f>
        <v>0</v>
      </c>
    </row>
    <row r="195" spans="2:3" hidden="1">
      <c r="B195" s="86">
        <f t="shared" si="0"/>
        <v>2072</v>
      </c>
      <c r="C195" s="135">
        <f>[15]С2.5!$BE$11</f>
        <v>0</v>
      </c>
    </row>
    <row r="196" spans="2:3" hidden="1">
      <c r="B196" s="86">
        <f t="shared" si="0"/>
        <v>2073</v>
      </c>
      <c r="C196" s="135">
        <f>[15]С2.5!$BF$11</f>
        <v>0</v>
      </c>
    </row>
    <row r="197" spans="2:3" hidden="1">
      <c r="B197" s="86">
        <f t="shared" si="0"/>
        <v>2074</v>
      </c>
      <c r="C197" s="135">
        <f>[15]С2.5!$BG$11</f>
        <v>0</v>
      </c>
    </row>
    <row r="198" spans="2:3" hidden="1">
      <c r="B198" s="86">
        <f t="shared" si="0"/>
        <v>2075</v>
      </c>
      <c r="C198" s="135">
        <f>[15]С2.5!$BH$11</f>
        <v>0</v>
      </c>
    </row>
    <row r="199" spans="2:3" hidden="1">
      <c r="B199" s="86">
        <f t="shared" si="0"/>
        <v>2076</v>
      </c>
      <c r="C199" s="135">
        <f>[15]С2.5!$BI$11</f>
        <v>0</v>
      </c>
    </row>
    <row r="200" spans="2:3" hidden="1">
      <c r="B200" s="86">
        <f t="shared" si="0"/>
        <v>2077</v>
      </c>
      <c r="C200" s="135">
        <f>[15]С2.5!$BJ$11</f>
        <v>0</v>
      </c>
    </row>
    <row r="201" spans="2:3" hidden="1">
      <c r="B201" s="86">
        <f t="shared" si="0"/>
        <v>2078</v>
      </c>
      <c r="C201" s="135">
        <f>[15]С2.5!$BK$11</f>
        <v>0</v>
      </c>
    </row>
    <row r="202" spans="2:3" hidden="1">
      <c r="B202" s="86">
        <f t="shared" si="0"/>
        <v>2079</v>
      </c>
      <c r="C202" s="135">
        <f>[15]С2.5!$BL$11</f>
        <v>0</v>
      </c>
    </row>
    <row r="203" spans="2:3" hidden="1">
      <c r="B203" s="86">
        <f t="shared" si="0"/>
        <v>2080</v>
      </c>
      <c r="C203" s="135">
        <f>[15]С2.5!$BM$11</f>
        <v>0</v>
      </c>
    </row>
    <row r="204" spans="2:3" hidden="1">
      <c r="B204" s="86">
        <f t="shared" si="0"/>
        <v>2081</v>
      </c>
      <c r="C204" s="135">
        <f>[15]С2.5!$BN$11</f>
        <v>0</v>
      </c>
    </row>
    <row r="205" spans="2:3" hidden="1">
      <c r="B205" s="86">
        <f t="shared" si="0"/>
        <v>2082</v>
      </c>
      <c r="C205" s="135">
        <f>[15]С2.5!$BO$11</f>
        <v>0</v>
      </c>
    </row>
    <row r="206" spans="2:3" hidden="1">
      <c r="B206" s="86">
        <f t="shared" si="0"/>
        <v>2083</v>
      </c>
      <c r="C206" s="135">
        <f>[15]С2.5!$BP$11</f>
        <v>0</v>
      </c>
    </row>
    <row r="207" spans="2:3" hidden="1">
      <c r="B207" s="86">
        <f t="shared" si="0"/>
        <v>2084</v>
      </c>
      <c r="C207" s="135">
        <f>[15]С2.5!$BQ$11</f>
        <v>0</v>
      </c>
    </row>
    <row r="208" spans="2:3" hidden="1">
      <c r="B208" s="86">
        <f t="shared" si="0"/>
        <v>2085</v>
      </c>
      <c r="C208" s="135">
        <f>[15]С2.5!$BR$11</f>
        <v>0</v>
      </c>
    </row>
    <row r="209" spans="2:3" hidden="1">
      <c r="B209" s="86">
        <f t="shared" ref="B209:B223" si="1">B208+1</f>
        <v>2086</v>
      </c>
      <c r="C209" s="135">
        <f>[15]С2.5!$BS$11</f>
        <v>0</v>
      </c>
    </row>
    <row r="210" spans="2:3" hidden="1">
      <c r="B210" s="86">
        <f t="shared" si="1"/>
        <v>2087</v>
      </c>
      <c r="C210" s="135">
        <f>[15]С2.5!$BT$11</f>
        <v>0</v>
      </c>
    </row>
    <row r="211" spans="2:3" hidden="1">
      <c r="B211" s="86">
        <f t="shared" si="1"/>
        <v>2088</v>
      </c>
      <c r="C211" s="135">
        <f>[15]С2.5!$BU$11</f>
        <v>0</v>
      </c>
    </row>
    <row r="212" spans="2:3" hidden="1">
      <c r="B212" s="86">
        <f t="shared" si="1"/>
        <v>2089</v>
      </c>
      <c r="C212" s="135">
        <f>[15]С2.5!$BV$11</f>
        <v>0</v>
      </c>
    </row>
    <row r="213" spans="2:3" hidden="1">
      <c r="B213" s="86">
        <f t="shared" si="1"/>
        <v>2090</v>
      </c>
      <c r="C213" s="135">
        <f>[15]С2.5!$BW$11</f>
        <v>0</v>
      </c>
    </row>
    <row r="214" spans="2:3" hidden="1">
      <c r="B214" s="86">
        <f t="shared" si="1"/>
        <v>2091</v>
      </c>
      <c r="C214" s="135">
        <f>[15]С2.5!$BX$11</f>
        <v>0</v>
      </c>
    </row>
    <row r="215" spans="2:3" hidden="1">
      <c r="B215" s="86">
        <f t="shared" si="1"/>
        <v>2092</v>
      </c>
      <c r="C215" s="135">
        <f>[15]С2.5!$BY$11</f>
        <v>0</v>
      </c>
    </row>
    <row r="216" spans="2:3" hidden="1">
      <c r="B216" s="86">
        <f t="shared" si="1"/>
        <v>2093</v>
      </c>
      <c r="C216" s="135">
        <f>[15]С2.5!$BZ$11</f>
        <v>0</v>
      </c>
    </row>
    <row r="217" spans="2:3" hidden="1">
      <c r="B217" s="86">
        <f t="shared" si="1"/>
        <v>2094</v>
      </c>
      <c r="C217" s="135">
        <f>[15]С2.5!$CA$11</f>
        <v>0</v>
      </c>
    </row>
    <row r="218" spans="2:3" hidden="1">
      <c r="B218" s="86">
        <f t="shared" si="1"/>
        <v>2095</v>
      </c>
      <c r="C218" s="135">
        <f>[15]С2.5!$CB$11</f>
        <v>0</v>
      </c>
    </row>
    <row r="219" spans="2:3" hidden="1">
      <c r="B219" s="86">
        <f t="shared" si="1"/>
        <v>2096</v>
      </c>
      <c r="C219" s="135">
        <f>[15]С2.5!$CC$11</f>
        <v>0</v>
      </c>
    </row>
    <row r="220" spans="2:3" hidden="1">
      <c r="B220" s="86">
        <f t="shared" si="1"/>
        <v>2097</v>
      </c>
      <c r="C220" s="135">
        <f>[15]С2.5!$CD$11</f>
        <v>0</v>
      </c>
    </row>
    <row r="221" spans="2:3" hidden="1">
      <c r="B221" s="86">
        <f t="shared" si="1"/>
        <v>2098</v>
      </c>
      <c r="C221" s="135">
        <f>[15]С2.5!$CE$11</f>
        <v>0</v>
      </c>
    </row>
    <row r="222" spans="2:3" hidden="1">
      <c r="B222" s="86">
        <f t="shared" si="1"/>
        <v>2099</v>
      </c>
      <c r="C222" s="135">
        <f>[15]С2.5!$CF$11</f>
        <v>0</v>
      </c>
    </row>
    <row r="223" spans="2:3" ht="13.5" hidden="1" thickBot="1">
      <c r="B223" s="87">
        <f t="shared" si="1"/>
        <v>2100</v>
      </c>
      <c r="C223" s="136">
        <f>[15]С2.5!$CG$11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[16]И1!D13</f>
        <v>Субъект Российской Федерации</v>
      </c>
      <c r="C4" s="8" t="str">
        <f>[16]И1!E13</f>
        <v>Новосибирская область</v>
      </c>
    </row>
    <row r="5" spans="1:3" ht="46.9" customHeight="1">
      <c r="A5" s="6"/>
      <c r="B5" s="7" t="str">
        <f>[16]И1!D14</f>
        <v>Тип муниципального образования (выберите из списка)</v>
      </c>
      <c r="C5" s="8" t="str">
        <f>[16]И1!E14</f>
        <v xml:space="preserve">село Орловское, Убинский муниципальный район </v>
      </c>
    </row>
    <row r="6" spans="1:3">
      <c r="A6" s="6"/>
      <c r="B6" s="7" t="str">
        <f>IF([16]И1!E15="","",[16]И1!D15)</f>
        <v/>
      </c>
      <c r="C6" s="8" t="str">
        <f>IF([16]И1!E15="","",[16]И1!E15)</f>
        <v/>
      </c>
    </row>
    <row r="7" spans="1:3">
      <c r="A7" s="6"/>
      <c r="B7" s="7" t="str">
        <f>[16]И1!D16</f>
        <v>Код ОКТМО</v>
      </c>
      <c r="C7" s="9" t="str">
        <f>[16]И1!E16</f>
        <v>50654431101</v>
      </c>
    </row>
    <row r="8" spans="1:3">
      <c r="A8" s="6"/>
      <c r="B8" s="10" t="str">
        <f>[16]И1!D17</f>
        <v>Система теплоснабжения</v>
      </c>
      <c r="C8" s="11">
        <f>[16]И1!E17</f>
        <v>0</v>
      </c>
    </row>
    <row r="9" spans="1:3">
      <c r="A9" s="6"/>
      <c r="B9" s="7" t="str">
        <f>[16]И1!D8</f>
        <v>Период регулирования (i)-й</v>
      </c>
      <c r="C9" s="12">
        <f>[16]И1!E8</f>
        <v>2025</v>
      </c>
    </row>
    <row r="10" spans="1:3">
      <c r="A10" s="6"/>
      <c r="B10" s="7" t="str">
        <f>[16]И1!D9</f>
        <v>Период регулирования (i-1)-й</v>
      </c>
      <c r="C10" s="12">
        <f>[16]И1!E9</f>
        <v>2024</v>
      </c>
    </row>
    <row r="11" spans="1:3">
      <c r="A11" s="6"/>
      <c r="B11" s="7" t="str">
        <f>[16]И1!D10</f>
        <v>Период регулирования (i-2)-й</v>
      </c>
      <c r="C11" s="12">
        <f>[16]И1!E10</f>
        <v>2023</v>
      </c>
    </row>
    <row r="12" spans="1:3">
      <c r="A12" s="6"/>
      <c r="B12" s="7" t="str">
        <f>[16]И1!D11</f>
        <v>Базовый год (б)</v>
      </c>
      <c r="C12" s="12">
        <f>[16]И1!E11</f>
        <v>2019</v>
      </c>
    </row>
    <row r="13" spans="1:3" ht="38.25">
      <c r="A13" s="6"/>
      <c r="B13" s="7" t="str">
        <f>[16]И1!D18</f>
        <v>Вид топлива, использование которого преобладает в системе теплоснабжения</v>
      </c>
      <c r="C13" s="13" t="str">
        <f>[16]С1.1!E13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5495.341546433925</v>
      </c>
    </row>
    <row r="18" spans="1:3" ht="42.75">
      <c r="A18" s="16" t="s">
        <v>7</v>
      </c>
      <c r="B18" s="19" t="s">
        <v>8</v>
      </c>
      <c r="C18" s="20">
        <f>[16]С1!F12</f>
        <v>915.61778343972514</v>
      </c>
    </row>
    <row r="19" spans="1:3" ht="42.75">
      <c r="A19" s="16" t="s">
        <v>9</v>
      </c>
      <c r="B19" s="19" t="s">
        <v>10</v>
      </c>
      <c r="C19" s="20">
        <f>[16]С2!F12</f>
        <v>3044.269023973251</v>
      </c>
    </row>
    <row r="20" spans="1:3" ht="30">
      <c r="A20" s="16" t="s">
        <v>11</v>
      </c>
      <c r="B20" s="19" t="s">
        <v>12</v>
      </c>
      <c r="C20" s="20">
        <f>[16]С3!F12</f>
        <v>911.32264748625244</v>
      </c>
    </row>
    <row r="21" spans="1:3" ht="42.75">
      <c r="A21" s="16" t="s">
        <v>13</v>
      </c>
      <c r="B21" s="19" t="s">
        <v>226</v>
      </c>
      <c r="C21" s="20">
        <f>[16]С4!F12</f>
        <v>516.38029650658018</v>
      </c>
    </row>
    <row r="22" spans="1:3" ht="30">
      <c r="A22" s="16" t="s">
        <v>14</v>
      </c>
      <c r="B22" s="19" t="s">
        <v>227</v>
      </c>
      <c r="C22" s="20">
        <f>[16]С5!F12</f>
        <v>107.75179502811618</v>
      </c>
    </row>
    <row r="23" spans="1:3" ht="43.5" thickBot="1">
      <c r="A23" s="21" t="s">
        <v>15</v>
      </c>
      <c r="B23" s="140" t="s">
        <v>228</v>
      </c>
      <c r="C23" s="22" t="str">
        <f>[16]С6!F12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[16]С1.1!E16</f>
        <v>5100</v>
      </c>
    </row>
    <row r="29" spans="1:3" ht="42.75">
      <c r="A29" s="16" t="s">
        <v>9</v>
      </c>
      <c r="B29" s="27" t="s">
        <v>230</v>
      </c>
      <c r="C29" s="28">
        <f>[16]С1.1!E27</f>
        <v>3302.8666666666668</v>
      </c>
    </row>
    <row r="30" spans="1:3" ht="17.25">
      <c r="A30" s="16" t="s">
        <v>11</v>
      </c>
      <c r="B30" s="27" t="s">
        <v>17</v>
      </c>
      <c r="C30" s="29">
        <f>[16]С1.1!E19</f>
        <v>1.4E-2</v>
      </c>
    </row>
    <row r="31" spans="1:3" ht="17.25">
      <c r="A31" s="16" t="s">
        <v>13</v>
      </c>
      <c r="B31" s="27" t="s">
        <v>18</v>
      </c>
      <c r="C31" s="29">
        <f>[16]С1.1!E20</f>
        <v>0.04</v>
      </c>
    </row>
    <row r="32" spans="1:3" ht="30">
      <c r="A32" s="16" t="s">
        <v>14</v>
      </c>
      <c r="B32" s="30" t="s">
        <v>231</v>
      </c>
      <c r="C32" s="117">
        <f>[16]С1!F13</f>
        <v>176.4</v>
      </c>
    </row>
    <row r="33" spans="1:3">
      <c r="A33" s="16" t="s">
        <v>15</v>
      </c>
      <c r="B33" s="30" t="s">
        <v>19</v>
      </c>
      <c r="C33" s="31">
        <f>[16]С1!F16</f>
        <v>7000</v>
      </c>
    </row>
    <row r="34" spans="1:3" ht="14.25">
      <c r="A34" s="16" t="s">
        <v>20</v>
      </c>
      <c r="B34" s="32" t="s">
        <v>232</v>
      </c>
      <c r="C34" s="33">
        <f>[16]С1!F17</f>
        <v>0.72857142857142854</v>
      </c>
    </row>
    <row r="35" spans="1:3" ht="15.75">
      <c r="A35" s="118" t="s">
        <v>21</v>
      </c>
      <c r="B35" s="34" t="s">
        <v>22</v>
      </c>
      <c r="C35" s="33">
        <f>[16]С1!F20</f>
        <v>21.588411179999994</v>
      </c>
    </row>
    <row r="36" spans="1:3" ht="15.75">
      <c r="A36" s="118" t="s">
        <v>23</v>
      </c>
      <c r="B36" s="35" t="s">
        <v>24</v>
      </c>
      <c r="C36" s="33">
        <f>[16]С1!F21</f>
        <v>20.818139999999996</v>
      </c>
    </row>
    <row r="37" spans="1:3" ht="14.25">
      <c r="A37" s="118" t="s">
        <v>25</v>
      </c>
      <c r="B37" s="36" t="s">
        <v>26</v>
      </c>
      <c r="C37" s="33">
        <f>[16]С1!F22</f>
        <v>1.0369999999999999</v>
      </c>
    </row>
    <row r="38" spans="1:3" ht="53.25" thickBot="1">
      <c r="A38" s="21" t="s">
        <v>27</v>
      </c>
      <c r="B38" s="37" t="s">
        <v>28</v>
      </c>
      <c r="C38" s="38">
        <f>[16]С1!F23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[16]С2.1!E12</f>
        <v>V</v>
      </c>
    </row>
    <row r="42" spans="1:3" ht="25.5">
      <c r="A42" s="16" t="s">
        <v>33</v>
      </c>
      <c r="B42" s="27" t="s">
        <v>34</v>
      </c>
      <c r="C42" s="41" t="str">
        <f>[16]С2.1!E13</f>
        <v>6 и менее баллов</v>
      </c>
    </row>
    <row r="43" spans="1:3" ht="25.5">
      <c r="A43" s="16" t="s">
        <v>35</v>
      </c>
      <c r="B43" s="27" t="s">
        <v>233</v>
      </c>
      <c r="C43" s="41" t="str">
        <f>[16]С2.1!E14</f>
        <v>от 200 до 500</v>
      </c>
    </row>
    <row r="44" spans="1:3" ht="25.5">
      <c r="A44" s="16" t="s">
        <v>36</v>
      </c>
      <c r="B44" s="27" t="s">
        <v>234</v>
      </c>
      <c r="C44" s="42" t="str">
        <f>[16]С2.1!E15</f>
        <v>нет</v>
      </c>
    </row>
    <row r="45" spans="1:3" ht="30">
      <c r="A45" s="16" t="s">
        <v>37</v>
      </c>
      <c r="B45" s="27" t="s">
        <v>38</v>
      </c>
      <c r="C45" s="28">
        <f>[16]С2!F18</f>
        <v>38910.02669467502</v>
      </c>
    </row>
    <row r="46" spans="1:3" ht="30">
      <c r="A46" s="16" t="s">
        <v>39</v>
      </c>
      <c r="B46" s="43" t="s">
        <v>40</v>
      </c>
      <c r="C46" s="28">
        <f>IF([16]С2!F19&gt;0,[16]С2!F19,[16]С2!F20)</f>
        <v>23441.524932855718</v>
      </c>
    </row>
    <row r="47" spans="1:3" ht="25.5">
      <c r="A47" s="16" t="s">
        <v>41</v>
      </c>
      <c r="B47" s="44" t="s">
        <v>42</v>
      </c>
      <c r="C47" s="28">
        <f>[16]С2.1!E19</f>
        <v>-38</v>
      </c>
    </row>
    <row r="48" spans="1:3" ht="25.5">
      <c r="A48" s="16" t="s">
        <v>43</v>
      </c>
      <c r="B48" s="44" t="s">
        <v>44</v>
      </c>
      <c r="C48" s="28" t="str">
        <f>[16]С2.1!E22</f>
        <v>нет</v>
      </c>
    </row>
    <row r="49" spans="1:3" ht="38.25">
      <c r="A49" s="16" t="s">
        <v>45</v>
      </c>
      <c r="B49" s="45" t="s">
        <v>46</v>
      </c>
      <c r="C49" s="28">
        <f>[16]С2.2!E10</f>
        <v>1287</v>
      </c>
    </row>
    <row r="50" spans="1:3" ht="25.5">
      <c r="A50" s="16" t="s">
        <v>47</v>
      </c>
      <c r="B50" s="46" t="s">
        <v>48</v>
      </c>
      <c r="C50" s="28">
        <f>[16]С2.2!E12</f>
        <v>5.97</v>
      </c>
    </row>
    <row r="51" spans="1:3" ht="52.5">
      <c r="A51" s="16" t="s">
        <v>49</v>
      </c>
      <c r="B51" s="47" t="s">
        <v>50</v>
      </c>
      <c r="C51" s="28">
        <f>[16]С2.2!E13</f>
        <v>1</v>
      </c>
    </row>
    <row r="52" spans="1:3" ht="27.75">
      <c r="A52" s="16" t="s">
        <v>51</v>
      </c>
      <c r="B52" s="46" t="s">
        <v>52</v>
      </c>
      <c r="C52" s="28">
        <f>[16]С2.2!E14</f>
        <v>12104</v>
      </c>
    </row>
    <row r="53" spans="1:3" ht="25.5">
      <c r="A53" s="16" t="s">
        <v>53</v>
      </c>
      <c r="B53" s="47" t="s">
        <v>54</v>
      </c>
      <c r="C53" s="29">
        <f>[16]С2.2!E15</f>
        <v>4.8000000000000001E-2</v>
      </c>
    </row>
    <row r="54" spans="1:3">
      <c r="A54" s="16" t="s">
        <v>55</v>
      </c>
      <c r="B54" s="47" t="s">
        <v>56</v>
      </c>
      <c r="C54" s="28">
        <f>[16]С2.2!E16</f>
        <v>1</v>
      </c>
    </row>
    <row r="55" spans="1:3" ht="15.75">
      <c r="A55" s="16" t="s">
        <v>57</v>
      </c>
      <c r="B55" s="48" t="s">
        <v>58</v>
      </c>
      <c r="C55" s="28">
        <f>[16]С2!F21</f>
        <v>1</v>
      </c>
    </row>
    <row r="56" spans="1:3" ht="30">
      <c r="A56" s="49" t="s">
        <v>59</v>
      </c>
      <c r="B56" s="27" t="s">
        <v>235</v>
      </c>
      <c r="C56" s="28">
        <f>[16]С2!F13</f>
        <v>203708.97017230222</v>
      </c>
    </row>
    <row r="57" spans="1:3" ht="30">
      <c r="A57" s="49" t="s">
        <v>60</v>
      </c>
      <c r="B57" s="48" t="s">
        <v>236</v>
      </c>
      <c r="C57" s="28">
        <f>[16]С2!F14</f>
        <v>113455</v>
      </c>
    </row>
    <row r="58" spans="1:3" ht="15.75">
      <c r="A58" s="49" t="s">
        <v>61</v>
      </c>
      <c r="B58" s="50" t="s">
        <v>62</v>
      </c>
      <c r="C58" s="33">
        <f>[16]С2!F15</f>
        <v>1.071</v>
      </c>
    </row>
    <row r="59" spans="1:3" ht="15.75">
      <c r="A59" s="49" t="s">
        <v>63</v>
      </c>
      <c r="B59" s="50" t="s">
        <v>64</v>
      </c>
      <c r="C59" s="33">
        <f>[16]С2!F16</f>
        <v>1</v>
      </c>
    </row>
    <row r="60" spans="1:3" ht="17.25">
      <c r="A60" s="49" t="s">
        <v>65</v>
      </c>
      <c r="B60" s="48" t="s">
        <v>66</v>
      </c>
      <c r="C60" s="28">
        <f>[16]С2!F17</f>
        <v>1.01</v>
      </c>
    </row>
    <row r="61" spans="1:3" s="53" customFormat="1" ht="14.25">
      <c r="A61" s="49" t="s">
        <v>67</v>
      </c>
      <c r="B61" s="51" t="s">
        <v>68</v>
      </c>
      <c r="C61" s="52">
        <f>[16]С2!F33</f>
        <v>10</v>
      </c>
    </row>
    <row r="62" spans="1:3" ht="30">
      <c r="A62" s="49" t="s">
        <v>69</v>
      </c>
      <c r="B62" s="54" t="s">
        <v>70</v>
      </c>
      <c r="C62" s="28">
        <f>[16]С2!F26</f>
        <v>1296.3109177946333</v>
      </c>
    </row>
    <row r="63" spans="1:3" ht="17.25">
      <c r="A63" s="49" t="s">
        <v>71</v>
      </c>
      <c r="B63" s="43" t="s">
        <v>237</v>
      </c>
      <c r="C63" s="28">
        <f>[16]С2!F27</f>
        <v>0.18594487800000001</v>
      </c>
    </row>
    <row r="64" spans="1:3" ht="17.25">
      <c r="A64" s="49" t="s">
        <v>72</v>
      </c>
      <c r="B64" s="48" t="s">
        <v>238</v>
      </c>
      <c r="C64" s="52">
        <f>[16]С2!F28</f>
        <v>4200</v>
      </c>
    </row>
    <row r="65" spans="1:3" ht="42.75">
      <c r="A65" s="49" t="s">
        <v>73</v>
      </c>
      <c r="B65" s="27" t="s">
        <v>239</v>
      </c>
      <c r="C65" s="28">
        <f>[16]С2!F22</f>
        <v>42890.921752741691</v>
      </c>
    </row>
    <row r="66" spans="1:3" ht="30">
      <c r="A66" s="49" t="s">
        <v>74</v>
      </c>
      <c r="B66" s="50" t="s">
        <v>240</v>
      </c>
      <c r="C66" s="28">
        <f>[16]С2!F23</f>
        <v>1990</v>
      </c>
    </row>
    <row r="67" spans="1:3" ht="30">
      <c r="A67" s="49" t="s">
        <v>75</v>
      </c>
      <c r="B67" s="43" t="s">
        <v>76</v>
      </c>
      <c r="C67" s="28">
        <f>[16]С2.1!E27</f>
        <v>14307.876789999998</v>
      </c>
    </row>
    <row r="68" spans="1:3" ht="38.25">
      <c r="A68" s="49" t="s">
        <v>77</v>
      </c>
      <c r="B68" s="55" t="s">
        <v>78</v>
      </c>
      <c r="C68" s="42">
        <f>[16]С2.3!E21</f>
        <v>0</v>
      </c>
    </row>
    <row r="69" spans="1:3" ht="25.5">
      <c r="A69" s="49" t="s">
        <v>79</v>
      </c>
      <c r="B69" s="56" t="s">
        <v>80</v>
      </c>
      <c r="C69" s="57">
        <f>[16]С2.3!E11</f>
        <v>9.89</v>
      </c>
    </row>
    <row r="70" spans="1:3" ht="25.5">
      <c r="A70" s="49" t="s">
        <v>81</v>
      </c>
      <c r="B70" s="56" t="s">
        <v>82</v>
      </c>
      <c r="C70" s="52">
        <f>[16]С2.3!E13</f>
        <v>300</v>
      </c>
    </row>
    <row r="71" spans="1:3" ht="25.5">
      <c r="A71" s="49" t="s">
        <v>83</v>
      </c>
      <c r="B71" s="55" t="s">
        <v>84</v>
      </c>
      <c r="C71" s="58">
        <f>IF([16]С2.3!E22&gt;0,[16]С2.3!E22,[16]С2.3!E14)</f>
        <v>61211</v>
      </c>
    </row>
    <row r="72" spans="1:3" ht="38.25">
      <c r="A72" s="49" t="s">
        <v>85</v>
      </c>
      <c r="B72" s="55" t="s">
        <v>86</v>
      </c>
      <c r="C72" s="58">
        <f>IF([16]С2.3!E23&gt;0,[16]С2.3!E23,[16]С2.3!E15)</f>
        <v>45675</v>
      </c>
    </row>
    <row r="73" spans="1:3" ht="30">
      <c r="A73" s="49" t="s">
        <v>87</v>
      </c>
      <c r="B73" s="43" t="s">
        <v>88</v>
      </c>
      <c r="C73" s="28">
        <f>[16]С2.1!E28</f>
        <v>9541.9567200000001</v>
      </c>
    </row>
    <row r="74" spans="1:3" ht="38.25">
      <c r="A74" s="49" t="s">
        <v>89</v>
      </c>
      <c r="B74" s="55" t="s">
        <v>90</v>
      </c>
      <c r="C74" s="42">
        <f>[16]С2.3!E25</f>
        <v>0</v>
      </c>
    </row>
    <row r="75" spans="1:3" ht="25.5">
      <c r="A75" s="49" t="s">
        <v>91</v>
      </c>
      <c r="B75" s="56" t="s">
        <v>92</v>
      </c>
      <c r="C75" s="57">
        <f>[16]С2.3!E12</f>
        <v>0.56000000000000005</v>
      </c>
    </row>
    <row r="76" spans="1:3" ht="25.5">
      <c r="A76" s="49" t="s">
        <v>93</v>
      </c>
      <c r="B76" s="56" t="s">
        <v>82</v>
      </c>
      <c r="C76" s="52">
        <f>[16]С2.3!E13</f>
        <v>300</v>
      </c>
    </row>
    <row r="77" spans="1:3" ht="25.5">
      <c r="A77" s="49" t="s">
        <v>94</v>
      </c>
      <c r="B77" s="59" t="s">
        <v>95</v>
      </c>
      <c r="C77" s="58">
        <f>IF([16]С2.3!E26&gt;0,[16]С2.3!E26,[16]С2.3!E16)</f>
        <v>65637</v>
      </c>
    </row>
    <row r="78" spans="1:3" ht="38.25">
      <c r="A78" s="49" t="s">
        <v>96</v>
      </c>
      <c r="B78" s="59" t="s">
        <v>97</v>
      </c>
      <c r="C78" s="58">
        <f>IF([16]С2.3!E27&gt;0,[16]С2.3!E27,[16]С2.3!E17)</f>
        <v>31684</v>
      </c>
    </row>
    <row r="79" spans="1:3" ht="17.25">
      <c r="A79" s="49" t="s">
        <v>98</v>
      </c>
      <c r="B79" s="27" t="s">
        <v>99</v>
      </c>
      <c r="C79" s="29">
        <f>[16]С2!F29</f>
        <v>0.17804631770487722</v>
      </c>
    </row>
    <row r="80" spans="1:3" ht="30">
      <c r="A80" s="49" t="s">
        <v>100</v>
      </c>
      <c r="B80" s="43" t="s">
        <v>101</v>
      </c>
      <c r="C80" s="60">
        <f>[16]С2!F30</f>
        <v>0.1652189781021898</v>
      </c>
    </row>
    <row r="81" spans="1:3" ht="17.25">
      <c r="A81" s="49" t="s">
        <v>102</v>
      </c>
      <c r="B81" s="61" t="s">
        <v>103</v>
      </c>
      <c r="C81" s="29">
        <f>[16]С2!F31</f>
        <v>0.13880000000000001</v>
      </c>
    </row>
    <row r="82" spans="1:3" s="53" customFormat="1" ht="18" thickBot="1">
      <c r="A82" s="62" t="s">
        <v>104</v>
      </c>
      <c r="B82" s="63" t="s">
        <v>105</v>
      </c>
      <c r="C82" s="64">
        <f>[16]С2!F32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[16]С3!F14</f>
        <v>14780.674721363519</v>
      </c>
    </row>
    <row r="86" spans="1:3" s="53" customFormat="1" ht="42.75">
      <c r="A86" s="67" t="s">
        <v>110</v>
      </c>
      <c r="B86" s="43" t="s">
        <v>111</v>
      </c>
      <c r="C86" s="68">
        <f>[16]С3!F15</f>
        <v>0.25</v>
      </c>
    </row>
    <row r="87" spans="1:3" s="53" customFormat="1" ht="14.25">
      <c r="A87" s="67" t="s">
        <v>112</v>
      </c>
      <c r="B87" s="69" t="s">
        <v>113</v>
      </c>
      <c r="C87" s="52">
        <f>[16]С3!F18</f>
        <v>15</v>
      </c>
    </row>
    <row r="88" spans="1:3" s="53" customFormat="1" ht="17.25">
      <c r="A88" s="67" t="s">
        <v>114</v>
      </c>
      <c r="B88" s="27" t="s">
        <v>115</v>
      </c>
      <c r="C88" s="28">
        <f>[16]С3!F19</f>
        <v>4187.478806422544</v>
      </c>
    </row>
    <row r="89" spans="1:3" s="53" customFormat="1" ht="55.5">
      <c r="A89" s="67" t="s">
        <v>116</v>
      </c>
      <c r="B89" s="43" t="s">
        <v>117</v>
      </c>
      <c r="C89" s="70">
        <f>[16]С3!F20</f>
        <v>2.1999999999999999E-2</v>
      </c>
    </row>
    <row r="90" spans="1:3" s="53" customFormat="1" ht="14.25">
      <c r="A90" s="67" t="s">
        <v>118</v>
      </c>
      <c r="B90" s="48" t="s">
        <v>68</v>
      </c>
      <c r="C90" s="52">
        <f>[16]С3!F21</f>
        <v>10</v>
      </c>
    </row>
    <row r="91" spans="1:3" s="53" customFormat="1" ht="17.25">
      <c r="A91" s="67" t="s">
        <v>119</v>
      </c>
      <c r="B91" s="27" t="s">
        <v>120</v>
      </c>
      <c r="C91" s="28">
        <f>[16]С3!F22</f>
        <v>3.8889327533838998</v>
      </c>
    </row>
    <row r="92" spans="1:3" s="53" customFormat="1" ht="55.5">
      <c r="A92" s="67" t="s">
        <v>121</v>
      </c>
      <c r="B92" s="43" t="s">
        <v>122</v>
      </c>
      <c r="C92" s="70">
        <f>[16]С3!F23</f>
        <v>3.0000000000000001E-3</v>
      </c>
    </row>
    <row r="93" spans="1:3" s="53" customFormat="1" ht="27.75" thickBot="1">
      <c r="A93" s="71" t="s">
        <v>123</v>
      </c>
      <c r="B93" s="72" t="s">
        <v>241</v>
      </c>
      <c r="C93" s="73">
        <f>[16]С3!F24</f>
        <v>1296.3109177946333</v>
      </c>
    </row>
    <row r="94" spans="1:3" ht="13.5" thickBot="1">
      <c r="A94" s="39"/>
      <c r="B94" s="65"/>
      <c r="C94" s="13"/>
    </row>
    <row r="95" spans="1:3" ht="30" customHeight="1">
      <c r="A95" s="74" t="s">
        <v>124</v>
      </c>
      <c r="B95" s="141" t="s">
        <v>125</v>
      </c>
      <c r="C95" s="141"/>
    </row>
    <row r="96" spans="1:3" ht="30">
      <c r="A96" s="49" t="s">
        <v>126</v>
      </c>
      <c r="B96" s="27" t="s">
        <v>242</v>
      </c>
      <c r="C96" s="28">
        <f>[16]С4!F16</f>
        <v>1652.5</v>
      </c>
    </row>
    <row r="97" spans="1:3" ht="30">
      <c r="A97" s="49" t="s">
        <v>127</v>
      </c>
      <c r="B97" s="48" t="s">
        <v>243</v>
      </c>
      <c r="C97" s="28">
        <f>[16]С4!F17</f>
        <v>73547</v>
      </c>
    </row>
    <row r="98" spans="1:3" ht="17.25">
      <c r="A98" s="49" t="s">
        <v>128</v>
      </c>
      <c r="B98" s="48" t="s">
        <v>129</v>
      </c>
      <c r="C98" s="33">
        <f>[16]С4!F18</f>
        <v>0.02</v>
      </c>
    </row>
    <row r="99" spans="1:3" ht="30">
      <c r="A99" s="49" t="s">
        <v>130</v>
      </c>
      <c r="B99" s="48" t="s">
        <v>131</v>
      </c>
      <c r="C99" s="28">
        <f>[16]С4!F19</f>
        <v>12104</v>
      </c>
    </row>
    <row r="100" spans="1:3" ht="31.5">
      <c r="A100" s="49" t="s">
        <v>132</v>
      </c>
      <c r="B100" s="48" t="s">
        <v>133</v>
      </c>
      <c r="C100" s="33">
        <f>[16]С4!F20</f>
        <v>1.4999999999999999E-2</v>
      </c>
    </row>
    <row r="101" spans="1:3" ht="30">
      <c r="A101" s="49" t="s">
        <v>134</v>
      </c>
      <c r="B101" s="27" t="s">
        <v>244</v>
      </c>
      <c r="C101" s="28">
        <f>[16]С4!F21</f>
        <v>1933.1949342509995</v>
      </c>
    </row>
    <row r="102" spans="1:3" ht="24" customHeight="1">
      <c r="A102" s="49" t="s">
        <v>135</v>
      </c>
      <c r="B102" s="43" t="s">
        <v>136</v>
      </c>
      <c r="C102" s="75">
        <f>IF([16]С4.2!F8="да",[16]С4.2!D21,[16]С4.2!D15)</f>
        <v>0</v>
      </c>
    </row>
    <row r="103" spans="1:3" ht="68.25">
      <c r="A103" s="49" t="s">
        <v>137</v>
      </c>
      <c r="B103" s="43" t="s">
        <v>138</v>
      </c>
      <c r="C103" s="28">
        <f>[16]С4!F22</f>
        <v>3.6112641666666665</v>
      </c>
    </row>
    <row r="104" spans="1:3" ht="30">
      <c r="A104" s="49" t="s">
        <v>139</v>
      </c>
      <c r="B104" s="48" t="s">
        <v>245</v>
      </c>
      <c r="C104" s="28">
        <f>[16]С4!F23</f>
        <v>180</v>
      </c>
    </row>
    <row r="105" spans="1:3" ht="14.25">
      <c r="A105" s="49" t="s">
        <v>140</v>
      </c>
      <c r="B105" s="43" t="s">
        <v>141</v>
      </c>
      <c r="C105" s="28">
        <f>[16]С4!F24</f>
        <v>8497.1999999999989</v>
      </c>
    </row>
    <row r="106" spans="1:3" ht="14.25">
      <c r="A106" s="49" t="s">
        <v>142</v>
      </c>
      <c r="B106" s="48" t="s">
        <v>143</v>
      </c>
      <c r="C106" s="33">
        <f>[16]С4!F25</f>
        <v>0.35</v>
      </c>
    </row>
    <row r="107" spans="1:3" ht="17.25">
      <c r="A107" s="49" t="s">
        <v>144</v>
      </c>
      <c r="B107" s="27" t="s">
        <v>145</v>
      </c>
      <c r="C107" s="28">
        <f>[16]С4!F26</f>
        <v>63.476700000000001</v>
      </c>
    </row>
    <row r="108" spans="1:3" ht="25.5">
      <c r="A108" s="49" t="s">
        <v>146</v>
      </c>
      <c r="B108" s="43" t="s">
        <v>78</v>
      </c>
      <c r="C108" s="75">
        <f>[16]С4.3!E16</f>
        <v>0</v>
      </c>
    </row>
    <row r="109" spans="1:3" ht="25.5">
      <c r="A109" s="49" t="s">
        <v>147</v>
      </c>
      <c r="B109" s="43" t="s">
        <v>148</v>
      </c>
      <c r="C109" s="28">
        <f>[16]С4.3!E17</f>
        <v>18.100000000000001</v>
      </c>
    </row>
    <row r="110" spans="1:3" ht="38.25">
      <c r="A110" s="49" t="s">
        <v>149</v>
      </c>
      <c r="B110" s="43" t="s">
        <v>90</v>
      </c>
      <c r="C110" s="75">
        <f>[16]С4.3!E18</f>
        <v>0</v>
      </c>
    </row>
    <row r="111" spans="1:3">
      <c r="A111" s="49" t="s">
        <v>150</v>
      </c>
      <c r="B111" s="43" t="s">
        <v>151</v>
      </c>
      <c r="C111" s="28">
        <f>[16]С4.3!E19</f>
        <v>0</v>
      </c>
    </row>
    <row r="112" spans="1:3">
      <c r="A112" s="49" t="s">
        <v>152</v>
      </c>
      <c r="B112" s="48" t="s">
        <v>153</v>
      </c>
      <c r="C112" s="28">
        <f>[16]С4.3!E11</f>
        <v>1871</v>
      </c>
    </row>
    <row r="113" spans="1:3">
      <c r="A113" s="49" t="s">
        <v>154</v>
      </c>
      <c r="B113" s="48" t="s">
        <v>155</v>
      </c>
      <c r="C113" s="42">
        <f>[16]С4.3!E12</f>
        <v>1636</v>
      </c>
    </row>
    <row r="114" spans="1:3">
      <c r="A114" s="49" t="s">
        <v>156</v>
      </c>
      <c r="B114" s="48" t="s">
        <v>157</v>
      </c>
      <c r="C114" s="42">
        <f>[16]С4.3!E13</f>
        <v>204</v>
      </c>
    </row>
    <row r="115" spans="1:3" ht="30">
      <c r="A115" s="49" t="s">
        <v>158</v>
      </c>
      <c r="B115" s="27" t="s">
        <v>246</v>
      </c>
      <c r="C115" s="28">
        <f>[16]С4!F27</f>
        <v>1291.2863994686898</v>
      </c>
    </row>
    <row r="116" spans="1:3" ht="25.5">
      <c r="A116" s="49" t="s">
        <v>159</v>
      </c>
      <c r="B116" s="43" t="s">
        <v>247</v>
      </c>
      <c r="C116" s="28">
        <f>[16]С4!F28</f>
        <v>991.77142816335618</v>
      </c>
    </row>
    <row r="117" spans="1:3" ht="42.75">
      <c r="A117" s="49" t="s">
        <v>160</v>
      </c>
      <c r="B117" s="43" t="s">
        <v>161</v>
      </c>
      <c r="C117" s="28">
        <f>[16]С4!F29</f>
        <v>299.51497130533357</v>
      </c>
    </row>
    <row r="118" spans="1:3" ht="30">
      <c r="A118" s="49" t="s">
        <v>162</v>
      </c>
      <c r="B118" s="32" t="s">
        <v>163</v>
      </c>
      <c r="C118" s="28">
        <f>[16]С4!F30</f>
        <v>2549.5291535843371</v>
      </c>
    </row>
    <row r="119" spans="1:3" ht="42.75">
      <c r="A119" s="49" t="s">
        <v>248</v>
      </c>
      <c r="B119" s="76" t="s">
        <v>249</v>
      </c>
      <c r="C119" s="28">
        <f>[16]С4!F33</f>
        <v>1351.3428251496514</v>
      </c>
    </row>
    <row r="120" spans="1:3" ht="30">
      <c r="A120" s="49" t="s">
        <v>250</v>
      </c>
      <c r="B120" s="121" t="s">
        <v>251</v>
      </c>
      <c r="C120" s="28">
        <f>[16]С4!F35</f>
        <v>17.040680999999999</v>
      </c>
    </row>
    <row r="121" spans="1:3" ht="14.25">
      <c r="A121" s="49" t="s">
        <v>252</v>
      </c>
      <c r="B121" s="46" t="s">
        <v>253</v>
      </c>
      <c r="C121" s="28">
        <f>[16]С4!F36</f>
        <v>14319.9</v>
      </c>
    </row>
    <row r="122" spans="1:3" ht="28.5" thickBot="1">
      <c r="A122" s="62" t="s">
        <v>254</v>
      </c>
      <c r="B122" s="122" t="s">
        <v>255</v>
      </c>
      <c r="C122" s="73">
        <f>[16]С4!F37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[16]С5!F17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[16]С2!F37</f>
        <v>20.818139999999996</v>
      </c>
    </row>
    <row r="136" spans="1:3" ht="14.25">
      <c r="A136" s="49" t="s">
        <v>183</v>
      </c>
      <c r="B136" s="128" t="s">
        <v>184</v>
      </c>
      <c r="C136" s="28">
        <f>[16]С2!F38</f>
        <v>7</v>
      </c>
    </row>
    <row r="137" spans="1:3" ht="17.25">
      <c r="A137" s="49" t="s">
        <v>185</v>
      </c>
      <c r="B137" s="128" t="s">
        <v>186</v>
      </c>
      <c r="C137" s="28">
        <f>[16]С2!F40</f>
        <v>0.97</v>
      </c>
    </row>
    <row r="138" spans="1:3" ht="15" thickBot="1">
      <c r="A138" s="62" t="s">
        <v>187</v>
      </c>
      <c r="B138" s="129" t="s">
        <v>188</v>
      </c>
      <c r="C138" s="38">
        <f>[16]С2!F42</f>
        <v>0.35</v>
      </c>
    </row>
    <row r="139" spans="1:3" s="77" customFormat="1" ht="13.5" thickBot="1">
      <c r="A139" s="39"/>
      <c r="B139" s="65"/>
      <c r="C139" s="13"/>
    </row>
    <row r="140" spans="1:3" ht="30">
      <c r="A140" s="74" t="s">
        <v>189</v>
      </c>
      <c r="B140" s="84" t="s">
        <v>258</v>
      </c>
      <c r="C140" s="130">
        <f>[16]С2!F35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[16]С2.5!$E$11</f>
        <v>-2.9000000000000026E-2</v>
      </c>
    </row>
    <row r="144" spans="1:3">
      <c r="A144" s="85"/>
      <c r="B144" s="86">
        <f>B143+1</f>
        <v>2021</v>
      </c>
      <c r="C144" s="135">
        <f>[16]С2.5!$F$11</f>
        <v>0.245</v>
      </c>
    </row>
    <row r="145" spans="1:3">
      <c r="A145" s="85"/>
      <c r="B145" s="86">
        <f t="shared" ref="B145:B208" si="0">B144+1</f>
        <v>2022</v>
      </c>
      <c r="C145" s="135">
        <f>[16]С2.5!$G$11</f>
        <v>0.114</v>
      </c>
    </row>
    <row r="146" spans="1:3" ht="13.5" thickBot="1">
      <c r="A146" s="85"/>
      <c r="B146" s="87">
        <f t="shared" si="0"/>
        <v>2023</v>
      </c>
      <c r="C146" s="136">
        <f>[16]С2.5!$H$11</f>
        <v>0.04</v>
      </c>
    </row>
    <row r="147" spans="1:3">
      <c r="A147" s="85"/>
      <c r="B147" s="137">
        <f t="shared" si="0"/>
        <v>2024</v>
      </c>
      <c r="C147" s="138">
        <f>[16]С2.5!$I$11</f>
        <v>0.11700000000000001</v>
      </c>
    </row>
    <row r="148" spans="1:3">
      <c r="A148" s="85"/>
      <c r="B148" s="86">
        <f t="shared" si="0"/>
        <v>2025</v>
      </c>
      <c r="C148" s="135">
        <f>[16]С2.5!$J$11</f>
        <v>6.0999999999999999E-2</v>
      </c>
    </row>
    <row r="149" spans="1:3" hidden="1">
      <c r="A149" s="85"/>
      <c r="B149" s="86">
        <f t="shared" si="0"/>
        <v>2026</v>
      </c>
      <c r="C149" s="135">
        <f>[16]С2.5!$K$11</f>
        <v>3.5813361771260002E-2</v>
      </c>
    </row>
    <row r="150" spans="1:3" hidden="1">
      <c r="A150" s="85"/>
      <c r="B150" s="86">
        <f t="shared" si="0"/>
        <v>2027</v>
      </c>
      <c r="C150" s="135">
        <f>[16]С2.5!$L$11</f>
        <v>3.2682303599220003E-2</v>
      </c>
    </row>
    <row r="151" spans="1:3" hidden="1">
      <c r="A151" s="85"/>
      <c r="B151" s="86">
        <f t="shared" si="0"/>
        <v>2028</v>
      </c>
      <c r="C151" s="135">
        <f>[16]С2.5!$M$11</f>
        <v>0</v>
      </c>
    </row>
    <row r="152" spans="1:3" hidden="1">
      <c r="A152" s="85"/>
      <c r="B152" s="86">
        <f t="shared" si="0"/>
        <v>2029</v>
      </c>
      <c r="C152" s="135">
        <f>[16]С2.5!$N$11</f>
        <v>0</v>
      </c>
    </row>
    <row r="153" spans="1:3" hidden="1">
      <c r="A153" s="85"/>
      <c r="B153" s="86">
        <f t="shared" si="0"/>
        <v>2030</v>
      </c>
      <c r="C153" s="135">
        <f>[16]С2.5!$O$11</f>
        <v>0</v>
      </c>
    </row>
    <row r="154" spans="1:3" hidden="1">
      <c r="A154" s="85"/>
      <c r="B154" s="86">
        <f t="shared" si="0"/>
        <v>2031</v>
      </c>
      <c r="C154" s="135">
        <f>[16]С2.5!$P$11</f>
        <v>0</v>
      </c>
    </row>
    <row r="155" spans="1:3" hidden="1">
      <c r="A155" s="77"/>
      <c r="B155" s="86">
        <f t="shared" si="0"/>
        <v>2032</v>
      </c>
      <c r="C155" s="135">
        <f>[16]С2.5!$Q$11</f>
        <v>0</v>
      </c>
    </row>
    <row r="156" spans="1:3" hidden="1">
      <c r="A156" s="77"/>
      <c r="B156" s="86">
        <f t="shared" si="0"/>
        <v>2033</v>
      </c>
      <c r="C156" s="135">
        <f>[16]С2.5!$R$11</f>
        <v>0</v>
      </c>
    </row>
    <row r="157" spans="1:3" hidden="1">
      <c r="B157" s="86">
        <f t="shared" si="0"/>
        <v>2034</v>
      </c>
      <c r="C157" s="135">
        <f>[16]С2.5!$S$11</f>
        <v>0</v>
      </c>
    </row>
    <row r="158" spans="1:3" hidden="1">
      <c r="B158" s="86">
        <f t="shared" si="0"/>
        <v>2035</v>
      </c>
      <c r="C158" s="135">
        <f>[16]С2.5!$T$11</f>
        <v>0</v>
      </c>
    </row>
    <row r="159" spans="1:3" hidden="1">
      <c r="B159" s="86">
        <f t="shared" si="0"/>
        <v>2036</v>
      </c>
      <c r="C159" s="135">
        <f>[16]С2.5!$U$11</f>
        <v>0</v>
      </c>
    </row>
    <row r="160" spans="1:3" hidden="1">
      <c r="B160" s="86">
        <f t="shared" si="0"/>
        <v>2037</v>
      </c>
      <c r="C160" s="135">
        <f>[16]С2.5!$V$11</f>
        <v>0</v>
      </c>
    </row>
    <row r="161" spans="2:3" hidden="1">
      <c r="B161" s="86">
        <f t="shared" si="0"/>
        <v>2038</v>
      </c>
      <c r="C161" s="135">
        <f>[16]С2.5!$W$11</f>
        <v>0</v>
      </c>
    </row>
    <row r="162" spans="2:3" hidden="1">
      <c r="B162" s="86">
        <f t="shared" si="0"/>
        <v>2039</v>
      </c>
      <c r="C162" s="135">
        <f>[16]С2.5!$X$11</f>
        <v>0</v>
      </c>
    </row>
    <row r="163" spans="2:3" hidden="1">
      <c r="B163" s="86">
        <f t="shared" si="0"/>
        <v>2040</v>
      </c>
      <c r="C163" s="135">
        <f>[16]С2.5!$Y$11</f>
        <v>0</v>
      </c>
    </row>
    <row r="164" spans="2:3" hidden="1">
      <c r="B164" s="86">
        <f t="shared" si="0"/>
        <v>2041</v>
      </c>
      <c r="C164" s="135">
        <f>[16]С2.5!$Z$11</f>
        <v>0</v>
      </c>
    </row>
    <row r="165" spans="2:3" hidden="1">
      <c r="B165" s="86">
        <f t="shared" si="0"/>
        <v>2042</v>
      </c>
      <c r="C165" s="135">
        <f>[16]С2.5!$AA$11</f>
        <v>0</v>
      </c>
    </row>
    <row r="166" spans="2:3" hidden="1">
      <c r="B166" s="86">
        <f t="shared" si="0"/>
        <v>2043</v>
      </c>
      <c r="C166" s="135">
        <f>[16]С2.5!$AB$11</f>
        <v>0</v>
      </c>
    </row>
    <row r="167" spans="2:3" hidden="1">
      <c r="B167" s="86">
        <f t="shared" si="0"/>
        <v>2044</v>
      </c>
      <c r="C167" s="135">
        <f>[16]С2.5!$AC$11</f>
        <v>0</v>
      </c>
    </row>
    <row r="168" spans="2:3" hidden="1">
      <c r="B168" s="86">
        <f t="shared" si="0"/>
        <v>2045</v>
      </c>
      <c r="C168" s="135">
        <f>[16]С2.5!$AD$11</f>
        <v>0</v>
      </c>
    </row>
    <row r="169" spans="2:3" hidden="1">
      <c r="B169" s="86">
        <f t="shared" si="0"/>
        <v>2046</v>
      </c>
      <c r="C169" s="135">
        <f>[16]С2.5!$AE$11</f>
        <v>0</v>
      </c>
    </row>
    <row r="170" spans="2:3" hidden="1">
      <c r="B170" s="86">
        <f t="shared" si="0"/>
        <v>2047</v>
      </c>
      <c r="C170" s="135">
        <f>[16]С2.5!$AF$11</f>
        <v>0</v>
      </c>
    </row>
    <row r="171" spans="2:3" hidden="1">
      <c r="B171" s="86">
        <f t="shared" si="0"/>
        <v>2048</v>
      </c>
      <c r="C171" s="135">
        <f>[16]С2.5!$AG$11</f>
        <v>0</v>
      </c>
    </row>
    <row r="172" spans="2:3" hidden="1">
      <c r="B172" s="86">
        <f t="shared" si="0"/>
        <v>2049</v>
      </c>
      <c r="C172" s="135">
        <f>[16]С2.5!$AH$11</f>
        <v>0</v>
      </c>
    </row>
    <row r="173" spans="2:3" hidden="1">
      <c r="B173" s="86">
        <f t="shared" si="0"/>
        <v>2050</v>
      </c>
      <c r="C173" s="135">
        <f>[16]С2.5!$AI$11</f>
        <v>0</v>
      </c>
    </row>
    <row r="174" spans="2:3" hidden="1">
      <c r="B174" s="86">
        <f t="shared" si="0"/>
        <v>2051</v>
      </c>
      <c r="C174" s="135">
        <f>[16]С2.5!$AJ$11</f>
        <v>0</v>
      </c>
    </row>
    <row r="175" spans="2:3" hidden="1">
      <c r="B175" s="86">
        <f t="shared" si="0"/>
        <v>2052</v>
      </c>
      <c r="C175" s="135">
        <f>[16]С2.5!$AK$11</f>
        <v>0</v>
      </c>
    </row>
    <row r="176" spans="2:3" hidden="1">
      <c r="B176" s="86">
        <f t="shared" si="0"/>
        <v>2053</v>
      </c>
      <c r="C176" s="135">
        <f>[16]С2.5!$AL$11</f>
        <v>0</v>
      </c>
    </row>
    <row r="177" spans="2:3" hidden="1">
      <c r="B177" s="86">
        <f t="shared" si="0"/>
        <v>2054</v>
      </c>
      <c r="C177" s="135">
        <f>[16]С2.5!$AM$11</f>
        <v>0</v>
      </c>
    </row>
    <row r="178" spans="2:3" hidden="1">
      <c r="B178" s="86">
        <f t="shared" si="0"/>
        <v>2055</v>
      </c>
      <c r="C178" s="135">
        <f>[16]С2.5!$AN$11</f>
        <v>0</v>
      </c>
    </row>
    <row r="179" spans="2:3" hidden="1">
      <c r="B179" s="86">
        <f t="shared" si="0"/>
        <v>2056</v>
      </c>
      <c r="C179" s="135">
        <f>[16]С2.5!$AO$11</f>
        <v>0</v>
      </c>
    </row>
    <row r="180" spans="2:3" hidden="1">
      <c r="B180" s="86">
        <f t="shared" si="0"/>
        <v>2057</v>
      </c>
      <c r="C180" s="135">
        <f>[16]С2.5!$AP$11</f>
        <v>0</v>
      </c>
    </row>
    <row r="181" spans="2:3" hidden="1">
      <c r="B181" s="86">
        <f t="shared" si="0"/>
        <v>2058</v>
      </c>
      <c r="C181" s="135">
        <f>[16]С2.5!$AQ$11</f>
        <v>0</v>
      </c>
    </row>
    <row r="182" spans="2:3" hidden="1">
      <c r="B182" s="86">
        <f t="shared" si="0"/>
        <v>2059</v>
      </c>
      <c r="C182" s="135">
        <f>[16]С2.5!$AR$11</f>
        <v>0</v>
      </c>
    </row>
    <row r="183" spans="2:3" hidden="1">
      <c r="B183" s="86">
        <f t="shared" si="0"/>
        <v>2060</v>
      </c>
      <c r="C183" s="135">
        <f>[16]С2.5!$AS$11</f>
        <v>0</v>
      </c>
    </row>
    <row r="184" spans="2:3" hidden="1">
      <c r="B184" s="86">
        <f t="shared" si="0"/>
        <v>2061</v>
      </c>
      <c r="C184" s="135">
        <f>[16]С2.5!$AT$11</f>
        <v>0</v>
      </c>
    </row>
    <row r="185" spans="2:3" hidden="1">
      <c r="B185" s="86">
        <f t="shared" si="0"/>
        <v>2062</v>
      </c>
      <c r="C185" s="135">
        <f>[16]С2.5!$AU$11</f>
        <v>0</v>
      </c>
    </row>
    <row r="186" spans="2:3" hidden="1">
      <c r="B186" s="86">
        <f t="shared" si="0"/>
        <v>2063</v>
      </c>
      <c r="C186" s="135">
        <f>[16]С2.5!$AV$11</f>
        <v>0</v>
      </c>
    </row>
    <row r="187" spans="2:3" hidden="1">
      <c r="B187" s="86">
        <f t="shared" si="0"/>
        <v>2064</v>
      </c>
      <c r="C187" s="135">
        <f>[16]С2.5!$AW$11</f>
        <v>0</v>
      </c>
    </row>
    <row r="188" spans="2:3" hidden="1">
      <c r="B188" s="86">
        <f t="shared" si="0"/>
        <v>2065</v>
      </c>
      <c r="C188" s="135">
        <f>[16]С2.5!$AX$11</f>
        <v>0</v>
      </c>
    </row>
    <row r="189" spans="2:3" hidden="1">
      <c r="B189" s="86">
        <f t="shared" si="0"/>
        <v>2066</v>
      </c>
      <c r="C189" s="135">
        <f>[16]С2.5!$AY$11</f>
        <v>0</v>
      </c>
    </row>
    <row r="190" spans="2:3" hidden="1">
      <c r="B190" s="86">
        <f t="shared" si="0"/>
        <v>2067</v>
      </c>
      <c r="C190" s="135">
        <f>[16]С2.5!$AZ$11</f>
        <v>0</v>
      </c>
    </row>
    <row r="191" spans="2:3" hidden="1">
      <c r="B191" s="86">
        <f t="shared" si="0"/>
        <v>2068</v>
      </c>
      <c r="C191" s="135">
        <f>[16]С2.5!$BA$11</f>
        <v>0</v>
      </c>
    </row>
    <row r="192" spans="2:3" hidden="1">
      <c r="B192" s="86">
        <f t="shared" si="0"/>
        <v>2069</v>
      </c>
      <c r="C192" s="135">
        <f>[16]С2.5!$BB$11</f>
        <v>0</v>
      </c>
    </row>
    <row r="193" spans="2:3" hidden="1">
      <c r="B193" s="86">
        <f t="shared" si="0"/>
        <v>2070</v>
      </c>
      <c r="C193" s="135">
        <f>[16]С2.5!$BC$11</f>
        <v>0</v>
      </c>
    </row>
    <row r="194" spans="2:3" hidden="1">
      <c r="B194" s="86">
        <f t="shared" si="0"/>
        <v>2071</v>
      </c>
      <c r="C194" s="135">
        <f>[16]С2.5!$BD$11</f>
        <v>0</v>
      </c>
    </row>
    <row r="195" spans="2:3" hidden="1">
      <c r="B195" s="86">
        <f t="shared" si="0"/>
        <v>2072</v>
      </c>
      <c r="C195" s="135">
        <f>[16]С2.5!$BE$11</f>
        <v>0</v>
      </c>
    </row>
    <row r="196" spans="2:3" hidden="1">
      <c r="B196" s="86">
        <f t="shared" si="0"/>
        <v>2073</v>
      </c>
      <c r="C196" s="135">
        <f>[16]С2.5!$BF$11</f>
        <v>0</v>
      </c>
    </row>
    <row r="197" spans="2:3" hidden="1">
      <c r="B197" s="86">
        <f t="shared" si="0"/>
        <v>2074</v>
      </c>
      <c r="C197" s="135">
        <f>[16]С2.5!$BG$11</f>
        <v>0</v>
      </c>
    </row>
    <row r="198" spans="2:3" hidden="1">
      <c r="B198" s="86">
        <f t="shared" si="0"/>
        <v>2075</v>
      </c>
      <c r="C198" s="135">
        <f>[16]С2.5!$BH$11</f>
        <v>0</v>
      </c>
    </row>
    <row r="199" spans="2:3" hidden="1">
      <c r="B199" s="86">
        <f t="shared" si="0"/>
        <v>2076</v>
      </c>
      <c r="C199" s="135">
        <f>[16]С2.5!$BI$11</f>
        <v>0</v>
      </c>
    </row>
    <row r="200" spans="2:3" hidden="1">
      <c r="B200" s="86">
        <f t="shared" si="0"/>
        <v>2077</v>
      </c>
      <c r="C200" s="135">
        <f>[16]С2.5!$BJ$11</f>
        <v>0</v>
      </c>
    </row>
    <row r="201" spans="2:3" hidden="1">
      <c r="B201" s="86">
        <f t="shared" si="0"/>
        <v>2078</v>
      </c>
      <c r="C201" s="135">
        <f>[16]С2.5!$BK$11</f>
        <v>0</v>
      </c>
    </row>
    <row r="202" spans="2:3" hidden="1">
      <c r="B202" s="86">
        <f t="shared" si="0"/>
        <v>2079</v>
      </c>
      <c r="C202" s="135">
        <f>[16]С2.5!$BL$11</f>
        <v>0</v>
      </c>
    </row>
    <row r="203" spans="2:3" hidden="1">
      <c r="B203" s="86">
        <f t="shared" si="0"/>
        <v>2080</v>
      </c>
      <c r="C203" s="135">
        <f>[16]С2.5!$BM$11</f>
        <v>0</v>
      </c>
    </row>
    <row r="204" spans="2:3" hidden="1">
      <c r="B204" s="86">
        <f t="shared" si="0"/>
        <v>2081</v>
      </c>
      <c r="C204" s="135">
        <f>[16]С2.5!$BN$11</f>
        <v>0</v>
      </c>
    </row>
    <row r="205" spans="2:3" hidden="1">
      <c r="B205" s="86">
        <f t="shared" si="0"/>
        <v>2082</v>
      </c>
      <c r="C205" s="135">
        <f>[16]С2.5!$BO$11</f>
        <v>0</v>
      </c>
    </row>
    <row r="206" spans="2:3" hidden="1">
      <c r="B206" s="86">
        <f t="shared" si="0"/>
        <v>2083</v>
      </c>
      <c r="C206" s="135">
        <f>[16]С2.5!$BP$11</f>
        <v>0</v>
      </c>
    </row>
    <row r="207" spans="2:3" hidden="1">
      <c r="B207" s="86">
        <f t="shared" si="0"/>
        <v>2084</v>
      </c>
      <c r="C207" s="135">
        <f>[16]С2.5!$BQ$11</f>
        <v>0</v>
      </c>
    </row>
    <row r="208" spans="2:3" hidden="1">
      <c r="B208" s="86">
        <f t="shared" si="0"/>
        <v>2085</v>
      </c>
      <c r="C208" s="135">
        <f>[16]С2.5!$BR$11</f>
        <v>0</v>
      </c>
    </row>
    <row r="209" spans="2:3" hidden="1">
      <c r="B209" s="86">
        <f t="shared" ref="B209:B223" si="1">B208+1</f>
        <v>2086</v>
      </c>
      <c r="C209" s="135">
        <f>[16]С2.5!$BS$11</f>
        <v>0</v>
      </c>
    </row>
    <row r="210" spans="2:3" hidden="1">
      <c r="B210" s="86">
        <f t="shared" si="1"/>
        <v>2087</v>
      </c>
      <c r="C210" s="135">
        <f>[16]С2.5!$BT$11</f>
        <v>0</v>
      </c>
    </row>
    <row r="211" spans="2:3" hidden="1">
      <c r="B211" s="86">
        <f t="shared" si="1"/>
        <v>2088</v>
      </c>
      <c r="C211" s="135">
        <f>[16]С2.5!$BU$11</f>
        <v>0</v>
      </c>
    </row>
    <row r="212" spans="2:3" hidden="1">
      <c r="B212" s="86">
        <f t="shared" si="1"/>
        <v>2089</v>
      </c>
      <c r="C212" s="135">
        <f>[16]С2.5!$BV$11</f>
        <v>0</v>
      </c>
    </row>
    <row r="213" spans="2:3" hidden="1">
      <c r="B213" s="86">
        <f t="shared" si="1"/>
        <v>2090</v>
      </c>
      <c r="C213" s="135">
        <f>[16]С2.5!$BW$11</f>
        <v>0</v>
      </c>
    </row>
    <row r="214" spans="2:3" hidden="1">
      <c r="B214" s="86">
        <f t="shared" si="1"/>
        <v>2091</v>
      </c>
      <c r="C214" s="135">
        <f>[16]С2.5!$BX$11</f>
        <v>0</v>
      </c>
    </row>
    <row r="215" spans="2:3" hidden="1">
      <c r="B215" s="86">
        <f t="shared" si="1"/>
        <v>2092</v>
      </c>
      <c r="C215" s="135">
        <f>[16]С2.5!$BY$11</f>
        <v>0</v>
      </c>
    </row>
    <row r="216" spans="2:3" hidden="1">
      <c r="B216" s="86">
        <f t="shared" si="1"/>
        <v>2093</v>
      </c>
      <c r="C216" s="135">
        <f>[16]С2.5!$BZ$11</f>
        <v>0</v>
      </c>
    </row>
    <row r="217" spans="2:3" hidden="1">
      <c r="B217" s="86">
        <f t="shared" si="1"/>
        <v>2094</v>
      </c>
      <c r="C217" s="135">
        <f>[16]С2.5!$CA$11</f>
        <v>0</v>
      </c>
    </row>
    <row r="218" spans="2:3" hidden="1">
      <c r="B218" s="86">
        <f t="shared" si="1"/>
        <v>2095</v>
      </c>
      <c r="C218" s="135">
        <f>[16]С2.5!$CB$11</f>
        <v>0</v>
      </c>
    </row>
    <row r="219" spans="2:3" hidden="1">
      <c r="B219" s="86">
        <f t="shared" si="1"/>
        <v>2096</v>
      </c>
      <c r="C219" s="135">
        <f>[16]С2.5!$CC$11</f>
        <v>0</v>
      </c>
    </row>
    <row r="220" spans="2:3" hidden="1">
      <c r="B220" s="86">
        <f t="shared" si="1"/>
        <v>2097</v>
      </c>
      <c r="C220" s="135">
        <f>[16]С2.5!$CD$11</f>
        <v>0</v>
      </c>
    </row>
    <row r="221" spans="2:3" hidden="1">
      <c r="B221" s="86">
        <f t="shared" si="1"/>
        <v>2098</v>
      </c>
      <c r="C221" s="135">
        <f>[16]С2.5!$CE$11</f>
        <v>0</v>
      </c>
    </row>
    <row r="222" spans="2:3" hidden="1">
      <c r="B222" s="86">
        <f t="shared" si="1"/>
        <v>2099</v>
      </c>
      <c r="C222" s="135">
        <f>[16]С2.5!$CF$11</f>
        <v>0</v>
      </c>
    </row>
    <row r="223" spans="2:3" ht="13.5" hidden="1" thickBot="1">
      <c r="B223" s="87">
        <f t="shared" si="1"/>
        <v>2100</v>
      </c>
      <c r="C223" s="136">
        <f>[16]С2.5!$CG$11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4"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[17]И1!D13</f>
        <v>Субъект Российской Федерации</v>
      </c>
      <c r="C4" s="8" t="str">
        <f>[17]И1!E13</f>
        <v>Новосибирская область</v>
      </c>
    </row>
    <row r="5" spans="1:3" ht="46.9" customHeight="1">
      <c r="A5" s="6"/>
      <c r="B5" s="7" t="str">
        <f>[17]И1!D14</f>
        <v>Тип муниципального образования (выберите из списка)</v>
      </c>
      <c r="C5" s="8" t="str">
        <f>[17]И1!E14</f>
        <v>деревня Пешково, Убинский муниципальный район</v>
      </c>
    </row>
    <row r="6" spans="1:3">
      <c r="A6" s="6"/>
      <c r="B6" s="7" t="str">
        <f>IF([17]И1!E15="","",[17]И1!D15)</f>
        <v/>
      </c>
      <c r="C6" s="8" t="str">
        <f>IF([17]И1!E15="","",[17]И1!E15)</f>
        <v/>
      </c>
    </row>
    <row r="7" spans="1:3">
      <c r="A7" s="6"/>
      <c r="B7" s="7" t="str">
        <f>[17]И1!D16</f>
        <v>Код ОКТМО</v>
      </c>
      <c r="C7" s="9" t="str">
        <f>[17]И1!E16</f>
        <v>50654437101</v>
      </c>
    </row>
    <row r="8" spans="1:3">
      <c r="A8" s="6"/>
      <c r="B8" s="10" t="str">
        <f>[17]И1!D17</f>
        <v>Система теплоснабжения</v>
      </c>
      <c r="C8" s="11">
        <f>[17]И1!E17</f>
        <v>0</v>
      </c>
    </row>
    <row r="9" spans="1:3">
      <c r="A9" s="6"/>
      <c r="B9" s="7" t="str">
        <f>[17]И1!D8</f>
        <v>Период регулирования (i)-й</v>
      </c>
      <c r="C9" s="12">
        <f>[17]И1!E8</f>
        <v>2025</v>
      </c>
    </row>
    <row r="10" spans="1:3">
      <c r="A10" s="6"/>
      <c r="B10" s="7" t="str">
        <f>[17]И1!D9</f>
        <v>Период регулирования (i-1)-й</v>
      </c>
      <c r="C10" s="12">
        <f>[17]И1!E9</f>
        <v>2024</v>
      </c>
    </row>
    <row r="11" spans="1:3">
      <c r="A11" s="6"/>
      <c r="B11" s="7" t="str">
        <f>[17]И1!D10</f>
        <v>Период регулирования (i-2)-й</v>
      </c>
      <c r="C11" s="12">
        <f>[17]И1!E10</f>
        <v>2023</v>
      </c>
    </row>
    <row r="12" spans="1:3">
      <c r="A12" s="6"/>
      <c r="B12" s="7" t="str">
        <f>[17]И1!D11</f>
        <v>Базовый год (б)</v>
      </c>
      <c r="C12" s="12">
        <f>[17]И1!E11</f>
        <v>2019</v>
      </c>
    </row>
    <row r="13" spans="1:3" ht="38.25">
      <c r="A13" s="6"/>
      <c r="B13" s="7" t="str">
        <f>[17]И1!D18</f>
        <v>Вид топлива, использование которого преобладает в системе теплоснабжения</v>
      </c>
      <c r="C13" s="13" t="str">
        <f>[17]С1.1!E13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5493.6525136300324</v>
      </c>
    </row>
    <row r="18" spans="1:3" ht="42.75">
      <c r="A18" s="16" t="s">
        <v>7</v>
      </c>
      <c r="B18" s="19" t="s">
        <v>8</v>
      </c>
      <c r="C18" s="20">
        <f>[17]С1!F12</f>
        <v>915.61778343972514</v>
      </c>
    </row>
    <row r="19" spans="1:3" ht="42.75">
      <c r="A19" s="16" t="s">
        <v>9</v>
      </c>
      <c r="B19" s="19" t="s">
        <v>10</v>
      </c>
      <c r="C19" s="20">
        <f>[17]С2!F12</f>
        <v>3044.269023973251</v>
      </c>
    </row>
    <row r="20" spans="1:3" ht="30">
      <c r="A20" s="16" t="s">
        <v>11</v>
      </c>
      <c r="B20" s="19" t="s">
        <v>12</v>
      </c>
      <c r="C20" s="20">
        <f>[17]С3!F12</f>
        <v>911.32264748625244</v>
      </c>
    </row>
    <row r="21" spans="1:3" ht="42.75">
      <c r="A21" s="16" t="s">
        <v>13</v>
      </c>
      <c r="B21" s="19" t="s">
        <v>226</v>
      </c>
      <c r="C21" s="20">
        <f>[17]С4!F12</f>
        <v>514.72438199296039</v>
      </c>
    </row>
    <row r="22" spans="1:3" ht="30">
      <c r="A22" s="16" t="s">
        <v>14</v>
      </c>
      <c r="B22" s="19" t="s">
        <v>227</v>
      </c>
      <c r="C22" s="20">
        <f>[17]С5!F12</f>
        <v>107.71867673784378</v>
      </c>
    </row>
    <row r="23" spans="1:3" ht="43.5" thickBot="1">
      <c r="A23" s="21" t="s">
        <v>15</v>
      </c>
      <c r="B23" s="140" t="s">
        <v>228</v>
      </c>
      <c r="C23" s="22" t="str">
        <f>[17]С6!F12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[17]С1.1!E16</f>
        <v>5100</v>
      </c>
    </row>
    <row r="29" spans="1:3" ht="42.75">
      <c r="A29" s="16" t="s">
        <v>9</v>
      </c>
      <c r="B29" s="27" t="s">
        <v>230</v>
      </c>
      <c r="C29" s="28">
        <f>[17]С1.1!E27</f>
        <v>3302.8666666666668</v>
      </c>
    </row>
    <row r="30" spans="1:3" ht="17.25">
      <c r="A30" s="16" t="s">
        <v>11</v>
      </c>
      <c r="B30" s="27" t="s">
        <v>17</v>
      </c>
      <c r="C30" s="29">
        <f>[17]С1.1!E19</f>
        <v>1.4E-2</v>
      </c>
    </row>
    <row r="31" spans="1:3" ht="17.25">
      <c r="A31" s="16" t="s">
        <v>13</v>
      </c>
      <c r="B31" s="27" t="s">
        <v>18</v>
      </c>
      <c r="C31" s="29">
        <f>[17]С1.1!E20</f>
        <v>0.04</v>
      </c>
    </row>
    <row r="32" spans="1:3" ht="30">
      <c r="A32" s="16" t="s">
        <v>14</v>
      </c>
      <c r="B32" s="30" t="s">
        <v>231</v>
      </c>
      <c r="C32" s="117">
        <f>[17]С1!F13</f>
        <v>176.4</v>
      </c>
    </row>
    <row r="33" spans="1:3">
      <c r="A33" s="16" t="s">
        <v>15</v>
      </c>
      <c r="B33" s="30" t="s">
        <v>19</v>
      </c>
      <c r="C33" s="31">
        <f>[17]С1!F16</f>
        <v>7000</v>
      </c>
    </row>
    <row r="34" spans="1:3" ht="14.25">
      <c r="A34" s="16" t="s">
        <v>20</v>
      </c>
      <c r="B34" s="32" t="s">
        <v>232</v>
      </c>
      <c r="C34" s="33">
        <f>[17]С1!F17</f>
        <v>0.72857142857142854</v>
      </c>
    </row>
    <row r="35" spans="1:3" ht="15.75">
      <c r="A35" s="118" t="s">
        <v>21</v>
      </c>
      <c r="B35" s="34" t="s">
        <v>22</v>
      </c>
      <c r="C35" s="33">
        <f>[17]С1!F20</f>
        <v>21.588411179999994</v>
      </c>
    </row>
    <row r="36" spans="1:3" ht="15.75">
      <c r="A36" s="118" t="s">
        <v>23</v>
      </c>
      <c r="B36" s="35" t="s">
        <v>24</v>
      </c>
      <c r="C36" s="33">
        <f>[17]С1!F21</f>
        <v>20.818139999999996</v>
      </c>
    </row>
    <row r="37" spans="1:3" ht="14.25">
      <c r="A37" s="118" t="s">
        <v>25</v>
      </c>
      <c r="B37" s="36" t="s">
        <v>26</v>
      </c>
      <c r="C37" s="33">
        <f>[17]С1!F22</f>
        <v>1.0369999999999999</v>
      </c>
    </row>
    <row r="38" spans="1:3" ht="53.25" thickBot="1">
      <c r="A38" s="21" t="s">
        <v>27</v>
      </c>
      <c r="B38" s="37" t="s">
        <v>28</v>
      </c>
      <c r="C38" s="38">
        <f>[17]С1!F23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[17]С2.1!E12</f>
        <v>V</v>
      </c>
    </row>
    <row r="42" spans="1:3" ht="25.5">
      <c r="A42" s="16" t="s">
        <v>33</v>
      </c>
      <c r="B42" s="27" t="s">
        <v>34</v>
      </c>
      <c r="C42" s="41" t="str">
        <f>[17]С2.1!E13</f>
        <v>6 и менее баллов</v>
      </c>
    </row>
    <row r="43" spans="1:3" ht="25.5">
      <c r="A43" s="16" t="s">
        <v>35</v>
      </c>
      <c r="B43" s="27" t="s">
        <v>233</v>
      </c>
      <c r="C43" s="41" t="str">
        <f>[17]С2.1!E14</f>
        <v>от 200 до 500</v>
      </c>
    </row>
    <row r="44" spans="1:3" ht="25.5">
      <c r="A44" s="16" t="s">
        <v>36</v>
      </c>
      <c r="B44" s="27" t="s">
        <v>234</v>
      </c>
      <c r="C44" s="42" t="str">
        <f>[17]С2.1!E15</f>
        <v>нет</v>
      </c>
    </row>
    <row r="45" spans="1:3" ht="30">
      <c r="A45" s="16" t="s">
        <v>37</v>
      </c>
      <c r="B45" s="27" t="s">
        <v>38</v>
      </c>
      <c r="C45" s="28">
        <f>[17]С2!F18</f>
        <v>38910.02669467502</v>
      </c>
    </row>
    <row r="46" spans="1:3" ht="30">
      <c r="A46" s="16" t="s">
        <v>39</v>
      </c>
      <c r="B46" s="43" t="s">
        <v>40</v>
      </c>
      <c r="C46" s="28">
        <f>IF([17]С2!F19&gt;0,[17]С2!F19,[17]С2!F20)</f>
        <v>23441.524932855718</v>
      </c>
    </row>
    <row r="47" spans="1:3" ht="25.5">
      <c r="A47" s="16" t="s">
        <v>41</v>
      </c>
      <c r="B47" s="44" t="s">
        <v>42</v>
      </c>
      <c r="C47" s="28">
        <f>[17]С2.1!E19</f>
        <v>-38</v>
      </c>
    </row>
    <row r="48" spans="1:3" ht="25.5">
      <c r="A48" s="16" t="s">
        <v>43</v>
      </c>
      <c r="B48" s="44" t="s">
        <v>44</v>
      </c>
      <c r="C48" s="28" t="str">
        <f>[17]С2.1!E22</f>
        <v>нет</v>
      </c>
    </row>
    <row r="49" spans="1:3" ht="38.25">
      <c r="A49" s="16" t="s">
        <v>45</v>
      </c>
      <c r="B49" s="45" t="s">
        <v>46</v>
      </c>
      <c r="C49" s="28">
        <f>[17]С2.2!E10</f>
        <v>1287</v>
      </c>
    </row>
    <row r="50" spans="1:3" ht="25.5">
      <c r="A50" s="16" t="s">
        <v>47</v>
      </c>
      <c r="B50" s="46" t="s">
        <v>48</v>
      </c>
      <c r="C50" s="28">
        <f>[17]С2.2!E12</f>
        <v>5.97</v>
      </c>
    </row>
    <row r="51" spans="1:3" ht="52.5">
      <c r="A51" s="16" t="s">
        <v>49</v>
      </c>
      <c r="B51" s="47" t="s">
        <v>50</v>
      </c>
      <c r="C51" s="28">
        <f>[17]С2.2!E13</f>
        <v>1</v>
      </c>
    </row>
    <row r="52" spans="1:3" ht="27.75">
      <c r="A52" s="16" t="s">
        <v>51</v>
      </c>
      <c r="B52" s="46" t="s">
        <v>52</v>
      </c>
      <c r="C52" s="28">
        <f>[17]С2.2!E14</f>
        <v>12104</v>
      </c>
    </row>
    <row r="53" spans="1:3" ht="25.5">
      <c r="A53" s="16" t="s">
        <v>53</v>
      </c>
      <c r="B53" s="47" t="s">
        <v>54</v>
      </c>
      <c r="C53" s="29">
        <f>[17]С2.2!E15</f>
        <v>4.8000000000000001E-2</v>
      </c>
    </row>
    <row r="54" spans="1:3">
      <c r="A54" s="16" t="s">
        <v>55</v>
      </c>
      <c r="B54" s="47" t="s">
        <v>56</v>
      </c>
      <c r="C54" s="28">
        <f>[17]С2.2!E16</f>
        <v>1</v>
      </c>
    </row>
    <row r="55" spans="1:3" ht="15.75">
      <c r="A55" s="16" t="s">
        <v>57</v>
      </c>
      <c r="B55" s="48" t="s">
        <v>58</v>
      </c>
      <c r="C55" s="28">
        <f>[17]С2!F21</f>
        <v>1</v>
      </c>
    </row>
    <row r="56" spans="1:3" ht="30">
      <c r="A56" s="49" t="s">
        <v>59</v>
      </c>
      <c r="B56" s="27" t="s">
        <v>235</v>
      </c>
      <c r="C56" s="28">
        <f>[17]С2!F13</f>
        <v>203708.97017230222</v>
      </c>
    </row>
    <row r="57" spans="1:3" ht="30">
      <c r="A57" s="49" t="s">
        <v>60</v>
      </c>
      <c r="B57" s="48" t="s">
        <v>236</v>
      </c>
      <c r="C57" s="28">
        <f>[17]С2!F14</f>
        <v>113455</v>
      </c>
    </row>
    <row r="58" spans="1:3" ht="15.75">
      <c r="A58" s="49" t="s">
        <v>61</v>
      </c>
      <c r="B58" s="50" t="s">
        <v>62</v>
      </c>
      <c r="C58" s="33">
        <f>[17]С2!F15</f>
        <v>1.071</v>
      </c>
    </row>
    <row r="59" spans="1:3" ht="15.75">
      <c r="A59" s="49" t="s">
        <v>63</v>
      </c>
      <c r="B59" s="50" t="s">
        <v>64</v>
      </c>
      <c r="C59" s="33">
        <f>[17]С2!F16</f>
        <v>1</v>
      </c>
    </row>
    <row r="60" spans="1:3" ht="17.25">
      <c r="A60" s="49" t="s">
        <v>65</v>
      </c>
      <c r="B60" s="48" t="s">
        <v>66</v>
      </c>
      <c r="C60" s="28">
        <f>[17]С2!F17</f>
        <v>1.01</v>
      </c>
    </row>
    <row r="61" spans="1:3" s="53" customFormat="1" ht="14.25">
      <c r="A61" s="49" t="s">
        <v>67</v>
      </c>
      <c r="B61" s="51" t="s">
        <v>68</v>
      </c>
      <c r="C61" s="52">
        <f>[17]С2!F33</f>
        <v>10</v>
      </c>
    </row>
    <row r="62" spans="1:3" ht="30">
      <c r="A62" s="49" t="s">
        <v>69</v>
      </c>
      <c r="B62" s="54" t="s">
        <v>70</v>
      </c>
      <c r="C62" s="28">
        <f>[17]С2!F26</f>
        <v>1296.3109177946333</v>
      </c>
    </row>
    <row r="63" spans="1:3" ht="17.25">
      <c r="A63" s="49" t="s">
        <v>71</v>
      </c>
      <c r="B63" s="43" t="s">
        <v>237</v>
      </c>
      <c r="C63" s="28">
        <f>[17]С2!F27</f>
        <v>0.18594487800000001</v>
      </c>
    </row>
    <row r="64" spans="1:3" ht="17.25">
      <c r="A64" s="49" t="s">
        <v>72</v>
      </c>
      <c r="B64" s="48" t="s">
        <v>238</v>
      </c>
      <c r="C64" s="52">
        <f>[17]С2!F28</f>
        <v>4200</v>
      </c>
    </row>
    <row r="65" spans="1:3" ht="42.75">
      <c r="A65" s="49" t="s">
        <v>73</v>
      </c>
      <c r="B65" s="27" t="s">
        <v>239</v>
      </c>
      <c r="C65" s="28">
        <f>[17]С2!F22</f>
        <v>42890.921752741691</v>
      </c>
    </row>
    <row r="66" spans="1:3" ht="30">
      <c r="A66" s="49" t="s">
        <v>74</v>
      </c>
      <c r="B66" s="50" t="s">
        <v>240</v>
      </c>
      <c r="C66" s="28">
        <f>[17]С2!F23</f>
        <v>1990</v>
      </c>
    </row>
    <row r="67" spans="1:3" ht="30">
      <c r="A67" s="49" t="s">
        <v>75</v>
      </c>
      <c r="B67" s="43" t="s">
        <v>76</v>
      </c>
      <c r="C67" s="28">
        <f>[17]С2.1!E27</f>
        <v>14307.876789999998</v>
      </c>
    </row>
    <row r="68" spans="1:3" ht="38.25">
      <c r="A68" s="49" t="s">
        <v>77</v>
      </c>
      <c r="B68" s="55" t="s">
        <v>78</v>
      </c>
      <c r="C68" s="42">
        <f>[17]С2.3!E21</f>
        <v>0</v>
      </c>
    </row>
    <row r="69" spans="1:3" ht="25.5">
      <c r="A69" s="49" t="s">
        <v>79</v>
      </c>
      <c r="B69" s="56" t="s">
        <v>80</v>
      </c>
      <c r="C69" s="57">
        <f>[17]С2.3!E11</f>
        <v>9.89</v>
      </c>
    </row>
    <row r="70" spans="1:3" ht="25.5">
      <c r="A70" s="49" t="s">
        <v>81</v>
      </c>
      <c r="B70" s="56" t="s">
        <v>82</v>
      </c>
      <c r="C70" s="52">
        <f>[17]С2.3!E13</f>
        <v>300</v>
      </c>
    </row>
    <row r="71" spans="1:3" ht="25.5">
      <c r="A71" s="49" t="s">
        <v>83</v>
      </c>
      <c r="B71" s="55" t="s">
        <v>84</v>
      </c>
      <c r="C71" s="58">
        <f>IF([17]С2.3!E22&gt;0,[17]С2.3!E22,[17]С2.3!E14)</f>
        <v>61211</v>
      </c>
    </row>
    <row r="72" spans="1:3" ht="38.25">
      <c r="A72" s="49" t="s">
        <v>85</v>
      </c>
      <c r="B72" s="55" t="s">
        <v>86</v>
      </c>
      <c r="C72" s="58">
        <f>IF([17]С2.3!E23&gt;0,[17]С2.3!E23,[17]С2.3!E15)</f>
        <v>45675</v>
      </c>
    </row>
    <row r="73" spans="1:3" ht="30">
      <c r="A73" s="49" t="s">
        <v>87</v>
      </c>
      <c r="B73" s="43" t="s">
        <v>88</v>
      </c>
      <c r="C73" s="28">
        <f>[17]С2.1!E28</f>
        <v>9541.9567200000001</v>
      </c>
    </row>
    <row r="74" spans="1:3" ht="38.25">
      <c r="A74" s="49" t="s">
        <v>89</v>
      </c>
      <c r="B74" s="55" t="s">
        <v>90</v>
      </c>
      <c r="C74" s="42">
        <f>[17]С2.3!E25</f>
        <v>0</v>
      </c>
    </row>
    <row r="75" spans="1:3" ht="25.5">
      <c r="A75" s="49" t="s">
        <v>91</v>
      </c>
      <c r="B75" s="56" t="s">
        <v>92</v>
      </c>
      <c r="C75" s="57">
        <f>[17]С2.3!E12</f>
        <v>0.56000000000000005</v>
      </c>
    </row>
    <row r="76" spans="1:3" ht="25.5">
      <c r="A76" s="49" t="s">
        <v>93</v>
      </c>
      <c r="B76" s="56" t="s">
        <v>82</v>
      </c>
      <c r="C76" s="52">
        <f>[17]С2.3!E13</f>
        <v>300</v>
      </c>
    </row>
    <row r="77" spans="1:3" ht="25.5">
      <c r="A77" s="49" t="s">
        <v>94</v>
      </c>
      <c r="B77" s="59" t="s">
        <v>95</v>
      </c>
      <c r="C77" s="58">
        <f>IF([17]С2.3!E26&gt;0,[17]С2.3!E26,[17]С2.3!E16)</f>
        <v>65637</v>
      </c>
    </row>
    <row r="78" spans="1:3" ht="38.25">
      <c r="A78" s="49" t="s">
        <v>96</v>
      </c>
      <c r="B78" s="59" t="s">
        <v>97</v>
      </c>
      <c r="C78" s="58">
        <f>IF([17]С2.3!E27&gt;0,[17]С2.3!E27,[17]С2.3!E17)</f>
        <v>31684</v>
      </c>
    </row>
    <row r="79" spans="1:3" ht="17.25">
      <c r="A79" s="49" t="s">
        <v>98</v>
      </c>
      <c r="B79" s="27" t="s">
        <v>99</v>
      </c>
      <c r="C79" s="29">
        <f>[17]С2!F29</f>
        <v>0.17804631770487722</v>
      </c>
    </row>
    <row r="80" spans="1:3" ht="30">
      <c r="A80" s="49" t="s">
        <v>100</v>
      </c>
      <c r="B80" s="43" t="s">
        <v>101</v>
      </c>
      <c r="C80" s="60">
        <f>[17]С2!F30</f>
        <v>0.1652189781021898</v>
      </c>
    </row>
    <row r="81" spans="1:3" ht="17.25">
      <c r="A81" s="49" t="s">
        <v>102</v>
      </c>
      <c r="B81" s="61" t="s">
        <v>103</v>
      </c>
      <c r="C81" s="29">
        <f>[17]С2!F31</f>
        <v>0.13880000000000001</v>
      </c>
    </row>
    <row r="82" spans="1:3" s="53" customFormat="1" ht="18" thickBot="1">
      <c r="A82" s="62" t="s">
        <v>104</v>
      </c>
      <c r="B82" s="63" t="s">
        <v>105</v>
      </c>
      <c r="C82" s="64">
        <f>[17]С2!F32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[17]С3!F14</f>
        <v>14780.674721363519</v>
      </c>
    </row>
    <row r="86" spans="1:3" s="53" customFormat="1" ht="42.75">
      <c r="A86" s="67" t="s">
        <v>110</v>
      </c>
      <c r="B86" s="43" t="s">
        <v>111</v>
      </c>
      <c r="C86" s="68">
        <f>[17]С3!F15</f>
        <v>0.25</v>
      </c>
    </row>
    <row r="87" spans="1:3" s="53" customFormat="1" ht="14.25">
      <c r="A87" s="67" t="s">
        <v>112</v>
      </c>
      <c r="B87" s="69" t="s">
        <v>113</v>
      </c>
      <c r="C87" s="52">
        <f>[17]С3!F18</f>
        <v>15</v>
      </c>
    </row>
    <row r="88" spans="1:3" s="53" customFormat="1" ht="17.25">
      <c r="A88" s="67" t="s">
        <v>114</v>
      </c>
      <c r="B88" s="27" t="s">
        <v>115</v>
      </c>
      <c r="C88" s="28">
        <f>[17]С3!F19</f>
        <v>4187.478806422544</v>
      </c>
    </row>
    <row r="89" spans="1:3" s="53" customFormat="1" ht="55.5">
      <c r="A89" s="67" t="s">
        <v>116</v>
      </c>
      <c r="B89" s="43" t="s">
        <v>117</v>
      </c>
      <c r="C89" s="70">
        <f>[17]С3!F20</f>
        <v>2.1999999999999999E-2</v>
      </c>
    </row>
    <row r="90" spans="1:3" s="53" customFormat="1" ht="14.25">
      <c r="A90" s="67" t="s">
        <v>118</v>
      </c>
      <c r="B90" s="48" t="s">
        <v>68</v>
      </c>
      <c r="C90" s="52">
        <f>[17]С3!F21</f>
        <v>10</v>
      </c>
    </row>
    <row r="91" spans="1:3" s="53" customFormat="1" ht="17.25">
      <c r="A91" s="67" t="s">
        <v>119</v>
      </c>
      <c r="B91" s="27" t="s">
        <v>120</v>
      </c>
      <c r="C91" s="28">
        <f>[17]С3!F22</f>
        <v>3.8889327533838998</v>
      </c>
    </row>
    <row r="92" spans="1:3" s="53" customFormat="1" ht="55.5">
      <c r="A92" s="67" t="s">
        <v>121</v>
      </c>
      <c r="B92" s="43" t="s">
        <v>122</v>
      </c>
      <c r="C92" s="70">
        <f>[17]С3!F23</f>
        <v>3.0000000000000001E-3</v>
      </c>
    </row>
    <row r="93" spans="1:3" s="53" customFormat="1" ht="27.75" thickBot="1">
      <c r="A93" s="71" t="s">
        <v>123</v>
      </c>
      <c r="B93" s="72" t="s">
        <v>241</v>
      </c>
      <c r="C93" s="73">
        <f>[17]С3!F24</f>
        <v>1296.3109177946333</v>
      </c>
    </row>
    <row r="94" spans="1:3" ht="13.5" thickBot="1">
      <c r="A94" s="39"/>
      <c r="B94" s="65"/>
      <c r="C94" s="13"/>
    </row>
    <row r="95" spans="1:3" ht="30" customHeight="1">
      <c r="A95" s="74" t="s">
        <v>124</v>
      </c>
      <c r="B95" s="141" t="s">
        <v>125</v>
      </c>
      <c r="C95" s="141"/>
    </row>
    <row r="96" spans="1:3" ht="30">
      <c r="A96" s="49" t="s">
        <v>126</v>
      </c>
      <c r="B96" s="27" t="s">
        <v>242</v>
      </c>
      <c r="C96" s="28">
        <f>[17]С4!F16</f>
        <v>1652.5</v>
      </c>
    </row>
    <row r="97" spans="1:3" ht="30">
      <c r="A97" s="49" t="s">
        <v>127</v>
      </c>
      <c r="B97" s="48" t="s">
        <v>243</v>
      </c>
      <c r="C97" s="28">
        <f>[17]С4!F17</f>
        <v>73547</v>
      </c>
    </row>
    <row r="98" spans="1:3" ht="17.25">
      <c r="A98" s="49" t="s">
        <v>128</v>
      </c>
      <c r="B98" s="48" t="s">
        <v>129</v>
      </c>
      <c r="C98" s="33">
        <f>[17]С4!F18</f>
        <v>0.02</v>
      </c>
    </row>
    <row r="99" spans="1:3" ht="30">
      <c r="A99" s="49" t="s">
        <v>130</v>
      </c>
      <c r="B99" s="48" t="s">
        <v>131</v>
      </c>
      <c r="C99" s="28">
        <f>[17]С4!F19</f>
        <v>12104</v>
      </c>
    </row>
    <row r="100" spans="1:3" ht="31.5">
      <c r="A100" s="49" t="s">
        <v>132</v>
      </c>
      <c r="B100" s="48" t="s">
        <v>133</v>
      </c>
      <c r="C100" s="33">
        <f>[17]С4!F20</f>
        <v>1.4999999999999999E-2</v>
      </c>
    </row>
    <row r="101" spans="1:3" ht="30">
      <c r="A101" s="49" t="s">
        <v>134</v>
      </c>
      <c r="B101" s="27" t="s">
        <v>244</v>
      </c>
      <c r="C101" s="28">
        <f>[17]С4!F21</f>
        <v>1933.1949342509995</v>
      </c>
    </row>
    <row r="102" spans="1:3" ht="24" customHeight="1">
      <c r="A102" s="49" t="s">
        <v>135</v>
      </c>
      <c r="B102" s="43" t="s">
        <v>136</v>
      </c>
      <c r="C102" s="75">
        <f>IF([17]С4.2!F8="да",[17]С4.2!D21,[17]С4.2!D15)</f>
        <v>0</v>
      </c>
    </row>
    <row r="103" spans="1:3" ht="68.25">
      <c r="A103" s="49" t="s">
        <v>137</v>
      </c>
      <c r="B103" s="43" t="s">
        <v>138</v>
      </c>
      <c r="C103" s="28">
        <f>[17]С4!F22</f>
        <v>3.6112641666666665</v>
      </c>
    </row>
    <row r="104" spans="1:3" ht="30">
      <c r="A104" s="49" t="s">
        <v>139</v>
      </c>
      <c r="B104" s="48" t="s">
        <v>245</v>
      </c>
      <c r="C104" s="28">
        <f>[17]С4!F23</f>
        <v>180</v>
      </c>
    </row>
    <row r="105" spans="1:3" ht="14.25">
      <c r="A105" s="49" t="s">
        <v>140</v>
      </c>
      <c r="B105" s="43" t="s">
        <v>141</v>
      </c>
      <c r="C105" s="28">
        <f>[17]С4!F24</f>
        <v>8497.1999999999989</v>
      </c>
    </row>
    <row r="106" spans="1:3" ht="14.25">
      <c r="A106" s="49" t="s">
        <v>142</v>
      </c>
      <c r="B106" s="48" t="s">
        <v>143</v>
      </c>
      <c r="C106" s="33">
        <f>[17]С4!F25</f>
        <v>0.35</v>
      </c>
    </row>
    <row r="107" spans="1:3" ht="17.25">
      <c r="A107" s="49" t="s">
        <v>144</v>
      </c>
      <c r="B107" s="27" t="s">
        <v>145</v>
      </c>
      <c r="C107" s="28">
        <f>[17]С4!F26</f>
        <v>43.697220000000002</v>
      </c>
    </row>
    <row r="108" spans="1:3" ht="25.5">
      <c r="A108" s="49" t="s">
        <v>146</v>
      </c>
      <c r="B108" s="43" t="s">
        <v>78</v>
      </c>
      <c r="C108" s="75">
        <f>[17]С4.3!E16</f>
        <v>0</v>
      </c>
    </row>
    <row r="109" spans="1:3" ht="25.5">
      <c r="A109" s="49" t="s">
        <v>147</v>
      </c>
      <c r="B109" s="43" t="s">
        <v>148</v>
      </c>
      <c r="C109" s="28">
        <f>[17]С4.3!E17</f>
        <v>12.46</v>
      </c>
    </row>
    <row r="110" spans="1:3" ht="38.25">
      <c r="A110" s="49" t="s">
        <v>149</v>
      </c>
      <c r="B110" s="43" t="s">
        <v>90</v>
      </c>
      <c r="C110" s="75">
        <f>[17]С4.3!E18</f>
        <v>0</v>
      </c>
    </row>
    <row r="111" spans="1:3">
      <c r="A111" s="49" t="s">
        <v>150</v>
      </c>
      <c r="B111" s="43" t="s">
        <v>151</v>
      </c>
      <c r="C111" s="28">
        <f>[17]С4.3!E19</f>
        <v>0</v>
      </c>
    </row>
    <row r="112" spans="1:3">
      <c r="A112" s="49" t="s">
        <v>152</v>
      </c>
      <c r="B112" s="48" t="s">
        <v>153</v>
      </c>
      <c r="C112" s="28">
        <f>[17]С4.3!E11</f>
        <v>1871</v>
      </c>
    </row>
    <row r="113" spans="1:3">
      <c r="A113" s="49" t="s">
        <v>154</v>
      </c>
      <c r="B113" s="48" t="s">
        <v>155</v>
      </c>
      <c r="C113" s="42">
        <f>[17]С4.3!E12</f>
        <v>1636</v>
      </c>
    </row>
    <row r="114" spans="1:3">
      <c r="A114" s="49" t="s">
        <v>156</v>
      </c>
      <c r="B114" s="48" t="s">
        <v>157</v>
      </c>
      <c r="C114" s="42">
        <f>[17]С4.3!E13</f>
        <v>204</v>
      </c>
    </row>
    <row r="115" spans="1:3" ht="30">
      <c r="A115" s="49" t="s">
        <v>158</v>
      </c>
      <c r="B115" s="27" t="s">
        <v>246</v>
      </c>
      <c r="C115" s="28">
        <f>[17]С4!F27</f>
        <v>1291.2863994686898</v>
      </c>
    </row>
    <row r="116" spans="1:3" ht="25.5">
      <c r="A116" s="49" t="s">
        <v>159</v>
      </c>
      <c r="B116" s="43" t="s">
        <v>247</v>
      </c>
      <c r="C116" s="28">
        <f>[17]С4!F28</f>
        <v>991.77142816335618</v>
      </c>
    </row>
    <row r="117" spans="1:3" ht="42.75">
      <c r="A117" s="49" t="s">
        <v>160</v>
      </c>
      <c r="B117" s="43" t="s">
        <v>161</v>
      </c>
      <c r="C117" s="28">
        <f>[17]С4!F29</f>
        <v>299.51497130533357</v>
      </c>
    </row>
    <row r="118" spans="1:3" ht="30">
      <c r="A118" s="49" t="s">
        <v>162</v>
      </c>
      <c r="B118" s="32" t="s">
        <v>163</v>
      </c>
      <c r="C118" s="28">
        <f>[17]С4!F30</f>
        <v>2547.887579290405</v>
      </c>
    </row>
    <row r="119" spans="1:3" ht="42.75">
      <c r="A119" s="49" t="s">
        <v>248</v>
      </c>
      <c r="B119" s="76" t="s">
        <v>249</v>
      </c>
      <c r="C119" s="28">
        <f>[17]С4!F33</f>
        <v>1351.3428251496514</v>
      </c>
    </row>
    <row r="120" spans="1:3" ht="30">
      <c r="A120" s="49" t="s">
        <v>250</v>
      </c>
      <c r="B120" s="121" t="s">
        <v>251</v>
      </c>
      <c r="C120" s="28">
        <f>[17]С4!F35</f>
        <v>17.040680999999999</v>
      </c>
    </row>
    <row r="121" spans="1:3" ht="14.25">
      <c r="A121" s="49" t="s">
        <v>252</v>
      </c>
      <c r="B121" s="46" t="s">
        <v>253</v>
      </c>
      <c r="C121" s="28">
        <f>[17]С4!F36</f>
        <v>14319.9</v>
      </c>
    </row>
    <row r="122" spans="1:3" ht="28.5" thickBot="1">
      <c r="A122" s="62" t="s">
        <v>254</v>
      </c>
      <c r="B122" s="122" t="s">
        <v>255</v>
      </c>
      <c r="C122" s="73">
        <f>[17]С4!F37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[17]С5!F17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[17]С2!F37</f>
        <v>20.818139999999996</v>
      </c>
    </row>
    <row r="136" spans="1:3" ht="14.25">
      <c r="A136" s="49" t="s">
        <v>183</v>
      </c>
      <c r="B136" s="128" t="s">
        <v>184</v>
      </c>
      <c r="C136" s="28">
        <f>[17]С2!F38</f>
        <v>7</v>
      </c>
    </row>
    <row r="137" spans="1:3" ht="17.25">
      <c r="A137" s="49" t="s">
        <v>185</v>
      </c>
      <c r="B137" s="128" t="s">
        <v>186</v>
      </c>
      <c r="C137" s="28">
        <f>[17]С2!F40</f>
        <v>0.97</v>
      </c>
    </row>
    <row r="138" spans="1:3" ht="15" thickBot="1">
      <c r="A138" s="62" t="s">
        <v>187</v>
      </c>
      <c r="B138" s="129" t="s">
        <v>188</v>
      </c>
      <c r="C138" s="38">
        <f>[17]С2!F42</f>
        <v>0.35</v>
      </c>
    </row>
    <row r="139" spans="1:3" s="77" customFormat="1" ht="13.5" thickBot="1">
      <c r="A139" s="39"/>
      <c r="B139" s="65"/>
      <c r="C139" s="13"/>
    </row>
    <row r="140" spans="1:3" ht="30">
      <c r="A140" s="74" t="s">
        <v>189</v>
      </c>
      <c r="B140" s="84" t="s">
        <v>258</v>
      </c>
      <c r="C140" s="130">
        <f>[17]С2!F35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[17]С2.5!$E$11</f>
        <v>-2.9000000000000026E-2</v>
      </c>
    </row>
    <row r="144" spans="1:3">
      <c r="A144" s="85"/>
      <c r="B144" s="86">
        <f>B143+1</f>
        <v>2021</v>
      </c>
      <c r="C144" s="135">
        <f>[17]С2.5!$F$11</f>
        <v>0.245</v>
      </c>
    </row>
    <row r="145" spans="1:3">
      <c r="A145" s="85"/>
      <c r="B145" s="86">
        <f t="shared" ref="B145:B208" si="0">B144+1</f>
        <v>2022</v>
      </c>
      <c r="C145" s="135">
        <f>[17]С2.5!$G$11</f>
        <v>0.114</v>
      </c>
    </row>
    <row r="146" spans="1:3" ht="13.5" thickBot="1">
      <c r="A146" s="85"/>
      <c r="B146" s="87">
        <f t="shared" si="0"/>
        <v>2023</v>
      </c>
      <c r="C146" s="136">
        <f>[17]С2.5!$H$11</f>
        <v>0.04</v>
      </c>
    </row>
    <row r="147" spans="1:3">
      <c r="A147" s="85"/>
      <c r="B147" s="137">
        <f t="shared" si="0"/>
        <v>2024</v>
      </c>
      <c r="C147" s="138">
        <f>[17]С2.5!$I$11</f>
        <v>0.11700000000000001</v>
      </c>
    </row>
    <row r="148" spans="1:3">
      <c r="A148" s="85"/>
      <c r="B148" s="86">
        <f t="shared" si="0"/>
        <v>2025</v>
      </c>
      <c r="C148" s="135">
        <f>[17]С2.5!$J$11</f>
        <v>6.0999999999999999E-2</v>
      </c>
    </row>
    <row r="149" spans="1:3" hidden="1">
      <c r="A149" s="85"/>
      <c r="B149" s="86">
        <f t="shared" si="0"/>
        <v>2026</v>
      </c>
      <c r="C149" s="135">
        <f>[17]С2.5!$K$11</f>
        <v>3.5813361771260002E-2</v>
      </c>
    </row>
    <row r="150" spans="1:3" hidden="1">
      <c r="A150" s="85"/>
      <c r="B150" s="86">
        <f t="shared" si="0"/>
        <v>2027</v>
      </c>
      <c r="C150" s="135">
        <f>[17]С2.5!$L$11</f>
        <v>3.2682303599220003E-2</v>
      </c>
    </row>
    <row r="151" spans="1:3" hidden="1">
      <c r="A151" s="85"/>
      <c r="B151" s="86">
        <f t="shared" si="0"/>
        <v>2028</v>
      </c>
      <c r="C151" s="135">
        <f>[17]С2.5!$M$11</f>
        <v>0</v>
      </c>
    </row>
    <row r="152" spans="1:3" hidden="1">
      <c r="A152" s="85"/>
      <c r="B152" s="86">
        <f t="shared" si="0"/>
        <v>2029</v>
      </c>
      <c r="C152" s="135">
        <f>[17]С2.5!$N$11</f>
        <v>0</v>
      </c>
    </row>
    <row r="153" spans="1:3" hidden="1">
      <c r="A153" s="85"/>
      <c r="B153" s="86">
        <f t="shared" si="0"/>
        <v>2030</v>
      </c>
      <c r="C153" s="135">
        <f>[17]С2.5!$O$11</f>
        <v>0</v>
      </c>
    </row>
    <row r="154" spans="1:3" hidden="1">
      <c r="A154" s="85"/>
      <c r="B154" s="86">
        <f t="shared" si="0"/>
        <v>2031</v>
      </c>
      <c r="C154" s="135">
        <f>[17]С2.5!$P$11</f>
        <v>0</v>
      </c>
    </row>
    <row r="155" spans="1:3" hidden="1">
      <c r="A155" s="77"/>
      <c r="B155" s="86">
        <f t="shared" si="0"/>
        <v>2032</v>
      </c>
      <c r="C155" s="135">
        <f>[17]С2.5!$Q$11</f>
        <v>0</v>
      </c>
    </row>
    <row r="156" spans="1:3" hidden="1">
      <c r="A156" s="77"/>
      <c r="B156" s="86">
        <f t="shared" si="0"/>
        <v>2033</v>
      </c>
      <c r="C156" s="135">
        <f>[17]С2.5!$R$11</f>
        <v>0</v>
      </c>
    </row>
    <row r="157" spans="1:3" hidden="1">
      <c r="B157" s="86">
        <f t="shared" si="0"/>
        <v>2034</v>
      </c>
      <c r="C157" s="135">
        <f>[17]С2.5!$S$11</f>
        <v>0</v>
      </c>
    </row>
    <row r="158" spans="1:3" hidden="1">
      <c r="B158" s="86">
        <f t="shared" si="0"/>
        <v>2035</v>
      </c>
      <c r="C158" s="135">
        <f>[17]С2.5!$T$11</f>
        <v>0</v>
      </c>
    </row>
    <row r="159" spans="1:3" hidden="1">
      <c r="B159" s="86">
        <f t="shared" si="0"/>
        <v>2036</v>
      </c>
      <c r="C159" s="135">
        <f>[17]С2.5!$U$11</f>
        <v>0</v>
      </c>
    </row>
    <row r="160" spans="1:3" hidden="1">
      <c r="B160" s="86">
        <f t="shared" si="0"/>
        <v>2037</v>
      </c>
      <c r="C160" s="135">
        <f>[17]С2.5!$V$11</f>
        <v>0</v>
      </c>
    </row>
    <row r="161" spans="2:3" hidden="1">
      <c r="B161" s="86">
        <f t="shared" si="0"/>
        <v>2038</v>
      </c>
      <c r="C161" s="135">
        <f>[17]С2.5!$W$11</f>
        <v>0</v>
      </c>
    </row>
    <row r="162" spans="2:3" hidden="1">
      <c r="B162" s="86">
        <f t="shared" si="0"/>
        <v>2039</v>
      </c>
      <c r="C162" s="135">
        <f>[17]С2.5!$X$11</f>
        <v>0</v>
      </c>
    </row>
    <row r="163" spans="2:3" hidden="1">
      <c r="B163" s="86">
        <f t="shared" si="0"/>
        <v>2040</v>
      </c>
      <c r="C163" s="135">
        <f>[17]С2.5!$Y$11</f>
        <v>0</v>
      </c>
    </row>
    <row r="164" spans="2:3" hidden="1">
      <c r="B164" s="86">
        <f t="shared" si="0"/>
        <v>2041</v>
      </c>
      <c r="C164" s="135">
        <f>[17]С2.5!$Z$11</f>
        <v>0</v>
      </c>
    </row>
    <row r="165" spans="2:3" hidden="1">
      <c r="B165" s="86">
        <f t="shared" si="0"/>
        <v>2042</v>
      </c>
      <c r="C165" s="135">
        <f>[17]С2.5!$AA$11</f>
        <v>0</v>
      </c>
    </row>
    <row r="166" spans="2:3" hidden="1">
      <c r="B166" s="86">
        <f t="shared" si="0"/>
        <v>2043</v>
      </c>
      <c r="C166" s="135">
        <f>[17]С2.5!$AB$11</f>
        <v>0</v>
      </c>
    </row>
    <row r="167" spans="2:3" hidden="1">
      <c r="B167" s="86">
        <f t="shared" si="0"/>
        <v>2044</v>
      </c>
      <c r="C167" s="135">
        <f>[17]С2.5!$AC$11</f>
        <v>0</v>
      </c>
    </row>
    <row r="168" spans="2:3" hidden="1">
      <c r="B168" s="86">
        <f t="shared" si="0"/>
        <v>2045</v>
      </c>
      <c r="C168" s="135">
        <f>[17]С2.5!$AD$11</f>
        <v>0</v>
      </c>
    </row>
    <row r="169" spans="2:3" hidden="1">
      <c r="B169" s="86">
        <f t="shared" si="0"/>
        <v>2046</v>
      </c>
      <c r="C169" s="135">
        <f>[17]С2.5!$AE$11</f>
        <v>0</v>
      </c>
    </row>
    <row r="170" spans="2:3" hidden="1">
      <c r="B170" s="86">
        <f t="shared" si="0"/>
        <v>2047</v>
      </c>
      <c r="C170" s="135">
        <f>[17]С2.5!$AF$11</f>
        <v>0</v>
      </c>
    </row>
    <row r="171" spans="2:3" hidden="1">
      <c r="B171" s="86">
        <f t="shared" si="0"/>
        <v>2048</v>
      </c>
      <c r="C171" s="135">
        <f>[17]С2.5!$AG$11</f>
        <v>0</v>
      </c>
    </row>
    <row r="172" spans="2:3" hidden="1">
      <c r="B172" s="86">
        <f t="shared" si="0"/>
        <v>2049</v>
      </c>
      <c r="C172" s="135">
        <f>[17]С2.5!$AH$11</f>
        <v>0</v>
      </c>
    </row>
    <row r="173" spans="2:3" hidden="1">
      <c r="B173" s="86">
        <f t="shared" si="0"/>
        <v>2050</v>
      </c>
      <c r="C173" s="135">
        <f>[17]С2.5!$AI$11</f>
        <v>0</v>
      </c>
    </row>
    <row r="174" spans="2:3" hidden="1">
      <c r="B174" s="86">
        <f t="shared" si="0"/>
        <v>2051</v>
      </c>
      <c r="C174" s="135">
        <f>[17]С2.5!$AJ$11</f>
        <v>0</v>
      </c>
    </row>
    <row r="175" spans="2:3" hidden="1">
      <c r="B175" s="86">
        <f t="shared" si="0"/>
        <v>2052</v>
      </c>
      <c r="C175" s="135">
        <f>[17]С2.5!$AK$11</f>
        <v>0</v>
      </c>
    </row>
    <row r="176" spans="2:3" hidden="1">
      <c r="B176" s="86">
        <f t="shared" si="0"/>
        <v>2053</v>
      </c>
      <c r="C176" s="135">
        <f>[17]С2.5!$AL$11</f>
        <v>0</v>
      </c>
    </row>
    <row r="177" spans="2:3" hidden="1">
      <c r="B177" s="86">
        <f t="shared" si="0"/>
        <v>2054</v>
      </c>
      <c r="C177" s="135">
        <f>[17]С2.5!$AM$11</f>
        <v>0</v>
      </c>
    </row>
    <row r="178" spans="2:3" hidden="1">
      <c r="B178" s="86">
        <f t="shared" si="0"/>
        <v>2055</v>
      </c>
      <c r="C178" s="135">
        <f>[17]С2.5!$AN$11</f>
        <v>0</v>
      </c>
    </row>
    <row r="179" spans="2:3" hidden="1">
      <c r="B179" s="86">
        <f t="shared" si="0"/>
        <v>2056</v>
      </c>
      <c r="C179" s="135">
        <f>[17]С2.5!$AO$11</f>
        <v>0</v>
      </c>
    </row>
    <row r="180" spans="2:3" hidden="1">
      <c r="B180" s="86">
        <f t="shared" si="0"/>
        <v>2057</v>
      </c>
      <c r="C180" s="135">
        <f>[17]С2.5!$AP$11</f>
        <v>0</v>
      </c>
    </row>
    <row r="181" spans="2:3" hidden="1">
      <c r="B181" s="86">
        <f t="shared" si="0"/>
        <v>2058</v>
      </c>
      <c r="C181" s="135">
        <f>[17]С2.5!$AQ$11</f>
        <v>0</v>
      </c>
    </row>
    <row r="182" spans="2:3" hidden="1">
      <c r="B182" s="86">
        <f t="shared" si="0"/>
        <v>2059</v>
      </c>
      <c r="C182" s="135">
        <f>[17]С2.5!$AR$11</f>
        <v>0</v>
      </c>
    </row>
    <row r="183" spans="2:3" hidden="1">
      <c r="B183" s="86">
        <f t="shared" si="0"/>
        <v>2060</v>
      </c>
      <c r="C183" s="135">
        <f>[17]С2.5!$AS$11</f>
        <v>0</v>
      </c>
    </row>
    <row r="184" spans="2:3" hidden="1">
      <c r="B184" s="86">
        <f t="shared" si="0"/>
        <v>2061</v>
      </c>
      <c r="C184" s="135">
        <f>[17]С2.5!$AT$11</f>
        <v>0</v>
      </c>
    </row>
    <row r="185" spans="2:3" hidden="1">
      <c r="B185" s="86">
        <f t="shared" si="0"/>
        <v>2062</v>
      </c>
      <c r="C185" s="135">
        <f>[17]С2.5!$AU$11</f>
        <v>0</v>
      </c>
    </row>
    <row r="186" spans="2:3" hidden="1">
      <c r="B186" s="86">
        <f t="shared" si="0"/>
        <v>2063</v>
      </c>
      <c r="C186" s="135">
        <f>[17]С2.5!$AV$11</f>
        <v>0</v>
      </c>
    </row>
    <row r="187" spans="2:3" hidden="1">
      <c r="B187" s="86">
        <f t="shared" si="0"/>
        <v>2064</v>
      </c>
      <c r="C187" s="135">
        <f>[17]С2.5!$AW$11</f>
        <v>0</v>
      </c>
    </row>
    <row r="188" spans="2:3" hidden="1">
      <c r="B188" s="86">
        <f t="shared" si="0"/>
        <v>2065</v>
      </c>
      <c r="C188" s="135">
        <f>[17]С2.5!$AX$11</f>
        <v>0</v>
      </c>
    </row>
    <row r="189" spans="2:3" hidden="1">
      <c r="B189" s="86">
        <f t="shared" si="0"/>
        <v>2066</v>
      </c>
      <c r="C189" s="135">
        <f>[17]С2.5!$AY$11</f>
        <v>0</v>
      </c>
    </row>
    <row r="190" spans="2:3" hidden="1">
      <c r="B190" s="86">
        <f t="shared" si="0"/>
        <v>2067</v>
      </c>
      <c r="C190" s="135">
        <f>[17]С2.5!$AZ$11</f>
        <v>0</v>
      </c>
    </row>
    <row r="191" spans="2:3" hidden="1">
      <c r="B191" s="86">
        <f t="shared" si="0"/>
        <v>2068</v>
      </c>
      <c r="C191" s="135">
        <f>[17]С2.5!$BA$11</f>
        <v>0</v>
      </c>
    </row>
    <row r="192" spans="2:3" hidden="1">
      <c r="B192" s="86">
        <f t="shared" si="0"/>
        <v>2069</v>
      </c>
      <c r="C192" s="135">
        <f>[17]С2.5!$BB$11</f>
        <v>0</v>
      </c>
    </row>
    <row r="193" spans="2:3" hidden="1">
      <c r="B193" s="86">
        <f t="shared" si="0"/>
        <v>2070</v>
      </c>
      <c r="C193" s="135">
        <f>[17]С2.5!$BC$11</f>
        <v>0</v>
      </c>
    </row>
    <row r="194" spans="2:3" hidden="1">
      <c r="B194" s="86">
        <f t="shared" si="0"/>
        <v>2071</v>
      </c>
      <c r="C194" s="135">
        <f>[17]С2.5!$BD$11</f>
        <v>0</v>
      </c>
    </row>
    <row r="195" spans="2:3" hidden="1">
      <c r="B195" s="86">
        <f t="shared" si="0"/>
        <v>2072</v>
      </c>
      <c r="C195" s="135">
        <f>[17]С2.5!$BE$11</f>
        <v>0</v>
      </c>
    </row>
    <row r="196" spans="2:3" hidden="1">
      <c r="B196" s="86">
        <f t="shared" si="0"/>
        <v>2073</v>
      </c>
      <c r="C196" s="135">
        <f>[17]С2.5!$BF$11</f>
        <v>0</v>
      </c>
    </row>
    <row r="197" spans="2:3" hidden="1">
      <c r="B197" s="86">
        <f t="shared" si="0"/>
        <v>2074</v>
      </c>
      <c r="C197" s="135">
        <f>[17]С2.5!$BG$11</f>
        <v>0</v>
      </c>
    </row>
    <row r="198" spans="2:3" hidden="1">
      <c r="B198" s="86">
        <f t="shared" si="0"/>
        <v>2075</v>
      </c>
      <c r="C198" s="135">
        <f>[17]С2.5!$BH$11</f>
        <v>0</v>
      </c>
    </row>
    <row r="199" spans="2:3" hidden="1">
      <c r="B199" s="86">
        <f t="shared" si="0"/>
        <v>2076</v>
      </c>
      <c r="C199" s="135">
        <f>[17]С2.5!$BI$11</f>
        <v>0</v>
      </c>
    </row>
    <row r="200" spans="2:3" hidden="1">
      <c r="B200" s="86">
        <f t="shared" si="0"/>
        <v>2077</v>
      </c>
      <c r="C200" s="135">
        <f>[17]С2.5!$BJ$11</f>
        <v>0</v>
      </c>
    </row>
    <row r="201" spans="2:3" hidden="1">
      <c r="B201" s="86">
        <f t="shared" si="0"/>
        <v>2078</v>
      </c>
      <c r="C201" s="135">
        <f>[17]С2.5!$BK$11</f>
        <v>0</v>
      </c>
    </row>
    <row r="202" spans="2:3" hidden="1">
      <c r="B202" s="86">
        <f t="shared" si="0"/>
        <v>2079</v>
      </c>
      <c r="C202" s="135">
        <f>[17]С2.5!$BL$11</f>
        <v>0</v>
      </c>
    </row>
    <row r="203" spans="2:3" hidden="1">
      <c r="B203" s="86">
        <f t="shared" si="0"/>
        <v>2080</v>
      </c>
      <c r="C203" s="135">
        <f>[17]С2.5!$BM$11</f>
        <v>0</v>
      </c>
    </row>
    <row r="204" spans="2:3" hidden="1">
      <c r="B204" s="86">
        <f t="shared" si="0"/>
        <v>2081</v>
      </c>
      <c r="C204" s="135">
        <f>[17]С2.5!$BN$11</f>
        <v>0</v>
      </c>
    </row>
    <row r="205" spans="2:3" hidden="1">
      <c r="B205" s="86">
        <f t="shared" si="0"/>
        <v>2082</v>
      </c>
      <c r="C205" s="135">
        <f>[17]С2.5!$BO$11</f>
        <v>0</v>
      </c>
    </row>
    <row r="206" spans="2:3" hidden="1">
      <c r="B206" s="86">
        <f t="shared" si="0"/>
        <v>2083</v>
      </c>
      <c r="C206" s="135">
        <f>[17]С2.5!$BP$11</f>
        <v>0</v>
      </c>
    </row>
    <row r="207" spans="2:3" hidden="1">
      <c r="B207" s="86">
        <f t="shared" si="0"/>
        <v>2084</v>
      </c>
      <c r="C207" s="135">
        <f>[17]С2.5!$BQ$11</f>
        <v>0</v>
      </c>
    </row>
    <row r="208" spans="2:3" hidden="1">
      <c r="B208" s="86">
        <f t="shared" si="0"/>
        <v>2085</v>
      </c>
      <c r="C208" s="135">
        <f>[17]С2.5!$BR$11</f>
        <v>0</v>
      </c>
    </row>
    <row r="209" spans="2:3" hidden="1">
      <c r="B209" s="86">
        <f t="shared" ref="B209:B223" si="1">B208+1</f>
        <v>2086</v>
      </c>
      <c r="C209" s="135">
        <f>[17]С2.5!$BS$11</f>
        <v>0</v>
      </c>
    </row>
    <row r="210" spans="2:3" hidden="1">
      <c r="B210" s="86">
        <f t="shared" si="1"/>
        <v>2087</v>
      </c>
      <c r="C210" s="135">
        <f>[17]С2.5!$BT$11</f>
        <v>0</v>
      </c>
    </row>
    <row r="211" spans="2:3" hidden="1">
      <c r="B211" s="86">
        <f t="shared" si="1"/>
        <v>2088</v>
      </c>
      <c r="C211" s="135">
        <f>[17]С2.5!$BU$11</f>
        <v>0</v>
      </c>
    </row>
    <row r="212" spans="2:3" hidden="1">
      <c r="B212" s="86">
        <f t="shared" si="1"/>
        <v>2089</v>
      </c>
      <c r="C212" s="135">
        <f>[17]С2.5!$BV$11</f>
        <v>0</v>
      </c>
    </row>
    <row r="213" spans="2:3" hidden="1">
      <c r="B213" s="86">
        <f t="shared" si="1"/>
        <v>2090</v>
      </c>
      <c r="C213" s="135">
        <f>[17]С2.5!$BW$11</f>
        <v>0</v>
      </c>
    </row>
    <row r="214" spans="2:3" hidden="1">
      <c r="B214" s="86">
        <f t="shared" si="1"/>
        <v>2091</v>
      </c>
      <c r="C214" s="135">
        <f>[17]С2.5!$BX$11</f>
        <v>0</v>
      </c>
    </row>
    <row r="215" spans="2:3" hidden="1">
      <c r="B215" s="86">
        <f t="shared" si="1"/>
        <v>2092</v>
      </c>
      <c r="C215" s="135">
        <f>[17]С2.5!$BY$11</f>
        <v>0</v>
      </c>
    </row>
    <row r="216" spans="2:3" hidden="1">
      <c r="B216" s="86">
        <f t="shared" si="1"/>
        <v>2093</v>
      </c>
      <c r="C216" s="135">
        <f>[17]С2.5!$BZ$11</f>
        <v>0</v>
      </c>
    </row>
    <row r="217" spans="2:3" hidden="1">
      <c r="B217" s="86">
        <f t="shared" si="1"/>
        <v>2094</v>
      </c>
      <c r="C217" s="135">
        <f>[17]С2.5!$CA$11</f>
        <v>0</v>
      </c>
    </row>
    <row r="218" spans="2:3" hidden="1">
      <c r="B218" s="86">
        <f t="shared" si="1"/>
        <v>2095</v>
      </c>
      <c r="C218" s="135">
        <f>[17]С2.5!$CB$11</f>
        <v>0</v>
      </c>
    </row>
    <row r="219" spans="2:3" hidden="1">
      <c r="B219" s="86">
        <f t="shared" si="1"/>
        <v>2096</v>
      </c>
      <c r="C219" s="135">
        <f>[17]С2.5!$CC$11</f>
        <v>0</v>
      </c>
    </row>
    <row r="220" spans="2:3" hidden="1">
      <c r="B220" s="86">
        <f t="shared" si="1"/>
        <v>2097</v>
      </c>
      <c r="C220" s="135">
        <f>[17]С2.5!$CD$11</f>
        <v>0</v>
      </c>
    </row>
    <row r="221" spans="2:3" hidden="1">
      <c r="B221" s="86">
        <f t="shared" si="1"/>
        <v>2098</v>
      </c>
      <c r="C221" s="135">
        <f>[17]С2.5!$CE$11</f>
        <v>0</v>
      </c>
    </row>
    <row r="222" spans="2:3" hidden="1">
      <c r="B222" s="86">
        <f t="shared" si="1"/>
        <v>2099</v>
      </c>
      <c r="C222" s="135">
        <f>[17]С2.5!$CF$11</f>
        <v>0</v>
      </c>
    </row>
    <row r="223" spans="2:3" ht="13.5" hidden="1" thickBot="1">
      <c r="B223" s="87">
        <f t="shared" si="1"/>
        <v>2100</v>
      </c>
      <c r="C223" s="136">
        <f>[17]С2.5!$CG$11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[18]И1!D13</f>
        <v>Субъект Российской Федерации</v>
      </c>
      <c r="C4" s="8" t="str">
        <f>[18]И1!E13</f>
        <v>Новосибирская область</v>
      </c>
    </row>
    <row r="5" spans="1:3" ht="46.9" customHeight="1">
      <c r="A5" s="6"/>
      <c r="B5" s="7" t="str">
        <f>[18]И1!D14</f>
        <v>Тип муниципального образования (выберите из списка)</v>
      </c>
      <c r="C5" s="8" t="str">
        <f>[18]И1!E14</f>
        <v>село Раисино, Убинский муниципальный район</v>
      </c>
    </row>
    <row r="6" spans="1:3">
      <c r="A6" s="6"/>
      <c r="B6" s="7" t="str">
        <f>IF([18]И1!E15="","",[18]И1!D15)</f>
        <v/>
      </c>
      <c r="C6" s="8" t="str">
        <f>IF([18]И1!E15="","",[18]И1!E15)</f>
        <v/>
      </c>
    </row>
    <row r="7" spans="1:3">
      <c r="A7" s="6"/>
      <c r="B7" s="7" t="str">
        <f>[18]И1!D16</f>
        <v>Код ОКТМО</v>
      </c>
      <c r="C7" s="9" t="str">
        <f>[18]И1!E16</f>
        <v>50654434101</v>
      </c>
    </row>
    <row r="8" spans="1:3">
      <c r="A8" s="6"/>
      <c r="B8" s="10" t="str">
        <f>[18]И1!D17</f>
        <v>Система теплоснабжения</v>
      </c>
      <c r="C8" s="11">
        <f>[18]И1!E17</f>
        <v>0</v>
      </c>
    </row>
    <row r="9" spans="1:3">
      <c r="A9" s="6"/>
      <c r="B9" s="7" t="str">
        <f>[18]И1!D8</f>
        <v>Период регулирования (i)-й</v>
      </c>
      <c r="C9" s="12">
        <f>[18]И1!E8</f>
        <v>2025</v>
      </c>
    </row>
    <row r="10" spans="1:3">
      <c r="A10" s="6"/>
      <c r="B10" s="7" t="str">
        <f>[18]И1!D9</f>
        <v>Период регулирования (i-1)-й</v>
      </c>
      <c r="C10" s="12">
        <f>[18]И1!E9</f>
        <v>2024</v>
      </c>
    </row>
    <row r="11" spans="1:3">
      <c r="A11" s="6"/>
      <c r="B11" s="7" t="str">
        <f>[18]И1!D10</f>
        <v>Период регулирования (i-2)-й</v>
      </c>
      <c r="C11" s="12">
        <f>[18]И1!E10</f>
        <v>2023</v>
      </c>
    </row>
    <row r="12" spans="1:3">
      <c r="A12" s="6"/>
      <c r="B12" s="7" t="str">
        <f>[18]И1!D11</f>
        <v>Базовый год (б)</v>
      </c>
      <c r="C12" s="12">
        <f>[18]И1!E11</f>
        <v>2019</v>
      </c>
    </row>
    <row r="13" spans="1:3" ht="38.25">
      <c r="A13" s="6"/>
      <c r="B13" s="7" t="str">
        <f>[18]И1!D18</f>
        <v>Вид топлива, использование которого преобладает в системе теплоснабжения</v>
      </c>
      <c r="C13" s="13" t="str">
        <f>[18]С1.1!E13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5562.6149305562021</v>
      </c>
    </row>
    <row r="18" spans="1:3" ht="42.75">
      <c r="A18" s="16" t="s">
        <v>7</v>
      </c>
      <c r="B18" s="19" t="s">
        <v>8</v>
      </c>
      <c r="C18" s="20">
        <f>[18]С1!F12</f>
        <v>979.12868332044741</v>
      </c>
    </row>
    <row r="19" spans="1:3" ht="42.75">
      <c r="A19" s="16" t="s">
        <v>9</v>
      </c>
      <c r="B19" s="19" t="s">
        <v>10</v>
      </c>
      <c r="C19" s="20">
        <f>[18]С2!F12</f>
        <v>3044.269023973251</v>
      </c>
    </row>
    <row r="20" spans="1:3" ht="30">
      <c r="A20" s="16" t="s">
        <v>11</v>
      </c>
      <c r="B20" s="19" t="s">
        <v>12</v>
      </c>
      <c r="C20" s="20">
        <f>[18]С3!F12</f>
        <v>911.32264748625244</v>
      </c>
    </row>
    <row r="21" spans="1:3" ht="42.75">
      <c r="A21" s="16" t="s">
        <v>13</v>
      </c>
      <c r="B21" s="19" t="s">
        <v>226</v>
      </c>
      <c r="C21" s="20">
        <f>[18]С4!F12</f>
        <v>518.82369478495286</v>
      </c>
    </row>
    <row r="22" spans="1:3" ht="30">
      <c r="A22" s="16" t="s">
        <v>14</v>
      </c>
      <c r="B22" s="19" t="s">
        <v>227</v>
      </c>
      <c r="C22" s="20">
        <f>[18]С5!F12</f>
        <v>109.07088099129807</v>
      </c>
    </row>
    <row r="23" spans="1:3" ht="43.5" thickBot="1">
      <c r="A23" s="21" t="s">
        <v>15</v>
      </c>
      <c r="B23" s="140" t="s">
        <v>228</v>
      </c>
      <c r="C23" s="22" t="str">
        <f>[18]С6!F12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[18]С1.1!E16</f>
        <v>5100</v>
      </c>
    </row>
    <row r="29" spans="1:3" ht="42.75">
      <c r="A29" s="16" t="s">
        <v>9</v>
      </c>
      <c r="B29" s="27" t="s">
        <v>230</v>
      </c>
      <c r="C29" s="28">
        <f>[18]С1.1!E27</f>
        <v>3531.9666666666667</v>
      </c>
    </row>
    <row r="30" spans="1:3" ht="17.25">
      <c r="A30" s="16" t="s">
        <v>11</v>
      </c>
      <c r="B30" s="27" t="s">
        <v>17</v>
      </c>
      <c r="C30" s="29">
        <f>[18]С1.1!E19</f>
        <v>1.4E-2</v>
      </c>
    </row>
    <row r="31" spans="1:3" ht="17.25">
      <c r="A31" s="16" t="s">
        <v>13</v>
      </c>
      <c r="B31" s="27" t="s">
        <v>18</v>
      </c>
      <c r="C31" s="29">
        <f>[18]С1.1!E20</f>
        <v>0.04</v>
      </c>
    </row>
    <row r="32" spans="1:3" ht="30">
      <c r="A32" s="16" t="s">
        <v>14</v>
      </c>
      <c r="B32" s="30" t="s">
        <v>231</v>
      </c>
      <c r="C32" s="117">
        <f>[18]С1!F13</f>
        <v>176.4</v>
      </c>
    </row>
    <row r="33" spans="1:3">
      <c r="A33" s="16" t="s">
        <v>15</v>
      </c>
      <c r="B33" s="30" t="s">
        <v>19</v>
      </c>
      <c r="C33" s="31">
        <f>[18]С1!F16</f>
        <v>7000</v>
      </c>
    </row>
    <row r="34" spans="1:3" ht="14.25">
      <c r="A34" s="16" t="s">
        <v>20</v>
      </c>
      <c r="B34" s="32" t="s">
        <v>232</v>
      </c>
      <c r="C34" s="33">
        <f>[18]С1!F17</f>
        <v>0.72857142857142854</v>
      </c>
    </row>
    <row r="35" spans="1:3" ht="15.75">
      <c r="A35" s="118" t="s">
        <v>21</v>
      </c>
      <c r="B35" s="34" t="s">
        <v>22</v>
      </c>
      <c r="C35" s="33">
        <f>[18]С1!F20</f>
        <v>21.588411179999994</v>
      </c>
    </row>
    <row r="36" spans="1:3" ht="15.75">
      <c r="A36" s="118" t="s">
        <v>23</v>
      </c>
      <c r="B36" s="35" t="s">
        <v>24</v>
      </c>
      <c r="C36" s="33">
        <f>[18]С1!F21</f>
        <v>20.818139999999996</v>
      </c>
    </row>
    <row r="37" spans="1:3" ht="14.25">
      <c r="A37" s="118" t="s">
        <v>25</v>
      </c>
      <c r="B37" s="36" t="s">
        <v>26</v>
      </c>
      <c r="C37" s="33">
        <f>[18]С1!F22</f>
        <v>1.0369999999999999</v>
      </c>
    </row>
    <row r="38" spans="1:3" ht="53.25" thickBot="1">
      <c r="A38" s="21" t="s">
        <v>27</v>
      </c>
      <c r="B38" s="37" t="s">
        <v>28</v>
      </c>
      <c r="C38" s="38">
        <f>[18]С1!F23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[18]С2.1!E12</f>
        <v>V</v>
      </c>
    </row>
    <row r="42" spans="1:3" ht="25.5">
      <c r="A42" s="16" t="s">
        <v>33</v>
      </c>
      <c r="B42" s="27" t="s">
        <v>34</v>
      </c>
      <c r="C42" s="41" t="str">
        <f>[18]С2.1!E13</f>
        <v>6 и менее баллов</v>
      </c>
    </row>
    <row r="43" spans="1:3" ht="25.5">
      <c r="A43" s="16" t="s">
        <v>35</v>
      </c>
      <c r="B43" s="27" t="s">
        <v>233</v>
      </c>
      <c r="C43" s="41" t="str">
        <f>[18]С2.1!E14</f>
        <v>от 200 до 500</v>
      </c>
    </row>
    <row r="44" spans="1:3" ht="25.5">
      <c r="A44" s="16" t="s">
        <v>36</v>
      </c>
      <c r="B44" s="27" t="s">
        <v>234</v>
      </c>
      <c r="C44" s="42" t="str">
        <f>[18]С2.1!E15</f>
        <v>нет</v>
      </c>
    </row>
    <row r="45" spans="1:3" ht="30">
      <c r="A45" s="16" t="s">
        <v>37</v>
      </c>
      <c r="B45" s="27" t="s">
        <v>38</v>
      </c>
      <c r="C45" s="28">
        <f>[18]С2!F18</f>
        <v>38910.02669467502</v>
      </c>
    </row>
    <row r="46" spans="1:3" ht="30">
      <c r="A46" s="16" t="s">
        <v>39</v>
      </c>
      <c r="B46" s="43" t="s">
        <v>40</v>
      </c>
      <c r="C46" s="28">
        <f>IF([18]С2!F19&gt;0,[18]С2!F19,[18]С2!F20)</f>
        <v>23441.524932855718</v>
      </c>
    </row>
    <row r="47" spans="1:3" ht="25.5">
      <c r="A47" s="16" t="s">
        <v>41</v>
      </c>
      <c r="B47" s="44" t="s">
        <v>42</v>
      </c>
      <c r="C47" s="28">
        <f>[18]С2.1!E19</f>
        <v>-38</v>
      </c>
    </row>
    <row r="48" spans="1:3" ht="25.5">
      <c r="A48" s="16" t="s">
        <v>43</v>
      </c>
      <c r="B48" s="44" t="s">
        <v>44</v>
      </c>
      <c r="C48" s="28" t="str">
        <f>[18]С2.1!E22</f>
        <v>нет</v>
      </c>
    </row>
    <row r="49" spans="1:3" ht="38.25">
      <c r="A49" s="16" t="s">
        <v>45</v>
      </c>
      <c r="B49" s="45" t="s">
        <v>46</v>
      </c>
      <c r="C49" s="28">
        <f>[18]С2.2!E10</f>
        <v>1287</v>
      </c>
    </row>
    <row r="50" spans="1:3" ht="25.5">
      <c r="A50" s="16" t="s">
        <v>47</v>
      </c>
      <c r="B50" s="46" t="s">
        <v>48</v>
      </c>
      <c r="C50" s="28">
        <f>[18]С2.2!E12</f>
        <v>5.97</v>
      </c>
    </row>
    <row r="51" spans="1:3" ht="52.5">
      <c r="A51" s="16" t="s">
        <v>49</v>
      </c>
      <c r="B51" s="47" t="s">
        <v>50</v>
      </c>
      <c r="C51" s="28">
        <f>[18]С2.2!E13</f>
        <v>1</v>
      </c>
    </row>
    <row r="52" spans="1:3" ht="27.75">
      <c r="A52" s="16" t="s">
        <v>51</v>
      </c>
      <c r="B52" s="46" t="s">
        <v>52</v>
      </c>
      <c r="C52" s="28">
        <f>[18]С2.2!E14</f>
        <v>12104</v>
      </c>
    </row>
    <row r="53" spans="1:3" ht="25.5">
      <c r="A53" s="16" t="s">
        <v>53</v>
      </c>
      <c r="B53" s="47" t="s">
        <v>54</v>
      </c>
      <c r="C53" s="29">
        <f>[18]С2.2!E15</f>
        <v>4.8000000000000001E-2</v>
      </c>
    </row>
    <row r="54" spans="1:3">
      <c r="A54" s="16" t="s">
        <v>55</v>
      </c>
      <c r="B54" s="47" t="s">
        <v>56</v>
      </c>
      <c r="C54" s="28">
        <f>[18]С2.2!E16</f>
        <v>1</v>
      </c>
    </row>
    <row r="55" spans="1:3" ht="15.75">
      <c r="A55" s="16" t="s">
        <v>57</v>
      </c>
      <c r="B55" s="48" t="s">
        <v>58</v>
      </c>
      <c r="C55" s="28">
        <f>[18]С2!F21</f>
        <v>1</v>
      </c>
    </row>
    <row r="56" spans="1:3" ht="30">
      <c r="A56" s="49" t="s">
        <v>59</v>
      </c>
      <c r="B56" s="27" t="s">
        <v>235</v>
      </c>
      <c r="C56" s="28">
        <f>[18]С2!F13</f>
        <v>203708.97017230222</v>
      </c>
    </row>
    <row r="57" spans="1:3" ht="30">
      <c r="A57" s="49" t="s">
        <v>60</v>
      </c>
      <c r="B57" s="48" t="s">
        <v>236</v>
      </c>
      <c r="C57" s="28">
        <f>[18]С2!F14</f>
        <v>113455</v>
      </c>
    </row>
    <row r="58" spans="1:3" ht="15.75">
      <c r="A58" s="49" t="s">
        <v>61</v>
      </c>
      <c r="B58" s="50" t="s">
        <v>62</v>
      </c>
      <c r="C58" s="33">
        <f>[18]С2!F15</f>
        <v>1.071</v>
      </c>
    </row>
    <row r="59" spans="1:3" ht="15.75">
      <c r="A59" s="49" t="s">
        <v>63</v>
      </c>
      <c r="B59" s="50" t="s">
        <v>64</v>
      </c>
      <c r="C59" s="33">
        <f>[18]С2!F16</f>
        <v>1</v>
      </c>
    </row>
    <row r="60" spans="1:3" ht="17.25">
      <c r="A60" s="49" t="s">
        <v>65</v>
      </c>
      <c r="B60" s="48" t="s">
        <v>66</v>
      </c>
      <c r="C60" s="28">
        <f>[18]С2!F17</f>
        <v>1.01</v>
      </c>
    </row>
    <row r="61" spans="1:3" s="53" customFormat="1" ht="14.25">
      <c r="A61" s="49" t="s">
        <v>67</v>
      </c>
      <c r="B61" s="51" t="s">
        <v>68</v>
      </c>
      <c r="C61" s="52">
        <f>[18]С2!F33</f>
        <v>10</v>
      </c>
    </row>
    <row r="62" spans="1:3" ht="30">
      <c r="A62" s="49" t="s">
        <v>69</v>
      </c>
      <c r="B62" s="54" t="s">
        <v>70</v>
      </c>
      <c r="C62" s="28">
        <f>[18]С2!F26</f>
        <v>1296.3109177946333</v>
      </c>
    </row>
    <row r="63" spans="1:3" ht="17.25">
      <c r="A63" s="49" t="s">
        <v>71</v>
      </c>
      <c r="B63" s="43" t="s">
        <v>237</v>
      </c>
      <c r="C63" s="28">
        <f>[18]С2!F27</f>
        <v>0.18594487800000001</v>
      </c>
    </row>
    <row r="64" spans="1:3" ht="17.25">
      <c r="A64" s="49" t="s">
        <v>72</v>
      </c>
      <c r="B64" s="48" t="s">
        <v>238</v>
      </c>
      <c r="C64" s="52">
        <f>[18]С2!F28</f>
        <v>4200</v>
      </c>
    </row>
    <row r="65" spans="1:3" ht="42.75">
      <c r="A65" s="49" t="s">
        <v>73</v>
      </c>
      <c r="B65" s="27" t="s">
        <v>239</v>
      </c>
      <c r="C65" s="28">
        <f>[18]С2!F22</f>
        <v>42890.921752741691</v>
      </c>
    </row>
    <row r="66" spans="1:3" ht="30">
      <c r="A66" s="49" t="s">
        <v>74</v>
      </c>
      <c r="B66" s="50" t="s">
        <v>240</v>
      </c>
      <c r="C66" s="28">
        <f>[18]С2!F23</f>
        <v>1990</v>
      </c>
    </row>
    <row r="67" spans="1:3" ht="30">
      <c r="A67" s="49" t="s">
        <v>75</v>
      </c>
      <c r="B67" s="43" t="s">
        <v>76</v>
      </c>
      <c r="C67" s="28">
        <f>[18]С2.1!E27</f>
        <v>14307.876789999998</v>
      </c>
    </row>
    <row r="68" spans="1:3" ht="38.25">
      <c r="A68" s="49" t="s">
        <v>77</v>
      </c>
      <c r="B68" s="55" t="s">
        <v>78</v>
      </c>
      <c r="C68" s="42">
        <f>[18]С2.3!E21</f>
        <v>0</v>
      </c>
    </row>
    <row r="69" spans="1:3" ht="25.5">
      <c r="A69" s="49" t="s">
        <v>79</v>
      </c>
      <c r="B69" s="56" t="s">
        <v>80</v>
      </c>
      <c r="C69" s="57">
        <f>[18]С2.3!E11</f>
        <v>9.89</v>
      </c>
    </row>
    <row r="70" spans="1:3" ht="25.5">
      <c r="A70" s="49" t="s">
        <v>81</v>
      </c>
      <c r="B70" s="56" t="s">
        <v>82</v>
      </c>
      <c r="C70" s="52">
        <f>[18]С2.3!E13</f>
        <v>300</v>
      </c>
    </row>
    <row r="71" spans="1:3" ht="25.5">
      <c r="A71" s="49" t="s">
        <v>83</v>
      </c>
      <c r="B71" s="55" t="s">
        <v>84</v>
      </c>
      <c r="C71" s="58">
        <f>IF([18]С2.3!E22&gt;0,[18]С2.3!E22,[18]С2.3!E14)</f>
        <v>61211</v>
      </c>
    </row>
    <row r="72" spans="1:3" ht="38.25">
      <c r="A72" s="49" t="s">
        <v>85</v>
      </c>
      <c r="B72" s="55" t="s">
        <v>86</v>
      </c>
      <c r="C72" s="58">
        <f>IF([18]С2.3!E23&gt;0,[18]С2.3!E23,[18]С2.3!E15)</f>
        <v>45675</v>
      </c>
    </row>
    <row r="73" spans="1:3" ht="30">
      <c r="A73" s="49" t="s">
        <v>87</v>
      </c>
      <c r="B73" s="43" t="s">
        <v>88</v>
      </c>
      <c r="C73" s="28">
        <f>[18]С2.1!E28</f>
        <v>9541.9567200000001</v>
      </c>
    </row>
    <row r="74" spans="1:3" ht="38.25">
      <c r="A74" s="49" t="s">
        <v>89</v>
      </c>
      <c r="B74" s="55" t="s">
        <v>90</v>
      </c>
      <c r="C74" s="42">
        <f>[18]С2.3!E25</f>
        <v>0</v>
      </c>
    </row>
    <row r="75" spans="1:3" ht="25.5">
      <c r="A75" s="49" t="s">
        <v>91</v>
      </c>
      <c r="B75" s="56" t="s">
        <v>92</v>
      </c>
      <c r="C75" s="57">
        <f>[18]С2.3!E12</f>
        <v>0.56000000000000005</v>
      </c>
    </row>
    <row r="76" spans="1:3" ht="25.5">
      <c r="A76" s="49" t="s">
        <v>93</v>
      </c>
      <c r="B76" s="56" t="s">
        <v>82</v>
      </c>
      <c r="C76" s="52">
        <f>[18]С2.3!E13</f>
        <v>300</v>
      </c>
    </row>
    <row r="77" spans="1:3" ht="25.5">
      <c r="A77" s="49" t="s">
        <v>94</v>
      </c>
      <c r="B77" s="59" t="s">
        <v>95</v>
      </c>
      <c r="C77" s="58">
        <f>IF([18]С2.3!E26&gt;0,[18]С2.3!E26,[18]С2.3!E16)</f>
        <v>65637</v>
      </c>
    </row>
    <row r="78" spans="1:3" ht="38.25">
      <c r="A78" s="49" t="s">
        <v>96</v>
      </c>
      <c r="B78" s="59" t="s">
        <v>97</v>
      </c>
      <c r="C78" s="58">
        <f>IF([18]С2.3!E27&gt;0,[18]С2.3!E27,[18]С2.3!E17)</f>
        <v>31684</v>
      </c>
    </row>
    <row r="79" spans="1:3" ht="17.25">
      <c r="A79" s="49" t="s">
        <v>98</v>
      </c>
      <c r="B79" s="27" t="s">
        <v>99</v>
      </c>
      <c r="C79" s="29">
        <f>[18]С2!F29</f>
        <v>0.17804631770487722</v>
      </c>
    </row>
    <row r="80" spans="1:3" ht="30">
      <c r="A80" s="49" t="s">
        <v>100</v>
      </c>
      <c r="B80" s="43" t="s">
        <v>101</v>
      </c>
      <c r="C80" s="60">
        <f>[18]С2!F30</f>
        <v>0.1652189781021898</v>
      </c>
    </row>
    <row r="81" spans="1:3" ht="17.25">
      <c r="A81" s="49" t="s">
        <v>102</v>
      </c>
      <c r="B81" s="61" t="s">
        <v>103</v>
      </c>
      <c r="C81" s="29">
        <f>[18]С2!F31</f>
        <v>0.13880000000000001</v>
      </c>
    </row>
    <row r="82" spans="1:3" s="53" customFormat="1" ht="18" thickBot="1">
      <c r="A82" s="62" t="s">
        <v>104</v>
      </c>
      <c r="B82" s="63" t="s">
        <v>105</v>
      </c>
      <c r="C82" s="64">
        <f>[18]С2!F32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[18]С3!F14</f>
        <v>14780.674721363519</v>
      </c>
    </row>
    <row r="86" spans="1:3" s="53" customFormat="1" ht="42.75">
      <c r="A86" s="67" t="s">
        <v>110</v>
      </c>
      <c r="B86" s="43" t="s">
        <v>111</v>
      </c>
      <c r="C86" s="68">
        <f>[18]С3!F15</f>
        <v>0.25</v>
      </c>
    </row>
    <row r="87" spans="1:3" s="53" customFormat="1" ht="14.25">
      <c r="A87" s="67" t="s">
        <v>112</v>
      </c>
      <c r="B87" s="69" t="s">
        <v>113</v>
      </c>
      <c r="C87" s="52">
        <f>[18]С3!F18</f>
        <v>15</v>
      </c>
    </row>
    <row r="88" spans="1:3" s="53" customFormat="1" ht="17.25">
      <c r="A88" s="67" t="s">
        <v>114</v>
      </c>
      <c r="B88" s="27" t="s">
        <v>115</v>
      </c>
      <c r="C88" s="28">
        <f>[18]С3!F19</f>
        <v>4187.478806422544</v>
      </c>
    </row>
    <row r="89" spans="1:3" s="53" customFormat="1" ht="55.5">
      <c r="A89" s="67" t="s">
        <v>116</v>
      </c>
      <c r="B89" s="43" t="s">
        <v>117</v>
      </c>
      <c r="C89" s="70">
        <f>[18]С3!F20</f>
        <v>2.1999999999999999E-2</v>
      </c>
    </row>
    <row r="90" spans="1:3" s="53" customFormat="1" ht="14.25">
      <c r="A90" s="67" t="s">
        <v>118</v>
      </c>
      <c r="B90" s="48" t="s">
        <v>68</v>
      </c>
      <c r="C90" s="52">
        <f>[18]С3!F21</f>
        <v>10</v>
      </c>
    </row>
    <row r="91" spans="1:3" s="53" customFormat="1" ht="17.25">
      <c r="A91" s="67" t="s">
        <v>119</v>
      </c>
      <c r="B91" s="27" t="s">
        <v>120</v>
      </c>
      <c r="C91" s="28">
        <f>[18]С3!F22</f>
        <v>3.8889327533838998</v>
      </c>
    </row>
    <row r="92" spans="1:3" s="53" customFormat="1" ht="55.5">
      <c r="A92" s="67" t="s">
        <v>121</v>
      </c>
      <c r="B92" s="43" t="s">
        <v>122</v>
      </c>
      <c r="C92" s="70">
        <f>[18]С3!F23</f>
        <v>3.0000000000000001E-3</v>
      </c>
    </row>
    <row r="93" spans="1:3" s="53" customFormat="1" ht="27.75" thickBot="1">
      <c r="A93" s="71" t="s">
        <v>123</v>
      </c>
      <c r="B93" s="72" t="s">
        <v>241</v>
      </c>
      <c r="C93" s="73">
        <f>[18]С3!F24</f>
        <v>1296.3109177946333</v>
      </c>
    </row>
    <row r="94" spans="1:3" ht="13.5" thickBot="1">
      <c r="A94" s="39"/>
      <c r="B94" s="65"/>
      <c r="C94" s="13"/>
    </row>
    <row r="95" spans="1:3" ht="30" customHeight="1">
      <c r="A95" s="74" t="s">
        <v>124</v>
      </c>
      <c r="B95" s="141" t="s">
        <v>125</v>
      </c>
      <c r="C95" s="141"/>
    </row>
    <row r="96" spans="1:3" ht="30">
      <c r="A96" s="49" t="s">
        <v>126</v>
      </c>
      <c r="B96" s="27" t="s">
        <v>242</v>
      </c>
      <c r="C96" s="28">
        <f>[18]С4!F16</f>
        <v>1652.5</v>
      </c>
    </row>
    <row r="97" spans="1:3" ht="30">
      <c r="A97" s="49" t="s">
        <v>127</v>
      </c>
      <c r="B97" s="48" t="s">
        <v>243</v>
      </c>
      <c r="C97" s="28">
        <f>[18]С4!F17</f>
        <v>73547</v>
      </c>
    </row>
    <row r="98" spans="1:3" ht="17.25">
      <c r="A98" s="49" t="s">
        <v>128</v>
      </c>
      <c r="B98" s="48" t="s">
        <v>129</v>
      </c>
      <c r="C98" s="33">
        <f>[18]С4!F18</f>
        <v>0.02</v>
      </c>
    </row>
    <row r="99" spans="1:3" ht="30">
      <c r="A99" s="49" t="s">
        <v>130</v>
      </c>
      <c r="B99" s="48" t="s">
        <v>131</v>
      </c>
      <c r="C99" s="28">
        <f>[18]С4!F19</f>
        <v>12104</v>
      </c>
    </row>
    <row r="100" spans="1:3" ht="31.5">
      <c r="A100" s="49" t="s">
        <v>132</v>
      </c>
      <c r="B100" s="48" t="s">
        <v>133</v>
      </c>
      <c r="C100" s="33">
        <f>[18]С4!F20</f>
        <v>1.4999999999999999E-2</v>
      </c>
    </row>
    <row r="101" spans="1:3" ht="30">
      <c r="A101" s="49" t="s">
        <v>134</v>
      </c>
      <c r="B101" s="27" t="s">
        <v>244</v>
      </c>
      <c r="C101" s="28">
        <f>[18]С4!F21</f>
        <v>1933.1949342509995</v>
      </c>
    </row>
    <row r="102" spans="1:3" ht="24" customHeight="1">
      <c r="A102" s="49" t="s">
        <v>135</v>
      </c>
      <c r="B102" s="43" t="s">
        <v>136</v>
      </c>
      <c r="C102" s="75">
        <f>IF([18]С4.2!F8="да",[18]С4.2!D21,[18]С4.2!D15)</f>
        <v>0</v>
      </c>
    </row>
    <row r="103" spans="1:3" ht="68.25">
      <c r="A103" s="49" t="s">
        <v>137</v>
      </c>
      <c r="B103" s="43" t="s">
        <v>138</v>
      </c>
      <c r="C103" s="28">
        <f>[18]С4!F22</f>
        <v>3.6112641666666665</v>
      </c>
    </row>
    <row r="104" spans="1:3" ht="30">
      <c r="A104" s="49" t="s">
        <v>139</v>
      </c>
      <c r="B104" s="48" t="s">
        <v>245</v>
      </c>
      <c r="C104" s="28">
        <f>[18]С4!F23</f>
        <v>180</v>
      </c>
    </row>
    <row r="105" spans="1:3" ht="14.25">
      <c r="A105" s="49" t="s">
        <v>140</v>
      </c>
      <c r="B105" s="43" t="s">
        <v>141</v>
      </c>
      <c r="C105" s="28">
        <f>[18]С4!F24</f>
        <v>8497.1999999999989</v>
      </c>
    </row>
    <row r="106" spans="1:3" ht="14.25">
      <c r="A106" s="49" t="s">
        <v>142</v>
      </c>
      <c r="B106" s="48" t="s">
        <v>143</v>
      </c>
      <c r="C106" s="33">
        <f>[18]С4!F25</f>
        <v>0.35</v>
      </c>
    </row>
    <row r="107" spans="1:3" ht="17.25">
      <c r="A107" s="49" t="s">
        <v>144</v>
      </c>
      <c r="B107" s="27" t="s">
        <v>145</v>
      </c>
      <c r="C107" s="28">
        <f>[18]С4!F26</f>
        <v>39.558959999999999</v>
      </c>
    </row>
    <row r="108" spans="1:3" ht="25.5">
      <c r="A108" s="49" t="s">
        <v>146</v>
      </c>
      <c r="B108" s="43" t="s">
        <v>78</v>
      </c>
      <c r="C108" s="75">
        <f>[18]С4.3!E16</f>
        <v>0</v>
      </c>
    </row>
    <row r="109" spans="1:3" ht="25.5">
      <c r="A109" s="49" t="s">
        <v>147</v>
      </c>
      <c r="B109" s="43" t="s">
        <v>148</v>
      </c>
      <c r="C109" s="28">
        <f>[18]С4.3!E17</f>
        <v>11.28</v>
      </c>
    </row>
    <row r="110" spans="1:3" ht="38.25">
      <c r="A110" s="49" t="s">
        <v>149</v>
      </c>
      <c r="B110" s="43" t="s">
        <v>90</v>
      </c>
      <c r="C110" s="75">
        <f>[18]С4.3!E18</f>
        <v>0</v>
      </c>
    </row>
    <row r="111" spans="1:3">
      <c r="A111" s="49" t="s">
        <v>150</v>
      </c>
      <c r="B111" s="43" t="s">
        <v>151</v>
      </c>
      <c r="C111" s="28">
        <f>[18]С4.3!E19</f>
        <v>0</v>
      </c>
    </row>
    <row r="112" spans="1:3">
      <c r="A112" s="49" t="s">
        <v>152</v>
      </c>
      <c r="B112" s="48" t="s">
        <v>153</v>
      </c>
      <c r="C112" s="28">
        <f>[18]С4.3!E11</f>
        <v>1871</v>
      </c>
    </row>
    <row r="113" spans="1:3">
      <c r="A113" s="49" t="s">
        <v>154</v>
      </c>
      <c r="B113" s="48" t="s">
        <v>155</v>
      </c>
      <c r="C113" s="42">
        <f>[18]С4.3!E12</f>
        <v>1636</v>
      </c>
    </row>
    <row r="114" spans="1:3">
      <c r="A114" s="49" t="s">
        <v>156</v>
      </c>
      <c r="B114" s="48" t="s">
        <v>157</v>
      </c>
      <c r="C114" s="42">
        <f>[18]С4.3!E13</f>
        <v>204</v>
      </c>
    </row>
    <row r="115" spans="1:3" ht="30">
      <c r="A115" s="49" t="s">
        <v>158</v>
      </c>
      <c r="B115" s="27" t="s">
        <v>246</v>
      </c>
      <c r="C115" s="28">
        <f>[18]С4!F27</f>
        <v>1291.2863994686898</v>
      </c>
    </row>
    <row r="116" spans="1:3" ht="25.5">
      <c r="A116" s="49" t="s">
        <v>159</v>
      </c>
      <c r="B116" s="43" t="s">
        <v>247</v>
      </c>
      <c r="C116" s="28">
        <f>[18]С4!F28</f>
        <v>991.77142816335618</v>
      </c>
    </row>
    <row r="117" spans="1:3" ht="42.75">
      <c r="A117" s="49" t="s">
        <v>160</v>
      </c>
      <c r="B117" s="43" t="s">
        <v>161</v>
      </c>
      <c r="C117" s="28">
        <f>[18]С4!F29</f>
        <v>299.51497130533357</v>
      </c>
    </row>
    <row r="118" spans="1:3" ht="30">
      <c r="A118" s="49" t="s">
        <v>162</v>
      </c>
      <c r="B118" s="32" t="s">
        <v>163</v>
      </c>
      <c r="C118" s="28">
        <f>[18]С4!F30</f>
        <v>2640.0966457164764</v>
      </c>
    </row>
    <row r="119" spans="1:3" ht="42.75">
      <c r="A119" s="49" t="s">
        <v>248</v>
      </c>
      <c r="B119" s="76" t="s">
        <v>249</v>
      </c>
      <c r="C119" s="28">
        <f>[18]С4!F33</f>
        <v>1443.8953415166516</v>
      </c>
    </row>
    <row r="120" spans="1:3" ht="30">
      <c r="A120" s="49" t="s">
        <v>250</v>
      </c>
      <c r="B120" s="121" t="s">
        <v>251</v>
      </c>
      <c r="C120" s="28">
        <f>[18]С4!F35</f>
        <v>17.040680999999999</v>
      </c>
    </row>
    <row r="121" spans="1:3" ht="14.25">
      <c r="A121" s="49" t="s">
        <v>252</v>
      </c>
      <c r="B121" s="46" t="s">
        <v>253</v>
      </c>
      <c r="C121" s="28">
        <f>[18]С4!F36</f>
        <v>14319.9</v>
      </c>
    </row>
    <row r="122" spans="1:3" ht="28.5" thickBot="1">
      <c r="A122" s="62" t="s">
        <v>254</v>
      </c>
      <c r="B122" s="122" t="s">
        <v>255</v>
      </c>
      <c r="C122" s="73">
        <f>[18]С4!F37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[18]С5!F17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[18]С2!F37</f>
        <v>20.818139999999996</v>
      </c>
    </row>
    <row r="136" spans="1:3" ht="14.25">
      <c r="A136" s="49" t="s">
        <v>183</v>
      </c>
      <c r="B136" s="128" t="s">
        <v>184</v>
      </c>
      <c r="C136" s="28">
        <f>[18]С2!F38</f>
        <v>7</v>
      </c>
    </row>
    <row r="137" spans="1:3" ht="17.25">
      <c r="A137" s="49" t="s">
        <v>185</v>
      </c>
      <c r="B137" s="128" t="s">
        <v>186</v>
      </c>
      <c r="C137" s="28">
        <f>[18]С2!F40</f>
        <v>0.97</v>
      </c>
    </row>
    <row r="138" spans="1:3" ht="15" thickBot="1">
      <c r="A138" s="62" t="s">
        <v>187</v>
      </c>
      <c r="B138" s="129" t="s">
        <v>188</v>
      </c>
      <c r="C138" s="38">
        <f>[18]С2!F42</f>
        <v>0.35</v>
      </c>
    </row>
    <row r="139" spans="1:3" s="77" customFormat="1" ht="13.5" thickBot="1">
      <c r="A139" s="39"/>
      <c r="B139" s="65"/>
      <c r="C139" s="13"/>
    </row>
    <row r="140" spans="1:3" ht="30">
      <c r="A140" s="74" t="s">
        <v>189</v>
      </c>
      <c r="B140" s="84" t="s">
        <v>258</v>
      </c>
      <c r="C140" s="130">
        <f>[18]С2!F35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[18]С2.5!$E$11</f>
        <v>-2.9000000000000026E-2</v>
      </c>
    </row>
    <row r="144" spans="1:3">
      <c r="A144" s="85"/>
      <c r="B144" s="86">
        <f>B143+1</f>
        <v>2021</v>
      </c>
      <c r="C144" s="135">
        <f>[18]С2.5!$F$11</f>
        <v>0.245</v>
      </c>
    </row>
    <row r="145" spans="1:3">
      <c r="A145" s="85"/>
      <c r="B145" s="86">
        <f t="shared" ref="B145:B208" si="0">B144+1</f>
        <v>2022</v>
      </c>
      <c r="C145" s="135">
        <f>[18]С2.5!$G$11</f>
        <v>0.114</v>
      </c>
    </row>
    <row r="146" spans="1:3" ht="13.5" thickBot="1">
      <c r="A146" s="85"/>
      <c r="B146" s="87">
        <f t="shared" si="0"/>
        <v>2023</v>
      </c>
      <c r="C146" s="136">
        <f>[18]С2.5!$H$11</f>
        <v>0.04</v>
      </c>
    </row>
    <row r="147" spans="1:3">
      <c r="A147" s="85"/>
      <c r="B147" s="137">
        <f t="shared" si="0"/>
        <v>2024</v>
      </c>
      <c r="C147" s="138">
        <f>[18]С2.5!$I$11</f>
        <v>0.11700000000000001</v>
      </c>
    </row>
    <row r="148" spans="1:3">
      <c r="A148" s="85"/>
      <c r="B148" s="86">
        <f t="shared" si="0"/>
        <v>2025</v>
      </c>
      <c r="C148" s="135">
        <f>[18]С2.5!$J$11</f>
        <v>6.0999999999999999E-2</v>
      </c>
    </row>
    <row r="149" spans="1:3" hidden="1">
      <c r="A149" s="85"/>
      <c r="B149" s="86">
        <f t="shared" si="0"/>
        <v>2026</v>
      </c>
      <c r="C149" s="135">
        <f>[18]С2.5!$K$11</f>
        <v>3.5813361771260002E-2</v>
      </c>
    </row>
    <row r="150" spans="1:3" hidden="1">
      <c r="A150" s="85"/>
      <c r="B150" s="86">
        <f t="shared" si="0"/>
        <v>2027</v>
      </c>
      <c r="C150" s="135">
        <f>[18]С2.5!$L$11</f>
        <v>3.2682303599220003E-2</v>
      </c>
    </row>
    <row r="151" spans="1:3" hidden="1">
      <c r="A151" s="85"/>
      <c r="B151" s="86">
        <f t="shared" si="0"/>
        <v>2028</v>
      </c>
      <c r="C151" s="135">
        <f>[18]С2.5!$M$11</f>
        <v>0</v>
      </c>
    </row>
    <row r="152" spans="1:3" hidden="1">
      <c r="A152" s="85"/>
      <c r="B152" s="86">
        <f t="shared" si="0"/>
        <v>2029</v>
      </c>
      <c r="C152" s="135">
        <f>[18]С2.5!$N$11</f>
        <v>0</v>
      </c>
    </row>
    <row r="153" spans="1:3" hidden="1">
      <c r="A153" s="85"/>
      <c r="B153" s="86">
        <f t="shared" si="0"/>
        <v>2030</v>
      </c>
      <c r="C153" s="135">
        <f>[18]С2.5!$O$11</f>
        <v>0</v>
      </c>
    </row>
    <row r="154" spans="1:3" hidden="1">
      <c r="A154" s="85"/>
      <c r="B154" s="86">
        <f t="shared" si="0"/>
        <v>2031</v>
      </c>
      <c r="C154" s="135">
        <f>[18]С2.5!$P$11</f>
        <v>0</v>
      </c>
    </row>
    <row r="155" spans="1:3" hidden="1">
      <c r="A155" s="77"/>
      <c r="B155" s="86">
        <f t="shared" si="0"/>
        <v>2032</v>
      </c>
      <c r="C155" s="135">
        <f>[18]С2.5!$Q$11</f>
        <v>0</v>
      </c>
    </row>
    <row r="156" spans="1:3" hidden="1">
      <c r="A156" s="77"/>
      <c r="B156" s="86">
        <f t="shared" si="0"/>
        <v>2033</v>
      </c>
      <c r="C156" s="135">
        <f>[18]С2.5!$R$11</f>
        <v>0</v>
      </c>
    </row>
    <row r="157" spans="1:3" hidden="1">
      <c r="B157" s="86">
        <f t="shared" si="0"/>
        <v>2034</v>
      </c>
      <c r="C157" s="135">
        <f>[18]С2.5!$S$11</f>
        <v>0</v>
      </c>
    </row>
    <row r="158" spans="1:3" hidden="1">
      <c r="B158" s="86">
        <f t="shared" si="0"/>
        <v>2035</v>
      </c>
      <c r="C158" s="135">
        <f>[18]С2.5!$T$11</f>
        <v>0</v>
      </c>
    </row>
    <row r="159" spans="1:3" hidden="1">
      <c r="B159" s="86">
        <f t="shared" si="0"/>
        <v>2036</v>
      </c>
      <c r="C159" s="135">
        <f>[18]С2.5!$U$11</f>
        <v>0</v>
      </c>
    </row>
    <row r="160" spans="1:3" hidden="1">
      <c r="B160" s="86">
        <f t="shared" si="0"/>
        <v>2037</v>
      </c>
      <c r="C160" s="135">
        <f>[18]С2.5!$V$11</f>
        <v>0</v>
      </c>
    </row>
    <row r="161" spans="2:3" hidden="1">
      <c r="B161" s="86">
        <f t="shared" si="0"/>
        <v>2038</v>
      </c>
      <c r="C161" s="135">
        <f>[18]С2.5!$W$11</f>
        <v>0</v>
      </c>
    </row>
    <row r="162" spans="2:3" hidden="1">
      <c r="B162" s="86">
        <f t="shared" si="0"/>
        <v>2039</v>
      </c>
      <c r="C162" s="135">
        <f>[18]С2.5!$X$11</f>
        <v>0</v>
      </c>
    </row>
    <row r="163" spans="2:3" hidden="1">
      <c r="B163" s="86">
        <f t="shared" si="0"/>
        <v>2040</v>
      </c>
      <c r="C163" s="135">
        <f>[18]С2.5!$Y$11</f>
        <v>0</v>
      </c>
    </row>
    <row r="164" spans="2:3" hidden="1">
      <c r="B164" s="86">
        <f t="shared" si="0"/>
        <v>2041</v>
      </c>
      <c r="C164" s="135">
        <f>[18]С2.5!$Z$11</f>
        <v>0</v>
      </c>
    </row>
    <row r="165" spans="2:3" hidden="1">
      <c r="B165" s="86">
        <f t="shared" si="0"/>
        <v>2042</v>
      </c>
      <c r="C165" s="135">
        <f>[18]С2.5!$AA$11</f>
        <v>0</v>
      </c>
    </row>
    <row r="166" spans="2:3" hidden="1">
      <c r="B166" s="86">
        <f t="shared" si="0"/>
        <v>2043</v>
      </c>
      <c r="C166" s="135">
        <f>[18]С2.5!$AB$11</f>
        <v>0</v>
      </c>
    </row>
    <row r="167" spans="2:3" hidden="1">
      <c r="B167" s="86">
        <f t="shared" si="0"/>
        <v>2044</v>
      </c>
      <c r="C167" s="135">
        <f>[18]С2.5!$AC$11</f>
        <v>0</v>
      </c>
    </row>
    <row r="168" spans="2:3" hidden="1">
      <c r="B168" s="86">
        <f t="shared" si="0"/>
        <v>2045</v>
      </c>
      <c r="C168" s="135">
        <f>[18]С2.5!$AD$11</f>
        <v>0</v>
      </c>
    </row>
    <row r="169" spans="2:3" hidden="1">
      <c r="B169" s="86">
        <f t="shared" si="0"/>
        <v>2046</v>
      </c>
      <c r="C169" s="135">
        <f>[18]С2.5!$AE$11</f>
        <v>0</v>
      </c>
    </row>
    <row r="170" spans="2:3" hidden="1">
      <c r="B170" s="86">
        <f t="shared" si="0"/>
        <v>2047</v>
      </c>
      <c r="C170" s="135">
        <f>[18]С2.5!$AF$11</f>
        <v>0</v>
      </c>
    </row>
    <row r="171" spans="2:3" hidden="1">
      <c r="B171" s="86">
        <f t="shared" si="0"/>
        <v>2048</v>
      </c>
      <c r="C171" s="135">
        <f>[18]С2.5!$AG$11</f>
        <v>0</v>
      </c>
    </row>
    <row r="172" spans="2:3" hidden="1">
      <c r="B172" s="86">
        <f t="shared" si="0"/>
        <v>2049</v>
      </c>
      <c r="C172" s="135">
        <f>[18]С2.5!$AH$11</f>
        <v>0</v>
      </c>
    </row>
    <row r="173" spans="2:3" hidden="1">
      <c r="B173" s="86">
        <f t="shared" si="0"/>
        <v>2050</v>
      </c>
      <c r="C173" s="135">
        <f>[18]С2.5!$AI$11</f>
        <v>0</v>
      </c>
    </row>
    <row r="174" spans="2:3" hidden="1">
      <c r="B174" s="86">
        <f t="shared" si="0"/>
        <v>2051</v>
      </c>
      <c r="C174" s="135">
        <f>[18]С2.5!$AJ$11</f>
        <v>0</v>
      </c>
    </row>
    <row r="175" spans="2:3" hidden="1">
      <c r="B175" s="86">
        <f t="shared" si="0"/>
        <v>2052</v>
      </c>
      <c r="C175" s="135">
        <f>[18]С2.5!$AK$11</f>
        <v>0</v>
      </c>
    </row>
    <row r="176" spans="2:3" hidden="1">
      <c r="B176" s="86">
        <f t="shared" si="0"/>
        <v>2053</v>
      </c>
      <c r="C176" s="135">
        <f>[18]С2.5!$AL$11</f>
        <v>0</v>
      </c>
    </row>
    <row r="177" spans="2:3" hidden="1">
      <c r="B177" s="86">
        <f t="shared" si="0"/>
        <v>2054</v>
      </c>
      <c r="C177" s="135">
        <f>[18]С2.5!$AM$11</f>
        <v>0</v>
      </c>
    </row>
    <row r="178" spans="2:3" hidden="1">
      <c r="B178" s="86">
        <f t="shared" si="0"/>
        <v>2055</v>
      </c>
      <c r="C178" s="135">
        <f>[18]С2.5!$AN$11</f>
        <v>0</v>
      </c>
    </row>
    <row r="179" spans="2:3" hidden="1">
      <c r="B179" s="86">
        <f t="shared" si="0"/>
        <v>2056</v>
      </c>
      <c r="C179" s="135">
        <f>[18]С2.5!$AO$11</f>
        <v>0</v>
      </c>
    </row>
    <row r="180" spans="2:3" hidden="1">
      <c r="B180" s="86">
        <f t="shared" si="0"/>
        <v>2057</v>
      </c>
      <c r="C180" s="135">
        <f>[18]С2.5!$AP$11</f>
        <v>0</v>
      </c>
    </row>
    <row r="181" spans="2:3" hidden="1">
      <c r="B181" s="86">
        <f t="shared" si="0"/>
        <v>2058</v>
      </c>
      <c r="C181" s="135">
        <f>[18]С2.5!$AQ$11</f>
        <v>0</v>
      </c>
    </row>
    <row r="182" spans="2:3" hidden="1">
      <c r="B182" s="86">
        <f t="shared" si="0"/>
        <v>2059</v>
      </c>
      <c r="C182" s="135">
        <f>[18]С2.5!$AR$11</f>
        <v>0</v>
      </c>
    </row>
    <row r="183" spans="2:3" hidden="1">
      <c r="B183" s="86">
        <f t="shared" si="0"/>
        <v>2060</v>
      </c>
      <c r="C183" s="135">
        <f>[18]С2.5!$AS$11</f>
        <v>0</v>
      </c>
    </row>
    <row r="184" spans="2:3" hidden="1">
      <c r="B184" s="86">
        <f t="shared" si="0"/>
        <v>2061</v>
      </c>
      <c r="C184" s="135">
        <f>[18]С2.5!$AT$11</f>
        <v>0</v>
      </c>
    </row>
    <row r="185" spans="2:3" hidden="1">
      <c r="B185" s="86">
        <f t="shared" si="0"/>
        <v>2062</v>
      </c>
      <c r="C185" s="135">
        <f>[18]С2.5!$AU$11</f>
        <v>0</v>
      </c>
    </row>
    <row r="186" spans="2:3" hidden="1">
      <c r="B186" s="86">
        <f t="shared" si="0"/>
        <v>2063</v>
      </c>
      <c r="C186" s="135">
        <f>[18]С2.5!$AV$11</f>
        <v>0</v>
      </c>
    </row>
    <row r="187" spans="2:3" hidden="1">
      <c r="B187" s="86">
        <f t="shared" si="0"/>
        <v>2064</v>
      </c>
      <c r="C187" s="135">
        <f>[18]С2.5!$AW$11</f>
        <v>0</v>
      </c>
    </row>
    <row r="188" spans="2:3" hidden="1">
      <c r="B188" s="86">
        <f t="shared" si="0"/>
        <v>2065</v>
      </c>
      <c r="C188" s="135">
        <f>[18]С2.5!$AX$11</f>
        <v>0</v>
      </c>
    </row>
    <row r="189" spans="2:3" hidden="1">
      <c r="B189" s="86">
        <f t="shared" si="0"/>
        <v>2066</v>
      </c>
      <c r="C189" s="135">
        <f>[18]С2.5!$AY$11</f>
        <v>0</v>
      </c>
    </row>
    <row r="190" spans="2:3" hidden="1">
      <c r="B190" s="86">
        <f t="shared" si="0"/>
        <v>2067</v>
      </c>
      <c r="C190" s="135">
        <f>[18]С2.5!$AZ$11</f>
        <v>0</v>
      </c>
    </row>
    <row r="191" spans="2:3" hidden="1">
      <c r="B191" s="86">
        <f t="shared" si="0"/>
        <v>2068</v>
      </c>
      <c r="C191" s="135">
        <f>[18]С2.5!$BA$11</f>
        <v>0</v>
      </c>
    </row>
    <row r="192" spans="2:3" hidden="1">
      <c r="B192" s="86">
        <f t="shared" si="0"/>
        <v>2069</v>
      </c>
      <c r="C192" s="135">
        <f>[18]С2.5!$BB$11</f>
        <v>0</v>
      </c>
    </row>
    <row r="193" spans="2:3" hidden="1">
      <c r="B193" s="86">
        <f t="shared" si="0"/>
        <v>2070</v>
      </c>
      <c r="C193" s="135">
        <f>[18]С2.5!$BC$11</f>
        <v>0</v>
      </c>
    </row>
    <row r="194" spans="2:3" hidden="1">
      <c r="B194" s="86">
        <f t="shared" si="0"/>
        <v>2071</v>
      </c>
      <c r="C194" s="135">
        <f>[18]С2.5!$BD$11</f>
        <v>0</v>
      </c>
    </row>
    <row r="195" spans="2:3" hidden="1">
      <c r="B195" s="86">
        <f t="shared" si="0"/>
        <v>2072</v>
      </c>
      <c r="C195" s="135">
        <f>[18]С2.5!$BE$11</f>
        <v>0</v>
      </c>
    </row>
    <row r="196" spans="2:3" hidden="1">
      <c r="B196" s="86">
        <f t="shared" si="0"/>
        <v>2073</v>
      </c>
      <c r="C196" s="135">
        <f>[18]С2.5!$BF$11</f>
        <v>0</v>
      </c>
    </row>
    <row r="197" spans="2:3" hidden="1">
      <c r="B197" s="86">
        <f t="shared" si="0"/>
        <v>2074</v>
      </c>
      <c r="C197" s="135">
        <f>[18]С2.5!$BG$11</f>
        <v>0</v>
      </c>
    </row>
    <row r="198" spans="2:3" hidden="1">
      <c r="B198" s="86">
        <f t="shared" si="0"/>
        <v>2075</v>
      </c>
      <c r="C198" s="135">
        <f>[18]С2.5!$BH$11</f>
        <v>0</v>
      </c>
    </row>
    <row r="199" spans="2:3" hidden="1">
      <c r="B199" s="86">
        <f t="shared" si="0"/>
        <v>2076</v>
      </c>
      <c r="C199" s="135">
        <f>[18]С2.5!$BI$11</f>
        <v>0</v>
      </c>
    </row>
    <row r="200" spans="2:3" hidden="1">
      <c r="B200" s="86">
        <f t="shared" si="0"/>
        <v>2077</v>
      </c>
      <c r="C200" s="135">
        <f>[18]С2.5!$BJ$11</f>
        <v>0</v>
      </c>
    </row>
    <row r="201" spans="2:3" hidden="1">
      <c r="B201" s="86">
        <f t="shared" si="0"/>
        <v>2078</v>
      </c>
      <c r="C201" s="135">
        <f>[18]С2.5!$BK$11</f>
        <v>0</v>
      </c>
    </row>
    <row r="202" spans="2:3" hidden="1">
      <c r="B202" s="86">
        <f t="shared" si="0"/>
        <v>2079</v>
      </c>
      <c r="C202" s="135">
        <f>[18]С2.5!$BL$11</f>
        <v>0</v>
      </c>
    </row>
    <row r="203" spans="2:3" hidden="1">
      <c r="B203" s="86">
        <f t="shared" si="0"/>
        <v>2080</v>
      </c>
      <c r="C203" s="135">
        <f>[18]С2.5!$BM$11</f>
        <v>0</v>
      </c>
    </row>
    <row r="204" spans="2:3" hidden="1">
      <c r="B204" s="86">
        <f t="shared" si="0"/>
        <v>2081</v>
      </c>
      <c r="C204" s="135">
        <f>[18]С2.5!$BN$11</f>
        <v>0</v>
      </c>
    </row>
    <row r="205" spans="2:3" hidden="1">
      <c r="B205" s="86">
        <f t="shared" si="0"/>
        <v>2082</v>
      </c>
      <c r="C205" s="135">
        <f>[18]С2.5!$BO$11</f>
        <v>0</v>
      </c>
    </row>
    <row r="206" spans="2:3" hidden="1">
      <c r="B206" s="86">
        <f t="shared" si="0"/>
        <v>2083</v>
      </c>
      <c r="C206" s="135">
        <f>[18]С2.5!$BP$11</f>
        <v>0</v>
      </c>
    </row>
    <row r="207" spans="2:3" hidden="1">
      <c r="B207" s="86">
        <f t="shared" si="0"/>
        <v>2084</v>
      </c>
      <c r="C207" s="135">
        <f>[18]С2.5!$BQ$11</f>
        <v>0</v>
      </c>
    </row>
    <row r="208" spans="2:3" hidden="1">
      <c r="B208" s="86">
        <f t="shared" si="0"/>
        <v>2085</v>
      </c>
      <c r="C208" s="135">
        <f>[18]С2.5!$BR$11</f>
        <v>0</v>
      </c>
    </row>
    <row r="209" spans="2:3" hidden="1">
      <c r="B209" s="86">
        <f t="shared" ref="B209:B223" si="1">B208+1</f>
        <v>2086</v>
      </c>
      <c r="C209" s="135">
        <f>[18]С2.5!$BS$11</f>
        <v>0</v>
      </c>
    </row>
    <row r="210" spans="2:3" hidden="1">
      <c r="B210" s="86">
        <f t="shared" si="1"/>
        <v>2087</v>
      </c>
      <c r="C210" s="135">
        <f>[18]С2.5!$BT$11</f>
        <v>0</v>
      </c>
    </row>
    <row r="211" spans="2:3" hidden="1">
      <c r="B211" s="86">
        <f t="shared" si="1"/>
        <v>2088</v>
      </c>
      <c r="C211" s="135">
        <f>[18]С2.5!$BU$11</f>
        <v>0</v>
      </c>
    </row>
    <row r="212" spans="2:3" hidden="1">
      <c r="B212" s="86">
        <f t="shared" si="1"/>
        <v>2089</v>
      </c>
      <c r="C212" s="135">
        <f>[18]С2.5!$BV$11</f>
        <v>0</v>
      </c>
    </row>
    <row r="213" spans="2:3" hidden="1">
      <c r="B213" s="86">
        <f t="shared" si="1"/>
        <v>2090</v>
      </c>
      <c r="C213" s="135">
        <f>[18]С2.5!$BW$11</f>
        <v>0</v>
      </c>
    </row>
    <row r="214" spans="2:3" hidden="1">
      <c r="B214" s="86">
        <f t="shared" si="1"/>
        <v>2091</v>
      </c>
      <c r="C214" s="135">
        <f>[18]С2.5!$BX$11</f>
        <v>0</v>
      </c>
    </row>
    <row r="215" spans="2:3" hidden="1">
      <c r="B215" s="86">
        <f t="shared" si="1"/>
        <v>2092</v>
      </c>
      <c r="C215" s="135">
        <f>[18]С2.5!$BY$11</f>
        <v>0</v>
      </c>
    </row>
    <row r="216" spans="2:3" hidden="1">
      <c r="B216" s="86">
        <f t="shared" si="1"/>
        <v>2093</v>
      </c>
      <c r="C216" s="135">
        <f>[18]С2.5!$BZ$11</f>
        <v>0</v>
      </c>
    </row>
    <row r="217" spans="2:3" hidden="1">
      <c r="B217" s="86">
        <f t="shared" si="1"/>
        <v>2094</v>
      </c>
      <c r="C217" s="135">
        <f>[18]С2.5!$CA$11</f>
        <v>0</v>
      </c>
    </row>
    <row r="218" spans="2:3" hidden="1">
      <c r="B218" s="86">
        <f t="shared" si="1"/>
        <v>2095</v>
      </c>
      <c r="C218" s="135">
        <f>[18]С2.5!$CB$11</f>
        <v>0</v>
      </c>
    </row>
    <row r="219" spans="2:3" hidden="1">
      <c r="B219" s="86">
        <f t="shared" si="1"/>
        <v>2096</v>
      </c>
      <c r="C219" s="135">
        <f>[18]С2.5!$CC$11</f>
        <v>0</v>
      </c>
    </row>
    <row r="220" spans="2:3" hidden="1">
      <c r="B220" s="86">
        <f t="shared" si="1"/>
        <v>2097</v>
      </c>
      <c r="C220" s="135">
        <f>[18]С2.5!$CD$11</f>
        <v>0</v>
      </c>
    </row>
    <row r="221" spans="2:3" hidden="1">
      <c r="B221" s="86">
        <f t="shared" si="1"/>
        <v>2098</v>
      </c>
      <c r="C221" s="135">
        <f>[18]С2.5!$CE$11</f>
        <v>0</v>
      </c>
    </row>
    <row r="222" spans="2:3" hidden="1">
      <c r="B222" s="86">
        <f t="shared" si="1"/>
        <v>2099</v>
      </c>
      <c r="C222" s="135">
        <f>[18]С2.5!$CF$11</f>
        <v>0</v>
      </c>
    </row>
    <row r="223" spans="2:3" ht="13.5" hidden="1" thickBot="1">
      <c r="B223" s="87">
        <f t="shared" si="1"/>
        <v>2100</v>
      </c>
      <c r="C223" s="136">
        <f>[18]С2.5!$CG$11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7.28515625" style="1" customWidth="1"/>
    <col min="2" max="2" width="100.7109375" style="1" customWidth="1"/>
    <col min="3" max="3" width="20.85546875" style="110" customWidth="1"/>
    <col min="4" max="156" width="9.140625" style="1"/>
    <col min="157" max="238" width="0" style="1" hidden="1" customWidth="1"/>
    <col min="239" max="247" width="9.140625" style="1"/>
    <col min="248" max="248" width="3.710937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710937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710937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710937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710937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710937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710937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710937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710937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710937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710937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710937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710937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710937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710937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710937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710937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710937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710937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710937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710937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710937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710937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710937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710937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710937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710937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710937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710937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710937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710937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710937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710937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710937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710937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710937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710937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710937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710937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710937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710937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710937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710937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710937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710937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710937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710937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710937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710937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710937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710937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710937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710937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710937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710937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710937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710937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710937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710937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710937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710937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710937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710937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2"/>
      <c r="B1" s="144" t="s">
        <v>193</v>
      </c>
      <c r="C1" s="144"/>
    </row>
    <row r="2" spans="1:3">
      <c r="A2" s="2"/>
      <c r="B2" s="3" t="s">
        <v>0</v>
      </c>
      <c r="C2" s="4">
        <v>45687</v>
      </c>
    </row>
    <row r="3" spans="1:3">
      <c r="A3" s="2"/>
      <c r="B3" s="88" t="s">
        <v>1</v>
      </c>
      <c r="C3" s="5"/>
    </row>
    <row r="4" spans="1:3" ht="25.5">
      <c r="A4" s="6"/>
      <c r="B4" s="7" t="str">
        <f>[19]И1!D13</f>
        <v>Субъект Российской Федерации</v>
      </c>
      <c r="C4" s="8" t="str">
        <f>[19]И1!E13</f>
        <v>Новосибирская область</v>
      </c>
    </row>
    <row r="5" spans="1:3" ht="15.95" customHeight="1">
      <c r="A5" s="6"/>
      <c r="B5" s="7" t="str">
        <f>[19]И1!D14</f>
        <v>Тип муниципального образования (выберите из списка)</v>
      </c>
      <c r="C5" s="8" t="str">
        <f>[19]И1!E14</f>
        <v>село Убинское, Убинский муниципальный район</v>
      </c>
    </row>
    <row r="6" spans="1:3">
      <c r="A6" s="6"/>
      <c r="B6" s="7" t="str">
        <f>IF([19]И1!E15="","",[19]И1!D15)</f>
        <v/>
      </c>
      <c r="C6" s="5" t="str">
        <f>IF([19]И1!E15="","",[19]И1!E15)</f>
        <v/>
      </c>
    </row>
    <row r="7" spans="1:3">
      <c r="A7" s="6"/>
      <c r="B7" s="7" t="str">
        <f>[19]И1!D16</f>
        <v>Код ОКТМО</v>
      </c>
      <c r="C7" s="9" t="str">
        <f>[19]И1!E16</f>
        <v>50654440101</v>
      </c>
    </row>
    <row r="8" spans="1:3">
      <c r="A8" s="6"/>
      <c r="B8" s="10" t="str">
        <f>[19]И1!D17</f>
        <v>Система теплоснабжения</v>
      </c>
      <c r="C8" s="11">
        <f>[19]И1!E17</f>
        <v>0</v>
      </c>
    </row>
    <row r="9" spans="1:3">
      <c r="A9" s="6"/>
      <c r="B9" s="7" t="str">
        <f>[19]И1!D8</f>
        <v>Период регулирования (i)-й</v>
      </c>
      <c r="C9" s="12">
        <f>[19]И1!E8</f>
        <v>2025</v>
      </c>
    </row>
    <row r="10" spans="1:3">
      <c r="A10" s="6"/>
      <c r="B10" s="7" t="str">
        <f>[19]И1!D9</f>
        <v>Период регулирования (i-1)-й</v>
      </c>
      <c r="C10" s="12">
        <f>[19]И1!E9</f>
        <v>2024</v>
      </c>
    </row>
    <row r="11" spans="1:3">
      <c r="A11" s="6"/>
      <c r="B11" s="7" t="str">
        <f>[19]И1!D10</f>
        <v>Период регулирования (i-2)-й</v>
      </c>
      <c r="C11" s="12">
        <f>[19]И1!E10</f>
        <v>2023</v>
      </c>
    </row>
    <row r="12" spans="1:3">
      <c r="A12" s="6"/>
      <c r="B12" s="7" t="str">
        <f>[19]И1!D11</f>
        <v>Базовый год (б)</v>
      </c>
      <c r="C12" s="12">
        <f>[19]И1!E11</f>
        <v>2019</v>
      </c>
    </row>
    <row r="13" spans="1:3">
      <c r="A13" s="6"/>
      <c r="B13" s="7" t="str">
        <f>[19]И1!D18</f>
        <v>Вид топлива, использование которого преобладает в системе теплоснабжения</v>
      </c>
      <c r="C13" s="13" t="str">
        <f>[19]И1!E18</f>
        <v>Газ</v>
      </c>
    </row>
    <row r="14" spans="1:3" ht="26.25" customHeight="1" thickBot="1">
      <c r="A14" s="147" t="s">
        <v>2</v>
      </c>
      <c r="B14" s="147"/>
      <c r="C14" s="147"/>
    </row>
    <row r="15" spans="1:3">
      <c r="A15" s="14" t="s">
        <v>3</v>
      </c>
      <c r="B15" s="24" t="s">
        <v>4</v>
      </c>
      <c r="C15" s="89" t="s">
        <v>5</v>
      </c>
    </row>
    <row r="16" spans="1:3">
      <c r="A16" s="15">
        <v>1</v>
      </c>
      <c r="B16" s="90">
        <v>2</v>
      </c>
      <c r="C16" s="91">
        <v>3</v>
      </c>
    </row>
    <row r="17" spans="1:3">
      <c r="A17" s="16">
        <v>1</v>
      </c>
      <c r="B17" s="17" t="s">
        <v>6</v>
      </c>
      <c r="C17" s="18">
        <f>SUM(C18:C23)</f>
        <v>4244.0443825981583</v>
      </c>
    </row>
    <row r="18" spans="1:3" ht="42.75">
      <c r="A18" s="16" t="s">
        <v>7</v>
      </c>
      <c r="B18" s="19" t="s">
        <v>8</v>
      </c>
      <c r="C18" s="20">
        <f>[19]С1!F12</f>
        <v>1201.0642791911237</v>
      </c>
    </row>
    <row r="19" spans="1:3" ht="42.75">
      <c r="A19" s="16" t="s">
        <v>9</v>
      </c>
      <c r="B19" s="19" t="s">
        <v>10</v>
      </c>
      <c r="C19" s="20">
        <f>[19]С2!F12</f>
        <v>2047.6127299749555</v>
      </c>
    </row>
    <row r="20" spans="1:3" ht="30">
      <c r="A20" s="16" t="s">
        <v>11</v>
      </c>
      <c r="B20" s="19" t="s">
        <v>12</v>
      </c>
      <c r="C20" s="20">
        <f>[19]С3!F12</f>
        <v>612.60035438878606</v>
      </c>
    </row>
    <row r="21" spans="1:3" ht="42.75">
      <c r="A21" s="16" t="s">
        <v>13</v>
      </c>
      <c r="B21" s="19" t="s">
        <v>194</v>
      </c>
      <c r="C21" s="20">
        <f>[19]С4!F12</f>
        <v>299.55046252176038</v>
      </c>
    </row>
    <row r="22" spans="1:3" ht="33" customHeight="1">
      <c r="A22" s="16" t="s">
        <v>14</v>
      </c>
      <c r="B22" s="19" t="s">
        <v>195</v>
      </c>
      <c r="C22" s="20">
        <f>[19]С5!F12</f>
        <v>83.21655652153251</v>
      </c>
    </row>
    <row r="23" spans="1:3" ht="45.75" customHeight="1" thickBot="1">
      <c r="A23" s="21" t="s">
        <v>15</v>
      </c>
      <c r="B23" s="140" t="s">
        <v>196</v>
      </c>
      <c r="C23" s="22">
        <f>[19]С6!F12</f>
        <v>0</v>
      </c>
    </row>
    <row r="24" spans="1:3" ht="13.5" thickBot="1">
      <c r="A24" s="2"/>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[19]С1.1!E16</f>
        <v>7900</v>
      </c>
    </row>
    <row r="29" spans="1:3" ht="42.75">
      <c r="A29" s="16" t="s">
        <v>9</v>
      </c>
      <c r="B29" s="27" t="s">
        <v>198</v>
      </c>
      <c r="C29" s="28">
        <f>[19]С1.1!E32</f>
        <v>6213.94</v>
      </c>
    </row>
    <row r="30" spans="1:3" ht="25.5">
      <c r="A30" s="16" t="s">
        <v>199</v>
      </c>
      <c r="B30" s="27" t="s">
        <v>200</v>
      </c>
      <c r="C30" s="75">
        <f>[19]С1.1!E25</f>
        <v>0</v>
      </c>
    </row>
    <row r="31" spans="1:3" ht="38.25">
      <c r="A31" s="16" t="s">
        <v>201</v>
      </c>
      <c r="B31" s="27" t="str">
        <f>[19]С1.1!D26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[19]С1.1!E26</f>
        <v>5099</v>
      </c>
    </row>
    <row r="32" spans="1:3" ht="25.5">
      <c r="A32" s="16" t="s">
        <v>202</v>
      </c>
      <c r="B32" s="27" t="str">
        <f>[19]С1.1!D27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[19]С1.1!E27</f>
        <v>740.38</v>
      </c>
    </row>
    <row r="33" spans="1:3" ht="25.5">
      <c r="A33" s="16" t="s">
        <v>203</v>
      </c>
      <c r="B33" s="27" t="str">
        <f>[19]С1.1!D28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[19]С1.1!E28</f>
        <v>144.72999999999999</v>
      </c>
    </row>
    <row r="34" spans="1:3" ht="38.25">
      <c r="A34" s="16" t="s">
        <v>204</v>
      </c>
      <c r="B34" s="27" t="str">
        <f>[19]С1.1!D29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[19]С1.1!E29</f>
        <v>229.83</v>
      </c>
    </row>
    <row r="35" spans="1:3" ht="17.25">
      <c r="A35" s="16" t="s">
        <v>11</v>
      </c>
      <c r="B35" s="27" t="s">
        <v>17</v>
      </c>
      <c r="C35" s="29">
        <f>[19]С1.1!E20</f>
        <v>0.112</v>
      </c>
    </row>
    <row r="36" spans="1:3" ht="17.25">
      <c r="A36" s="16" t="s">
        <v>13</v>
      </c>
      <c r="B36" s="27" t="s">
        <v>18</v>
      </c>
      <c r="C36" s="29">
        <f>[19]С1.1!E21</f>
        <v>0.21299999999999999</v>
      </c>
    </row>
    <row r="37" spans="1:3" ht="30">
      <c r="A37" s="16" t="s">
        <v>14</v>
      </c>
      <c r="B37" s="30" t="s">
        <v>205</v>
      </c>
      <c r="C37" s="92">
        <f>[19]С1!F13</f>
        <v>156.1</v>
      </c>
    </row>
    <row r="38" spans="1:3">
      <c r="A38" s="16" t="s">
        <v>15</v>
      </c>
      <c r="B38" s="30" t="s">
        <v>19</v>
      </c>
      <c r="C38" s="31">
        <f>[19]С1!F16</f>
        <v>7000</v>
      </c>
    </row>
    <row r="39" spans="1:3" ht="14.25">
      <c r="A39" s="93" t="s">
        <v>20</v>
      </c>
      <c r="B39" s="32" t="s">
        <v>206</v>
      </c>
      <c r="C39" s="33">
        <f>[19]С1!F17</f>
        <v>1.1285714285714286</v>
      </c>
    </row>
    <row r="40" spans="1:3" ht="15.75">
      <c r="A40" s="94" t="s">
        <v>21</v>
      </c>
      <c r="B40" s="34" t="s">
        <v>22</v>
      </c>
      <c r="C40" s="33">
        <f>[19]С1!F20</f>
        <v>22.307053372799995</v>
      </c>
    </row>
    <row r="41" spans="1:3" ht="15.75">
      <c r="A41" s="94" t="s">
        <v>23</v>
      </c>
      <c r="B41" s="35" t="s">
        <v>24</v>
      </c>
      <c r="C41" s="33">
        <f>[19]С1!F21</f>
        <v>21.531904799999996</v>
      </c>
    </row>
    <row r="42" spans="1:3" ht="14.25">
      <c r="A42" s="94" t="s">
        <v>25</v>
      </c>
      <c r="B42" s="36" t="s">
        <v>26</v>
      </c>
      <c r="C42" s="33">
        <f>[19]С1!F22</f>
        <v>1.036</v>
      </c>
    </row>
    <row r="43" spans="1:3" ht="53.25" thickBot="1">
      <c r="A43" s="21" t="s">
        <v>27</v>
      </c>
      <c r="B43" s="37" t="s">
        <v>28</v>
      </c>
      <c r="C43" s="38" t="str">
        <f>[19]С1!F23</f>
        <v>-</v>
      </c>
    </row>
    <row r="44" spans="1:3" ht="13.5" thickBot="1">
      <c r="A44" s="39"/>
      <c r="B44" s="65"/>
      <c r="C44" s="13"/>
    </row>
    <row r="45" spans="1:3" ht="30" customHeight="1">
      <c r="A45" s="40" t="s">
        <v>29</v>
      </c>
      <c r="B45" s="141" t="s">
        <v>30</v>
      </c>
      <c r="C45" s="141"/>
    </row>
    <row r="46" spans="1:3" ht="25.5">
      <c r="A46" s="16" t="s">
        <v>31</v>
      </c>
      <c r="B46" s="30" t="s">
        <v>32</v>
      </c>
      <c r="C46" s="41" t="str">
        <f>[19]С2.1!E12</f>
        <v>V</v>
      </c>
    </row>
    <row r="47" spans="1:3" ht="25.5">
      <c r="A47" s="16" t="s">
        <v>33</v>
      </c>
      <c r="B47" s="27" t="s">
        <v>34</v>
      </c>
      <c r="C47" s="41" t="str">
        <f>[19]С2.1!E13</f>
        <v>6 и менее баллов</v>
      </c>
    </row>
    <row r="48" spans="1:3" ht="25.5">
      <c r="A48" s="16" t="s">
        <v>35</v>
      </c>
      <c r="B48" s="27" t="s">
        <v>207</v>
      </c>
      <c r="C48" s="41" t="str">
        <f>[19]С2.1!E14</f>
        <v>от 200 до 500</v>
      </c>
    </row>
    <row r="49" spans="1:3" ht="25.5">
      <c r="A49" s="16" t="s">
        <v>36</v>
      </c>
      <c r="B49" s="27" t="s">
        <v>208</v>
      </c>
      <c r="C49" s="42" t="str">
        <f>[19]С2.1!E15</f>
        <v>нет</v>
      </c>
    </row>
    <row r="50" spans="1:3" ht="30">
      <c r="A50" s="16" t="s">
        <v>37</v>
      </c>
      <c r="B50" s="27" t="s">
        <v>38</v>
      </c>
      <c r="C50" s="28">
        <f>[19]С2!F18</f>
        <v>38910.02669467502</v>
      </c>
    </row>
    <row r="51" spans="1:3" ht="30">
      <c r="A51" s="16" t="s">
        <v>39</v>
      </c>
      <c r="B51" s="43" t="s">
        <v>40</v>
      </c>
      <c r="C51" s="28">
        <f>IF([19]С2!F19&gt;0,[19]С2!F19,[19]С2!F20)</f>
        <v>23441.524932855718</v>
      </c>
    </row>
    <row r="52" spans="1:3" ht="25.5">
      <c r="A52" s="16" t="s">
        <v>41</v>
      </c>
      <c r="B52" s="44" t="s">
        <v>42</v>
      </c>
      <c r="C52" s="28">
        <f>[19]С2.1!E20</f>
        <v>-37</v>
      </c>
    </row>
    <row r="53" spans="1:3" ht="25.5">
      <c r="A53" s="16" t="s">
        <v>43</v>
      </c>
      <c r="B53" s="44" t="s">
        <v>44</v>
      </c>
      <c r="C53" s="28" t="str">
        <f>[19]С2.1!E23</f>
        <v>нет</v>
      </c>
    </row>
    <row r="54" spans="1:3" ht="38.25">
      <c r="A54" s="16" t="s">
        <v>45</v>
      </c>
      <c r="B54" s="45" t="s">
        <v>46</v>
      </c>
      <c r="C54" s="28">
        <f>[19]С2.2!E10</f>
        <v>1287</v>
      </c>
    </row>
    <row r="55" spans="1:3" ht="25.5">
      <c r="A55" s="16" t="s">
        <v>47</v>
      </c>
      <c r="B55" s="46" t="s">
        <v>48</v>
      </c>
      <c r="C55" s="28">
        <f>[19]С2.2!E12</f>
        <v>5.97</v>
      </c>
    </row>
    <row r="56" spans="1:3" ht="52.5">
      <c r="A56" s="16" t="s">
        <v>49</v>
      </c>
      <c r="B56" s="47" t="s">
        <v>50</v>
      </c>
      <c r="C56" s="28">
        <f>[19]С2.2!E13</f>
        <v>1</v>
      </c>
    </row>
    <row r="57" spans="1:3" ht="27.75">
      <c r="A57" s="16" t="s">
        <v>51</v>
      </c>
      <c r="B57" s="46" t="s">
        <v>52</v>
      </c>
      <c r="C57" s="28">
        <f>[19]С2.2!E14</f>
        <v>12104</v>
      </c>
    </row>
    <row r="58" spans="1:3" ht="25.5">
      <c r="A58" s="16" t="s">
        <v>53</v>
      </c>
      <c r="B58" s="47" t="s">
        <v>54</v>
      </c>
      <c r="C58" s="29">
        <f>[19]С2.2!E15</f>
        <v>4.8000000000000001E-2</v>
      </c>
    </row>
    <row r="59" spans="1:3">
      <c r="A59" s="16" t="s">
        <v>55</v>
      </c>
      <c r="B59" s="47" t="s">
        <v>56</v>
      </c>
      <c r="C59" s="95">
        <f>[19]С2.2!E16</f>
        <v>1</v>
      </c>
    </row>
    <row r="60" spans="1:3" ht="15.75">
      <c r="A60" s="16" t="s">
        <v>57</v>
      </c>
      <c r="B60" s="48" t="s">
        <v>58</v>
      </c>
      <c r="C60" s="28">
        <f>[19]С2!F21</f>
        <v>1</v>
      </c>
    </row>
    <row r="61" spans="1:3" ht="30">
      <c r="A61" s="49" t="s">
        <v>59</v>
      </c>
      <c r="B61" s="27" t="s">
        <v>209</v>
      </c>
      <c r="C61" s="28">
        <f>[19]С2!F13</f>
        <v>116526.45062105893</v>
      </c>
    </row>
    <row r="62" spans="1:3" ht="30">
      <c r="A62" s="49" t="s">
        <v>60</v>
      </c>
      <c r="B62" s="50" t="s">
        <v>210</v>
      </c>
      <c r="C62" s="28">
        <f>[19]С2!F14</f>
        <v>64899</v>
      </c>
    </row>
    <row r="63" spans="1:3" ht="15.75">
      <c r="A63" s="49" t="s">
        <v>61</v>
      </c>
      <c r="B63" s="50" t="s">
        <v>62</v>
      </c>
      <c r="C63" s="33">
        <f>[19]С2!F15</f>
        <v>1.071</v>
      </c>
    </row>
    <row r="64" spans="1:3" ht="15.75">
      <c r="A64" s="49" t="s">
        <v>63</v>
      </c>
      <c r="B64" s="50" t="s">
        <v>64</v>
      </c>
      <c r="C64" s="96">
        <f>[19]С2!F16</f>
        <v>1</v>
      </c>
    </row>
    <row r="65" spans="1:3" ht="17.25">
      <c r="A65" s="49" t="s">
        <v>65</v>
      </c>
      <c r="B65" s="50" t="s">
        <v>66</v>
      </c>
      <c r="C65" s="97">
        <f>[19]С2!F17</f>
        <v>1.01</v>
      </c>
    </row>
    <row r="66" spans="1:3" s="53" customFormat="1" ht="14.25">
      <c r="A66" s="49" t="s">
        <v>67</v>
      </c>
      <c r="B66" s="51" t="s">
        <v>68</v>
      </c>
      <c r="C66" s="52">
        <f>[19]С2!F35</f>
        <v>10</v>
      </c>
    </row>
    <row r="67" spans="1:3" ht="30">
      <c r="A67" s="49" t="s">
        <v>69</v>
      </c>
      <c r="B67" s="54" t="s">
        <v>70</v>
      </c>
      <c r="C67" s="28">
        <f>[19]С2!F28</f>
        <v>154.30126777094739</v>
      </c>
    </row>
    <row r="68" spans="1:3" ht="17.25">
      <c r="A68" s="49" t="s">
        <v>71</v>
      </c>
      <c r="B68" s="43" t="s">
        <v>211</v>
      </c>
      <c r="C68" s="33">
        <f>[19]С2!F29</f>
        <v>0.18591902000000002</v>
      </c>
    </row>
    <row r="69" spans="1:3" ht="17.25">
      <c r="A69" s="49" t="s">
        <v>72</v>
      </c>
      <c r="B69" s="48" t="s">
        <v>212</v>
      </c>
      <c r="C69" s="52">
        <f>[19]С2!F30</f>
        <v>500</v>
      </c>
    </row>
    <row r="70" spans="1:3" ht="42.75">
      <c r="A70" s="49" t="s">
        <v>73</v>
      </c>
      <c r="B70" s="27" t="s">
        <v>213</v>
      </c>
      <c r="C70" s="28">
        <f>[19]С2!F22</f>
        <v>43932.649760529566</v>
      </c>
    </row>
    <row r="71" spans="1:3" ht="30">
      <c r="A71" s="49" t="s">
        <v>74</v>
      </c>
      <c r="B71" s="50" t="s">
        <v>214</v>
      </c>
      <c r="C71" s="28">
        <f>[19]С2!F23</f>
        <v>21</v>
      </c>
    </row>
    <row r="72" spans="1:3" ht="30">
      <c r="A72" s="49" t="s">
        <v>75</v>
      </c>
      <c r="B72" s="43" t="s">
        <v>76</v>
      </c>
      <c r="C72" s="28">
        <f>[19]С2.1!E28</f>
        <v>14036.09995</v>
      </c>
    </row>
    <row r="73" spans="1:3" ht="38.25">
      <c r="A73" s="49" t="s">
        <v>77</v>
      </c>
      <c r="B73" s="55" t="s">
        <v>78</v>
      </c>
      <c r="C73" s="42">
        <f>[19]С2.3!E21</f>
        <v>0</v>
      </c>
    </row>
    <row r="74" spans="1:3" ht="25.5">
      <c r="A74" s="49" t="s">
        <v>79</v>
      </c>
      <c r="B74" s="56" t="s">
        <v>80</v>
      </c>
      <c r="C74" s="57">
        <f>[19]С2.3!E11</f>
        <v>5.45</v>
      </c>
    </row>
    <row r="75" spans="1:3" ht="25.5">
      <c r="A75" s="49" t="s">
        <v>81</v>
      </c>
      <c r="B75" s="56" t="s">
        <v>82</v>
      </c>
      <c r="C75" s="52">
        <f>[19]С2.3!E13</f>
        <v>300</v>
      </c>
    </row>
    <row r="76" spans="1:3" ht="25.5">
      <c r="A76" s="49" t="s">
        <v>83</v>
      </c>
      <c r="B76" s="55" t="s">
        <v>84</v>
      </c>
      <c r="C76" s="58">
        <f>IF([19]С2.3!E22&gt;0,[19]С2.3!E22,[19]С2.3!E14)</f>
        <v>61211</v>
      </c>
    </row>
    <row r="77" spans="1:3" ht="38.25">
      <c r="A77" s="49" t="s">
        <v>85</v>
      </c>
      <c r="B77" s="55" t="s">
        <v>86</v>
      </c>
      <c r="C77" s="58">
        <f>IF([19]С2.3!E23&gt;0,[19]С2.3!E23,[19]С2.3!E15)</f>
        <v>45675</v>
      </c>
    </row>
    <row r="78" spans="1:3" ht="30">
      <c r="A78" s="49" t="s">
        <v>87</v>
      </c>
      <c r="B78" s="43" t="s">
        <v>88</v>
      </c>
      <c r="C78" s="28">
        <f>[19]С2.1!E29</f>
        <v>9518.3274000000001</v>
      </c>
    </row>
    <row r="79" spans="1:3" ht="38.25">
      <c r="A79" s="49" t="s">
        <v>89</v>
      </c>
      <c r="B79" s="55" t="s">
        <v>90</v>
      </c>
      <c r="C79" s="42">
        <f>[19]С2.3!E25</f>
        <v>0</v>
      </c>
    </row>
    <row r="80" spans="1:3" ht="25.5">
      <c r="A80" s="49" t="s">
        <v>91</v>
      </c>
      <c r="B80" s="56" t="s">
        <v>92</v>
      </c>
      <c r="C80" s="57">
        <f>[19]С2.3!E12</f>
        <v>0.2</v>
      </c>
    </row>
    <row r="81" spans="1:3" ht="25.5">
      <c r="A81" s="49" t="s">
        <v>93</v>
      </c>
      <c r="B81" s="56" t="s">
        <v>82</v>
      </c>
      <c r="C81" s="52">
        <f>[19]С2.3!E13</f>
        <v>300</v>
      </c>
    </row>
    <row r="82" spans="1:3" ht="25.5">
      <c r="A82" s="49" t="s">
        <v>94</v>
      </c>
      <c r="B82" s="59" t="s">
        <v>95</v>
      </c>
      <c r="C82" s="58">
        <f>IF([19]С2.3!E26&gt;0,[19]С2.3!E26,[19]С2.3!E16)</f>
        <v>65637</v>
      </c>
    </row>
    <row r="83" spans="1:3" ht="38.25">
      <c r="A83" s="49" t="s">
        <v>96</v>
      </c>
      <c r="B83" s="59" t="s">
        <v>97</v>
      </c>
      <c r="C83" s="58">
        <f>IF([19]С2.3!E27&gt;0,[19]С2.3!E27,[19]С2.3!E17)</f>
        <v>31684</v>
      </c>
    </row>
    <row r="84" spans="1:3" ht="30">
      <c r="A84" s="49" t="s">
        <v>215</v>
      </c>
      <c r="B84" s="50" t="s">
        <v>216</v>
      </c>
      <c r="C84" s="58">
        <f>IF([19]С2.1!E19&gt;0,[19]С2.1!E19,[19]С2!F26)</f>
        <v>2892</v>
      </c>
    </row>
    <row r="85" spans="1:3" ht="17.25">
      <c r="A85" s="49" t="s">
        <v>98</v>
      </c>
      <c r="B85" s="27" t="s">
        <v>99</v>
      </c>
      <c r="C85" s="29">
        <f>[19]С2!F31</f>
        <v>0.17804631770487722</v>
      </c>
    </row>
    <row r="86" spans="1:3" ht="30">
      <c r="A86" s="49" t="s">
        <v>100</v>
      </c>
      <c r="B86" s="43" t="s">
        <v>101</v>
      </c>
      <c r="C86" s="60">
        <f>[19]С2!F32</f>
        <v>0.1652189781021898</v>
      </c>
    </row>
    <row r="87" spans="1:3" ht="17.25">
      <c r="A87" s="49" t="s">
        <v>102</v>
      </c>
      <c r="B87" s="61" t="s">
        <v>103</v>
      </c>
      <c r="C87" s="29">
        <f>[19]С2!F33</f>
        <v>0.13880000000000001</v>
      </c>
    </row>
    <row r="88" spans="1:3" s="53" customFormat="1" ht="18" thickBot="1">
      <c r="A88" s="62" t="s">
        <v>104</v>
      </c>
      <c r="B88" s="63" t="s">
        <v>105</v>
      </c>
      <c r="C88" s="64">
        <f>[19]С2!F34</f>
        <v>0.12640000000000001</v>
      </c>
    </row>
    <row r="89" spans="1:3" ht="13.5" thickBot="1">
      <c r="A89" s="39"/>
      <c r="B89" s="65"/>
      <c r="C89" s="13"/>
    </row>
    <row r="90" spans="1:3" s="53" customFormat="1" ht="30" customHeight="1">
      <c r="A90" s="66" t="s">
        <v>106</v>
      </c>
      <c r="B90" s="141" t="s">
        <v>107</v>
      </c>
      <c r="C90" s="141"/>
    </row>
    <row r="91" spans="1:3" s="53" customFormat="1" ht="30">
      <c r="A91" s="67" t="s">
        <v>108</v>
      </c>
      <c r="B91" s="27" t="s">
        <v>109</v>
      </c>
      <c r="C91" s="28">
        <f>[19]С3!F14</f>
        <v>10265.909076890423</v>
      </c>
    </row>
    <row r="92" spans="1:3" s="53" customFormat="1" ht="42.75">
      <c r="A92" s="67" t="s">
        <v>110</v>
      </c>
      <c r="B92" s="43" t="s">
        <v>111</v>
      </c>
      <c r="C92" s="68">
        <f>[19]С3!F15</f>
        <v>0.25</v>
      </c>
    </row>
    <row r="93" spans="1:3" s="53" customFormat="1" ht="14.25">
      <c r="A93" s="67" t="s">
        <v>112</v>
      </c>
      <c r="B93" s="69" t="s">
        <v>113</v>
      </c>
      <c r="C93" s="52">
        <f>[19]С3!F18</f>
        <v>15</v>
      </c>
    </row>
    <row r="94" spans="1:3" s="53" customFormat="1" ht="17.25">
      <c r="A94" s="67" t="s">
        <v>114</v>
      </c>
      <c r="B94" s="27" t="s">
        <v>115</v>
      </c>
      <c r="C94" s="28">
        <f>[19]С3!F19</f>
        <v>2924.0805304518653</v>
      </c>
    </row>
    <row r="95" spans="1:3" s="53" customFormat="1" ht="55.5">
      <c r="A95" s="67" t="s">
        <v>116</v>
      </c>
      <c r="B95" s="43" t="s">
        <v>117</v>
      </c>
      <c r="C95" s="70">
        <f>[19]С3!F20</f>
        <v>2.1999999999999999E-2</v>
      </c>
    </row>
    <row r="96" spans="1:3" s="53" customFormat="1" ht="14.25">
      <c r="A96" s="67" t="s">
        <v>118</v>
      </c>
      <c r="B96" s="48" t="s">
        <v>68</v>
      </c>
      <c r="C96" s="52">
        <f>[19]С3!F21</f>
        <v>10</v>
      </c>
    </row>
    <row r="97" spans="1:3" s="53" customFormat="1" ht="17.25">
      <c r="A97" s="67" t="s">
        <v>119</v>
      </c>
      <c r="B97" s="27" t="s">
        <v>120</v>
      </c>
      <c r="C97" s="28">
        <f>[19]С3!F22</f>
        <v>0.4629038033128422</v>
      </c>
    </row>
    <row r="98" spans="1:3" s="53" customFormat="1" ht="55.5">
      <c r="A98" s="67" t="s">
        <v>121</v>
      </c>
      <c r="B98" s="43" t="s">
        <v>122</v>
      </c>
      <c r="C98" s="70">
        <f>[19]С3!F23</f>
        <v>3.0000000000000001E-3</v>
      </c>
    </row>
    <row r="99" spans="1:3" s="53" customFormat="1" ht="30.75" thickBot="1">
      <c r="A99" s="71" t="s">
        <v>123</v>
      </c>
      <c r="B99" s="72" t="s">
        <v>70</v>
      </c>
      <c r="C99" s="73">
        <f>[19]С3!F24</f>
        <v>154.30126777094739</v>
      </c>
    </row>
    <row r="100" spans="1:3" ht="13.5" thickBot="1">
      <c r="A100" s="39"/>
      <c r="B100" s="65"/>
      <c r="C100" s="13"/>
    </row>
    <row r="101" spans="1:3" ht="30" customHeight="1">
      <c r="A101" s="74" t="s">
        <v>124</v>
      </c>
      <c r="B101" s="141" t="s">
        <v>125</v>
      </c>
      <c r="C101" s="141"/>
    </row>
    <row r="102" spans="1:3" ht="30">
      <c r="A102" s="49" t="s">
        <v>126</v>
      </c>
      <c r="B102" s="27" t="s">
        <v>217</v>
      </c>
      <c r="C102" s="28">
        <f>[19]С4!F16</f>
        <v>832.33500000000004</v>
      </c>
    </row>
    <row r="103" spans="1:3" ht="30">
      <c r="A103" s="49" t="s">
        <v>127</v>
      </c>
      <c r="B103" s="48" t="s">
        <v>218</v>
      </c>
      <c r="C103" s="28">
        <f>[19]С4!F17</f>
        <v>43385</v>
      </c>
    </row>
    <row r="104" spans="1:3" ht="17.25">
      <c r="A104" s="49" t="s">
        <v>128</v>
      </c>
      <c r="B104" s="48" t="s">
        <v>129</v>
      </c>
      <c r="C104" s="33">
        <f>[19]С4!F18</f>
        <v>1.4999999999999999E-2</v>
      </c>
    </row>
    <row r="105" spans="1:3" ht="30">
      <c r="A105" s="49" t="s">
        <v>130</v>
      </c>
      <c r="B105" s="48" t="s">
        <v>131</v>
      </c>
      <c r="C105" s="28">
        <f>[19]С4!F19</f>
        <v>12104</v>
      </c>
    </row>
    <row r="106" spans="1:3" ht="31.5">
      <c r="A106" s="49" t="s">
        <v>132</v>
      </c>
      <c r="B106" s="48" t="s">
        <v>133</v>
      </c>
      <c r="C106" s="33">
        <f>[19]С4!F20</f>
        <v>1.4999999999999999E-2</v>
      </c>
    </row>
    <row r="107" spans="1:3" ht="30">
      <c r="A107" s="49" t="s">
        <v>134</v>
      </c>
      <c r="B107" s="27" t="s">
        <v>219</v>
      </c>
      <c r="C107" s="28">
        <f>[19]С4!F21</f>
        <v>1221.9019409821399</v>
      </c>
    </row>
    <row r="108" spans="1:3" ht="45.6" customHeight="1">
      <c r="A108" s="49" t="s">
        <v>135</v>
      </c>
      <c r="B108" s="43" t="s">
        <v>136</v>
      </c>
      <c r="C108" s="75" t="str">
        <f>IF([19]С4.2!F8="да",[19]С4.2!D21,[19]С4.2!D15)</f>
        <v>АО "Новосибирскэнергосбыт"</v>
      </c>
    </row>
    <row r="109" spans="1:3" ht="68.25" customHeight="1">
      <c r="A109" s="49" t="s">
        <v>137</v>
      </c>
      <c r="B109" s="43" t="s">
        <v>138</v>
      </c>
      <c r="C109" s="28">
        <f>[19]С4!F22</f>
        <v>3.6112641666666665</v>
      </c>
    </row>
    <row r="110" spans="1:3" ht="30">
      <c r="A110" s="49" t="s">
        <v>139</v>
      </c>
      <c r="B110" s="48" t="s">
        <v>220</v>
      </c>
      <c r="C110" s="52">
        <f>[19]С4!F23</f>
        <v>110</v>
      </c>
    </row>
    <row r="111" spans="1:3" ht="14.25">
      <c r="A111" s="49" t="s">
        <v>140</v>
      </c>
      <c r="B111" s="43" t="s">
        <v>141</v>
      </c>
      <c r="C111" s="28">
        <f>[19]С4!F24</f>
        <v>8497.1999999999989</v>
      </c>
    </row>
    <row r="112" spans="1:3" ht="14.25">
      <c r="A112" s="49" t="s">
        <v>142</v>
      </c>
      <c r="B112" s="48" t="s">
        <v>143</v>
      </c>
      <c r="C112" s="33">
        <f>[19]С4!F25</f>
        <v>0.36199999999999999</v>
      </c>
    </row>
    <row r="113" spans="1:3" ht="17.25">
      <c r="A113" s="49" t="s">
        <v>144</v>
      </c>
      <c r="B113" s="27" t="s">
        <v>145</v>
      </c>
      <c r="C113" s="28">
        <f>[19]С4!F26</f>
        <v>29.520959999999999</v>
      </c>
    </row>
    <row r="114" spans="1:3" ht="25.5">
      <c r="A114" s="49" t="s">
        <v>146</v>
      </c>
      <c r="B114" s="43" t="s">
        <v>78</v>
      </c>
      <c r="C114" s="75">
        <f>[19]С4.3!E16</f>
        <v>0</v>
      </c>
    </row>
    <row r="115" spans="1:3" ht="25.5">
      <c r="A115" s="49" t="s">
        <v>147</v>
      </c>
      <c r="B115" s="43" t="s">
        <v>148</v>
      </c>
      <c r="C115" s="28">
        <f>[19]С4.3!E17</f>
        <v>15.28</v>
      </c>
    </row>
    <row r="116" spans="1:3" ht="38.25">
      <c r="A116" s="49" t="s">
        <v>149</v>
      </c>
      <c r="B116" s="43" t="s">
        <v>90</v>
      </c>
      <c r="C116" s="75">
        <f>[19]С4.3!E18</f>
        <v>0</v>
      </c>
    </row>
    <row r="117" spans="1:3">
      <c r="A117" s="49" t="s">
        <v>150</v>
      </c>
      <c r="B117" s="43" t="s">
        <v>151</v>
      </c>
      <c r="C117" s="28">
        <f>[19]С4.3!E19</f>
        <v>0</v>
      </c>
    </row>
    <row r="118" spans="1:3">
      <c r="A118" s="49" t="s">
        <v>152</v>
      </c>
      <c r="B118" s="48" t="s">
        <v>153</v>
      </c>
      <c r="C118" s="52">
        <f>[19]С4.3!E11</f>
        <v>1871</v>
      </c>
    </row>
    <row r="119" spans="1:3">
      <c r="A119" s="49" t="s">
        <v>154</v>
      </c>
      <c r="B119" s="48" t="s">
        <v>155</v>
      </c>
      <c r="C119" s="42">
        <f>[19]С4.3!E12</f>
        <v>61</v>
      </c>
    </row>
    <row r="120" spans="1:3">
      <c r="A120" s="49" t="s">
        <v>156</v>
      </c>
      <c r="B120" s="48" t="s">
        <v>157</v>
      </c>
      <c r="C120" s="42">
        <f>[19]С4.3!E13</f>
        <v>73</v>
      </c>
    </row>
    <row r="121" spans="1:3" ht="30">
      <c r="A121" s="49" t="s">
        <v>158</v>
      </c>
      <c r="B121" s="27" t="s">
        <v>221</v>
      </c>
      <c r="C121" s="28">
        <f>[19]С4!F27</f>
        <v>1296.7467102743137</v>
      </c>
    </row>
    <row r="122" spans="1:3" ht="25.5">
      <c r="A122" s="49" t="s">
        <v>159</v>
      </c>
      <c r="B122" s="43" t="s">
        <v>222</v>
      </c>
      <c r="C122" s="28">
        <f>[19]С4!F28</f>
        <v>995.96521526444985</v>
      </c>
    </row>
    <row r="123" spans="1:3" ht="42.75">
      <c r="A123" s="49" t="s">
        <v>160</v>
      </c>
      <c r="B123" s="43" t="s">
        <v>161</v>
      </c>
      <c r="C123" s="28">
        <f>[19]С4!F29</f>
        <v>300.78149500986387</v>
      </c>
    </row>
    <row r="124" spans="1:3" ht="30.75" thickBot="1">
      <c r="A124" s="62" t="s">
        <v>162</v>
      </c>
      <c r="B124" s="78" t="s">
        <v>163</v>
      </c>
      <c r="C124" s="73">
        <f>[19]С4!F30</f>
        <v>838.67327331622312</v>
      </c>
    </row>
    <row r="125" spans="1:3" s="77" customFormat="1" ht="13.5" thickBot="1">
      <c r="A125" s="39"/>
      <c r="B125" s="65"/>
      <c r="C125" s="13"/>
    </row>
    <row r="126" spans="1:3" s="53" customFormat="1" ht="30" customHeight="1">
      <c r="A126" s="66" t="s">
        <v>164</v>
      </c>
      <c r="B126" s="141" t="s">
        <v>165</v>
      </c>
      <c r="C126" s="141"/>
    </row>
    <row r="127" spans="1:3" ht="30.6" customHeight="1" thickBot="1">
      <c r="A127" s="21" t="s">
        <v>166</v>
      </c>
      <c r="B127" s="78" t="s">
        <v>167</v>
      </c>
      <c r="C127" s="73">
        <f>[19]С5!F17</f>
        <v>0.02</v>
      </c>
    </row>
    <row r="128" spans="1:3" s="77" customFormat="1" ht="13.5" thickBot="1">
      <c r="A128" s="39"/>
      <c r="B128" s="65"/>
      <c r="C128" s="13"/>
    </row>
    <row r="129" spans="1:3" ht="42.75" customHeight="1">
      <c r="A129" s="74" t="s">
        <v>168</v>
      </c>
      <c r="B129" s="141" t="s">
        <v>169</v>
      </c>
      <c r="C129" s="141"/>
    </row>
    <row r="130" spans="1:3" ht="68.25">
      <c r="A130" s="49" t="s">
        <v>170</v>
      </c>
      <c r="B130" s="79" t="s">
        <v>171</v>
      </c>
      <c r="C130" s="28" t="str">
        <f>IF([19]С6.1!E11="нет",[19]С6!F13,"")</f>
        <v/>
      </c>
    </row>
    <row r="131" spans="1:3" ht="42.75">
      <c r="A131" s="49" t="s">
        <v>172</v>
      </c>
      <c r="B131" s="76" t="s">
        <v>173</v>
      </c>
      <c r="C131" s="80" t="str">
        <f>IF([19]С6.1!E12="нет",[19]С6.1!E17,"")</f>
        <v/>
      </c>
    </row>
    <row r="132" spans="1:3" ht="68.25">
      <c r="A132" s="49" t="s">
        <v>174</v>
      </c>
      <c r="B132" s="79" t="s">
        <v>175</v>
      </c>
      <c r="C132" s="98" t="str">
        <f>IF([19]С6.1!E18="нет",[19]С6!F19,"")</f>
        <v/>
      </c>
    </row>
    <row r="133" spans="1:3" ht="55.5">
      <c r="A133" s="49" t="s">
        <v>176</v>
      </c>
      <c r="B133" s="76" t="s">
        <v>177</v>
      </c>
      <c r="C133" s="29" t="str">
        <f>IF([19]С6.1!E18="нет",[19]С6.1!E19,"")</f>
        <v/>
      </c>
    </row>
    <row r="134" spans="1:3" ht="61.5" customHeight="1">
      <c r="A134" s="49" t="s">
        <v>178</v>
      </c>
      <c r="B134" s="76" t="s">
        <v>223</v>
      </c>
      <c r="C134" s="29" t="str">
        <f>IF([19]С6.1!E18="нет",[19]С6.1!E22,"")</f>
        <v/>
      </c>
    </row>
    <row r="135" spans="1:3" ht="69" thickBot="1">
      <c r="A135" s="62" t="s">
        <v>179</v>
      </c>
      <c r="B135" s="81" t="s">
        <v>180</v>
      </c>
      <c r="C135" s="64" t="str">
        <f>IF([19]С6.1!E18="нет",[19]С6.1!E23,"")</f>
        <v/>
      </c>
    </row>
    <row r="136" spans="1:3" s="77" customFormat="1" ht="13.5" thickBot="1">
      <c r="A136" s="39"/>
      <c r="B136" s="65"/>
      <c r="C136" s="13"/>
    </row>
    <row r="137" spans="1:3" ht="15.75">
      <c r="A137" s="74" t="s">
        <v>181</v>
      </c>
      <c r="B137" s="82" t="s">
        <v>182</v>
      </c>
      <c r="C137" s="83">
        <f>[19]С2!F39</f>
        <v>21.531904799999996</v>
      </c>
    </row>
    <row r="138" spans="1:3" ht="14.25">
      <c r="A138" s="49" t="s">
        <v>183</v>
      </c>
      <c r="B138" s="48" t="s">
        <v>184</v>
      </c>
      <c r="C138" s="28">
        <f>[19]С2!F40</f>
        <v>7</v>
      </c>
    </row>
    <row r="139" spans="1:3" ht="17.25">
      <c r="A139" s="49" t="s">
        <v>185</v>
      </c>
      <c r="B139" s="48" t="s">
        <v>186</v>
      </c>
      <c r="C139" s="28">
        <f>[19]С2!F42</f>
        <v>0.97</v>
      </c>
    </row>
    <row r="140" spans="1:3" ht="15" thickBot="1">
      <c r="A140" s="62" t="s">
        <v>187</v>
      </c>
      <c r="B140" s="63" t="s">
        <v>188</v>
      </c>
      <c r="C140" s="38">
        <f>[19]С2!F44</f>
        <v>0.36199999999999999</v>
      </c>
    </row>
    <row r="141" spans="1:3" s="77" customFormat="1" ht="13.5" thickBot="1">
      <c r="A141" s="39"/>
      <c r="B141" s="65"/>
      <c r="C141" s="13"/>
    </row>
    <row r="142" spans="1:3" ht="17.25">
      <c r="A142" s="74" t="s">
        <v>189</v>
      </c>
      <c r="B142" s="84" t="s">
        <v>224</v>
      </c>
      <c r="C142" s="99">
        <f>[19]С2!F37</f>
        <v>1.6598760876745948</v>
      </c>
    </row>
    <row r="143" spans="1:3" ht="17.25" customHeight="1" thickBot="1">
      <c r="A143" s="62" t="s">
        <v>190</v>
      </c>
      <c r="B143" s="143" t="s">
        <v>191</v>
      </c>
      <c r="C143" s="143"/>
    </row>
    <row r="144" spans="1:3">
      <c r="A144" s="85"/>
      <c r="B144" s="100" t="s">
        <v>192</v>
      </c>
      <c r="C144" s="101"/>
    </row>
    <row r="145" spans="1:3">
      <c r="A145" s="85"/>
      <c r="B145" s="102">
        <v>2020</v>
      </c>
      <c r="C145" s="103">
        <f>[19]С2.5!$E$11</f>
        <v>-2.9000000000000026E-2</v>
      </c>
    </row>
    <row r="146" spans="1:3">
      <c r="B146" s="102">
        <f>B145+1</f>
        <v>2021</v>
      </c>
      <c r="C146" s="104">
        <f>[19]С2.5!$F$11</f>
        <v>0.245</v>
      </c>
    </row>
    <row r="147" spans="1:3">
      <c r="B147" s="102">
        <f t="shared" ref="B147:B210" si="0">B146+1</f>
        <v>2022</v>
      </c>
      <c r="C147" s="105">
        <f>[19]С2.5!$G$11</f>
        <v>0.114</v>
      </c>
    </row>
    <row r="148" spans="1:3">
      <c r="B148" s="86">
        <f t="shared" si="0"/>
        <v>2023</v>
      </c>
      <c r="C148" s="106">
        <f>[19]С2.5!$H$11</f>
        <v>0.04</v>
      </c>
    </row>
    <row r="149" spans="1:3">
      <c r="B149" s="86">
        <f t="shared" si="0"/>
        <v>2024</v>
      </c>
      <c r="C149" s="106">
        <f>[19]С2.5!$I$11</f>
        <v>0.11700000000000001</v>
      </c>
    </row>
    <row r="150" spans="1:3" ht="13.5" thickBot="1">
      <c r="B150" s="86">
        <f t="shared" si="0"/>
        <v>2025</v>
      </c>
      <c r="C150" s="106">
        <f>[19]С2.5!$J$11</f>
        <v>6.0999999999999999E-2</v>
      </c>
    </row>
    <row r="151" spans="1:3" ht="13.5" hidden="1" thickBot="1">
      <c r="B151" s="86">
        <f t="shared" si="0"/>
        <v>2026</v>
      </c>
      <c r="C151" s="106">
        <f>[19]С2.5!$K$11</f>
        <v>0</v>
      </c>
    </row>
    <row r="152" spans="1:3" ht="13.5" hidden="1" thickBot="1">
      <c r="B152" s="86">
        <f t="shared" si="0"/>
        <v>2027</v>
      </c>
      <c r="C152" s="106">
        <f>[19]С2.5!$L$11</f>
        <v>0</v>
      </c>
    </row>
    <row r="153" spans="1:3" ht="13.5" hidden="1" thickBot="1">
      <c r="B153" s="86">
        <f t="shared" si="0"/>
        <v>2028</v>
      </c>
      <c r="C153" s="106">
        <f>[19]С2.5!$M$11</f>
        <v>0</v>
      </c>
    </row>
    <row r="154" spans="1:3" ht="13.5" hidden="1" thickBot="1">
      <c r="B154" s="86">
        <f t="shared" si="0"/>
        <v>2029</v>
      </c>
      <c r="C154" s="106">
        <f>[19]С2.5!$N$11</f>
        <v>0</v>
      </c>
    </row>
    <row r="155" spans="1:3" ht="13.5" hidden="1" thickBot="1">
      <c r="B155" s="86">
        <f t="shared" si="0"/>
        <v>2030</v>
      </c>
      <c r="C155" s="106">
        <f>[19]С2.5!$O$11</f>
        <v>0</v>
      </c>
    </row>
    <row r="156" spans="1:3" ht="13.5" hidden="1" thickBot="1">
      <c r="B156" s="86">
        <f t="shared" si="0"/>
        <v>2031</v>
      </c>
      <c r="C156" s="106">
        <f>[19]С2.5!$P$11</f>
        <v>0</v>
      </c>
    </row>
    <row r="157" spans="1:3" ht="13.5" hidden="1" thickBot="1">
      <c r="B157" s="86">
        <f t="shared" si="0"/>
        <v>2032</v>
      </c>
      <c r="C157" s="106">
        <f>[19]С2.5!$Q$11</f>
        <v>0</v>
      </c>
    </row>
    <row r="158" spans="1:3" ht="13.5" hidden="1" thickBot="1">
      <c r="B158" s="86">
        <f t="shared" si="0"/>
        <v>2033</v>
      </c>
      <c r="C158" s="106">
        <f>[19]С2.5!$R$11</f>
        <v>0</v>
      </c>
    </row>
    <row r="159" spans="1:3" ht="13.5" hidden="1" thickBot="1">
      <c r="B159" s="86">
        <f t="shared" si="0"/>
        <v>2034</v>
      </c>
      <c r="C159" s="106">
        <f>[19]С2.5!$S$11</f>
        <v>0</v>
      </c>
    </row>
    <row r="160" spans="1:3" ht="13.5" hidden="1" thickBot="1">
      <c r="B160" s="86">
        <f t="shared" si="0"/>
        <v>2035</v>
      </c>
      <c r="C160" s="106">
        <f>[19]С2.5!$T$11</f>
        <v>0</v>
      </c>
    </row>
    <row r="161" spans="2:3" ht="13.5" hidden="1" thickBot="1">
      <c r="B161" s="86">
        <f t="shared" si="0"/>
        <v>2036</v>
      </c>
      <c r="C161" s="106">
        <f>[19]С2.5!$U$11</f>
        <v>0</v>
      </c>
    </row>
    <row r="162" spans="2:3" ht="13.5" hidden="1" thickBot="1">
      <c r="B162" s="86">
        <f t="shared" si="0"/>
        <v>2037</v>
      </c>
      <c r="C162" s="106">
        <f>[19]С2.5!$V$11</f>
        <v>0</v>
      </c>
    </row>
    <row r="163" spans="2:3" ht="13.5" hidden="1" thickBot="1">
      <c r="B163" s="86">
        <f t="shared" si="0"/>
        <v>2038</v>
      </c>
      <c r="C163" s="106">
        <f>[19]С2.5!$W$11</f>
        <v>0</v>
      </c>
    </row>
    <row r="164" spans="2:3" ht="13.5" hidden="1" thickBot="1">
      <c r="B164" s="86">
        <f t="shared" si="0"/>
        <v>2039</v>
      </c>
      <c r="C164" s="106">
        <f>[19]С2.5!$X$11</f>
        <v>0</v>
      </c>
    </row>
    <row r="165" spans="2:3" ht="13.5" hidden="1" thickBot="1">
      <c r="B165" s="86">
        <f t="shared" si="0"/>
        <v>2040</v>
      </c>
      <c r="C165" s="106">
        <f>[19]С2.5!$Y$11</f>
        <v>0</v>
      </c>
    </row>
    <row r="166" spans="2:3" ht="13.5" hidden="1" thickBot="1">
      <c r="B166" s="86">
        <f t="shared" si="0"/>
        <v>2041</v>
      </c>
      <c r="C166" s="106">
        <f>[19]С2.5!$Z$11</f>
        <v>0</v>
      </c>
    </row>
    <row r="167" spans="2:3" ht="13.5" hidden="1" thickBot="1">
      <c r="B167" s="86">
        <f t="shared" si="0"/>
        <v>2042</v>
      </c>
      <c r="C167" s="106">
        <f>[19]С2.5!$AA$11</f>
        <v>0</v>
      </c>
    </row>
    <row r="168" spans="2:3" ht="13.5" hidden="1" thickBot="1">
      <c r="B168" s="86">
        <f t="shared" si="0"/>
        <v>2043</v>
      </c>
      <c r="C168" s="106">
        <f>[19]С2.5!$AB$11</f>
        <v>0</v>
      </c>
    </row>
    <row r="169" spans="2:3" ht="13.5" hidden="1" thickBot="1">
      <c r="B169" s="86">
        <f t="shared" si="0"/>
        <v>2044</v>
      </c>
      <c r="C169" s="106">
        <f>[19]С2.5!$AC$11</f>
        <v>0</v>
      </c>
    </row>
    <row r="170" spans="2:3" ht="13.5" hidden="1" thickBot="1">
      <c r="B170" s="86">
        <f t="shared" si="0"/>
        <v>2045</v>
      </c>
      <c r="C170" s="106">
        <f>[19]С2.5!$AD$11</f>
        <v>0</v>
      </c>
    </row>
    <row r="171" spans="2:3" ht="13.5" hidden="1" thickBot="1">
      <c r="B171" s="86">
        <f t="shared" si="0"/>
        <v>2046</v>
      </c>
      <c r="C171" s="106">
        <f>[19]С2.5!$AE$11</f>
        <v>0</v>
      </c>
    </row>
    <row r="172" spans="2:3" ht="13.5" hidden="1" thickBot="1">
      <c r="B172" s="86">
        <f t="shared" si="0"/>
        <v>2047</v>
      </c>
      <c r="C172" s="106">
        <f>[19]С2.5!$AF$11</f>
        <v>0</v>
      </c>
    </row>
    <row r="173" spans="2:3" ht="13.5" hidden="1" thickBot="1">
      <c r="B173" s="86">
        <f t="shared" si="0"/>
        <v>2048</v>
      </c>
      <c r="C173" s="106">
        <f>[19]С2.5!$AG$11</f>
        <v>0</v>
      </c>
    </row>
    <row r="174" spans="2:3" ht="13.5" hidden="1" thickBot="1">
      <c r="B174" s="86">
        <f t="shared" si="0"/>
        <v>2049</v>
      </c>
      <c r="C174" s="106">
        <f>[19]С2.5!$AH$11</f>
        <v>0</v>
      </c>
    </row>
    <row r="175" spans="2:3" ht="13.5" hidden="1" thickBot="1">
      <c r="B175" s="86">
        <f t="shared" si="0"/>
        <v>2050</v>
      </c>
      <c r="C175" s="106">
        <f>[19]С2.5!$AI$11</f>
        <v>0</v>
      </c>
    </row>
    <row r="176" spans="2:3" ht="13.5" hidden="1" thickBot="1">
      <c r="B176" s="86">
        <f t="shared" si="0"/>
        <v>2051</v>
      </c>
      <c r="C176" s="106">
        <f>[19]С2.5!$AJ$11</f>
        <v>0</v>
      </c>
    </row>
    <row r="177" spans="2:3" ht="13.5" hidden="1" thickBot="1">
      <c r="B177" s="86">
        <f t="shared" si="0"/>
        <v>2052</v>
      </c>
      <c r="C177" s="106">
        <f>[19]С2.5!$AK$11</f>
        <v>0</v>
      </c>
    </row>
    <row r="178" spans="2:3" ht="13.5" hidden="1" thickBot="1">
      <c r="B178" s="86">
        <f t="shared" si="0"/>
        <v>2053</v>
      </c>
      <c r="C178" s="106">
        <f>[19]С2.5!$AL$11</f>
        <v>0</v>
      </c>
    </row>
    <row r="179" spans="2:3" ht="13.5" hidden="1" thickBot="1">
      <c r="B179" s="86">
        <f t="shared" si="0"/>
        <v>2054</v>
      </c>
      <c r="C179" s="106">
        <f>[19]С2.5!$AM$11</f>
        <v>0</v>
      </c>
    </row>
    <row r="180" spans="2:3" ht="13.5" hidden="1" thickBot="1">
      <c r="B180" s="86">
        <f t="shared" si="0"/>
        <v>2055</v>
      </c>
      <c r="C180" s="106">
        <f>[19]С2.5!$AN$11</f>
        <v>0</v>
      </c>
    </row>
    <row r="181" spans="2:3" ht="13.5" hidden="1" thickBot="1">
      <c r="B181" s="86">
        <f t="shared" si="0"/>
        <v>2056</v>
      </c>
      <c r="C181" s="106">
        <f>[19]С2.5!$AO$11</f>
        <v>0</v>
      </c>
    </row>
    <row r="182" spans="2:3" ht="13.5" hidden="1" thickBot="1">
      <c r="B182" s="86">
        <f t="shared" si="0"/>
        <v>2057</v>
      </c>
      <c r="C182" s="106">
        <f>[19]С2.5!$AP$11</f>
        <v>0</v>
      </c>
    </row>
    <row r="183" spans="2:3" ht="13.5" hidden="1" thickBot="1">
      <c r="B183" s="86">
        <f t="shared" si="0"/>
        <v>2058</v>
      </c>
      <c r="C183" s="106">
        <f>[19]С2.5!$AQ$11</f>
        <v>0</v>
      </c>
    </row>
    <row r="184" spans="2:3" ht="13.5" hidden="1" thickBot="1">
      <c r="B184" s="86">
        <f t="shared" si="0"/>
        <v>2059</v>
      </c>
      <c r="C184" s="106">
        <f>[19]С2.5!$AR$11</f>
        <v>0</v>
      </c>
    </row>
    <row r="185" spans="2:3" ht="13.5" hidden="1" thickBot="1">
      <c r="B185" s="86">
        <f t="shared" si="0"/>
        <v>2060</v>
      </c>
      <c r="C185" s="106">
        <f>[19]С2.5!$AS$11</f>
        <v>0</v>
      </c>
    </row>
    <row r="186" spans="2:3" ht="13.5" hidden="1" thickBot="1">
      <c r="B186" s="86">
        <f t="shared" si="0"/>
        <v>2061</v>
      </c>
      <c r="C186" s="106">
        <f>[19]С2.5!$AT$11</f>
        <v>0</v>
      </c>
    </row>
    <row r="187" spans="2:3" ht="13.5" hidden="1" thickBot="1">
      <c r="B187" s="86">
        <f t="shared" si="0"/>
        <v>2062</v>
      </c>
      <c r="C187" s="106">
        <f>[19]С2.5!$AU$11</f>
        <v>0</v>
      </c>
    </row>
    <row r="188" spans="2:3" ht="13.5" hidden="1" thickBot="1">
      <c r="B188" s="86">
        <f t="shared" si="0"/>
        <v>2063</v>
      </c>
      <c r="C188" s="106">
        <f>[19]С2.5!$AV$11</f>
        <v>0</v>
      </c>
    </row>
    <row r="189" spans="2:3" ht="13.5" hidden="1" thickBot="1">
      <c r="B189" s="86">
        <f t="shared" si="0"/>
        <v>2064</v>
      </c>
      <c r="C189" s="106">
        <f>[19]С2.5!$AW$11</f>
        <v>0</v>
      </c>
    </row>
    <row r="190" spans="2:3" ht="13.5" hidden="1" thickBot="1">
      <c r="B190" s="86">
        <f t="shared" si="0"/>
        <v>2065</v>
      </c>
      <c r="C190" s="106">
        <f>[19]С2.5!$AX$11</f>
        <v>0</v>
      </c>
    </row>
    <row r="191" spans="2:3" ht="13.5" hidden="1" thickBot="1">
      <c r="B191" s="86">
        <f t="shared" si="0"/>
        <v>2066</v>
      </c>
      <c r="C191" s="106">
        <f>[19]С2.5!$AY$11</f>
        <v>0</v>
      </c>
    </row>
    <row r="192" spans="2:3" ht="13.5" hidden="1" thickBot="1">
      <c r="B192" s="86">
        <f t="shared" si="0"/>
        <v>2067</v>
      </c>
      <c r="C192" s="106">
        <f>[19]С2.5!$AZ$11</f>
        <v>0</v>
      </c>
    </row>
    <row r="193" spans="2:3" ht="13.5" hidden="1" thickBot="1">
      <c r="B193" s="86">
        <f t="shared" si="0"/>
        <v>2068</v>
      </c>
      <c r="C193" s="106">
        <f>[19]С2.5!$BA$11</f>
        <v>0</v>
      </c>
    </row>
    <row r="194" spans="2:3" ht="13.5" hidden="1" thickBot="1">
      <c r="B194" s="86">
        <f t="shared" si="0"/>
        <v>2069</v>
      </c>
      <c r="C194" s="106">
        <f>[19]С2.5!$BB$11</f>
        <v>0</v>
      </c>
    </row>
    <row r="195" spans="2:3" ht="13.5" hidden="1" thickBot="1">
      <c r="B195" s="86">
        <f t="shared" si="0"/>
        <v>2070</v>
      </c>
      <c r="C195" s="106">
        <f>[19]С2.5!$BC$11</f>
        <v>0</v>
      </c>
    </row>
    <row r="196" spans="2:3" ht="13.5" hidden="1" thickBot="1">
      <c r="B196" s="86">
        <f t="shared" si="0"/>
        <v>2071</v>
      </c>
      <c r="C196" s="106">
        <f>[19]С2.5!$BD$11</f>
        <v>0</v>
      </c>
    </row>
    <row r="197" spans="2:3" ht="13.5" hidden="1" thickBot="1">
      <c r="B197" s="86">
        <f t="shared" si="0"/>
        <v>2072</v>
      </c>
      <c r="C197" s="106">
        <f>[19]С2.5!$BE$11</f>
        <v>0</v>
      </c>
    </row>
    <row r="198" spans="2:3" ht="13.5" hidden="1" thickBot="1">
      <c r="B198" s="86">
        <f t="shared" si="0"/>
        <v>2073</v>
      </c>
      <c r="C198" s="106">
        <f>[19]С2.5!$BF$11</f>
        <v>0</v>
      </c>
    </row>
    <row r="199" spans="2:3" ht="13.5" hidden="1" thickBot="1">
      <c r="B199" s="86">
        <f t="shared" si="0"/>
        <v>2074</v>
      </c>
      <c r="C199" s="106">
        <f>[19]С2.5!$BG$11</f>
        <v>0</v>
      </c>
    </row>
    <row r="200" spans="2:3" ht="13.5" hidden="1" thickBot="1">
      <c r="B200" s="86">
        <f t="shared" si="0"/>
        <v>2075</v>
      </c>
      <c r="C200" s="106">
        <f>[19]С2.5!$BH$11</f>
        <v>0</v>
      </c>
    </row>
    <row r="201" spans="2:3" ht="13.5" hidden="1" thickBot="1">
      <c r="B201" s="86">
        <f t="shared" si="0"/>
        <v>2076</v>
      </c>
      <c r="C201" s="106">
        <f>[19]С2.5!$BI$11</f>
        <v>0</v>
      </c>
    </row>
    <row r="202" spans="2:3" ht="13.5" hidden="1" thickBot="1">
      <c r="B202" s="86">
        <f t="shared" si="0"/>
        <v>2077</v>
      </c>
      <c r="C202" s="106">
        <f>[19]С2.5!$BJ$11</f>
        <v>0</v>
      </c>
    </row>
    <row r="203" spans="2:3" ht="13.5" hidden="1" thickBot="1">
      <c r="B203" s="86">
        <f t="shared" si="0"/>
        <v>2078</v>
      </c>
      <c r="C203" s="106">
        <f>[19]С2.5!$BK$11</f>
        <v>0</v>
      </c>
    </row>
    <row r="204" spans="2:3" ht="13.5" hidden="1" thickBot="1">
      <c r="B204" s="86">
        <f t="shared" si="0"/>
        <v>2079</v>
      </c>
      <c r="C204" s="106">
        <f>[19]С2.5!$BL$11</f>
        <v>0</v>
      </c>
    </row>
    <row r="205" spans="2:3" ht="13.5" hidden="1" thickBot="1">
      <c r="B205" s="86">
        <f t="shared" si="0"/>
        <v>2080</v>
      </c>
      <c r="C205" s="106">
        <f>[19]С2.5!$BM$11</f>
        <v>0</v>
      </c>
    </row>
    <row r="206" spans="2:3" ht="13.5" hidden="1" thickBot="1">
      <c r="B206" s="86">
        <f t="shared" si="0"/>
        <v>2081</v>
      </c>
      <c r="C206" s="106">
        <f>[19]С2.5!$BN$11</f>
        <v>0</v>
      </c>
    </row>
    <row r="207" spans="2:3" ht="13.5" hidden="1" thickBot="1">
      <c r="B207" s="86">
        <f t="shared" si="0"/>
        <v>2082</v>
      </c>
      <c r="C207" s="106">
        <f>[19]С2.5!$BO$11</f>
        <v>0</v>
      </c>
    </row>
    <row r="208" spans="2:3" ht="13.5" hidden="1" thickBot="1">
      <c r="B208" s="86">
        <f t="shared" si="0"/>
        <v>2083</v>
      </c>
      <c r="C208" s="106">
        <f>[19]С2.5!$BP$11</f>
        <v>0</v>
      </c>
    </row>
    <row r="209" spans="2:3" ht="13.5" hidden="1" thickBot="1">
      <c r="B209" s="86">
        <f t="shared" si="0"/>
        <v>2084</v>
      </c>
      <c r="C209" s="106">
        <f>[19]С2.5!$BQ$11</f>
        <v>0</v>
      </c>
    </row>
    <row r="210" spans="2:3" ht="13.5" hidden="1" thickBot="1">
      <c r="B210" s="86">
        <f t="shared" si="0"/>
        <v>2085</v>
      </c>
      <c r="C210" s="106">
        <f>[19]С2.5!$BR$11</f>
        <v>0</v>
      </c>
    </row>
    <row r="211" spans="2:3" ht="13.5" hidden="1" thickBot="1">
      <c r="B211" s="86">
        <f t="shared" ref="B211:B224" si="1">B210+1</f>
        <v>2086</v>
      </c>
      <c r="C211" s="106">
        <f>[19]С2.5!$BS$11</f>
        <v>0</v>
      </c>
    </row>
    <row r="212" spans="2:3" ht="13.5" hidden="1" thickBot="1">
      <c r="B212" s="86">
        <f t="shared" si="1"/>
        <v>2087</v>
      </c>
      <c r="C212" s="106">
        <f>[19]С2.5!$BT$11</f>
        <v>0</v>
      </c>
    </row>
    <row r="213" spans="2:3" ht="13.5" hidden="1" thickBot="1">
      <c r="B213" s="86">
        <f t="shared" si="1"/>
        <v>2088</v>
      </c>
      <c r="C213" s="106">
        <f>[19]С2.5!$BU$11</f>
        <v>0</v>
      </c>
    </row>
    <row r="214" spans="2:3" ht="13.5" hidden="1" thickBot="1">
      <c r="B214" s="86">
        <f t="shared" si="1"/>
        <v>2089</v>
      </c>
      <c r="C214" s="106">
        <f>[19]С2.5!$BV$11</f>
        <v>0</v>
      </c>
    </row>
    <row r="215" spans="2:3" ht="13.5" hidden="1" thickBot="1">
      <c r="B215" s="86">
        <f t="shared" si="1"/>
        <v>2090</v>
      </c>
      <c r="C215" s="106">
        <f>[19]С2.5!$BW$11</f>
        <v>0</v>
      </c>
    </row>
    <row r="216" spans="2:3" ht="13.5" hidden="1" thickBot="1">
      <c r="B216" s="86">
        <f t="shared" si="1"/>
        <v>2091</v>
      </c>
      <c r="C216" s="106">
        <f>[19]С2.5!$BX$11</f>
        <v>0</v>
      </c>
    </row>
    <row r="217" spans="2:3" ht="13.5" hidden="1" thickBot="1">
      <c r="B217" s="86">
        <f t="shared" si="1"/>
        <v>2092</v>
      </c>
      <c r="C217" s="106">
        <f>[19]С2.5!$BY$11</f>
        <v>0</v>
      </c>
    </row>
    <row r="218" spans="2:3" ht="13.5" hidden="1" thickBot="1">
      <c r="B218" s="86">
        <f t="shared" si="1"/>
        <v>2093</v>
      </c>
      <c r="C218" s="106">
        <f>[19]С2.5!$BZ$11</f>
        <v>0</v>
      </c>
    </row>
    <row r="219" spans="2:3" ht="13.5" hidden="1" thickBot="1">
      <c r="B219" s="86">
        <f t="shared" si="1"/>
        <v>2094</v>
      </c>
      <c r="C219" s="106">
        <f>[19]С2.5!$CA$11</f>
        <v>0</v>
      </c>
    </row>
    <row r="220" spans="2:3" ht="13.5" hidden="1" thickBot="1">
      <c r="B220" s="86">
        <f t="shared" si="1"/>
        <v>2095</v>
      </c>
      <c r="C220" s="106">
        <f>[19]С2.5!$CB$11</f>
        <v>0</v>
      </c>
    </row>
    <row r="221" spans="2:3" ht="13.5" hidden="1" thickBot="1">
      <c r="B221" s="86">
        <f t="shared" si="1"/>
        <v>2096</v>
      </c>
      <c r="C221" s="106">
        <f>[19]С2.5!$CC$11</f>
        <v>0</v>
      </c>
    </row>
    <row r="222" spans="2:3" ht="13.5" hidden="1" thickBot="1">
      <c r="B222" s="86">
        <f t="shared" si="1"/>
        <v>2097</v>
      </c>
      <c r="C222" s="106">
        <f>[19]С2.5!$CD$11</f>
        <v>0</v>
      </c>
    </row>
    <row r="223" spans="2:3" ht="13.5" hidden="1" thickBot="1">
      <c r="B223" s="86">
        <f t="shared" si="1"/>
        <v>2098</v>
      </c>
      <c r="C223" s="106">
        <f>[19]С2.5!$CE$11</f>
        <v>0</v>
      </c>
    </row>
    <row r="224" spans="2:3" ht="13.5" hidden="1" thickBot="1">
      <c r="B224" s="86">
        <f t="shared" si="1"/>
        <v>2099</v>
      </c>
      <c r="C224" s="106">
        <f>[19]С2.5!$CF$11</f>
        <v>0</v>
      </c>
    </row>
    <row r="225" spans="2:3" ht="13.5" hidden="1" thickBot="1">
      <c r="B225" s="87">
        <f>B162+1</f>
        <v>2038</v>
      </c>
      <c r="C225" s="107" t="e">
        <f>[19]С2.5!#REF!</f>
        <v>#REF!</v>
      </c>
    </row>
    <row r="226" spans="2:3">
      <c r="B226" s="108"/>
      <c r="C226" s="109"/>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1" sqref="D1:E1048576"/>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[20]И1!D13</f>
        <v>Субъект Российской Федерации</v>
      </c>
      <c r="C4" s="8" t="str">
        <f>[20]И1!E13</f>
        <v>Новосибирская область</v>
      </c>
    </row>
    <row r="5" spans="1:3" ht="46.9" customHeight="1">
      <c r="A5" s="6"/>
      <c r="B5" s="7" t="str">
        <f>[20]И1!D14</f>
        <v>Тип муниципального образования (выберите из списка)</v>
      </c>
      <c r="C5" s="8" t="str">
        <f>[20]И1!E14</f>
        <v>село Черный Мыс, Убинский муниципальный район</v>
      </c>
    </row>
    <row r="6" spans="1:3">
      <c r="A6" s="6"/>
      <c r="B6" s="7" t="str">
        <f>IF([20]И1!E15="","",[20]И1!D15)</f>
        <v/>
      </c>
      <c r="C6" s="8" t="str">
        <f>IF([20]И1!E15="","",[20]И1!E15)</f>
        <v/>
      </c>
    </row>
    <row r="7" spans="1:3">
      <c r="A7" s="6"/>
      <c r="B7" s="7" t="str">
        <f>[20]И1!D16</f>
        <v>Код ОКТМО</v>
      </c>
      <c r="C7" s="9" t="str">
        <f>[20]И1!E16</f>
        <v>50654443101</v>
      </c>
    </row>
    <row r="8" spans="1:3">
      <c r="A8" s="6"/>
      <c r="B8" s="10" t="str">
        <f>[20]И1!D17</f>
        <v>Система теплоснабжения</v>
      </c>
      <c r="C8" s="11">
        <f>[20]И1!E17</f>
        <v>0</v>
      </c>
    </row>
    <row r="9" spans="1:3">
      <c r="A9" s="6"/>
      <c r="B9" s="7" t="str">
        <f>[20]И1!D8</f>
        <v>Период регулирования (i)-й</v>
      </c>
      <c r="C9" s="12">
        <f>[20]И1!E8</f>
        <v>2025</v>
      </c>
    </row>
    <row r="10" spans="1:3">
      <c r="A10" s="6"/>
      <c r="B10" s="7" t="str">
        <f>[20]И1!D9</f>
        <v>Период регулирования (i-1)-й</v>
      </c>
      <c r="C10" s="12">
        <f>[20]И1!E9</f>
        <v>2024</v>
      </c>
    </row>
    <row r="11" spans="1:3">
      <c r="A11" s="6"/>
      <c r="B11" s="7" t="str">
        <f>[20]И1!D10</f>
        <v>Период регулирования (i-2)-й</v>
      </c>
      <c r="C11" s="12">
        <f>[20]И1!E10</f>
        <v>2023</v>
      </c>
    </row>
    <row r="12" spans="1:3">
      <c r="A12" s="6"/>
      <c r="B12" s="7" t="str">
        <f>[20]И1!D11</f>
        <v>Базовый год (б)</v>
      </c>
      <c r="C12" s="12">
        <f>[20]И1!E11</f>
        <v>2019</v>
      </c>
    </row>
    <row r="13" spans="1:3" ht="38.25">
      <c r="A13" s="6"/>
      <c r="B13" s="7" t="str">
        <f>[20]И1!D18</f>
        <v>Вид топлива, использование которого преобладает в системе теплоснабжения</v>
      </c>
      <c r="C13" s="13" t="str">
        <f>[20]С1.1!E13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5494.6976775459161</v>
      </c>
    </row>
    <row r="18" spans="1:3" ht="42.75">
      <c r="A18" s="16" t="s">
        <v>7</v>
      </c>
      <c r="B18" s="19" t="s">
        <v>8</v>
      </c>
      <c r="C18" s="20">
        <f>[20]С1!F12</f>
        <v>915.61778343972514</v>
      </c>
    </row>
    <row r="19" spans="1:3" ht="42.75">
      <c r="A19" s="16" t="s">
        <v>9</v>
      </c>
      <c r="B19" s="19" t="s">
        <v>10</v>
      </c>
      <c r="C19" s="20">
        <f>[20]С2!F12</f>
        <v>3044.269023973251</v>
      </c>
    </row>
    <row r="20" spans="1:3" ht="30">
      <c r="A20" s="16" t="s">
        <v>11</v>
      </c>
      <c r="B20" s="19" t="s">
        <v>12</v>
      </c>
      <c r="C20" s="20">
        <f>[20]С3!F12</f>
        <v>911.32264748625244</v>
      </c>
    </row>
    <row r="21" spans="1:3" ht="42.75">
      <c r="A21" s="16" t="s">
        <v>13</v>
      </c>
      <c r="B21" s="19" t="s">
        <v>226</v>
      </c>
      <c r="C21" s="20">
        <f>[20]С4!F12</f>
        <v>515.74905249872882</v>
      </c>
    </row>
    <row r="22" spans="1:3" ht="30">
      <c r="A22" s="16" t="s">
        <v>14</v>
      </c>
      <c r="B22" s="19" t="s">
        <v>227</v>
      </c>
      <c r="C22" s="20">
        <f>[20]С5!F12</f>
        <v>107.73917014795914</v>
      </c>
    </row>
    <row r="23" spans="1:3" ht="43.5" thickBot="1">
      <c r="A23" s="21" t="s">
        <v>15</v>
      </c>
      <c r="B23" s="140" t="s">
        <v>228</v>
      </c>
      <c r="C23" s="22" t="str">
        <f>[20]С6!F12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[20]С1.1!E16</f>
        <v>5100</v>
      </c>
    </row>
    <row r="29" spans="1:3" ht="42.75">
      <c r="A29" s="16" t="s">
        <v>9</v>
      </c>
      <c r="B29" s="27" t="s">
        <v>230</v>
      </c>
      <c r="C29" s="28">
        <f>[20]С1.1!E27</f>
        <v>3302.8666666666668</v>
      </c>
    </row>
    <row r="30" spans="1:3" ht="17.25">
      <c r="A30" s="16" t="s">
        <v>11</v>
      </c>
      <c r="B30" s="27" t="s">
        <v>17</v>
      </c>
      <c r="C30" s="29">
        <f>[20]С1.1!E19</f>
        <v>1.4E-2</v>
      </c>
    </row>
    <row r="31" spans="1:3" ht="17.25">
      <c r="A31" s="16" t="s">
        <v>13</v>
      </c>
      <c r="B31" s="27" t="s">
        <v>18</v>
      </c>
      <c r="C31" s="29">
        <f>[20]С1.1!E20</f>
        <v>0.04</v>
      </c>
    </row>
    <row r="32" spans="1:3" ht="30">
      <c r="A32" s="16" t="s">
        <v>14</v>
      </c>
      <c r="B32" s="30" t="s">
        <v>231</v>
      </c>
      <c r="C32" s="117">
        <f>[20]С1!F13</f>
        <v>176.4</v>
      </c>
    </row>
    <row r="33" spans="1:3">
      <c r="A33" s="16" t="s">
        <v>15</v>
      </c>
      <c r="B33" s="30" t="s">
        <v>19</v>
      </c>
      <c r="C33" s="31">
        <f>[20]С1!F16</f>
        <v>7000</v>
      </c>
    </row>
    <row r="34" spans="1:3" ht="14.25">
      <c r="A34" s="16" t="s">
        <v>20</v>
      </c>
      <c r="B34" s="32" t="s">
        <v>232</v>
      </c>
      <c r="C34" s="33">
        <f>[20]С1!F17</f>
        <v>0.72857142857142854</v>
      </c>
    </row>
    <row r="35" spans="1:3" ht="15.75">
      <c r="A35" s="118" t="s">
        <v>21</v>
      </c>
      <c r="B35" s="34" t="s">
        <v>22</v>
      </c>
      <c r="C35" s="33">
        <f>[20]С1!F20</f>
        <v>21.588411179999994</v>
      </c>
    </row>
    <row r="36" spans="1:3" ht="15.75">
      <c r="A36" s="118" t="s">
        <v>23</v>
      </c>
      <c r="B36" s="35" t="s">
        <v>24</v>
      </c>
      <c r="C36" s="33">
        <f>[20]С1!F21</f>
        <v>20.818139999999996</v>
      </c>
    </row>
    <row r="37" spans="1:3" ht="14.25">
      <c r="A37" s="118" t="s">
        <v>25</v>
      </c>
      <c r="B37" s="36" t="s">
        <v>26</v>
      </c>
      <c r="C37" s="33">
        <f>[20]С1!F22</f>
        <v>1.0369999999999999</v>
      </c>
    </row>
    <row r="38" spans="1:3" ht="53.25" thickBot="1">
      <c r="A38" s="21" t="s">
        <v>27</v>
      </c>
      <c r="B38" s="37" t="s">
        <v>28</v>
      </c>
      <c r="C38" s="38">
        <f>[20]С1!F23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[20]С2.1!E12</f>
        <v>V</v>
      </c>
    </row>
    <row r="42" spans="1:3" ht="25.5">
      <c r="A42" s="16" t="s">
        <v>33</v>
      </c>
      <c r="B42" s="27" t="s">
        <v>34</v>
      </c>
      <c r="C42" s="41" t="str">
        <f>[20]С2.1!E13</f>
        <v>6 и менее баллов</v>
      </c>
    </row>
    <row r="43" spans="1:3" ht="25.5">
      <c r="A43" s="16" t="s">
        <v>35</v>
      </c>
      <c r="B43" s="27" t="s">
        <v>233</v>
      </c>
      <c r="C43" s="41" t="str">
        <f>[20]С2.1!E14</f>
        <v>от 200 до 500</v>
      </c>
    </row>
    <row r="44" spans="1:3" ht="25.5">
      <c r="A44" s="16" t="s">
        <v>36</v>
      </c>
      <c r="B44" s="27" t="s">
        <v>234</v>
      </c>
      <c r="C44" s="42" t="str">
        <f>[20]С2.1!E15</f>
        <v>нет</v>
      </c>
    </row>
    <row r="45" spans="1:3" ht="30">
      <c r="A45" s="16" t="s">
        <v>37</v>
      </c>
      <c r="B45" s="27" t="s">
        <v>38</v>
      </c>
      <c r="C45" s="28">
        <f>[20]С2!F18</f>
        <v>38910.02669467502</v>
      </c>
    </row>
    <row r="46" spans="1:3" ht="30">
      <c r="A46" s="16" t="s">
        <v>39</v>
      </c>
      <c r="B46" s="43" t="s">
        <v>40</v>
      </c>
      <c r="C46" s="28">
        <f>IF([20]С2!F19&gt;0,[20]С2!F19,[20]С2!F20)</f>
        <v>23441.524932855718</v>
      </c>
    </row>
    <row r="47" spans="1:3" ht="25.5">
      <c r="A47" s="16" t="s">
        <v>41</v>
      </c>
      <c r="B47" s="44" t="s">
        <v>42</v>
      </c>
      <c r="C47" s="28">
        <f>[20]С2.1!E19</f>
        <v>-38</v>
      </c>
    </row>
    <row r="48" spans="1:3" ht="25.5">
      <c r="A48" s="16" t="s">
        <v>43</v>
      </c>
      <c r="B48" s="44" t="s">
        <v>44</v>
      </c>
      <c r="C48" s="28" t="str">
        <f>[20]С2.1!E22</f>
        <v>нет</v>
      </c>
    </row>
    <row r="49" spans="1:3" ht="38.25">
      <c r="A49" s="16" t="s">
        <v>45</v>
      </c>
      <c r="B49" s="45" t="s">
        <v>46</v>
      </c>
      <c r="C49" s="28">
        <f>[20]С2.2!E10</f>
        <v>1287</v>
      </c>
    </row>
    <row r="50" spans="1:3" ht="25.5">
      <c r="A50" s="16" t="s">
        <v>47</v>
      </c>
      <c r="B50" s="46" t="s">
        <v>48</v>
      </c>
      <c r="C50" s="28">
        <f>[20]С2.2!E12</f>
        <v>5.97</v>
      </c>
    </row>
    <row r="51" spans="1:3" ht="52.5">
      <c r="A51" s="16" t="s">
        <v>49</v>
      </c>
      <c r="B51" s="47" t="s">
        <v>50</v>
      </c>
      <c r="C51" s="28">
        <f>[20]С2.2!E13</f>
        <v>1</v>
      </c>
    </row>
    <row r="52" spans="1:3" ht="27.75">
      <c r="A52" s="16" t="s">
        <v>51</v>
      </c>
      <c r="B52" s="46" t="s">
        <v>52</v>
      </c>
      <c r="C52" s="28">
        <f>[20]С2.2!E14</f>
        <v>12104</v>
      </c>
    </row>
    <row r="53" spans="1:3" ht="25.5">
      <c r="A53" s="16" t="s">
        <v>53</v>
      </c>
      <c r="B53" s="47" t="s">
        <v>54</v>
      </c>
      <c r="C53" s="29">
        <f>[20]С2.2!E15</f>
        <v>4.8000000000000001E-2</v>
      </c>
    </row>
    <row r="54" spans="1:3">
      <c r="A54" s="16" t="s">
        <v>55</v>
      </c>
      <c r="B54" s="47" t="s">
        <v>56</v>
      </c>
      <c r="C54" s="28">
        <f>[20]С2.2!E16</f>
        <v>1</v>
      </c>
    </row>
    <row r="55" spans="1:3" ht="15.75">
      <c r="A55" s="16" t="s">
        <v>57</v>
      </c>
      <c r="B55" s="48" t="s">
        <v>58</v>
      </c>
      <c r="C55" s="28">
        <f>[20]С2!F21</f>
        <v>1</v>
      </c>
    </row>
    <row r="56" spans="1:3" ht="30">
      <c r="A56" s="49" t="s">
        <v>59</v>
      </c>
      <c r="B56" s="27" t="s">
        <v>235</v>
      </c>
      <c r="C56" s="28">
        <f>[20]С2!F13</f>
        <v>203708.97017230222</v>
      </c>
    </row>
    <row r="57" spans="1:3" ht="30">
      <c r="A57" s="49" t="s">
        <v>60</v>
      </c>
      <c r="B57" s="48" t="s">
        <v>236</v>
      </c>
      <c r="C57" s="28">
        <f>[20]С2!F14</f>
        <v>113455</v>
      </c>
    </row>
    <row r="58" spans="1:3" ht="15.75">
      <c r="A58" s="49" t="s">
        <v>61</v>
      </c>
      <c r="B58" s="50" t="s">
        <v>62</v>
      </c>
      <c r="C58" s="33">
        <f>[20]С2!F15</f>
        <v>1.071</v>
      </c>
    </row>
    <row r="59" spans="1:3" ht="15.75">
      <c r="A59" s="49" t="s">
        <v>63</v>
      </c>
      <c r="B59" s="50" t="s">
        <v>64</v>
      </c>
      <c r="C59" s="33">
        <f>[20]С2!F16</f>
        <v>1</v>
      </c>
    </row>
    <row r="60" spans="1:3" ht="17.25">
      <c r="A60" s="49" t="s">
        <v>65</v>
      </c>
      <c r="B60" s="48" t="s">
        <v>66</v>
      </c>
      <c r="C60" s="28">
        <f>[20]С2!F17</f>
        <v>1.01</v>
      </c>
    </row>
    <row r="61" spans="1:3" s="53" customFormat="1" ht="14.25">
      <c r="A61" s="49" t="s">
        <v>67</v>
      </c>
      <c r="B61" s="51" t="s">
        <v>68</v>
      </c>
      <c r="C61" s="52">
        <f>[20]С2!F33</f>
        <v>10</v>
      </c>
    </row>
    <row r="62" spans="1:3" ht="30">
      <c r="A62" s="49" t="s">
        <v>69</v>
      </c>
      <c r="B62" s="54" t="s">
        <v>70</v>
      </c>
      <c r="C62" s="28">
        <f>[20]С2!F26</f>
        <v>1296.3109177946333</v>
      </c>
    </row>
    <row r="63" spans="1:3" ht="17.25">
      <c r="A63" s="49" t="s">
        <v>71</v>
      </c>
      <c r="B63" s="43" t="s">
        <v>237</v>
      </c>
      <c r="C63" s="28">
        <f>[20]С2!F27</f>
        <v>0.18594487800000001</v>
      </c>
    </row>
    <row r="64" spans="1:3" ht="17.25">
      <c r="A64" s="49" t="s">
        <v>72</v>
      </c>
      <c r="B64" s="48" t="s">
        <v>238</v>
      </c>
      <c r="C64" s="52">
        <f>[20]С2!F28</f>
        <v>4200</v>
      </c>
    </row>
    <row r="65" spans="1:3" ht="42.75">
      <c r="A65" s="49" t="s">
        <v>73</v>
      </c>
      <c r="B65" s="27" t="s">
        <v>239</v>
      </c>
      <c r="C65" s="28">
        <f>[20]С2!F22</f>
        <v>42890.921752741691</v>
      </c>
    </row>
    <row r="66" spans="1:3" ht="30">
      <c r="A66" s="49" t="s">
        <v>74</v>
      </c>
      <c r="B66" s="50" t="s">
        <v>240</v>
      </c>
      <c r="C66" s="28">
        <f>[20]С2!F23</f>
        <v>1990</v>
      </c>
    </row>
    <row r="67" spans="1:3" ht="30">
      <c r="A67" s="49" t="s">
        <v>75</v>
      </c>
      <c r="B67" s="43" t="s">
        <v>76</v>
      </c>
      <c r="C67" s="28">
        <f>[20]С2.1!E27</f>
        <v>14307.876789999998</v>
      </c>
    </row>
    <row r="68" spans="1:3" ht="38.25">
      <c r="A68" s="49" t="s">
        <v>77</v>
      </c>
      <c r="B68" s="55" t="s">
        <v>78</v>
      </c>
      <c r="C68" s="42">
        <f>[20]С2.3!E21</f>
        <v>0</v>
      </c>
    </row>
    <row r="69" spans="1:3" ht="25.5">
      <c r="A69" s="49" t="s">
        <v>79</v>
      </c>
      <c r="B69" s="56" t="s">
        <v>80</v>
      </c>
      <c r="C69" s="57">
        <f>[20]С2.3!E11</f>
        <v>9.89</v>
      </c>
    </row>
    <row r="70" spans="1:3" ht="25.5">
      <c r="A70" s="49" t="s">
        <v>81</v>
      </c>
      <c r="B70" s="56" t="s">
        <v>82</v>
      </c>
      <c r="C70" s="52">
        <f>[20]С2.3!E13</f>
        <v>300</v>
      </c>
    </row>
    <row r="71" spans="1:3" ht="25.5">
      <c r="A71" s="49" t="s">
        <v>83</v>
      </c>
      <c r="B71" s="55" t="s">
        <v>84</v>
      </c>
      <c r="C71" s="58">
        <f>IF([20]С2.3!E22&gt;0,[20]С2.3!E22,[20]С2.3!E14)</f>
        <v>61211</v>
      </c>
    </row>
    <row r="72" spans="1:3" ht="38.25">
      <c r="A72" s="49" t="s">
        <v>85</v>
      </c>
      <c r="B72" s="55" t="s">
        <v>86</v>
      </c>
      <c r="C72" s="58">
        <f>IF([20]С2.3!E23&gt;0,[20]С2.3!E23,[20]С2.3!E15)</f>
        <v>45675</v>
      </c>
    </row>
    <row r="73" spans="1:3" ht="30">
      <c r="A73" s="49" t="s">
        <v>87</v>
      </c>
      <c r="B73" s="43" t="s">
        <v>88</v>
      </c>
      <c r="C73" s="28">
        <f>[20]С2.1!E28</f>
        <v>9541.9567200000001</v>
      </c>
    </row>
    <row r="74" spans="1:3" ht="38.25">
      <c r="A74" s="49" t="s">
        <v>89</v>
      </c>
      <c r="B74" s="55" t="s">
        <v>90</v>
      </c>
      <c r="C74" s="42">
        <f>[20]С2.3!E25</f>
        <v>0</v>
      </c>
    </row>
    <row r="75" spans="1:3" ht="25.5">
      <c r="A75" s="49" t="s">
        <v>91</v>
      </c>
      <c r="B75" s="56" t="s">
        <v>92</v>
      </c>
      <c r="C75" s="57">
        <f>[20]С2.3!E12</f>
        <v>0.56000000000000005</v>
      </c>
    </row>
    <row r="76" spans="1:3" ht="25.5">
      <c r="A76" s="49" t="s">
        <v>93</v>
      </c>
      <c r="B76" s="56" t="s">
        <v>82</v>
      </c>
      <c r="C76" s="52">
        <f>[20]С2.3!E13</f>
        <v>300</v>
      </c>
    </row>
    <row r="77" spans="1:3" ht="25.5">
      <c r="A77" s="49" t="s">
        <v>94</v>
      </c>
      <c r="B77" s="59" t="s">
        <v>95</v>
      </c>
      <c r="C77" s="58">
        <f>IF([20]С2.3!E26&gt;0,[20]С2.3!E26,[20]С2.3!E16)</f>
        <v>65637</v>
      </c>
    </row>
    <row r="78" spans="1:3" ht="38.25">
      <c r="A78" s="49" t="s">
        <v>96</v>
      </c>
      <c r="B78" s="59" t="s">
        <v>97</v>
      </c>
      <c r="C78" s="58">
        <f>IF([20]С2.3!E27&gt;0,[20]С2.3!E27,[20]С2.3!E17)</f>
        <v>31684</v>
      </c>
    </row>
    <row r="79" spans="1:3" ht="17.25">
      <c r="A79" s="49" t="s">
        <v>98</v>
      </c>
      <c r="B79" s="27" t="s">
        <v>99</v>
      </c>
      <c r="C79" s="29">
        <f>[20]С2!F29</f>
        <v>0.17804631770487722</v>
      </c>
    </row>
    <row r="80" spans="1:3" ht="30">
      <c r="A80" s="49" t="s">
        <v>100</v>
      </c>
      <c r="B80" s="43" t="s">
        <v>101</v>
      </c>
      <c r="C80" s="60">
        <f>[20]С2!F30</f>
        <v>0.1652189781021898</v>
      </c>
    </row>
    <row r="81" spans="1:3" ht="17.25">
      <c r="A81" s="49" t="s">
        <v>102</v>
      </c>
      <c r="B81" s="61" t="s">
        <v>103</v>
      </c>
      <c r="C81" s="29">
        <f>[20]С2!F31</f>
        <v>0.13880000000000001</v>
      </c>
    </row>
    <row r="82" spans="1:3" s="53" customFormat="1" ht="18" thickBot="1">
      <c r="A82" s="62" t="s">
        <v>104</v>
      </c>
      <c r="B82" s="63" t="s">
        <v>105</v>
      </c>
      <c r="C82" s="64">
        <f>[20]С2!F32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[20]С3!F14</f>
        <v>14780.674721363519</v>
      </c>
    </row>
    <row r="86" spans="1:3" s="53" customFormat="1" ht="42.75">
      <c r="A86" s="67" t="s">
        <v>110</v>
      </c>
      <c r="B86" s="43" t="s">
        <v>111</v>
      </c>
      <c r="C86" s="68">
        <f>[20]С3!F15</f>
        <v>0.25</v>
      </c>
    </row>
    <row r="87" spans="1:3" s="53" customFormat="1" ht="14.25">
      <c r="A87" s="67" t="s">
        <v>112</v>
      </c>
      <c r="B87" s="69" t="s">
        <v>113</v>
      </c>
      <c r="C87" s="52">
        <f>[20]С3!F18</f>
        <v>15</v>
      </c>
    </row>
    <row r="88" spans="1:3" s="53" customFormat="1" ht="17.25">
      <c r="A88" s="67" t="s">
        <v>114</v>
      </c>
      <c r="B88" s="27" t="s">
        <v>115</v>
      </c>
      <c r="C88" s="28">
        <f>[20]С3!F19</f>
        <v>4187.478806422544</v>
      </c>
    </row>
    <row r="89" spans="1:3" s="53" customFormat="1" ht="55.5">
      <c r="A89" s="67" t="s">
        <v>116</v>
      </c>
      <c r="B89" s="43" t="s">
        <v>117</v>
      </c>
      <c r="C89" s="70">
        <f>[20]С3!F20</f>
        <v>2.1999999999999999E-2</v>
      </c>
    </row>
    <row r="90" spans="1:3" s="53" customFormat="1" ht="14.25">
      <c r="A90" s="67" t="s">
        <v>118</v>
      </c>
      <c r="B90" s="48" t="s">
        <v>68</v>
      </c>
      <c r="C90" s="52">
        <f>[20]С3!F21</f>
        <v>10</v>
      </c>
    </row>
    <row r="91" spans="1:3" s="53" customFormat="1" ht="17.25">
      <c r="A91" s="67" t="s">
        <v>119</v>
      </c>
      <c r="B91" s="27" t="s">
        <v>120</v>
      </c>
      <c r="C91" s="28">
        <f>[20]С3!F22</f>
        <v>3.8889327533838998</v>
      </c>
    </row>
    <row r="92" spans="1:3" s="53" customFormat="1" ht="55.5">
      <c r="A92" s="67" t="s">
        <v>121</v>
      </c>
      <c r="B92" s="43" t="s">
        <v>122</v>
      </c>
      <c r="C92" s="70">
        <f>[20]С3!F23</f>
        <v>3.0000000000000001E-3</v>
      </c>
    </row>
    <row r="93" spans="1:3" s="53" customFormat="1" ht="27.75" thickBot="1">
      <c r="A93" s="71" t="s">
        <v>123</v>
      </c>
      <c r="B93" s="72" t="s">
        <v>241</v>
      </c>
      <c r="C93" s="73">
        <f>[20]С3!F24</f>
        <v>1296.3109177946333</v>
      </c>
    </row>
    <row r="94" spans="1:3" ht="13.5" thickBot="1">
      <c r="A94" s="39"/>
      <c r="B94" s="65"/>
      <c r="C94" s="13"/>
    </row>
    <row r="95" spans="1:3" ht="30" customHeight="1">
      <c r="A95" s="74" t="s">
        <v>124</v>
      </c>
      <c r="B95" s="141" t="s">
        <v>125</v>
      </c>
      <c r="C95" s="141"/>
    </row>
    <row r="96" spans="1:3" ht="30">
      <c r="A96" s="49" t="s">
        <v>126</v>
      </c>
      <c r="B96" s="27" t="s">
        <v>242</v>
      </c>
      <c r="C96" s="28">
        <f>[20]С4!F16</f>
        <v>1652.5</v>
      </c>
    </row>
    <row r="97" spans="1:3" ht="30">
      <c r="A97" s="49" t="s">
        <v>127</v>
      </c>
      <c r="B97" s="48" t="s">
        <v>243</v>
      </c>
      <c r="C97" s="28">
        <f>[20]С4!F17</f>
        <v>73547</v>
      </c>
    </row>
    <row r="98" spans="1:3" ht="17.25">
      <c r="A98" s="49" t="s">
        <v>128</v>
      </c>
      <c r="B98" s="48" t="s">
        <v>129</v>
      </c>
      <c r="C98" s="33">
        <f>[20]С4!F18</f>
        <v>0.02</v>
      </c>
    </row>
    <row r="99" spans="1:3" ht="30">
      <c r="A99" s="49" t="s">
        <v>130</v>
      </c>
      <c r="B99" s="48" t="s">
        <v>131</v>
      </c>
      <c r="C99" s="28">
        <f>[20]С4!F19</f>
        <v>12104</v>
      </c>
    </row>
    <row r="100" spans="1:3" ht="31.5">
      <c r="A100" s="49" t="s">
        <v>132</v>
      </c>
      <c r="B100" s="48" t="s">
        <v>133</v>
      </c>
      <c r="C100" s="33">
        <f>[20]С4!F20</f>
        <v>1.4999999999999999E-2</v>
      </c>
    </row>
    <row r="101" spans="1:3" ht="30">
      <c r="A101" s="49" t="s">
        <v>134</v>
      </c>
      <c r="B101" s="27" t="s">
        <v>244</v>
      </c>
      <c r="C101" s="28">
        <f>[20]С4!F21</f>
        <v>1933.1949342509995</v>
      </c>
    </row>
    <row r="102" spans="1:3" ht="24" customHeight="1">
      <c r="A102" s="49" t="s">
        <v>135</v>
      </c>
      <c r="B102" s="43" t="s">
        <v>136</v>
      </c>
      <c r="C102" s="75">
        <f>IF([20]С4.2!F8="да",[20]С4.2!D21,[20]С4.2!D15)</f>
        <v>0</v>
      </c>
    </row>
    <row r="103" spans="1:3" ht="68.25">
      <c r="A103" s="49" t="s">
        <v>137</v>
      </c>
      <c r="B103" s="43" t="s">
        <v>138</v>
      </c>
      <c r="C103" s="28">
        <f>[20]С4!F22</f>
        <v>3.6112641666666665</v>
      </c>
    </row>
    <row r="104" spans="1:3" ht="30">
      <c r="A104" s="49" t="s">
        <v>139</v>
      </c>
      <c r="B104" s="48" t="s">
        <v>245</v>
      </c>
      <c r="C104" s="28">
        <f>[20]С4!F23</f>
        <v>180</v>
      </c>
    </row>
    <row r="105" spans="1:3" ht="14.25">
      <c r="A105" s="49" t="s">
        <v>140</v>
      </c>
      <c r="B105" s="43" t="s">
        <v>141</v>
      </c>
      <c r="C105" s="28">
        <f>[20]С4!F24</f>
        <v>8497.1999999999989</v>
      </c>
    </row>
    <row r="106" spans="1:3" ht="14.25">
      <c r="A106" s="49" t="s">
        <v>142</v>
      </c>
      <c r="B106" s="48" t="s">
        <v>143</v>
      </c>
      <c r="C106" s="33">
        <f>[20]С4!F25</f>
        <v>0.35</v>
      </c>
    </row>
    <row r="107" spans="1:3" ht="17.25">
      <c r="A107" s="49" t="s">
        <v>144</v>
      </c>
      <c r="B107" s="27" t="s">
        <v>145</v>
      </c>
      <c r="C107" s="28">
        <f>[20]С4!F26</f>
        <v>55.93665</v>
      </c>
    </row>
    <row r="108" spans="1:3" ht="25.5">
      <c r="A108" s="49" t="s">
        <v>146</v>
      </c>
      <c r="B108" s="43" t="s">
        <v>78</v>
      </c>
      <c r="C108" s="75">
        <f>[20]С4.3!E16</f>
        <v>0</v>
      </c>
    </row>
    <row r="109" spans="1:3" ht="25.5">
      <c r="A109" s="49" t="s">
        <v>147</v>
      </c>
      <c r="B109" s="43" t="s">
        <v>148</v>
      </c>
      <c r="C109" s="28">
        <f>[20]С4.3!E17</f>
        <v>15.950000000000001</v>
      </c>
    </row>
    <row r="110" spans="1:3" ht="38.25">
      <c r="A110" s="49" t="s">
        <v>149</v>
      </c>
      <c r="B110" s="43" t="s">
        <v>90</v>
      </c>
      <c r="C110" s="75">
        <f>[20]С4.3!E18</f>
        <v>0</v>
      </c>
    </row>
    <row r="111" spans="1:3">
      <c r="A111" s="49" t="s">
        <v>150</v>
      </c>
      <c r="B111" s="43" t="s">
        <v>151</v>
      </c>
      <c r="C111" s="28">
        <f>[20]С4.3!E19</f>
        <v>0</v>
      </c>
    </row>
    <row r="112" spans="1:3">
      <c r="A112" s="49" t="s">
        <v>152</v>
      </c>
      <c r="B112" s="48" t="s">
        <v>153</v>
      </c>
      <c r="C112" s="28">
        <f>[20]С4.3!E11</f>
        <v>1871</v>
      </c>
    </row>
    <row r="113" spans="1:3">
      <c r="A113" s="49" t="s">
        <v>154</v>
      </c>
      <c r="B113" s="48" t="s">
        <v>155</v>
      </c>
      <c r="C113" s="42">
        <f>[20]С4.3!E12</f>
        <v>1636</v>
      </c>
    </row>
    <row r="114" spans="1:3">
      <c r="A114" s="49" t="s">
        <v>156</v>
      </c>
      <c r="B114" s="48" t="s">
        <v>157</v>
      </c>
      <c r="C114" s="42">
        <f>[20]С4.3!E13</f>
        <v>204</v>
      </c>
    </row>
    <row r="115" spans="1:3" ht="30">
      <c r="A115" s="49" t="s">
        <v>158</v>
      </c>
      <c r="B115" s="27" t="s">
        <v>246</v>
      </c>
      <c r="C115" s="28">
        <f>[20]С4!F27</f>
        <v>1291.2863994686898</v>
      </c>
    </row>
    <row r="116" spans="1:3" ht="25.5">
      <c r="A116" s="49" t="s">
        <v>159</v>
      </c>
      <c r="B116" s="43" t="s">
        <v>247</v>
      </c>
      <c r="C116" s="28">
        <f>[20]С4!F28</f>
        <v>991.77142816335618</v>
      </c>
    </row>
    <row r="117" spans="1:3" ht="42.75">
      <c r="A117" s="49" t="s">
        <v>160</v>
      </c>
      <c r="B117" s="43" t="s">
        <v>161</v>
      </c>
      <c r="C117" s="28">
        <f>[20]С4!F29</f>
        <v>299.51497130533357</v>
      </c>
    </row>
    <row r="118" spans="1:3" ht="30">
      <c r="A118" s="49" t="s">
        <v>162</v>
      </c>
      <c r="B118" s="32" t="s">
        <v>163</v>
      </c>
      <c r="C118" s="28">
        <f>[20]С4!F30</f>
        <v>2548.9033761495934</v>
      </c>
    </row>
    <row r="119" spans="1:3" ht="42.75">
      <c r="A119" s="49" t="s">
        <v>248</v>
      </c>
      <c r="B119" s="76" t="s">
        <v>249</v>
      </c>
      <c r="C119" s="28">
        <f>[20]С4!F33</f>
        <v>1351.3428251496514</v>
      </c>
    </row>
    <row r="120" spans="1:3" ht="30">
      <c r="A120" s="49" t="s">
        <v>250</v>
      </c>
      <c r="B120" s="121" t="s">
        <v>251</v>
      </c>
      <c r="C120" s="28">
        <f>[20]С4!F35</f>
        <v>17.040680999999999</v>
      </c>
    </row>
    <row r="121" spans="1:3" ht="14.25">
      <c r="A121" s="49" t="s">
        <v>252</v>
      </c>
      <c r="B121" s="46" t="s">
        <v>253</v>
      </c>
      <c r="C121" s="28">
        <f>[20]С4!F36</f>
        <v>14319.9</v>
      </c>
    </row>
    <row r="122" spans="1:3" ht="28.5" thickBot="1">
      <c r="A122" s="62" t="s">
        <v>254</v>
      </c>
      <c r="B122" s="122" t="s">
        <v>255</v>
      </c>
      <c r="C122" s="73">
        <f>[20]С4!F37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[20]С5!F17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[20]С2!F37</f>
        <v>20.818139999999996</v>
      </c>
    </row>
    <row r="136" spans="1:3" ht="14.25">
      <c r="A136" s="49" t="s">
        <v>183</v>
      </c>
      <c r="B136" s="128" t="s">
        <v>184</v>
      </c>
      <c r="C136" s="28">
        <f>[20]С2!F38</f>
        <v>7</v>
      </c>
    </row>
    <row r="137" spans="1:3" ht="17.25">
      <c r="A137" s="49" t="s">
        <v>185</v>
      </c>
      <c r="B137" s="128" t="s">
        <v>186</v>
      </c>
      <c r="C137" s="28">
        <f>[20]С2!F40</f>
        <v>0.97</v>
      </c>
    </row>
    <row r="138" spans="1:3" ht="15" thickBot="1">
      <c r="A138" s="62" t="s">
        <v>187</v>
      </c>
      <c r="B138" s="129" t="s">
        <v>188</v>
      </c>
      <c r="C138" s="38">
        <f>[20]С2!F42</f>
        <v>0.35</v>
      </c>
    </row>
    <row r="139" spans="1:3" s="77" customFormat="1" ht="13.5" thickBot="1">
      <c r="A139" s="39"/>
      <c r="B139" s="65"/>
      <c r="C139" s="13"/>
    </row>
    <row r="140" spans="1:3" ht="30">
      <c r="A140" s="74" t="s">
        <v>189</v>
      </c>
      <c r="B140" s="84" t="s">
        <v>258</v>
      </c>
      <c r="C140" s="130">
        <f>[20]С2!F35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[20]С2.5!$E$11</f>
        <v>-2.9000000000000026E-2</v>
      </c>
    </row>
    <row r="144" spans="1:3">
      <c r="A144" s="85"/>
      <c r="B144" s="86">
        <f>B143+1</f>
        <v>2021</v>
      </c>
      <c r="C144" s="135">
        <f>[20]С2.5!$F$11</f>
        <v>0.245</v>
      </c>
    </row>
    <row r="145" spans="1:3">
      <c r="A145" s="85"/>
      <c r="B145" s="86">
        <f t="shared" ref="B145:B208" si="0">B144+1</f>
        <v>2022</v>
      </c>
      <c r="C145" s="135">
        <f>[20]С2.5!$G$11</f>
        <v>0.114</v>
      </c>
    </row>
    <row r="146" spans="1:3" ht="13.5" thickBot="1">
      <c r="A146" s="85"/>
      <c r="B146" s="87">
        <f t="shared" si="0"/>
        <v>2023</v>
      </c>
      <c r="C146" s="136">
        <f>[20]С2.5!$H$11</f>
        <v>0.04</v>
      </c>
    </row>
    <row r="147" spans="1:3">
      <c r="A147" s="85"/>
      <c r="B147" s="137">
        <f t="shared" si="0"/>
        <v>2024</v>
      </c>
      <c r="C147" s="138">
        <f>[20]С2.5!$I$11</f>
        <v>0.11700000000000001</v>
      </c>
    </row>
    <row r="148" spans="1:3">
      <c r="A148" s="85"/>
      <c r="B148" s="86">
        <f t="shared" si="0"/>
        <v>2025</v>
      </c>
      <c r="C148" s="135">
        <f>[20]С2.5!$J$11</f>
        <v>6.0999999999999999E-2</v>
      </c>
    </row>
    <row r="149" spans="1:3" hidden="1">
      <c r="A149" s="85"/>
      <c r="B149" s="86">
        <f t="shared" si="0"/>
        <v>2026</v>
      </c>
      <c r="C149" s="135">
        <f>[20]С2.5!$K$11</f>
        <v>3.5813361771260002E-2</v>
      </c>
    </row>
    <row r="150" spans="1:3" hidden="1">
      <c r="A150" s="85"/>
      <c r="B150" s="86">
        <f t="shared" si="0"/>
        <v>2027</v>
      </c>
      <c r="C150" s="135">
        <f>[20]С2.5!$L$11</f>
        <v>3.2682303599220003E-2</v>
      </c>
    </row>
    <row r="151" spans="1:3" hidden="1">
      <c r="A151" s="85"/>
      <c r="B151" s="86">
        <f t="shared" si="0"/>
        <v>2028</v>
      </c>
      <c r="C151" s="135">
        <f>[20]С2.5!$M$11</f>
        <v>0</v>
      </c>
    </row>
    <row r="152" spans="1:3" hidden="1">
      <c r="A152" s="85"/>
      <c r="B152" s="86">
        <f t="shared" si="0"/>
        <v>2029</v>
      </c>
      <c r="C152" s="135">
        <f>[20]С2.5!$N$11</f>
        <v>0</v>
      </c>
    </row>
    <row r="153" spans="1:3" hidden="1">
      <c r="A153" s="85"/>
      <c r="B153" s="86">
        <f t="shared" si="0"/>
        <v>2030</v>
      </c>
      <c r="C153" s="135">
        <f>[20]С2.5!$O$11</f>
        <v>0</v>
      </c>
    </row>
    <row r="154" spans="1:3" hidden="1">
      <c r="A154" s="85"/>
      <c r="B154" s="86">
        <f t="shared" si="0"/>
        <v>2031</v>
      </c>
      <c r="C154" s="135">
        <f>[20]С2.5!$P$11</f>
        <v>0</v>
      </c>
    </row>
    <row r="155" spans="1:3" hidden="1">
      <c r="A155" s="77"/>
      <c r="B155" s="86">
        <f t="shared" si="0"/>
        <v>2032</v>
      </c>
      <c r="C155" s="135">
        <f>[20]С2.5!$Q$11</f>
        <v>0</v>
      </c>
    </row>
    <row r="156" spans="1:3" hidden="1">
      <c r="A156" s="77"/>
      <c r="B156" s="86">
        <f t="shared" si="0"/>
        <v>2033</v>
      </c>
      <c r="C156" s="135">
        <f>[20]С2.5!$R$11</f>
        <v>0</v>
      </c>
    </row>
    <row r="157" spans="1:3" hidden="1">
      <c r="B157" s="86">
        <f t="shared" si="0"/>
        <v>2034</v>
      </c>
      <c r="C157" s="135">
        <f>[20]С2.5!$S$11</f>
        <v>0</v>
      </c>
    </row>
    <row r="158" spans="1:3" hidden="1">
      <c r="B158" s="86">
        <f t="shared" si="0"/>
        <v>2035</v>
      </c>
      <c r="C158" s="135">
        <f>[20]С2.5!$T$11</f>
        <v>0</v>
      </c>
    </row>
    <row r="159" spans="1:3" hidden="1">
      <c r="B159" s="86">
        <f t="shared" si="0"/>
        <v>2036</v>
      </c>
      <c r="C159" s="135">
        <f>[20]С2.5!$U$11</f>
        <v>0</v>
      </c>
    </row>
    <row r="160" spans="1:3" hidden="1">
      <c r="B160" s="86">
        <f t="shared" si="0"/>
        <v>2037</v>
      </c>
      <c r="C160" s="135">
        <f>[20]С2.5!$V$11</f>
        <v>0</v>
      </c>
    </row>
    <row r="161" spans="2:3" hidden="1">
      <c r="B161" s="86">
        <f t="shared" si="0"/>
        <v>2038</v>
      </c>
      <c r="C161" s="135">
        <f>[20]С2.5!$W$11</f>
        <v>0</v>
      </c>
    </row>
    <row r="162" spans="2:3" hidden="1">
      <c r="B162" s="86">
        <f t="shared" si="0"/>
        <v>2039</v>
      </c>
      <c r="C162" s="135">
        <f>[20]С2.5!$X$11</f>
        <v>0</v>
      </c>
    </row>
    <row r="163" spans="2:3" hidden="1">
      <c r="B163" s="86">
        <f t="shared" si="0"/>
        <v>2040</v>
      </c>
      <c r="C163" s="135">
        <f>[20]С2.5!$Y$11</f>
        <v>0</v>
      </c>
    </row>
    <row r="164" spans="2:3" hidden="1">
      <c r="B164" s="86">
        <f t="shared" si="0"/>
        <v>2041</v>
      </c>
      <c r="C164" s="135">
        <f>[20]С2.5!$Z$11</f>
        <v>0</v>
      </c>
    </row>
    <row r="165" spans="2:3" hidden="1">
      <c r="B165" s="86">
        <f t="shared" si="0"/>
        <v>2042</v>
      </c>
      <c r="C165" s="135">
        <f>[20]С2.5!$AA$11</f>
        <v>0</v>
      </c>
    </row>
    <row r="166" spans="2:3" hidden="1">
      <c r="B166" s="86">
        <f t="shared" si="0"/>
        <v>2043</v>
      </c>
      <c r="C166" s="135">
        <f>[20]С2.5!$AB$11</f>
        <v>0</v>
      </c>
    </row>
    <row r="167" spans="2:3" hidden="1">
      <c r="B167" s="86">
        <f t="shared" si="0"/>
        <v>2044</v>
      </c>
      <c r="C167" s="135">
        <f>[20]С2.5!$AC$11</f>
        <v>0</v>
      </c>
    </row>
    <row r="168" spans="2:3" hidden="1">
      <c r="B168" s="86">
        <f t="shared" si="0"/>
        <v>2045</v>
      </c>
      <c r="C168" s="135">
        <f>[20]С2.5!$AD$11</f>
        <v>0</v>
      </c>
    </row>
    <row r="169" spans="2:3" hidden="1">
      <c r="B169" s="86">
        <f t="shared" si="0"/>
        <v>2046</v>
      </c>
      <c r="C169" s="135">
        <f>[20]С2.5!$AE$11</f>
        <v>0</v>
      </c>
    </row>
    <row r="170" spans="2:3" hidden="1">
      <c r="B170" s="86">
        <f t="shared" si="0"/>
        <v>2047</v>
      </c>
      <c r="C170" s="135">
        <f>[20]С2.5!$AF$11</f>
        <v>0</v>
      </c>
    </row>
    <row r="171" spans="2:3" hidden="1">
      <c r="B171" s="86">
        <f t="shared" si="0"/>
        <v>2048</v>
      </c>
      <c r="C171" s="135">
        <f>[20]С2.5!$AG$11</f>
        <v>0</v>
      </c>
    </row>
    <row r="172" spans="2:3" hidden="1">
      <c r="B172" s="86">
        <f t="shared" si="0"/>
        <v>2049</v>
      </c>
      <c r="C172" s="135">
        <f>[20]С2.5!$AH$11</f>
        <v>0</v>
      </c>
    </row>
    <row r="173" spans="2:3" hidden="1">
      <c r="B173" s="86">
        <f t="shared" si="0"/>
        <v>2050</v>
      </c>
      <c r="C173" s="135">
        <f>[20]С2.5!$AI$11</f>
        <v>0</v>
      </c>
    </row>
    <row r="174" spans="2:3" hidden="1">
      <c r="B174" s="86">
        <f t="shared" si="0"/>
        <v>2051</v>
      </c>
      <c r="C174" s="135">
        <f>[20]С2.5!$AJ$11</f>
        <v>0</v>
      </c>
    </row>
    <row r="175" spans="2:3" hidden="1">
      <c r="B175" s="86">
        <f t="shared" si="0"/>
        <v>2052</v>
      </c>
      <c r="C175" s="135">
        <f>[20]С2.5!$AK$11</f>
        <v>0</v>
      </c>
    </row>
    <row r="176" spans="2:3" hidden="1">
      <c r="B176" s="86">
        <f t="shared" si="0"/>
        <v>2053</v>
      </c>
      <c r="C176" s="135">
        <f>[20]С2.5!$AL$11</f>
        <v>0</v>
      </c>
    </row>
    <row r="177" spans="2:3" hidden="1">
      <c r="B177" s="86">
        <f t="shared" si="0"/>
        <v>2054</v>
      </c>
      <c r="C177" s="135">
        <f>[20]С2.5!$AM$11</f>
        <v>0</v>
      </c>
    </row>
    <row r="178" spans="2:3" hidden="1">
      <c r="B178" s="86">
        <f t="shared" si="0"/>
        <v>2055</v>
      </c>
      <c r="C178" s="135">
        <f>[20]С2.5!$AN$11</f>
        <v>0</v>
      </c>
    </row>
    <row r="179" spans="2:3" hidden="1">
      <c r="B179" s="86">
        <f t="shared" si="0"/>
        <v>2056</v>
      </c>
      <c r="C179" s="135">
        <f>[20]С2.5!$AO$11</f>
        <v>0</v>
      </c>
    </row>
    <row r="180" spans="2:3" hidden="1">
      <c r="B180" s="86">
        <f t="shared" si="0"/>
        <v>2057</v>
      </c>
      <c r="C180" s="135">
        <f>[20]С2.5!$AP$11</f>
        <v>0</v>
      </c>
    </row>
    <row r="181" spans="2:3" hidden="1">
      <c r="B181" s="86">
        <f t="shared" si="0"/>
        <v>2058</v>
      </c>
      <c r="C181" s="135">
        <f>[20]С2.5!$AQ$11</f>
        <v>0</v>
      </c>
    </row>
    <row r="182" spans="2:3" hidden="1">
      <c r="B182" s="86">
        <f t="shared" si="0"/>
        <v>2059</v>
      </c>
      <c r="C182" s="135">
        <f>[20]С2.5!$AR$11</f>
        <v>0</v>
      </c>
    </row>
    <row r="183" spans="2:3" hidden="1">
      <c r="B183" s="86">
        <f t="shared" si="0"/>
        <v>2060</v>
      </c>
      <c r="C183" s="135">
        <f>[20]С2.5!$AS$11</f>
        <v>0</v>
      </c>
    </row>
    <row r="184" spans="2:3" hidden="1">
      <c r="B184" s="86">
        <f t="shared" si="0"/>
        <v>2061</v>
      </c>
      <c r="C184" s="135">
        <f>[20]С2.5!$AT$11</f>
        <v>0</v>
      </c>
    </row>
    <row r="185" spans="2:3" hidden="1">
      <c r="B185" s="86">
        <f t="shared" si="0"/>
        <v>2062</v>
      </c>
      <c r="C185" s="135">
        <f>[20]С2.5!$AU$11</f>
        <v>0</v>
      </c>
    </row>
    <row r="186" spans="2:3" hidden="1">
      <c r="B186" s="86">
        <f t="shared" si="0"/>
        <v>2063</v>
      </c>
      <c r="C186" s="135">
        <f>[20]С2.5!$AV$11</f>
        <v>0</v>
      </c>
    </row>
    <row r="187" spans="2:3" hidden="1">
      <c r="B187" s="86">
        <f t="shared" si="0"/>
        <v>2064</v>
      </c>
      <c r="C187" s="135">
        <f>[20]С2.5!$AW$11</f>
        <v>0</v>
      </c>
    </row>
    <row r="188" spans="2:3" hidden="1">
      <c r="B188" s="86">
        <f t="shared" si="0"/>
        <v>2065</v>
      </c>
      <c r="C188" s="135">
        <f>[20]С2.5!$AX$11</f>
        <v>0</v>
      </c>
    </row>
    <row r="189" spans="2:3" hidden="1">
      <c r="B189" s="86">
        <f t="shared" si="0"/>
        <v>2066</v>
      </c>
      <c r="C189" s="135">
        <f>[20]С2.5!$AY$11</f>
        <v>0</v>
      </c>
    </row>
    <row r="190" spans="2:3" hidden="1">
      <c r="B190" s="86">
        <f t="shared" si="0"/>
        <v>2067</v>
      </c>
      <c r="C190" s="135">
        <f>[20]С2.5!$AZ$11</f>
        <v>0</v>
      </c>
    </row>
    <row r="191" spans="2:3" hidden="1">
      <c r="B191" s="86">
        <f t="shared" si="0"/>
        <v>2068</v>
      </c>
      <c r="C191" s="135">
        <f>[20]С2.5!$BA$11</f>
        <v>0</v>
      </c>
    </row>
    <row r="192" spans="2:3" hidden="1">
      <c r="B192" s="86">
        <f t="shared" si="0"/>
        <v>2069</v>
      </c>
      <c r="C192" s="135">
        <f>[20]С2.5!$BB$11</f>
        <v>0</v>
      </c>
    </row>
    <row r="193" spans="2:3" hidden="1">
      <c r="B193" s="86">
        <f t="shared" si="0"/>
        <v>2070</v>
      </c>
      <c r="C193" s="135">
        <f>[20]С2.5!$BC$11</f>
        <v>0</v>
      </c>
    </row>
    <row r="194" spans="2:3" hidden="1">
      <c r="B194" s="86">
        <f t="shared" si="0"/>
        <v>2071</v>
      </c>
      <c r="C194" s="135">
        <f>[20]С2.5!$BD$11</f>
        <v>0</v>
      </c>
    </row>
    <row r="195" spans="2:3" hidden="1">
      <c r="B195" s="86">
        <f t="shared" si="0"/>
        <v>2072</v>
      </c>
      <c r="C195" s="135">
        <f>[20]С2.5!$BE$11</f>
        <v>0</v>
      </c>
    </row>
    <row r="196" spans="2:3" hidden="1">
      <c r="B196" s="86">
        <f t="shared" si="0"/>
        <v>2073</v>
      </c>
      <c r="C196" s="135">
        <f>[20]С2.5!$BF$11</f>
        <v>0</v>
      </c>
    </row>
    <row r="197" spans="2:3" hidden="1">
      <c r="B197" s="86">
        <f t="shared" si="0"/>
        <v>2074</v>
      </c>
      <c r="C197" s="135">
        <f>[20]С2.5!$BG$11</f>
        <v>0</v>
      </c>
    </row>
    <row r="198" spans="2:3" hidden="1">
      <c r="B198" s="86">
        <f t="shared" si="0"/>
        <v>2075</v>
      </c>
      <c r="C198" s="135">
        <f>[20]С2.5!$BH$11</f>
        <v>0</v>
      </c>
    </row>
    <row r="199" spans="2:3" hidden="1">
      <c r="B199" s="86">
        <f t="shared" si="0"/>
        <v>2076</v>
      </c>
      <c r="C199" s="135">
        <f>[20]С2.5!$BI$11</f>
        <v>0</v>
      </c>
    </row>
    <row r="200" spans="2:3" hidden="1">
      <c r="B200" s="86">
        <f t="shared" si="0"/>
        <v>2077</v>
      </c>
      <c r="C200" s="135">
        <f>[20]С2.5!$BJ$11</f>
        <v>0</v>
      </c>
    </row>
    <row r="201" spans="2:3" hidden="1">
      <c r="B201" s="86">
        <f t="shared" si="0"/>
        <v>2078</v>
      </c>
      <c r="C201" s="135">
        <f>[20]С2.5!$BK$11</f>
        <v>0</v>
      </c>
    </row>
    <row r="202" spans="2:3" hidden="1">
      <c r="B202" s="86">
        <f t="shared" si="0"/>
        <v>2079</v>
      </c>
      <c r="C202" s="135">
        <f>[20]С2.5!$BL$11</f>
        <v>0</v>
      </c>
    </row>
    <row r="203" spans="2:3" hidden="1">
      <c r="B203" s="86">
        <f t="shared" si="0"/>
        <v>2080</v>
      </c>
      <c r="C203" s="135">
        <f>[20]С2.5!$BM$11</f>
        <v>0</v>
      </c>
    </row>
    <row r="204" spans="2:3" hidden="1">
      <c r="B204" s="86">
        <f t="shared" si="0"/>
        <v>2081</v>
      </c>
      <c r="C204" s="135">
        <f>[20]С2.5!$BN$11</f>
        <v>0</v>
      </c>
    </row>
    <row r="205" spans="2:3" hidden="1">
      <c r="B205" s="86">
        <f t="shared" si="0"/>
        <v>2082</v>
      </c>
      <c r="C205" s="135">
        <f>[20]С2.5!$BO$11</f>
        <v>0</v>
      </c>
    </row>
    <row r="206" spans="2:3" hidden="1">
      <c r="B206" s="86">
        <f t="shared" si="0"/>
        <v>2083</v>
      </c>
      <c r="C206" s="135">
        <f>[20]С2.5!$BP$11</f>
        <v>0</v>
      </c>
    </row>
    <row r="207" spans="2:3" hidden="1">
      <c r="B207" s="86">
        <f t="shared" si="0"/>
        <v>2084</v>
      </c>
      <c r="C207" s="135">
        <f>[20]С2.5!$BQ$11</f>
        <v>0</v>
      </c>
    </row>
    <row r="208" spans="2:3" hidden="1">
      <c r="B208" s="86">
        <f t="shared" si="0"/>
        <v>2085</v>
      </c>
      <c r="C208" s="135">
        <f>[20]С2.5!$BR$11</f>
        <v>0</v>
      </c>
    </row>
    <row r="209" spans="2:3" hidden="1">
      <c r="B209" s="86">
        <f t="shared" ref="B209:B223" si="1">B208+1</f>
        <v>2086</v>
      </c>
      <c r="C209" s="135">
        <f>[20]С2.5!$BS$11</f>
        <v>0</v>
      </c>
    </row>
    <row r="210" spans="2:3" hidden="1">
      <c r="B210" s="86">
        <f t="shared" si="1"/>
        <v>2087</v>
      </c>
      <c r="C210" s="135">
        <f>[20]С2.5!$BT$11</f>
        <v>0</v>
      </c>
    </row>
    <row r="211" spans="2:3" hidden="1">
      <c r="B211" s="86">
        <f t="shared" si="1"/>
        <v>2088</v>
      </c>
      <c r="C211" s="135">
        <f>[20]С2.5!$BU$11</f>
        <v>0</v>
      </c>
    </row>
    <row r="212" spans="2:3" hidden="1">
      <c r="B212" s="86">
        <f t="shared" si="1"/>
        <v>2089</v>
      </c>
      <c r="C212" s="135">
        <f>[20]С2.5!$BV$11</f>
        <v>0</v>
      </c>
    </row>
    <row r="213" spans="2:3" hidden="1">
      <c r="B213" s="86">
        <f t="shared" si="1"/>
        <v>2090</v>
      </c>
      <c r="C213" s="135">
        <f>[20]С2.5!$BW$11</f>
        <v>0</v>
      </c>
    </row>
    <row r="214" spans="2:3" hidden="1">
      <c r="B214" s="86">
        <f t="shared" si="1"/>
        <v>2091</v>
      </c>
      <c r="C214" s="135">
        <f>[20]С2.5!$BX$11</f>
        <v>0</v>
      </c>
    </row>
    <row r="215" spans="2:3" hidden="1">
      <c r="B215" s="86">
        <f t="shared" si="1"/>
        <v>2092</v>
      </c>
      <c r="C215" s="135">
        <f>[20]С2.5!$BY$11</f>
        <v>0</v>
      </c>
    </row>
    <row r="216" spans="2:3" hidden="1">
      <c r="B216" s="86">
        <f t="shared" si="1"/>
        <v>2093</v>
      </c>
      <c r="C216" s="135">
        <f>[20]С2.5!$BZ$11</f>
        <v>0</v>
      </c>
    </row>
    <row r="217" spans="2:3" hidden="1">
      <c r="B217" s="86">
        <f t="shared" si="1"/>
        <v>2094</v>
      </c>
      <c r="C217" s="135">
        <f>[20]С2.5!$CA$11</f>
        <v>0</v>
      </c>
    </row>
    <row r="218" spans="2:3" hidden="1">
      <c r="B218" s="86">
        <f t="shared" si="1"/>
        <v>2095</v>
      </c>
      <c r="C218" s="135">
        <f>[20]С2.5!$CB$11</f>
        <v>0</v>
      </c>
    </row>
    <row r="219" spans="2:3" hidden="1">
      <c r="B219" s="86">
        <f t="shared" si="1"/>
        <v>2096</v>
      </c>
      <c r="C219" s="135">
        <f>[20]С2.5!$CC$11</f>
        <v>0</v>
      </c>
    </row>
    <row r="220" spans="2:3" hidden="1">
      <c r="B220" s="86">
        <f t="shared" si="1"/>
        <v>2097</v>
      </c>
      <c r="C220" s="135">
        <f>[20]С2.5!$CD$11</f>
        <v>0</v>
      </c>
    </row>
    <row r="221" spans="2:3" hidden="1">
      <c r="B221" s="86">
        <f t="shared" si="1"/>
        <v>2098</v>
      </c>
      <c r="C221" s="135">
        <f>[20]С2.5!$CE$11</f>
        <v>0</v>
      </c>
    </row>
    <row r="222" spans="2:3" hidden="1">
      <c r="B222" s="86">
        <f t="shared" si="1"/>
        <v>2099</v>
      </c>
      <c r="C222" s="135">
        <f>[20]С2.5!$CF$11</f>
        <v>0</v>
      </c>
    </row>
    <row r="223" spans="2:3" ht="13.5" hidden="1" thickBot="1">
      <c r="B223" s="87">
        <f t="shared" si="1"/>
        <v>2100</v>
      </c>
      <c r="C223" s="136">
        <f>[20]С2.5!$CG$11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5" sqref="G5"/>
    </sheetView>
  </sheetViews>
  <sheetFormatPr defaultRowHeight="12.75"/>
  <cols>
    <col min="1" max="1" width="9.140625" style="1" customWidth="1"/>
    <col min="2" max="2" width="100.5703125" style="1" customWidth="1"/>
    <col min="3" max="3" width="20.85546875" style="5"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111"/>
      <c r="B1" s="144" t="s">
        <v>225</v>
      </c>
      <c r="C1" s="144"/>
    </row>
    <row r="2" spans="1:3">
      <c r="A2" s="2"/>
      <c r="B2" s="3" t="s">
        <v>0</v>
      </c>
      <c r="C2" s="4">
        <v>45687</v>
      </c>
    </row>
    <row r="3" spans="1:3">
      <c r="A3" s="2"/>
      <c r="B3" s="112" t="s">
        <v>1</v>
      </c>
    </row>
    <row r="4" spans="1:3" ht="25.5">
      <c r="A4" s="6"/>
      <c r="B4" s="7" t="str">
        <f>[21]И1!D13</f>
        <v>Субъект Российской Федерации</v>
      </c>
      <c r="C4" s="8" t="str">
        <f>[21]И1!E13</f>
        <v>Новосибирская область</v>
      </c>
    </row>
    <row r="5" spans="1:3" ht="46.9" customHeight="1">
      <c r="A5" s="6"/>
      <c r="B5" s="7" t="str">
        <f>[21]И1!D14</f>
        <v>Тип муниципального образования (выберите из списка)</v>
      </c>
      <c r="C5" s="8" t="str">
        <f>[21]И1!E14</f>
        <v>село Убинское, Убинский муниципальный район</v>
      </c>
    </row>
    <row r="6" spans="1:3">
      <c r="A6" s="6"/>
      <c r="B6" s="7" t="str">
        <f>IF([21]И1!E15="","",[21]И1!D15)</f>
        <v/>
      </c>
      <c r="C6" s="8" t="str">
        <f>IF([21]И1!E15="","",[21]И1!E15)</f>
        <v/>
      </c>
    </row>
    <row r="7" spans="1:3">
      <c r="A7" s="6"/>
      <c r="B7" s="7" t="str">
        <f>[21]И1!D16</f>
        <v>Код ОКТМО</v>
      </c>
      <c r="C7" s="9" t="str">
        <f>[21]И1!E16</f>
        <v>50654440101</v>
      </c>
    </row>
    <row r="8" spans="1:3">
      <c r="A8" s="6"/>
      <c r="B8" s="10" t="str">
        <f>[21]И1!D17</f>
        <v>Система теплоснабжения</v>
      </c>
      <c r="C8" s="11">
        <f>[21]И1!E17</f>
        <v>0</v>
      </c>
    </row>
    <row r="9" spans="1:3">
      <c r="A9" s="6"/>
      <c r="B9" s="7" t="str">
        <f>[21]И1!D8</f>
        <v>Период регулирования (i)-й</v>
      </c>
      <c r="C9" s="12">
        <f>[21]И1!E8</f>
        <v>2025</v>
      </c>
    </row>
    <row r="10" spans="1:3">
      <c r="A10" s="6"/>
      <c r="B10" s="7" t="str">
        <f>[21]И1!D9</f>
        <v>Период регулирования (i-1)-й</v>
      </c>
      <c r="C10" s="12">
        <f>[21]И1!E9</f>
        <v>2024</v>
      </c>
    </row>
    <row r="11" spans="1:3">
      <c r="A11" s="6"/>
      <c r="B11" s="7" t="str">
        <f>[21]И1!D10</f>
        <v>Период регулирования (i-2)-й</v>
      </c>
      <c r="C11" s="12">
        <f>[21]И1!E10</f>
        <v>2023</v>
      </c>
    </row>
    <row r="12" spans="1:3">
      <c r="A12" s="6"/>
      <c r="B12" s="7" t="str">
        <f>[21]И1!D11</f>
        <v>Базовый год (б)</v>
      </c>
      <c r="C12" s="12">
        <f>[21]И1!E11</f>
        <v>2019</v>
      </c>
    </row>
    <row r="13" spans="1:3" ht="38.25">
      <c r="A13" s="6"/>
      <c r="B13" s="7" t="str">
        <f>[21]И1!D18</f>
        <v>Вид топлива, использование которого преобладает в системе теплоснабжения</v>
      </c>
      <c r="C13" s="13" t="str">
        <f>[21]С1.1!E13</f>
        <v>уголь (вид угля не указан в топливном балансе)</v>
      </c>
    </row>
    <row r="14" spans="1:3" ht="31.7" customHeight="1" thickBot="1">
      <c r="A14" s="145" t="s">
        <v>2</v>
      </c>
      <c r="B14" s="145"/>
      <c r="C14" s="145"/>
    </row>
    <row r="15" spans="1:3">
      <c r="A15" s="14" t="s">
        <v>3</v>
      </c>
      <c r="B15" s="113" t="s">
        <v>4</v>
      </c>
      <c r="C15" s="114" t="s">
        <v>5</v>
      </c>
    </row>
    <row r="16" spans="1:3">
      <c r="A16" s="15">
        <v>1</v>
      </c>
      <c r="B16" s="115">
        <v>2</v>
      </c>
      <c r="C16" s="116">
        <v>3</v>
      </c>
    </row>
    <row r="17" spans="1:3">
      <c r="A17" s="16">
        <v>1</v>
      </c>
      <c r="B17" s="17" t="s">
        <v>6</v>
      </c>
      <c r="C17" s="18">
        <f>SUM(C18:C22)</f>
        <v>5451.2565999568151</v>
      </c>
    </row>
    <row r="18" spans="1:3" ht="42.75">
      <c r="A18" s="16" t="s">
        <v>7</v>
      </c>
      <c r="B18" s="19" t="s">
        <v>8</v>
      </c>
      <c r="C18" s="20">
        <f>[21]С1!F12</f>
        <v>875.99855119200265</v>
      </c>
    </row>
    <row r="19" spans="1:3" ht="42.75">
      <c r="A19" s="16" t="s">
        <v>9</v>
      </c>
      <c r="B19" s="19" t="s">
        <v>10</v>
      </c>
      <c r="C19" s="20">
        <f>[21]С2!F12</f>
        <v>3044.269023973251</v>
      </c>
    </row>
    <row r="20" spans="1:3" ht="30">
      <c r="A20" s="16" t="s">
        <v>11</v>
      </c>
      <c r="B20" s="19" t="s">
        <v>12</v>
      </c>
      <c r="C20" s="20">
        <f>[21]С3!F12</f>
        <v>911.32264748625244</v>
      </c>
    </row>
    <row r="21" spans="1:3" ht="42.75">
      <c r="A21" s="16" t="s">
        <v>13</v>
      </c>
      <c r="B21" s="19" t="s">
        <v>226</v>
      </c>
      <c r="C21" s="20">
        <f>[21]С4!F12</f>
        <v>512.77899299242983</v>
      </c>
    </row>
    <row r="22" spans="1:3" ht="30">
      <c r="A22" s="16" t="s">
        <v>14</v>
      </c>
      <c r="B22" s="19" t="s">
        <v>227</v>
      </c>
      <c r="C22" s="20">
        <f>[21]С5!F12</f>
        <v>106.88738431287874</v>
      </c>
    </row>
    <row r="23" spans="1:3" ht="43.5" thickBot="1">
      <c r="A23" s="21" t="s">
        <v>15</v>
      </c>
      <c r="B23" s="140" t="s">
        <v>228</v>
      </c>
      <c r="C23" s="22" t="str">
        <f>[21]С6!F12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[21]С1.1!E16</f>
        <v>5100</v>
      </c>
    </row>
    <row r="29" spans="1:3" ht="42.75">
      <c r="A29" s="16" t="s">
        <v>9</v>
      </c>
      <c r="B29" s="27" t="s">
        <v>230</v>
      </c>
      <c r="C29" s="28">
        <f>[21]С1.1!E27</f>
        <v>3159.9500000000003</v>
      </c>
    </row>
    <row r="30" spans="1:3" ht="17.25">
      <c r="A30" s="16" t="s">
        <v>11</v>
      </c>
      <c r="B30" s="27" t="s">
        <v>17</v>
      </c>
      <c r="C30" s="29">
        <f>[21]С1.1!E19</f>
        <v>1.4E-2</v>
      </c>
    </row>
    <row r="31" spans="1:3" ht="17.25">
      <c r="A31" s="16" t="s">
        <v>13</v>
      </c>
      <c r="B31" s="27" t="s">
        <v>18</v>
      </c>
      <c r="C31" s="29">
        <f>[21]С1.1!E20</f>
        <v>0.04</v>
      </c>
    </row>
    <row r="32" spans="1:3" ht="30">
      <c r="A32" s="16" t="s">
        <v>14</v>
      </c>
      <c r="B32" s="30" t="s">
        <v>231</v>
      </c>
      <c r="C32" s="117">
        <f>[21]С1!F13</f>
        <v>176.4</v>
      </c>
    </row>
    <row r="33" spans="1:3">
      <c r="A33" s="16" t="s">
        <v>15</v>
      </c>
      <c r="B33" s="30" t="s">
        <v>19</v>
      </c>
      <c r="C33" s="31">
        <f>[21]С1!F16</f>
        <v>7000</v>
      </c>
    </row>
    <row r="34" spans="1:3" ht="14.25">
      <c r="A34" s="16" t="s">
        <v>20</v>
      </c>
      <c r="B34" s="32" t="s">
        <v>232</v>
      </c>
      <c r="C34" s="33">
        <f>[21]С1!F17</f>
        <v>0.72857142857142854</v>
      </c>
    </row>
    <row r="35" spans="1:3" ht="15.75">
      <c r="A35" s="118" t="s">
        <v>21</v>
      </c>
      <c r="B35" s="34" t="s">
        <v>22</v>
      </c>
      <c r="C35" s="33">
        <f>[21]С1!F20</f>
        <v>21.588411179999994</v>
      </c>
    </row>
    <row r="36" spans="1:3" ht="15.75">
      <c r="A36" s="118" t="s">
        <v>23</v>
      </c>
      <c r="B36" s="35" t="s">
        <v>24</v>
      </c>
      <c r="C36" s="33">
        <f>[21]С1!F21</f>
        <v>20.818139999999996</v>
      </c>
    </row>
    <row r="37" spans="1:3" ht="14.25">
      <c r="A37" s="118" t="s">
        <v>25</v>
      </c>
      <c r="B37" s="36" t="s">
        <v>26</v>
      </c>
      <c r="C37" s="33">
        <f>[21]С1!F22</f>
        <v>1.0369999999999999</v>
      </c>
    </row>
    <row r="38" spans="1:3" ht="53.25" thickBot="1">
      <c r="A38" s="21" t="s">
        <v>27</v>
      </c>
      <c r="B38" s="37" t="s">
        <v>28</v>
      </c>
      <c r="C38" s="38">
        <f>[21]С1!F23</f>
        <v>1.0469999999999999</v>
      </c>
    </row>
    <row r="39" spans="1:3" ht="13.5" thickBot="1">
      <c r="A39" s="39"/>
      <c r="B39" s="119"/>
      <c r="C39" s="120"/>
    </row>
    <row r="40" spans="1:3" ht="30" customHeight="1">
      <c r="A40" s="40" t="s">
        <v>29</v>
      </c>
      <c r="B40" s="141" t="s">
        <v>30</v>
      </c>
      <c r="C40" s="141"/>
    </row>
    <row r="41" spans="1:3" ht="25.5">
      <c r="A41" s="16" t="s">
        <v>31</v>
      </c>
      <c r="B41" s="30" t="s">
        <v>32</v>
      </c>
      <c r="C41" s="41" t="str">
        <f>[21]С2.1!E12</f>
        <v>V</v>
      </c>
    </row>
    <row r="42" spans="1:3" ht="25.5">
      <c r="A42" s="16" t="s">
        <v>33</v>
      </c>
      <c r="B42" s="27" t="s">
        <v>34</v>
      </c>
      <c r="C42" s="41" t="str">
        <f>[21]С2.1!E13</f>
        <v>6 и менее баллов</v>
      </c>
    </row>
    <row r="43" spans="1:3" ht="25.5">
      <c r="A43" s="16" t="s">
        <v>35</v>
      </c>
      <c r="B43" s="27" t="s">
        <v>233</v>
      </c>
      <c r="C43" s="41" t="str">
        <f>[21]С2.1!E14</f>
        <v>от 200 до 500</v>
      </c>
    </row>
    <row r="44" spans="1:3" ht="25.5">
      <c r="A44" s="16" t="s">
        <v>36</v>
      </c>
      <c r="B44" s="27" t="s">
        <v>234</v>
      </c>
      <c r="C44" s="42" t="str">
        <f>[21]С2.1!E15</f>
        <v>нет</v>
      </c>
    </row>
    <row r="45" spans="1:3" ht="30">
      <c r="A45" s="16" t="s">
        <v>37</v>
      </c>
      <c r="B45" s="27" t="s">
        <v>38</v>
      </c>
      <c r="C45" s="28">
        <f>[21]С2!F18</f>
        <v>38910.02669467502</v>
      </c>
    </row>
    <row r="46" spans="1:3" ht="30">
      <c r="A46" s="16" t="s">
        <v>39</v>
      </c>
      <c r="B46" s="43" t="s">
        <v>40</v>
      </c>
      <c r="C46" s="28">
        <f>IF([21]С2!F19&gt;0,[21]С2!F19,[21]С2!F20)</f>
        <v>23441.524932855718</v>
      </c>
    </row>
    <row r="47" spans="1:3" ht="25.5">
      <c r="A47" s="16" t="s">
        <v>41</v>
      </c>
      <c r="B47" s="44" t="s">
        <v>42</v>
      </c>
      <c r="C47" s="28">
        <f>[21]С2.1!E19</f>
        <v>-38</v>
      </c>
    </row>
    <row r="48" spans="1:3" ht="25.5">
      <c r="A48" s="16" t="s">
        <v>43</v>
      </c>
      <c r="B48" s="44" t="s">
        <v>44</v>
      </c>
      <c r="C48" s="28" t="str">
        <f>[21]С2.1!E22</f>
        <v>нет</v>
      </c>
    </row>
    <row r="49" spans="1:3" ht="38.25">
      <c r="A49" s="16" t="s">
        <v>45</v>
      </c>
      <c r="B49" s="45" t="s">
        <v>46</v>
      </c>
      <c r="C49" s="28">
        <f>[21]С2.2!E10</f>
        <v>1287</v>
      </c>
    </row>
    <row r="50" spans="1:3" ht="25.5">
      <c r="A50" s="16" t="s">
        <v>47</v>
      </c>
      <c r="B50" s="46" t="s">
        <v>48</v>
      </c>
      <c r="C50" s="28">
        <f>[21]С2.2!E12</f>
        <v>5.97</v>
      </c>
    </row>
    <row r="51" spans="1:3" ht="52.5">
      <c r="A51" s="16" t="s">
        <v>49</v>
      </c>
      <c r="B51" s="47" t="s">
        <v>50</v>
      </c>
      <c r="C51" s="28">
        <f>[21]С2.2!E13</f>
        <v>1</v>
      </c>
    </row>
    <row r="52" spans="1:3" ht="27.75">
      <c r="A52" s="16" t="s">
        <v>51</v>
      </c>
      <c r="B52" s="46" t="s">
        <v>52</v>
      </c>
      <c r="C52" s="28">
        <f>[21]С2.2!E14</f>
        <v>12104</v>
      </c>
    </row>
    <row r="53" spans="1:3" ht="25.5">
      <c r="A53" s="16" t="s">
        <v>53</v>
      </c>
      <c r="B53" s="47" t="s">
        <v>54</v>
      </c>
      <c r="C53" s="29">
        <f>[21]С2.2!E15</f>
        <v>4.8000000000000001E-2</v>
      </c>
    </row>
    <row r="54" spans="1:3">
      <c r="A54" s="16" t="s">
        <v>55</v>
      </c>
      <c r="B54" s="47" t="s">
        <v>56</v>
      </c>
      <c r="C54" s="28">
        <f>[21]С2.2!E16</f>
        <v>1</v>
      </c>
    </row>
    <row r="55" spans="1:3" ht="15.75">
      <c r="A55" s="16" t="s">
        <v>57</v>
      </c>
      <c r="B55" s="48" t="s">
        <v>58</v>
      </c>
      <c r="C55" s="28">
        <f>[21]С2!F21</f>
        <v>1</v>
      </c>
    </row>
    <row r="56" spans="1:3" ht="30">
      <c r="A56" s="49" t="s">
        <v>59</v>
      </c>
      <c r="B56" s="27" t="s">
        <v>235</v>
      </c>
      <c r="C56" s="28">
        <f>[21]С2!F13</f>
        <v>203708.97017230222</v>
      </c>
    </row>
    <row r="57" spans="1:3" ht="30">
      <c r="A57" s="49" t="s">
        <v>60</v>
      </c>
      <c r="B57" s="48" t="s">
        <v>236</v>
      </c>
      <c r="C57" s="28">
        <f>[21]С2!F14</f>
        <v>113455</v>
      </c>
    </row>
    <row r="58" spans="1:3" ht="15.75">
      <c r="A58" s="49" t="s">
        <v>61</v>
      </c>
      <c r="B58" s="50" t="s">
        <v>62</v>
      </c>
      <c r="C58" s="33">
        <f>[21]С2!F15</f>
        <v>1.071</v>
      </c>
    </row>
    <row r="59" spans="1:3" ht="15.75">
      <c r="A59" s="49" t="s">
        <v>63</v>
      </c>
      <c r="B59" s="50" t="s">
        <v>64</v>
      </c>
      <c r="C59" s="33">
        <f>[21]С2!F16</f>
        <v>1</v>
      </c>
    </row>
    <row r="60" spans="1:3" ht="17.25">
      <c r="A60" s="49" t="s">
        <v>65</v>
      </c>
      <c r="B60" s="48" t="s">
        <v>66</v>
      </c>
      <c r="C60" s="28">
        <f>[21]С2!F17</f>
        <v>1.01</v>
      </c>
    </row>
    <row r="61" spans="1:3" s="53" customFormat="1" ht="14.25">
      <c r="A61" s="49" t="s">
        <v>67</v>
      </c>
      <c r="B61" s="51" t="s">
        <v>68</v>
      </c>
      <c r="C61" s="52">
        <f>[21]С2!F33</f>
        <v>10</v>
      </c>
    </row>
    <row r="62" spans="1:3" ht="30">
      <c r="A62" s="49" t="s">
        <v>69</v>
      </c>
      <c r="B62" s="54" t="s">
        <v>70</v>
      </c>
      <c r="C62" s="28">
        <f>[21]С2!F26</f>
        <v>1296.3109177946333</v>
      </c>
    </row>
    <row r="63" spans="1:3" ht="17.25">
      <c r="A63" s="49" t="s">
        <v>71</v>
      </c>
      <c r="B63" s="43" t="s">
        <v>237</v>
      </c>
      <c r="C63" s="28">
        <f>[21]С2!F27</f>
        <v>0.18594487800000001</v>
      </c>
    </row>
    <row r="64" spans="1:3" ht="17.25">
      <c r="A64" s="49" t="s">
        <v>72</v>
      </c>
      <c r="B64" s="48" t="s">
        <v>238</v>
      </c>
      <c r="C64" s="52">
        <f>[21]С2!F28</f>
        <v>4200</v>
      </c>
    </row>
    <row r="65" spans="1:3" ht="42.75">
      <c r="A65" s="49" t="s">
        <v>73</v>
      </c>
      <c r="B65" s="27" t="s">
        <v>239</v>
      </c>
      <c r="C65" s="28">
        <f>[21]С2!F22</f>
        <v>42890.921752741691</v>
      </c>
    </row>
    <row r="66" spans="1:3" ht="30">
      <c r="A66" s="49" t="s">
        <v>74</v>
      </c>
      <c r="B66" s="50" t="s">
        <v>240</v>
      </c>
      <c r="C66" s="28">
        <f>[21]С2!F23</f>
        <v>1990</v>
      </c>
    </row>
    <row r="67" spans="1:3" ht="30">
      <c r="A67" s="49" t="s">
        <v>75</v>
      </c>
      <c r="B67" s="43" t="s">
        <v>76</v>
      </c>
      <c r="C67" s="28">
        <f>[21]С2.1!E27</f>
        <v>14307.876789999998</v>
      </c>
    </row>
    <row r="68" spans="1:3" ht="38.25">
      <c r="A68" s="49" t="s">
        <v>77</v>
      </c>
      <c r="B68" s="55" t="s">
        <v>78</v>
      </c>
      <c r="C68" s="42">
        <f>[21]С2.3!E21</f>
        <v>0</v>
      </c>
    </row>
    <row r="69" spans="1:3" ht="25.5">
      <c r="A69" s="49" t="s">
        <v>79</v>
      </c>
      <c r="B69" s="56" t="s">
        <v>80</v>
      </c>
      <c r="C69" s="57">
        <f>[21]С2.3!E11</f>
        <v>9.89</v>
      </c>
    </row>
    <row r="70" spans="1:3" ht="25.5">
      <c r="A70" s="49" t="s">
        <v>81</v>
      </c>
      <c r="B70" s="56" t="s">
        <v>82</v>
      </c>
      <c r="C70" s="52">
        <f>[21]С2.3!E13</f>
        <v>300</v>
      </c>
    </row>
    <row r="71" spans="1:3" ht="25.5">
      <c r="A71" s="49" t="s">
        <v>83</v>
      </c>
      <c r="B71" s="55" t="s">
        <v>84</v>
      </c>
      <c r="C71" s="58">
        <f>IF([21]С2.3!E22&gt;0,[21]С2.3!E22,[21]С2.3!E14)</f>
        <v>61211</v>
      </c>
    </row>
    <row r="72" spans="1:3" ht="38.25">
      <c r="A72" s="49" t="s">
        <v>85</v>
      </c>
      <c r="B72" s="55" t="s">
        <v>86</v>
      </c>
      <c r="C72" s="58">
        <f>IF([21]С2.3!E23&gt;0,[21]С2.3!E23,[21]С2.3!E15)</f>
        <v>45675</v>
      </c>
    </row>
    <row r="73" spans="1:3" ht="30">
      <c r="A73" s="49" t="s">
        <v>87</v>
      </c>
      <c r="B73" s="43" t="s">
        <v>88</v>
      </c>
      <c r="C73" s="28">
        <f>[21]С2.1!E28</f>
        <v>9541.9567200000001</v>
      </c>
    </row>
    <row r="74" spans="1:3" ht="38.25">
      <c r="A74" s="49" t="s">
        <v>89</v>
      </c>
      <c r="B74" s="55" t="s">
        <v>90</v>
      </c>
      <c r="C74" s="42">
        <f>[21]С2.3!E25</f>
        <v>0</v>
      </c>
    </row>
    <row r="75" spans="1:3" ht="25.5">
      <c r="A75" s="49" t="s">
        <v>91</v>
      </c>
      <c r="B75" s="56" t="s">
        <v>92</v>
      </c>
      <c r="C75" s="57">
        <f>[21]С2.3!E12</f>
        <v>0.56000000000000005</v>
      </c>
    </row>
    <row r="76" spans="1:3" ht="25.5">
      <c r="A76" s="49" t="s">
        <v>93</v>
      </c>
      <c r="B76" s="56" t="s">
        <v>82</v>
      </c>
      <c r="C76" s="52">
        <f>[21]С2.3!E13</f>
        <v>300</v>
      </c>
    </row>
    <row r="77" spans="1:3" ht="25.5">
      <c r="A77" s="49" t="s">
        <v>94</v>
      </c>
      <c r="B77" s="59" t="s">
        <v>95</v>
      </c>
      <c r="C77" s="58">
        <f>IF([21]С2.3!E26&gt;0,[21]С2.3!E26,[21]С2.3!E16)</f>
        <v>65637</v>
      </c>
    </row>
    <row r="78" spans="1:3" ht="38.25">
      <c r="A78" s="49" t="s">
        <v>96</v>
      </c>
      <c r="B78" s="59" t="s">
        <v>97</v>
      </c>
      <c r="C78" s="58">
        <f>IF([21]С2.3!E27&gt;0,[21]С2.3!E27,[21]С2.3!E17)</f>
        <v>31684</v>
      </c>
    </row>
    <row r="79" spans="1:3" ht="17.25">
      <c r="A79" s="49" t="s">
        <v>98</v>
      </c>
      <c r="B79" s="27" t="s">
        <v>99</v>
      </c>
      <c r="C79" s="29">
        <f>[21]С2!F29</f>
        <v>0.17804631770487722</v>
      </c>
    </row>
    <row r="80" spans="1:3" ht="30">
      <c r="A80" s="49" t="s">
        <v>100</v>
      </c>
      <c r="B80" s="43" t="s">
        <v>101</v>
      </c>
      <c r="C80" s="60">
        <f>[21]С2!F30</f>
        <v>0.1652189781021898</v>
      </c>
    </row>
    <row r="81" spans="1:3" ht="17.25">
      <c r="A81" s="49" t="s">
        <v>102</v>
      </c>
      <c r="B81" s="61" t="s">
        <v>103</v>
      </c>
      <c r="C81" s="29">
        <f>[21]С2!F31</f>
        <v>0.13880000000000001</v>
      </c>
    </row>
    <row r="82" spans="1:3" s="53" customFormat="1" ht="18" thickBot="1">
      <c r="A82" s="62" t="s">
        <v>104</v>
      </c>
      <c r="B82" s="63" t="s">
        <v>105</v>
      </c>
      <c r="C82" s="64">
        <f>[21]С2!F32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[21]С3!F14</f>
        <v>14780.674721363519</v>
      </c>
    </row>
    <row r="86" spans="1:3" s="53" customFormat="1" ht="42.75">
      <c r="A86" s="67" t="s">
        <v>110</v>
      </c>
      <c r="B86" s="43" t="s">
        <v>111</v>
      </c>
      <c r="C86" s="68">
        <f>[21]С3!F15</f>
        <v>0.25</v>
      </c>
    </row>
    <row r="87" spans="1:3" s="53" customFormat="1" ht="14.25">
      <c r="A87" s="67" t="s">
        <v>112</v>
      </c>
      <c r="B87" s="69" t="s">
        <v>113</v>
      </c>
      <c r="C87" s="52">
        <f>[21]С3!F18</f>
        <v>15</v>
      </c>
    </row>
    <row r="88" spans="1:3" s="53" customFormat="1" ht="17.25">
      <c r="A88" s="67" t="s">
        <v>114</v>
      </c>
      <c r="B88" s="27" t="s">
        <v>115</v>
      </c>
      <c r="C88" s="28">
        <f>[21]С3!F19</f>
        <v>4187.478806422544</v>
      </c>
    </row>
    <row r="89" spans="1:3" s="53" customFormat="1" ht="55.5">
      <c r="A89" s="67" t="s">
        <v>116</v>
      </c>
      <c r="B89" s="43" t="s">
        <v>117</v>
      </c>
      <c r="C89" s="70">
        <f>[21]С3!F20</f>
        <v>2.1999999999999999E-2</v>
      </c>
    </row>
    <row r="90" spans="1:3" s="53" customFormat="1" ht="14.25">
      <c r="A90" s="67" t="s">
        <v>118</v>
      </c>
      <c r="B90" s="48" t="s">
        <v>68</v>
      </c>
      <c r="C90" s="52">
        <f>[21]С3!F21</f>
        <v>10</v>
      </c>
    </row>
    <row r="91" spans="1:3" s="53" customFormat="1" ht="17.25">
      <c r="A91" s="67" t="s">
        <v>119</v>
      </c>
      <c r="B91" s="27" t="s">
        <v>120</v>
      </c>
      <c r="C91" s="28">
        <f>[21]С3!F22</f>
        <v>3.8889327533838998</v>
      </c>
    </row>
    <row r="92" spans="1:3" s="53" customFormat="1" ht="55.5">
      <c r="A92" s="67" t="s">
        <v>121</v>
      </c>
      <c r="B92" s="43" t="s">
        <v>122</v>
      </c>
      <c r="C92" s="70">
        <f>[21]С3!F23</f>
        <v>3.0000000000000001E-3</v>
      </c>
    </row>
    <row r="93" spans="1:3" s="53" customFormat="1" ht="27.75" thickBot="1">
      <c r="A93" s="71" t="s">
        <v>123</v>
      </c>
      <c r="B93" s="72" t="s">
        <v>241</v>
      </c>
      <c r="C93" s="73">
        <f>[21]С3!F24</f>
        <v>1296.3109177946333</v>
      </c>
    </row>
    <row r="94" spans="1:3" ht="13.5" thickBot="1">
      <c r="A94" s="39"/>
      <c r="B94" s="65"/>
      <c r="C94" s="13"/>
    </row>
    <row r="95" spans="1:3" ht="30" customHeight="1">
      <c r="A95" s="74" t="s">
        <v>124</v>
      </c>
      <c r="B95" s="141" t="s">
        <v>125</v>
      </c>
      <c r="C95" s="141"/>
    </row>
    <row r="96" spans="1:3" ht="30">
      <c r="A96" s="49" t="s">
        <v>126</v>
      </c>
      <c r="B96" s="27" t="s">
        <v>242</v>
      </c>
      <c r="C96" s="28">
        <f>[21]С4!F16</f>
        <v>1652.5</v>
      </c>
    </row>
    <row r="97" spans="1:3" ht="30">
      <c r="A97" s="49" t="s">
        <v>127</v>
      </c>
      <c r="B97" s="48" t="s">
        <v>243</v>
      </c>
      <c r="C97" s="28">
        <f>[21]С4!F17</f>
        <v>73547</v>
      </c>
    </row>
    <row r="98" spans="1:3" ht="17.25">
      <c r="A98" s="49" t="s">
        <v>128</v>
      </c>
      <c r="B98" s="48" t="s">
        <v>129</v>
      </c>
      <c r="C98" s="33">
        <f>[21]С4!F18</f>
        <v>0.02</v>
      </c>
    </row>
    <row r="99" spans="1:3" ht="30">
      <c r="A99" s="49" t="s">
        <v>130</v>
      </c>
      <c r="B99" s="48" t="s">
        <v>131</v>
      </c>
      <c r="C99" s="28">
        <f>[21]С4!F19</f>
        <v>12104</v>
      </c>
    </row>
    <row r="100" spans="1:3" ht="31.5">
      <c r="A100" s="49" t="s">
        <v>132</v>
      </c>
      <c r="B100" s="48" t="s">
        <v>133</v>
      </c>
      <c r="C100" s="33">
        <f>[21]С4!F20</f>
        <v>1.4999999999999999E-2</v>
      </c>
    </row>
    <row r="101" spans="1:3" ht="30">
      <c r="A101" s="49" t="s">
        <v>134</v>
      </c>
      <c r="B101" s="27" t="s">
        <v>244</v>
      </c>
      <c r="C101" s="28">
        <f>[21]С4!F21</f>
        <v>1933.1949342509995</v>
      </c>
    </row>
    <row r="102" spans="1:3" ht="24" customHeight="1">
      <c r="A102" s="49" t="s">
        <v>135</v>
      </c>
      <c r="B102" s="43" t="s">
        <v>136</v>
      </c>
      <c r="C102" s="75">
        <f>IF([21]С4.2!F8="да",[21]С4.2!D21,[21]С4.2!D15)</f>
        <v>0</v>
      </c>
    </row>
    <row r="103" spans="1:3" ht="68.25">
      <c r="A103" s="49" t="s">
        <v>137</v>
      </c>
      <c r="B103" s="43" t="s">
        <v>138</v>
      </c>
      <c r="C103" s="28">
        <f>[21]С4!F22</f>
        <v>3.6112641666666665</v>
      </c>
    </row>
    <row r="104" spans="1:3" ht="30">
      <c r="A104" s="49" t="s">
        <v>139</v>
      </c>
      <c r="B104" s="48" t="s">
        <v>245</v>
      </c>
      <c r="C104" s="28">
        <f>[21]С4!F23</f>
        <v>180</v>
      </c>
    </row>
    <row r="105" spans="1:3" ht="14.25">
      <c r="A105" s="49" t="s">
        <v>140</v>
      </c>
      <c r="B105" s="43" t="s">
        <v>141</v>
      </c>
      <c r="C105" s="28">
        <f>[21]С4!F24</f>
        <v>8497.1999999999989</v>
      </c>
    </row>
    <row r="106" spans="1:3" ht="14.25">
      <c r="A106" s="49" t="s">
        <v>142</v>
      </c>
      <c r="B106" s="48" t="s">
        <v>143</v>
      </c>
      <c r="C106" s="33">
        <f>[21]С4!F25</f>
        <v>0.35</v>
      </c>
    </row>
    <row r="107" spans="1:3" ht="17.25">
      <c r="A107" s="49" t="s">
        <v>144</v>
      </c>
      <c r="B107" s="27" t="s">
        <v>145</v>
      </c>
      <c r="C107" s="28">
        <f>[21]С4!F26</f>
        <v>53.586959999999998</v>
      </c>
    </row>
    <row r="108" spans="1:3" ht="25.5">
      <c r="A108" s="49" t="s">
        <v>146</v>
      </c>
      <c r="B108" s="43" t="s">
        <v>78</v>
      </c>
      <c r="C108" s="75">
        <f>[21]С4.3!E16</f>
        <v>0</v>
      </c>
    </row>
    <row r="109" spans="1:3" ht="25.5">
      <c r="A109" s="49" t="s">
        <v>147</v>
      </c>
      <c r="B109" s="43" t="s">
        <v>148</v>
      </c>
      <c r="C109" s="28">
        <f>[21]С4.3!E17</f>
        <v>15.28</v>
      </c>
    </row>
    <row r="110" spans="1:3" ht="38.25">
      <c r="A110" s="49" t="s">
        <v>149</v>
      </c>
      <c r="B110" s="43" t="s">
        <v>90</v>
      </c>
      <c r="C110" s="75">
        <f>[21]С4.3!E18</f>
        <v>0</v>
      </c>
    </row>
    <row r="111" spans="1:3">
      <c r="A111" s="49" t="s">
        <v>150</v>
      </c>
      <c r="B111" s="43" t="s">
        <v>151</v>
      </c>
      <c r="C111" s="28">
        <f>[21]С4.3!E19</f>
        <v>0</v>
      </c>
    </row>
    <row r="112" spans="1:3">
      <c r="A112" s="49" t="s">
        <v>152</v>
      </c>
      <c r="B112" s="48" t="s">
        <v>153</v>
      </c>
      <c r="C112" s="28">
        <f>[21]С4.3!E11</f>
        <v>1871</v>
      </c>
    </row>
    <row r="113" spans="1:3">
      <c r="A113" s="49" t="s">
        <v>154</v>
      </c>
      <c r="B113" s="48" t="s">
        <v>155</v>
      </c>
      <c r="C113" s="42">
        <f>[21]С4.3!E12</f>
        <v>1636</v>
      </c>
    </row>
    <row r="114" spans="1:3">
      <c r="A114" s="49" t="s">
        <v>156</v>
      </c>
      <c r="B114" s="48" t="s">
        <v>157</v>
      </c>
      <c r="C114" s="42">
        <f>[21]С4.3!E13</f>
        <v>204</v>
      </c>
    </row>
    <row r="115" spans="1:3" ht="30">
      <c r="A115" s="49" t="s">
        <v>158</v>
      </c>
      <c r="B115" s="27" t="s">
        <v>246</v>
      </c>
      <c r="C115" s="28">
        <f>[21]С4!F27</f>
        <v>1291.2863994686898</v>
      </c>
    </row>
    <row r="116" spans="1:3" ht="25.5">
      <c r="A116" s="49" t="s">
        <v>159</v>
      </c>
      <c r="B116" s="43" t="s">
        <v>247</v>
      </c>
      <c r="C116" s="28">
        <f>[21]С4!F28</f>
        <v>991.77142816335618</v>
      </c>
    </row>
    <row r="117" spans="1:3" ht="42.75">
      <c r="A117" s="49" t="s">
        <v>160</v>
      </c>
      <c r="B117" s="43" t="s">
        <v>161</v>
      </c>
      <c r="C117" s="28">
        <f>[21]С4!F29</f>
        <v>299.51497130533357</v>
      </c>
    </row>
    <row r="118" spans="1:3" ht="30">
      <c r="A118" s="49" t="s">
        <v>162</v>
      </c>
      <c r="B118" s="32" t="s">
        <v>163</v>
      </c>
      <c r="C118" s="28">
        <f>[21]С4!F30</f>
        <v>2490.9724557835789</v>
      </c>
    </row>
    <row r="119" spans="1:3" ht="42.75">
      <c r="A119" s="49" t="s">
        <v>248</v>
      </c>
      <c r="B119" s="76" t="s">
        <v>249</v>
      </c>
      <c r="C119" s="28">
        <f>[21]С4!F33</f>
        <v>1293.6069144958594</v>
      </c>
    </row>
    <row r="120" spans="1:3" ht="30">
      <c r="A120" s="49" t="s">
        <v>250</v>
      </c>
      <c r="B120" s="121" t="s">
        <v>251</v>
      </c>
      <c r="C120" s="28">
        <f>[21]С4!F35</f>
        <v>17.040680999999999</v>
      </c>
    </row>
    <row r="121" spans="1:3" ht="14.25">
      <c r="A121" s="49" t="s">
        <v>252</v>
      </c>
      <c r="B121" s="46" t="s">
        <v>253</v>
      </c>
      <c r="C121" s="28">
        <f>[21]С4!F36</f>
        <v>14319.9</v>
      </c>
    </row>
    <row r="122" spans="1:3" ht="28.5" thickBot="1">
      <c r="A122" s="62" t="s">
        <v>254</v>
      </c>
      <c r="B122" s="122" t="s">
        <v>255</v>
      </c>
      <c r="C122" s="73">
        <f>[21]С4!F37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[21]С5!F17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3" ht="42.75" hidden="1">
      <c r="A129" s="49" t="s">
        <v>172</v>
      </c>
      <c r="B129" s="76" t="s">
        <v>173</v>
      </c>
      <c r="C129" s="80"/>
    </row>
    <row r="130" spans="1:3" ht="69" thickBot="1">
      <c r="A130" s="62" t="s">
        <v>174</v>
      </c>
      <c r="B130" s="123" t="s">
        <v>175</v>
      </c>
      <c r="C130" s="124" t="s">
        <v>256</v>
      </c>
    </row>
    <row r="131" spans="1:3" ht="62.25" hidden="1" customHeight="1">
      <c r="A131" s="125" t="s">
        <v>176</v>
      </c>
      <c r="B131" s="126" t="s">
        <v>177</v>
      </c>
      <c r="C131" s="127"/>
    </row>
    <row r="132" spans="1:3" ht="68.25" hidden="1">
      <c r="A132" s="49" t="s">
        <v>178</v>
      </c>
      <c r="B132" s="76" t="s">
        <v>257</v>
      </c>
      <c r="C132" s="29"/>
    </row>
    <row r="133" spans="1:3" ht="69" hidden="1" thickBot="1">
      <c r="A133" s="62" t="s">
        <v>179</v>
      </c>
      <c r="B133" s="81" t="s">
        <v>180</v>
      </c>
      <c r="C133" s="64"/>
    </row>
    <row r="134" spans="1:3" s="77" customFormat="1" ht="13.5" thickBot="1">
      <c r="A134" s="39"/>
      <c r="B134" s="65"/>
      <c r="C134" s="13"/>
    </row>
    <row r="135" spans="1:3" ht="26.25" customHeight="1">
      <c r="A135" s="74" t="s">
        <v>181</v>
      </c>
      <c r="B135" s="82" t="s">
        <v>182</v>
      </c>
      <c r="C135" s="83">
        <f>[21]С2!F37</f>
        <v>20.818139999999996</v>
      </c>
    </row>
    <row r="136" spans="1:3" ht="14.25">
      <c r="A136" s="49" t="s">
        <v>183</v>
      </c>
      <c r="B136" s="128" t="s">
        <v>184</v>
      </c>
      <c r="C136" s="28">
        <f>[21]С2!F38</f>
        <v>7</v>
      </c>
    </row>
    <row r="137" spans="1:3" ht="17.25">
      <c r="A137" s="49" t="s">
        <v>185</v>
      </c>
      <c r="B137" s="128" t="s">
        <v>186</v>
      </c>
      <c r="C137" s="28">
        <f>[21]С2!F40</f>
        <v>0.97</v>
      </c>
    </row>
    <row r="138" spans="1:3" ht="15" thickBot="1">
      <c r="A138" s="62" t="s">
        <v>187</v>
      </c>
      <c r="B138" s="129" t="s">
        <v>188</v>
      </c>
      <c r="C138" s="38">
        <f>[21]С2!F42</f>
        <v>0.35</v>
      </c>
    </row>
    <row r="139" spans="1:3" s="77" customFormat="1" ht="13.5" thickBot="1">
      <c r="A139" s="39"/>
      <c r="B139" s="65"/>
      <c r="C139" s="13"/>
    </row>
    <row r="140" spans="1:3" ht="30">
      <c r="A140" s="74" t="s">
        <v>189</v>
      </c>
      <c r="B140" s="84" t="s">
        <v>258</v>
      </c>
      <c r="C140" s="130">
        <f>[21]С2!F35</f>
        <v>1.6598760876745948</v>
      </c>
    </row>
    <row r="141" spans="1:3" ht="22.7" customHeight="1" thickBot="1">
      <c r="A141" s="62" t="s">
        <v>190</v>
      </c>
      <c r="B141" s="143" t="s">
        <v>191</v>
      </c>
      <c r="C141" s="143"/>
    </row>
    <row r="142" spans="1:3" ht="13.5" thickBot="1">
      <c r="A142" s="85"/>
      <c r="B142" s="131" t="s">
        <v>192</v>
      </c>
      <c r="C142" s="132"/>
    </row>
    <row r="143" spans="1:3">
      <c r="A143" s="85"/>
      <c r="B143" s="133">
        <v>2020</v>
      </c>
      <c r="C143" s="134">
        <f>[21]С2.5!$E$11</f>
        <v>-2.9000000000000026E-2</v>
      </c>
    </row>
    <row r="144" spans="1:3">
      <c r="A144" s="85"/>
      <c r="B144" s="86">
        <f>B143+1</f>
        <v>2021</v>
      </c>
      <c r="C144" s="135">
        <f>[21]С2.5!$F$11</f>
        <v>0.245</v>
      </c>
    </row>
    <row r="145" spans="1:3">
      <c r="A145" s="85"/>
      <c r="B145" s="86">
        <f t="shared" ref="B145:B208" si="0">B144+1</f>
        <v>2022</v>
      </c>
      <c r="C145" s="135">
        <f>[21]С2.5!$G$11</f>
        <v>0.114</v>
      </c>
    </row>
    <row r="146" spans="1:3" ht="13.5" thickBot="1">
      <c r="A146" s="85"/>
      <c r="B146" s="87">
        <f t="shared" si="0"/>
        <v>2023</v>
      </c>
      <c r="C146" s="136">
        <f>[21]С2.5!$H$11</f>
        <v>0.04</v>
      </c>
    </row>
    <row r="147" spans="1:3">
      <c r="A147" s="85"/>
      <c r="B147" s="137">
        <f t="shared" si="0"/>
        <v>2024</v>
      </c>
      <c r="C147" s="138">
        <f>[21]С2.5!$I$11</f>
        <v>0.11700000000000001</v>
      </c>
    </row>
    <row r="148" spans="1:3">
      <c r="A148" s="85"/>
      <c r="B148" s="86">
        <f t="shared" si="0"/>
        <v>2025</v>
      </c>
      <c r="C148" s="135">
        <f>[21]С2.5!$J$11</f>
        <v>6.0999999999999999E-2</v>
      </c>
    </row>
    <row r="149" spans="1:3" hidden="1">
      <c r="A149" s="85"/>
      <c r="B149" s="86">
        <f t="shared" si="0"/>
        <v>2026</v>
      </c>
      <c r="C149" s="135">
        <f>[21]С2.5!$K$11</f>
        <v>3.5813361771260002E-2</v>
      </c>
    </row>
    <row r="150" spans="1:3" hidden="1">
      <c r="A150" s="85"/>
      <c r="B150" s="86">
        <f t="shared" si="0"/>
        <v>2027</v>
      </c>
      <c r="C150" s="135">
        <f>[21]С2.5!$L$11</f>
        <v>3.2682303599220003E-2</v>
      </c>
    </row>
    <row r="151" spans="1:3" hidden="1">
      <c r="A151" s="85"/>
      <c r="B151" s="86">
        <f t="shared" si="0"/>
        <v>2028</v>
      </c>
      <c r="C151" s="135">
        <f>[21]С2.5!$M$11</f>
        <v>0</v>
      </c>
    </row>
    <row r="152" spans="1:3" hidden="1">
      <c r="A152" s="85"/>
      <c r="B152" s="86">
        <f t="shared" si="0"/>
        <v>2029</v>
      </c>
      <c r="C152" s="135">
        <f>[21]С2.5!$N$11</f>
        <v>0</v>
      </c>
    </row>
    <row r="153" spans="1:3" hidden="1">
      <c r="A153" s="85"/>
      <c r="B153" s="86">
        <f t="shared" si="0"/>
        <v>2030</v>
      </c>
      <c r="C153" s="135">
        <f>[21]С2.5!$O$11</f>
        <v>0</v>
      </c>
    </row>
    <row r="154" spans="1:3" hidden="1">
      <c r="A154" s="85"/>
      <c r="B154" s="86">
        <f t="shared" si="0"/>
        <v>2031</v>
      </c>
      <c r="C154" s="135">
        <f>[21]С2.5!$P$11</f>
        <v>0</v>
      </c>
    </row>
    <row r="155" spans="1:3" hidden="1">
      <c r="A155" s="77"/>
      <c r="B155" s="86">
        <f t="shared" si="0"/>
        <v>2032</v>
      </c>
      <c r="C155" s="135">
        <f>[21]С2.5!$Q$11</f>
        <v>0</v>
      </c>
    </row>
    <row r="156" spans="1:3" hidden="1">
      <c r="A156" s="77"/>
      <c r="B156" s="86">
        <f t="shared" si="0"/>
        <v>2033</v>
      </c>
      <c r="C156" s="135">
        <f>[21]С2.5!$R$11</f>
        <v>0</v>
      </c>
    </row>
    <row r="157" spans="1:3" hidden="1">
      <c r="B157" s="86">
        <f t="shared" si="0"/>
        <v>2034</v>
      </c>
      <c r="C157" s="135">
        <f>[21]С2.5!$S$11</f>
        <v>0</v>
      </c>
    </row>
    <row r="158" spans="1:3" hidden="1">
      <c r="B158" s="86">
        <f t="shared" si="0"/>
        <v>2035</v>
      </c>
      <c r="C158" s="135">
        <f>[21]С2.5!$T$11</f>
        <v>0</v>
      </c>
    </row>
    <row r="159" spans="1:3" hidden="1">
      <c r="B159" s="86">
        <f t="shared" si="0"/>
        <v>2036</v>
      </c>
      <c r="C159" s="135">
        <f>[21]С2.5!$U$11</f>
        <v>0</v>
      </c>
    </row>
    <row r="160" spans="1:3" hidden="1">
      <c r="B160" s="86">
        <f t="shared" si="0"/>
        <v>2037</v>
      </c>
      <c r="C160" s="135">
        <f>[21]С2.5!$V$11</f>
        <v>0</v>
      </c>
    </row>
    <row r="161" spans="2:3" hidden="1">
      <c r="B161" s="86">
        <f t="shared" si="0"/>
        <v>2038</v>
      </c>
      <c r="C161" s="135">
        <f>[21]С2.5!$W$11</f>
        <v>0</v>
      </c>
    </row>
    <row r="162" spans="2:3" hidden="1">
      <c r="B162" s="86">
        <f t="shared" si="0"/>
        <v>2039</v>
      </c>
      <c r="C162" s="135">
        <f>[21]С2.5!$X$11</f>
        <v>0</v>
      </c>
    </row>
    <row r="163" spans="2:3" hidden="1">
      <c r="B163" s="86">
        <f t="shared" si="0"/>
        <v>2040</v>
      </c>
      <c r="C163" s="135">
        <f>[21]С2.5!$Y$11</f>
        <v>0</v>
      </c>
    </row>
    <row r="164" spans="2:3" hidden="1">
      <c r="B164" s="86">
        <f t="shared" si="0"/>
        <v>2041</v>
      </c>
      <c r="C164" s="135">
        <f>[21]С2.5!$Z$11</f>
        <v>0</v>
      </c>
    </row>
    <row r="165" spans="2:3" hidden="1">
      <c r="B165" s="86">
        <f t="shared" si="0"/>
        <v>2042</v>
      </c>
      <c r="C165" s="135">
        <f>[21]С2.5!$AA$11</f>
        <v>0</v>
      </c>
    </row>
    <row r="166" spans="2:3" hidden="1">
      <c r="B166" s="86">
        <f t="shared" si="0"/>
        <v>2043</v>
      </c>
      <c r="C166" s="135">
        <f>[21]С2.5!$AB$11</f>
        <v>0</v>
      </c>
    </row>
    <row r="167" spans="2:3" hidden="1">
      <c r="B167" s="86">
        <f t="shared" si="0"/>
        <v>2044</v>
      </c>
      <c r="C167" s="135">
        <f>[21]С2.5!$AC$11</f>
        <v>0</v>
      </c>
    </row>
    <row r="168" spans="2:3" hidden="1">
      <c r="B168" s="86">
        <f t="shared" si="0"/>
        <v>2045</v>
      </c>
      <c r="C168" s="135">
        <f>[21]С2.5!$AD$11</f>
        <v>0</v>
      </c>
    </row>
    <row r="169" spans="2:3" hidden="1">
      <c r="B169" s="86">
        <f t="shared" si="0"/>
        <v>2046</v>
      </c>
      <c r="C169" s="135">
        <f>[21]С2.5!$AE$11</f>
        <v>0</v>
      </c>
    </row>
    <row r="170" spans="2:3" hidden="1">
      <c r="B170" s="86">
        <f t="shared" si="0"/>
        <v>2047</v>
      </c>
      <c r="C170" s="135">
        <f>[21]С2.5!$AF$11</f>
        <v>0</v>
      </c>
    </row>
    <row r="171" spans="2:3" hidden="1">
      <c r="B171" s="86">
        <f t="shared" si="0"/>
        <v>2048</v>
      </c>
      <c r="C171" s="135">
        <f>[21]С2.5!$AG$11</f>
        <v>0</v>
      </c>
    </row>
    <row r="172" spans="2:3" hidden="1">
      <c r="B172" s="86">
        <f t="shared" si="0"/>
        <v>2049</v>
      </c>
      <c r="C172" s="135">
        <f>[21]С2.5!$AH$11</f>
        <v>0</v>
      </c>
    </row>
    <row r="173" spans="2:3" hidden="1">
      <c r="B173" s="86">
        <f t="shared" si="0"/>
        <v>2050</v>
      </c>
      <c r="C173" s="135">
        <f>[21]С2.5!$AI$11</f>
        <v>0</v>
      </c>
    </row>
    <row r="174" spans="2:3" hidden="1">
      <c r="B174" s="86">
        <f t="shared" si="0"/>
        <v>2051</v>
      </c>
      <c r="C174" s="135">
        <f>[21]С2.5!$AJ$11</f>
        <v>0</v>
      </c>
    </row>
    <row r="175" spans="2:3" hidden="1">
      <c r="B175" s="86">
        <f t="shared" si="0"/>
        <v>2052</v>
      </c>
      <c r="C175" s="135">
        <f>[21]С2.5!$AK$11</f>
        <v>0</v>
      </c>
    </row>
    <row r="176" spans="2:3" hidden="1">
      <c r="B176" s="86">
        <f t="shared" si="0"/>
        <v>2053</v>
      </c>
      <c r="C176" s="135">
        <f>[21]С2.5!$AL$11</f>
        <v>0</v>
      </c>
    </row>
    <row r="177" spans="2:3" hidden="1">
      <c r="B177" s="86">
        <f t="shared" si="0"/>
        <v>2054</v>
      </c>
      <c r="C177" s="135">
        <f>[21]С2.5!$AM$11</f>
        <v>0</v>
      </c>
    </row>
    <row r="178" spans="2:3" hidden="1">
      <c r="B178" s="86">
        <f t="shared" si="0"/>
        <v>2055</v>
      </c>
      <c r="C178" s="135">
        <f>[21]С2.5!$AN$11</f>
        <v>0</v>
      </c>
    </row>
    <row r="179" spans="2:3" hidden="1">
      <c r="B179" s="86">
        <f t="shared" si="0"/>
        <v>2056</v>
      </c>
      <c r="C179" s="135">
        <f>[21]С2.5!$AO$11</f>
        <v>0</v>
      </c>
    </row>
    <row r="180" spans="2:3" hidden="1">
      <c r="B180" s="86">
        <f t="shared" si="0"/>
        <v>2057</v>
      </c>
      <c r="C180" s="135">
        <f>[21]С2.5!$AP$11</f>
        <v>0</v>
      </c>
    </row>
    <row r="181" spans="2:3" hidden="1">
      <c r="B181" s="86">
        <f t="shared" si="0"/>
        <v>2058</v>
      </c>
      <c r="C181" s="135">
        <f>[21]С2.5!$AQ$11</f>
        <v>0</v>
      </c>
    </row>
    <row r="182" spans="2:3" hidden="1">
      <c r="B182" s="86">
        <f t="shared" si="0"/>
        <v>2059</v>
      </c>
      <c r="C182" s="135">
        <f>[21]С2.5!$AR$11</f>
        <v>0</v>
      </c>
    </row>
    <row r="183" spans="2:3" hidden="1">
      <c r="B183" s="86">
        <f t="shared" si="0"/>
        <v>2060</v>
      </c>
      <c r="C183" s="135">
        <f>[21]С2.5!$AS$11</f>
        <v>0</v>
      </c>
    </row>
    <row r="184" spans="2:3" hidden="1">
      <c r="B184" s="86">
        <f t="shared" si="0"/>
        <v>2061</v>
      </c>
      <c r="C184" s="135">
        <f>[21]С2.5!$AT$11</f>
        <v>0</v>
      </c>
    </row>
    <row r="185" spans="2:3" hidden="1">
      <c r="B185" s="86">
        <f t="shared" si="0"/>
        <v>2062</v>
      </c>
      <c r="C185" s="135">
        <f>[21]С2.5!$AU$11</f>
        <v>0</v>
      </c>
    </row>
    <row r="186" spans="2:3" hidden="1">
      <c r="B186" s="86">
        <f t="shared" si="0"/>
        <v>2063</v>
      </c>
      <c r="C186" s="135">
        <f>[21]С2.5!$AV$11</f>
        <v>0</v>
      </c>
    </row>
    <row r="187" spans="2:3" hidden="1">
      <c r="B187" s="86">
        <f t="shared" si="0"/>
        <v>2064</v>
      </c>
      <c r="C187" s="135">
        <f>[21]С2.5!$AW$11</f>
        <v>0</v>
      </c>
    </row>
    <row r="188" spans="2:3" hidden="1">
      <c r="B188" s="86">
        <f t="shared" si="0"/>
        <v>2065</v>
      </c>
      <c r="C188" s="135">
        <f>[21]С2.5!$AX$11</f>
        <v>0</v>
      </c>
    </row>
    <row r="189" spans="2:3" hidden="1">
      <c r="B189" s="86">
        <f t="shared" si="0"/>
        <v>2066</v>
      </c>
      <c r="C189" s="135">
        <f>[21]С2.5!$AY$11</f>
        <v>0</v>
      </c>
    </row>
    <row r="190" spans="2:3" hidden="1">
      <c r="B190" s="86">
        <f t="shared" si="0"/>
        <v>2067</v>
      </c>
      <c r="C190" s="135">
        <f>[21]С2.5!$AZ$11</f>
        <v>0</v>
      </c>
    </row>
    <row r="191" spans="2:3" hidden="1">
      <c r="B191" s="86">
        <f t="shared" si="0"/>
        <v>2068</v>
      </c>
      <c r="C191" s="135">
        <f>[21]С2.5!$BA$11</f>
        <v>0</v>
      </c>
    </row>
    <row r="192" spans="2:3" hidden="1">
      <c r="B192" s="86">
        <f t="shared" si="0"/>
        <v>2069</v>
      </c>
      <c r="C192" s="135">
        <f>[21]С2.5!$BB$11</f>
        <v>0</v>
      </c>
    </row>
    <row r="193" spans="2:3" hidden="1">
      <c r="B193" s="86">
        <f t="shared" si="0"/>
        <v>2070</v>
      </c>
      <c r="C193" s="135">
        <f>[21]С2.5!$BC$11</f>
        <v>0</v>
      </c>
    </row>
    <row r="194" spans="2:3" hidden="1">
      <c r="B194" s="86">
        <f t="shared" si="0"/>
        <v>2071</v>
      </c>
      <c r="C194" s="135">
        <f>[21]С2.5!$BD$11</f>
        <v>0</v>
      </c>
    </row>
    <row r="195" spans="2:3" hidden="1">
      <c r="B195" s="86">
        <f t="shared" si="0"/>
        <v>2072</v>
      </c>
      <c r="C195" s="135">
        <f>[21]С2.5!$BE$11</f>
        <v>0</v>
      </c>
    </row>
    <row r="196" spans="2:3" hidden="1">
      <c r="B196" s="86">
        <f t="shared" si="0"/>
        <v>2073</v>
      </c>
      <c r="C196" s="135">
        <f>[21]С2.5!$BF$11</f>
        <v>0</v>
      </c>
    </row>
    <row r="197" spans="2:3" hidden="1">
      <c r="B197" s="86">
        <f t="shared" si="0"/>
        <v>2074</v>
      </c>
      <c r="C197" s="135">
        <f>[21]С2.5!$BG$11</f>
        <v>0</v>
      </c>
    </row>
    <row r="198" spans="2:3" hidden="1">
      <c r="B198" s="86">
        <f t="shared" si="0"/>
        <v>2075</v>
      </c>
      <c r="C198" s="135">
        <f>[21]С2.5!$BH$11</f>
        <v>0</v>
      </c>
    </row>
    <row r="199" spans="2:3" hidden="1">
      <c r="B199" s="86">
        <f t="shared" si="0"/>
        <v>2076</v>
      </c>
      <c r="C199" s="135">
        <f>[21]С2.5!$BI$11</f>
        <v>0</v>
      </c>
    </row>
    <row r="200" spans="2:3" hidden="1">
      <c r="B200" s="86">
        <f t="shared" si="0"/>
        <v>2077</v>
      </c>
      <c r="C200" s="135">
        <f>[21]С2.5!$BJ$11</f>
        <v>0</v>
      </c>
    </row>
    <row r="201" spans="2:3" hidden="1">
      <c r="B201" s="86">
        <f t="shared" si="0"/>
        <v>2078</v>
      </c>
      <c r="C201" s="135">
        <f>[21]С2.5!$BK$11</f>
        <v>0</v>
      </c>
    </row>
    <row r="202" spans="2:3" hidden="1">
      <c r="B202" s="86">
        <f t="shared" si="0"/>
        <v>2079</v>
      </c>
      <c r="C202" s="135">
        <f>[21]С2.5!$BL$11</f>
        <v>0</v>
      </c>
    </row>
    <row r="203" spans="2:3" hidden="1">
      <c r="B203" s="86">
        <f t="shared" si="0"/>
        <v>2080</v>
      </c>
      <c r="C203" s="135">
        <f>[21]С2.5!$BM$11</f>
        <v>0</v>
      </c>
    </row>
    <row r="204" spans="2:3" hidden="1">
      <c r="B204" s="86">
        <f t="shared" si="0"/>
        <v>2081</v>
      </c>
      <c r="C204" s="135">
        <f>[21]С2.5!$BN$11</f>
        <v>0</v>
      </c>
    </row>
    <row r="205" spans="2:3" hidden="1">
      <c r="B205" s="86">
        <f t="shared" si="0"/>
        <v>2082</v>
      </c>
      <c r="C205" s="135">
        <f>[21]С2.5!$BO$11</f>
        <v>0</v>
      </c>
    </row>
    <row r="206" spans="2:3" hidden="1">
      <c r="B206" s="86">
        <f t="shared" si="0"/>
        <v>2083</v>
      </c>
      <c r="C206" s="135">
        <f>[21]С2.5!$BP$11</f>
        <v>0</v>
      </c>
    </row>
    <row r="207" spans="2:3" hidden="1">
      <c r="B207" s="86">
        <f t="shared" si="0"/>
        <v>2084</v>
      </c>
      <c r="C207" s="135">
        <f>[21]С2.5!$BQ$11</f>
        <v>0</v>
      </c>
    </row>
    <row r="208" spans="2:3" hidden="1">
      <c r="B208" s="86">
        <f t="shared" si="0"/>
        <v>2085</v>
      </c>
      <c r="C208" s="135">
        <f>[21]С2.5!$BR$11</f>
        <v>0</v>
      </c>
    </row>
    <row r="209" spans="2:3" hidden="1">
      <c r="B209" s="86">
        <f t="shared" ref="B209:B223" si="1">B208+1</f>
        <v>2086</v>
      </c>
      <c r="C209" s="135">
        <f>[21]С2.5!$BS$11</f>
        <v>0</v>
      </c>
    </row>
    <row r="210" spans="2:3" hidden="1">
      <c r="B210" s="86">
        <f t="shared" si="1"/>
        <v>2087</v>
      </c>
      <c r="C210" s="135">
        <f>[21]С2.5!$BT$11</f>
        <v>0</v>
      </c>
    </row>
    <row r="211" spans="2:3" hidden="1">
      <c r="B211" s="86">
        <f t="shared" si="1"/>
        <v>2088</v>
      </c>
      <c r="C211" s="135">
        <f>[21]С2.5!$BU$11</f>
        <v>0</v>
      </c>
    </row>
    <row r="212" spans="2:3" hidden="1">
      <c r="B212" s="86">
        <f t="shared" si="1"/>
        <v>2089</v>
      </c>
      <c r="C212" s="135">
        <f>[21]С2.5!$BV$11</f>
        <v>0</v>
      </c>
    </row>
    <row r="213" spans="2:3" hidden="1">
      <c r="B213" s="86">
        <f t="shared" si="1"/>
        <v>2090</v>
      </c>
      <c r="C213" s="135">
        <f>[21]С2.5!$BW$11</f>
        <v>0</v>
      </c>
    </row>
    <row r="214" spans="2:3" hidden="1">
      <c r="B214" s="86">
        <f t="shared" si="1"/>
        <v>2091</v>
      </c>
      <c r="C214" s="135">
        <f>[21]С2.5!$BX$11</f>
        <v>0</v>
      </c>
    </row>
    <row r="215" spans="2:3" hidden="1">
      <c r="B215" s="86">
        <f t="shared" si="1"/>
        <v>2092</v>
      </c>
      <c r="C215" s="135">
        <f>[21]С2.5!$BY$11</f>
        <v>0</v>
      </c>
    </row>
    <row r="216" spans="2:3" hidden="1">
      <c r="B216" s="86">
        <f t="shared" si="1"/>
        <v>2093</v>
      </c>
      <c r="C216" s="135">
        <f>[21]С2.5!$BZ$11</f>
        <v>0</v>
      </c>
    </row>
    <row r="217" spans="2:3" hidden="1">
      <c r="B217" s="86">
        <f t="shared" si="1"/>
        <v>2094</v>
      </c>
      <c r="C217" s="135">
        <f>[21]С2.5!$CA$11</f>
        <v>0</v>
      </c>
    </row>
    <row r="218" spans="2:3" hidden="1">
      <c r="B218" s="86">
        <f t="shared" si="1"/>
        <v>2095</v>
      </c>
      <c r="C218" s="135">
        <f>[21]С2.5!$CB$11</f>
        <v>0</v>
      </c>
    </row>
    <row r="219" spans="2:3" hidden="1">
      <c r="B219" s="86">
        <f t="shared" si="1"/>
        <v>2096</v>
      </c>
      <c r="C219" s="135">
        <f>[21]С2.5!$CC$11</f>
        <v>0</v>
      </c>
    </row>
    <row r="220" spans="2:3" hidden="1">
      <c r="B220" s="86">
        <f t="shared" si="1"/>
        <v>2097</v>
      </c>
      <c r="C220" s="135">
        <f>[21]С2.5!$CD$11</f>
        <v>0</v>
      </c>
    </row>
    <row r="221" spans="2:3" hidden="1">
      <c r="B221" s="86">
        <f t="shared" si="1"/>
        <v>2098</v>
      </c>
      <c r="C221" s="135">
        <f>[21]С2.5!$CE$11</f>
        <v>0</v>
      </c>
    </row>
    <row r="222" spans="2:3" hidden="1">
      <c r="B222" s="86">
        <f t="shared" si="1"/>
        <v>2099</v>
      </c>
      <c r="C222" s="135">
        <f>[21]С2.5!$CF$11</f>
        <v>0</v>
      </c>
    </row>
    <row r="223" spans="2:3" ht="13.5" hidden="1" thickBot="1">
      <c r="B223" s="87">
        <f t="shared" si="1"/>
        <v>2100</v>
      </c>
      <c r="C223" s="136">
        <f>[21]С2.5!$CG$11</f>
        <v>0</v>
      </c>
    </row>
    <row r="224" spans="2:3" hidden="1">
      <c r="C224" s="139"/>
    </row>
    <row r="225" spans="3:3" hidden="1">
      <c r="C225" s="139"/>
    </row>
    <row r="226" spans="3:3">
      <c r="C226" s="139"/>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17</vt:i4>
      </vt:variant>
    </vt:vector>
  </HeadingPairs>
  <TitlesOfParts>
    <vt:vector size="17" baseType="lpstr">
      <vt:lpstr>Борисоглебский</vt:lpstr>
      <vt:lpstr>Владимировский </vt:lpstr>
      <vt:lpstr>Гандичевский</vt:lpstr>
      <vt:lpstr>Ермолаевский </vt:lpstr>
      <vt:lpstr>Кожурлинский</vt:lpstr>
      <vt:lpstr>Колмаковский </vt:lpstr>
      <vt:lpstr>Крещенский</vt:lpstr>
      <vt:lpstr>Круглоозерный</vt:lpstr>
      <vt:lpstr>Кундранский </vt:lpstr>
      <vt:lpstr>Невский</vt:lpstr>
      <vt:lpstr>Новодубровский</vt:lpstr>
      <vt:lpstr>Орловский</vt:lpstr>
      <vt:lpstr>Пешковский</vt:lpstr>
      <vt:lpstr>Раисинский</vt:lpstr>
      <vt:lpstr>Убинский (газ)</vt:lpstr>
      <vt:lpstr>Черномысинский</vt:lpstr>
      <vt:lpstr>Убинский (уголь)</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Трофименко</dc:creator>
  <cp:lastModifiedBy>Трофименко</cp:lastModifiedBy>
  <dcterms:created xsi:type="dcterms:W3CDTF">2023-01-18T03:25:21Z</dcterms:created>
  <dcterms:modified xsi:type="dcterms:W3CDTF">2025-01-16T05:18:53Z</dcterms:modified>
</cp:coreProperties>
</file>