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620"/>
  </bookViews>
  <sheets>
    <sheet name="Алексеевское" sheetId="19" r:id="rId1"/>
    <sheet name="Верх-Каргатское" sheetId="20" r:id="rId2"/>
    <sheet name="Верх-Урюмское" sheetId="21" r:id="rId3"/>
    <sheet name="Горносталевское" sheetId="22" r:id="rId4"/>
    <sheet name="Здвинское" sheetId="23" r:id="rId5"/>
    <sheet name="Лянинское" sheetId="24" r:id="rId6"/>
    <sheet name="Нижнеурюмское" sheetId="25" r:id="rId7"/>
    <sheet name="Нижнечулымское" sheetId="26" r:id="rId8"/>
    <sheet name="Новороссийское" sheetId="27" r:id="rId9"/>
    <sheet name="Петраковское" sheetId="28" r:id="rId10"/>
    <sheet name="Рощинское" sheetId="29" r:id="rId11"/>
    <sheet name="Сарыбалыкское" sheetId="30" r:id="rId12"/>
    <sheet name="Цветниковское" sheetId="31" r:id="rId13"/>
    <sheet name="Чулымское" sheetId="3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32" l="1"/>
  <c r="C222" i="32"/>
  <c r="C221" i="32"/>
  <c r="C220" i="32"/>
  <c r="C219" i="32"/>
  <c r="C218" i="32"/>
  <c r="C217" i="32"/>
  <c r="C216" i="32"/>
  <c r="C215" i="32"/>
  <c r="C214" i="32"/>
  <c r="C213" i="32"/>
  <c r="C212" i="32"/>
  <c r="C211" i="32"/>
  <c r="C210" i="32"/>
  <c r="C209" i="32"/>
  <c r="C208" i="32"/>
  <c r="C207" i="32"/>
  <c r="C206" i="32"/>
  <c r="C205" i="32"/>
  <c r="C204" i="32"/>
  <c r="C203" i="32"/>
  <c r="C202" i="32"/>
  <c r="C201" i="32"/>
  <c r="C200" i="32"/>
  <c r="C199" i="32"/>
  <c r="C198" i="32"/>
  <c r="C197" i="32"/>
  <c r="C196"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B144" i="32"/>
  <c r="B145" i="32" s="1"/>
  <c r="B146" i="32" s="1"/>
  <c r="B147" i="32" s="1"/>
  <c r="B148" i="32" s="1"/>
  <c r="B149" i="32" s="1"/>
  <c r="B150" i="32" s="1"/>
  <c r="B151" i="32" s="1"/>
  <c r="B152" i="32" s="1"/>
  <c r="B153" i="32" s="1"/>
  <c r="B154" i="32" s="1"/>
  <c r="B155" i="32" s="1"/>
  <c r="B156" i="32" s="1"/>
  <c r="B157" i="32" s="1"/>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B178" i="32" s="1"/>
  <c r="B179" i="32" s="1"/>
  <c r="B180" i="32" s="1"/>
  <c r="B181" i="32" s="1"/>
  <c r="B182" i="32" s="1"/>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211" i="32" s="1"/>
  <c r="B212" i="32" s="1"/>
  <c r="B213" i="32" s="1"/>
  <c r="B214" i="32" s="1"/>
  <c r="B215" i="32" s="1"/>
  <c r="B216" i="32" s="1"/>
  <c r="B217" i="32" s="1"/>
  <c r="B218" i="32" s="1"/>
  <c r="B219" i="32" s="1"/>
  <c r="B220" i="32" s="1"/>
  <c r="B221" i="32" s="1"/>
  <c r="B222" i="32" s="1"/>
  <c r="B223" i="32" s="1"/>
  <c r="C143" i="32"/>
  <c r="C140" i="32"/>
  <c r="C138" i="32"/>
  <c r="C137" i="32"/>
  <c r="C136" i="32"/>
  <c r="C135" i="32"/>
  <c r="C125"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3" i="32"/>
  <c r="C92" i="32"/>
  <c r="C91" i="32"/>
  <c r="C90" i="32"/>
  <c r="C89" i="32"/>
  <c r="C88" i="32"/>
  <c r="C87" i="32"/>
  <c r="C86" i="32"/>
  <c r="C85"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38" i="32"/>
  <c r="C37" i="32"/>
  <c r="C36" i="32"/>
  <c r="C35" i="32"/>
  <c r="C34" i="32"/>
  <c r="C33" i="32"/>
  <c r="C32" i="32"/>
  <c r="C31" i="32"/>
  <c r="C30" i="32"/>
  <c r="C29" i="32"/>
  <c r="C28" i="32"/>
  <c r="C23" i="32"/>
  <c r="C22" i="32"/>
  <c r="C21" i="32"/>
  <c r="C20" i="32"/>
  <c r="C19" i="32"/>
  <c r="C18" i="32"/>
  <c r="C13" i="32"/>
  <c r="B13" i="32"/>
  <c r="C12" i="32"/>
  <c r="B12" i="32"/>
  <c r="C11" i="32"/>
  <c r="B11" i="32"/>
  <c r="C10" i="32"/>
  <c r="B10" i="32"/>
  <c r="C9" i="32"/>
  <c r="B9" i="32"/>
  <c r="C8" i="32"/>
  <c r="B8" i="32"/>
  <c r="C7" i="32"/>
  <c r="B7" i="32"/>
  <c r="C6" i="32"/>
  <c r="B6" i="32"/>
  <c r="C5" i="32"/>
  <c r="B5" i="32"/>
  <c r="C4" i="32"/>
  <c r="B4" i="32"/>
  <c r="C2" i="32"/>
  <c r="C17" i="32" l="1"/>
  <c r="C223" i="3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B144" i="3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7" i="31" s="1"/>
  <c r="C13" i="31"/>
  <c r="B13" i="31"/>
  <c r="C12" i="31"/>
  <c r="B12" i="31"/>
  <c r="C11" i="31"/>
  <c r="B11" i="31"/>
  <c r="C10" i="31"/>
  <c r="B10" i="31"/>
  <c r="C9" i="31"/>
  <c r="B9" i="31"/>
  <c r="C8" i="31"/>
  <c r="B8" i="31"/>
  <c r="C7" i="31"/>
  <c r="B7" i="31"/>
  <c r="C6" i="31"/>
  <c r="B6" i="31"/>
  <c r="C5" i="31"/>
  <c r="B5" i="31"/>
  <c r="C4" i="31"/>
  <c r="B4" i="31"/>
  <c r="C2" i="31"/>
  <c r="C223" i="30" l="1"/>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B144" i="30"/>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3" i="30"/>
  <c r="B13" i="30"/>
  <c r="C12" i="30"/>
  <c r="B12" i="30"/>
  <c r="C11" i="30"/>
  <c r="B11" i="30"/>
  <c r="C10" i="30"/>
  <c r="B10" i="30"/>
  <c r="C9" i="30"/>
  <c r="B9" i="30"/>
  <c r="C8" i="30"/>
  <c r="B8" i="30"/>
  <c r="C7" i="30"/>
  <c r="B7" i="30"/>
  <c r="C6" i="30"/>
  <c r="B6" i="30"/>
  <c r="C5" i="30"/>
  <c r="B5" i="30"/>
  <c r="C4" i="30"/>
  <c r="B4" i="30"/>
  <c r="C2" i="30"/>
  <c r="C17" i="30" l="1"/>
  <c r="C223" i="29"/>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C145" i="29"/>
  <c r="C144" i="29"/>
  <c r="B144" i="29"/>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C143" i="29"/>
  <c r="C140" i="29"/>
  <c r="C138" i="29"/>
  <c r="C137" i="29"/>
  <c r="C136" i="29"/>
  <c r="C135" i="29"/>
  <c r="C125" i="29"/>
  <c r="C122" i="29"/>
  <c r="C121" i="29"/>
  <c r="C120" i="29"/>
  <c r="C119" i="29"/>
  <c r="C118" i="29"/>
  <c r="C117" i="29"/>
  <c r="C116" i="29"/>
  <c r="C115" i="29"/>
  <c r="C114" i="29"/>
  <c r="C113" i="29"/>
  <c r="C112" i="29"/>
  <c r="C111" i="29"/>
  <c r="C110" i="29"/>
  <c r="C109" i="29"/>
  <c r="C108" i="29"/>
  <c r="C107" i="29"/>
  <c r="C106" i="29"/>
  <c r="C105" i="29"/>
  <c r="C104" i="29"/>
  <c r="C103" i="29"/>
  <c r="C102" i="29"/>
  <c r="C101" i="29"/>
  <c r="C100" i="29"/>
  <c r="C99" i="29"/>
  <c r="C98" i="29"/>
  <c r="C97" i="29"/>
  <c r="C96" i="29"/>
  <c r="C93" i="29"/>
  <c r="C92" i="29"/>
  <c r="C91" i="29"/>
  <c r="C90" i="29"/>
  <c r="C89" i="29"/>
  <c r="C88" i="29"/>
  <c r="C87" i="29"/>
  <c r="C86" i="29"/>
  <c r="C85"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38" i="29"/>
  <c r="C37" i="29"/>
  <c r="C36" i="29"/>
  <c r="C35" i="29"/>
  <c r="C34" i="29"/>
  <c r="C33" i="29"/>
  <c r="C32" i="29"/>
  <c r="C31" i="29"/>
  <c r="C30" i="29"/>
  <c r="C29" i="29"/>
  <c r="C28" i="29"/>
  <c r="C23" i="29"/>
  <c r="C22" i="29"/>
  <c r="C21" i="29"/>
  <c r="C20" i="29"/>
  <c r="C19" i="29"/>
  <c r="C18" i="29"/>
  <c r="C13" i="29"/>
  <c r="B13" i="29"/>
  <c r="C12" i="29"/>
  <c r="B12" i="29"/>
  <c r="C11" i="29"/>
  <c r="B11" i="29"/>
  <c r="C10" i="29"/>
  <c r="B10" i="29"/>
  <c r="C9" i="29"/>
  <c r="B9" i="29"/>
  <c r="C8" i="29"/>
  <c r="B8" i="29"/>
  <c r="C7" i="29"/>
  <c r="B7" i="29"/>
  <c r="C6" i="29"/>
  <c r="B6" i="29"/>
  <c r="C5" i="29"/>
  <c r="B5" i="29"/>
  <c r="C4" i="29"/>
  <c r="B4" i="29"/>
  <c r="C2" i="29"/>
  <c r="C17" i="29" l="1"/>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7" i="28" s="1"/>
  <c r="C19" i="28"/>
  <c r="C18" i="28"/>
  <c r="C13" i="28"/>
  <c r="B13" i="28"/>
  <c r="C12" i="28"/>
  <c r="B12" i="28"/>
  <c r="C11" i="28"/>
  <c r="B11" i="28"/>
  <c r="C10" i="28"/>
  <c r="B10" i="28"/>
  <c r="C9" i="28"/>
  <c r="B9" i="28"/>
  <c r="C8" i="28"/>
  <c r="B8" i="28"/>
  <c r="C7" i="28"/>
  <c r="B7" i="28"/>
  <c r="C6" i="28"/>
  <c r="B6" i="28"/>
  <c r="C5" i="28"/>
  <c r="B5" i="28"/>
  <c r="C4" i="28"/>
  <c r="B4" i="28"/>
  <c r="C2" i="28"/>
  <c r="C223" i="27" l="1"/>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B144" i="27"/>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C143" i="27"/>
  <c r="C140" i="27"/>
  <c r="C138" i="27"/>
  <c r="C137" i="27"/>
  <c r="C136" i="27"/>
  <c r="C135" i="27"/>
  <c r="C125"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3" i="27"/>
  <c r="C92" i="27"/>
  <c r="C91" i="27"/>
  <c r="C90" i="27"/>
  <c r="C89" i="27"/>
  <c r="C88" i="27"/>
  <c r="C87" i="27"/>
  <c r="C86" i="27"/>
  <c r="C85"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38" i="27"/>
  <c r="C37" i="27"/>
  <c r="C36" i="27"/>
  <c r="C35" i="27"/>
  <c r="C34" i="27"/>
  <c r="C33" i="27"/>
  <c r="C32" i="27"/>
  <c r="C31" i="27"/>
  <c r="C30" i="27"/>
  <c r="C29" i="27"/>
  <c r="C28" i="27"/>
  <c r="C23" i="27"/>
  <c r="C22" i="27"/>
  <c r="C21" i="27"/>
  <c r="C20" i="27"/>
  <c r="C19" i="27"/>
  <c r="C18" i="27"/>
  <c r="C13" i="27"/>
  <c r="B13" i="27"/>
  <c r="C12" i="27"/>
  <c r="B12" i="27"/>
  <c r="C11" i="27"/>
  <c r="B11" i="27"/>
  <c r="C10" i="27"/>
  <c r="B10" i="27"/>
  <c r="C9" i="27"/>
  <c r="B9" i="27"/>
  <c r="C8" i="27"/>
  <c r="B8" i="27"/>
  <c r="C7" i="27"/>
  <c r="B7" i="27"/>
  <c r="C6" i="27"/>
  <c r="B6" i="27"/>
  <c r="C5" i="27"/>
  <c r="B5" i="27"/>
  <c r="C4" i="27"/>
  <c r="B4" i="27"/>
  <c r="C2" i="27"/>
  <c r="C17" i="27" l="1"/>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7" i="26"/>
  <c r="C13" i="26"/>
  <c r="B13" i="26"/>
  <c r="C12" i="26"/>
  <c r="B12" i="26"/>
  <c r="C11" i="26"/>
  <c r="B11" i="26"/>
  <c r="C10" i="26"/>
  <c r="B10" i="26"/>
  <c r="C9" i="26"/>
  <c r="B9" i="26"/>
  <c r="C8" i="26"/>
  <c r="B8" i="26"/>
  <c r="C7" i="26"/>
  <c r="B7" i="26"/>
  <c r="C6" i="26"/>
  <c r="B6" i="26"/>
  <c r="C5" i="26"/>
  <c r="B5" i="26"/>
  <c r="C4" i="26"/>
  <c r="B4" i="26"/>
  <c r="C2" i="26"/>
  <c r="C223" i="25" l="1"/>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7" i="25"/>
  <c r="C13" i="25"/>
  <c r="B13" i="25"/>
  <c r="C12" i="25"/>
  <c r="B12" i="25"/>
  <c r="C11" i="25"/>
  <c r="B11" i="25"/>
  <c r="C10" i="25"/>
  <c r="B10" i="25"/>
  <c r="C9" i="25"/>
  <c r="B9" i="25"/>
  <c r="C8" i="25"/>
  <c r="B8" i="25"/>
  <c r="C7" i="25"/>
  <c r="B7" i="25"/>
  <c r="C6" i="25"/>
  <c r="B6" i="25"/>
  <c r="C5" i="25"/>
  <c r="B5" i="25"/>
  <c r="C4" i="25"/>
  <c r="B4" i="25"/>
  <c r="C2" i="25"/>
  <c r="C223" i="24" l="1"/>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2" i="24"/>
  <c r="C17" i="24" l="1"/>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2" i="23"/>
  <c r="C17" i="23" l="1"/>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2" i="22"/>
  <c r="C17" i="22" l="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2" i="21"/>
  <c r="C17" i="21" l="1"/>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7" i="20" s="1"/>
  <c r="C19" i="20"/>
  <c r="C18" i="20"/>
  <c r="C13" i="20"/>
  <c r="B13" i="20"/>
  <c r="C12" i="20"/>
  <c r="B12" i="20"/>
  <c r="C11" i="20"/>
  <c r="B11" i="20"/>
  <c r="C10" i="20"/>
  <c r="B10" i="20"/>
  <c r="C9" i="20"/>
  <c r="B9" i="20"/>
  <c r="C8" i="20"/>
  <c r="B8" i="20"/>
  <c r="C7" i="20"/>
  <c r="B7" i="20"/>
  <c r="C6" i="20"/>
  <c r="B6" i="20"/>
  <c r="C5" i="20"/>
  <c r="B5" i="20"/>
  <c r="C4" i="20"/>
  <c r="B4" i="20"/>
  <c r="C2" i="20"/>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2" i="19"/>
  <c r="C17" i="19" l="1"/>
</calcChain>
</file>

<file path=xl/sharedStrings.xml><?xml version="1.0" encoding="utf-8"?>
<sst xmlns="http://schemas.openxmlformats.org/spreadsheetml/2006/main" count="3374" uniqueCount="227">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</sst>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75" fillId="0" borderId="0">
      <alignment horizontal="center" vertical="top" wrapText="1"/>
    </xf>
    <xf numFmtId="0" fontId="225" fillId="0" borderId="0">
      <alignment horizontal="centerContinuous" vertical="center"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24">
    <xf numFmtId="0" fontId="0" fillId="0" borderId="0" xfId="0"/>
    <xf numFmtId="10" fontId="7" fillId="6" borderId="0" xfId="2" applyNumberFormat="1" applyFont="1" applyFill="1" applyAlignment="1">
      <alignment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8" fillId="6" borderId="0" xfId="2" applyFont="1" applyFill="1" applyBorder="1" applyAlignment="1">
      <alignment horizontal="center" vertical="center" wrapText="1"/>
    </xf>
    <xf numFmtId="0" fontId="9" fillId="6" borderId="7" xfId="2" applyFont="1" applyFill="1" applyBorder="1" applyAlignment="1">
      <alignment horizontal="left" wrapText="1"/>
    </xf>
    <xf numFmtId="0" fontId="9" fillId="6" borderId="19" xfId="2" applyFont="1" applyFill="1" applyBorder="1" applyAlignment="1">
      <alignment horizontal="left" vertic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3553" name="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21" name="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1745" name="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40;&#1083;&#1077;&#1082;&#1089;&#1077;&#1077;&#1074;&#1089;&#1082;&#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42;&#1077;&#1088;&#1093;-&#1050;&#1072;&#1088;&#1075;&#1072;&#1090;&#1089;&#1082;&#1086;&#107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42;&#1077;&#1088;&#1093;-&#1059;&#1088;&#1102;&#1084;&#1089;&#1082;&#1086;&#107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43;&#1086;&#1088;&#1085;&#1086;&#1089;&#1090;&#1072;&#1083;&#1077;&#1074;&#1089;&#1082;&#1086;&#107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47;&#1076;&#1074;&#1080;&#1085;&#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1;&#1103;&#1085;&#1080;&#1085;&#1089;&#1082;&#1086;&#1077;.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3;&#1080;&#1078;&#1085;&#1077;&#1091;&#1088;&#1102;&#1084;&#1089;&#1082;&#1086;&#1077;.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3;&#1080;&#1078;&#1085;&#1077;&#1095;&#1091;&#1083;&#1099;&#1084;&#1089;&#1082;&#1086;&#1077;.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3;&#1086;&#1074;&#1086;&#1088;&#1086;&#1089;&#1089;&#1080;&#1081;&#1089;&#1082;&#1086;&#107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5;&#1077;&#1090;&#1088;&#1072;&#1082;&#1086;&#1074;&#1089;&#1082;&#1086;&#107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6;&#1086;&#1097;&#1080;&#1085;&#1089;&#1082;&#1086;&#1077;.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57;&#1072;&#1088;&#1099;&#1073;&#1072;&#1083;&#1099;&#1082;&#1089;&#1082;&#1086;&#1077;.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62;&#1074;&#1077;&#1090;&#1085;&#1080;&#1082;&#1086;&#1074;&#1089;&#1082;&#1086;&#1077;.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3/&#1085;&#1072;%20&#1089;&#1072;&#1081;&#1090;/&#1047;&#1076;&#1074;&#1080;&#1085;&#1089;&#1082;&#1080;&#1081;/&#1064;&#1072;&#1073;&#1083;&#1086;&#1085;%20&#1062;&#1040;&#1050;_&#1091;&#1075;&#1086;&#1083;&#1100;_&#1062;&#1055;%20(&#1073;&#1077;&#1079;%20&#1053;&#1044;&#1057;)_2&#1087;&#1075;2023&#1075;_&#1084;&#1077;&#1085;&#1077;&#1077;%2050%20&#1090;&#1099;&#1089;%20&#1047;&#1076;&#1074;&#1080;&#1085;&#1089;&#1082;&#1080;&#1081;%20&#1063;&#1091;&#1083;&#1099;&#1084;&#1089;&#1082;&#1086;&#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Алексеевка, Купинский муниципальный район</v>
          </cell>
        </row>
        <row r="15">
          <cell r="D15" t="str">
            <v/>
          </cell>
        </row>
        <row r="16">
          <cell r="D16" t="str">
            <v>Код ОКТМО</v>
          </cell>
          <cell r="E16" t="str">
            <v>50613401101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970.18549843851633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2608.666666666667</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414.11836155064253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61.365870000000001</v>
          </cell>
        </row>
        <row r="27">
          <cell r="F27">
            <v>1038.565361974559</v>
          </cell>
        </row>
        <row r="28">
          <cell r="F28">
            <v>797.66924882838634</v>
          </cell>
        </row>
        <row r="29">
          <cell r="F29">
            <v>240.89611314617269</v>
          </cell>
        </row>
        <row r="30">
          <cell r="F30">
            <v>2144.351426170721</v>
          </cell>
        </row>
        <row r="33">
          <cell r="F33">
            <v>1430.862708272397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15.97</v>
          </cell>
        </row>
        <row r="19">
          <cell r="E19">
            <v>26.27</v>
          </cell>
        </row>
      </sheetData>
      <sheetData sheetId="29" refreshError="1"/>
      <sheetData sheetId="30">
        <row r="12">
          <cell r="F12">
            <v>79.775476969697181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Верх-Каргат, Здвинский муниципальный район</v>
          </cell>
        </row>
        <row r="15">
          <cell r="D15" t="str">
            <v/>
          </cell>
        </row>
        <row r="16">
          <cell r="D16" t="str">
            <v>Код ОКТМО</v>
          </cell>
          <cell r="E16" t="str">
            <v>50613402101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1076.2941136635336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2893.9749999999999</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422.16454768269182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70.238579999999999</v>
          </cell>
        </row>
        <row r="27">
          <cell r="F27">
            <v>1038.565361974559</v>
          </cell>
        </row>
        <row r="28">
          <cell r="F28">
            <v>797.66924882838634</v>
          </cell>
        </row>
        <row r="29">
          <cell r="F29">
            <v>240.89611314617269</v>
          </cell>
        </row>
        <row r="30">
          <cell r="F30">
            <v>2299.5935327949028</v>
          </cell>
        </row>
        <row r="33">
          <cell r="F33">
            <v>1585.4915887596349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18.5</v>
          </cell>
        </row>
        <row r="19">
          <cell r="E19">
            <v>26.27</v>
          </cell>
        </row>
      </sheetData>
      <sheetData sheetId="29" refreshError="1"/>
      <sheetData sheetId="30">
        <row r="12">
          <cell r="F12">
            <v>82.058572996838507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Верх-Урюм, Здвинский муниципальный район</v>
          </cell>
        </row>
        <row r="15">
          <cell r="D15" t="str">
            <v/>
          </cell>
        </row>
        <row r="16">
          <cell r="D16" t="str">
            <v>Код ОКТМО</v>
          </cell>
          <cell r="E16" t="str">
            <v>50613404101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961.2720896297086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2584.6999999999998</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413.43329812510336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60.48912</v>
          </cell>
        </row>
        <row r="27">
          <cell r="F27">
            <v>1038.565361974559</v>
          </cell>
        </row>
        <row r="28">
          <cell r="F28">
            <v>797.66924882838634</v>
          </cell>
        </row>
        <row r="29">
          <cell r="F29">
            <v>240.89611314617269</v>
          </cell>
        </row>
        <row r="30">
          <cell r="F30">
            <v>2131.3015892305139</v>
          </cell>
        </row>
        <row r="33">
          <cell r="F33">
            <v>1417.8734668002674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15.72</v>
          </cell>
        </row>
        <row r="19">
          <cell r="E19">
            <v>26.27</v>
          </cell>
        </row>
      </sheetData>
      <sheetData sheetId="29" refreshError="1"/>
      <sheetData sheetId="30">
        <row r="12">
          <cell r="F12">
            <v>79.583507525010234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Старогорносталево, Здвинский муниципальный район</v>
          </cell>
        </row>
        <row r="15">
          <cell r="D15" t="str">
            <v/>
          </cell>
        </row>
        <row r="16">
          <cell r="D16" t="str">
            <v>Код ОКТМО</v>
          </cell>
          <cell r="E16" t="str">
            <v>50613406101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977.62366990622797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2628.666666666667</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414.05345788390269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52.966604999999994</v>
          </cell>
        </row>
        <row r="27">
          <cell r="F27">
            <v>1038.565361974559</v>
          </cell>
        </row>
        <row r="28">
          <cell r="F28">
            <v>797.66924882838634</v>
          </cell>
        </row>
        <row r="29">
          <cell r="F29">
            <v>240.89611314617269</v>
          </cell>
        </row>
        <row r="30">
          <cell r="F30">
            <v>2154.6103442336571</v>
          </cell>
        </row>
        <row r="33">
          <cell r="F33">
            <v>1441.7021309195147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13.574999999999999</v>
          </cell>
        </row>
        <row r="19">
          <cell r="E19">
            <v>26.27</v>
          </cell>
        </row>
      </sheetData>
      <sheetData sheetId="29" refreshError="1"/>
      <sheetData sheetId="30">
        <row r="12">
          <cell r="F12">
            <v>79.922942325716619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Здвинск, Здвинский муниципальный район</v>
          </cell>
        </row>
        <row r="15">
          <cell r="D15" t="str">
            <v/>
          </cell>
        </row>
        <row r="16">
          <cell r="D16" t="str">
            <v>Код ОКТМО</v>
          </cell>
          <cell r="E16" t="str">
            <v>50613407101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1031.9440162873034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2774.7250000000004</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418.65661712746567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64.452030000000008</v>
          </cell>
        </row>
        <row r="27">
          <cell r="F27">
            <v>1038.565361974559</v>
          </cell>
        </row>
        <row r="28">
          <cell r="F28">
            <v>797.66924882838634</v>
          </cell>
        </row>
        <row r="29">
          <cell r="F29">
            <v>240.89611314617269</v>
          </cell>
        </row>
        <row r="30">
          <cell r="F30">
            <v>2234.5635451721519</v>
          </cell>
        </row>
        <row r="33">
          <cell r="F33">
            <v>1520.861531226195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16.850000000000001</v>
          </cell>
        </row>
        <row r="19">
          <cell r="E19">
            <v>26.27</v>
          </cell>
        </row>
      </sheetData>
      <sheetData sheetId="29" refreshError="1"/>
      <sheetData sheetId="30">
        <row r="12">
          <cell r="F12">
            <v>81.10141243820938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Лянино, Здвинский муниципальный район</v>
          </cell>
        </row>
        <row r="15">
          <cell r="D15" t="str">
            <v/>
          </cell>
        </row>
        <row r="16">
          <cell r="D16" t="str">
            <v>Код ОКТМО</v>
          </cell>
          <cell r="E16" t="str">
            <v>50613410101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1043.5475637769337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2805.9250000000002</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418.22925432678687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46.67154</v>
          </cell>
        </row>
        <row r="27">
          <cell r="F27">
            <v>1038.565361974559</v>
          </cell>
        </row>
        <row r="28">
          <cell r="F28">
            <v>797.66924882838634</v>
          </cell>
        </row>
        <row r="29">
          <cell r="F29">
            <v>240.89611314617269</v>
          </cell>
        </row>
        <row r="30">
          <cell r="F30">
            <v>2250.2441684090454</v>
          </cell>
        </row>
        <row r="33">
          <cell r="F33">
            <v>1537.7710305556991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11.78</v>
          </cell>
        </row>
        <row r="19">
          <cell r="E19">
            <v>26.27</v>
          </cell>
        </row>
      </sheetData>
      <sheetData sheetId="29" refreshError="1"/>
      <sheetData sheetId="30">
        <row r="12">
          <cell r="F12">
            <v>81.324936131988423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Нижний Урюм, Здвинский муниципальный район</v>
          </cell>
        </row>
        <row r="15">
          <cell r="D15" t="str">
            <v/>
          </cell>
        </row>
        <row r="16">
          <cell r="D16" t="str">
            <v>Код ОКТМО</v>
          </cell>
          <cell r="E16" t="str">
            <v>50613428101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1039.0505692770796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2793.8333333333335</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418.89246165456075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60.699539999999999</v>
          </cell>
        </row>
        <row r="27">
          <cell r="F27">
            <v>1038.565361974559</v>
          </cell>
        </row>
        <row r="28">
          <cell r="F28">
            <v>797.66924882838634</v>
          </cell>
        </row>
        <row r="29">
          <cell r="F29">
            <v>240.89611314617269</v>
          </cell>
        </row>
        <row r="30">
          <cell r="F30">
            <v>2244.6603616228813</v>
          </cell>
        </row>
        <row r="33">
          <cell r="F33">
            <v>1531.2176962802957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15.78</v>
          </cell>
        </row>
        <row r="19">
          <cell r="E19">
            <v>26.27</v>
          </cell>
        </row>
      </sheetData>
      <sheetData sheetId="29" refreshError="1"/>
      <sheetData sheetId="30">
        <row r="12">
          <cell r="F12">
            <v>81.248260388546825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Нижний Чулым, Здвинский муниципальный район</v>
          </cell>
        </row>
        <row r="15">
          <cell r="D15" t="str">
            <v/>
          </cell>
        </row>
        <row r="16">
          <cell r="D16" t="str">
            <v>Код ОКТМО</v>
          </cell>
          <cell r="E16" t="str">
            <v>50613413101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1059.5985179566328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2849.0833333333335</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421.18167540233378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72.903900000000007</v>
          </cell>
        </row>
        <row r="27">
          <cell r="F27">
            <v>1038.565361974559</v>
          </cell>
        </row>
        <row r="28">
          <cell r="F28">
            <v>797.66924882838634</v>
          </cell>
        </row>
        <row r="29">
          <cell r="F29">
            <v>240.89611314617269</v>
          </cell>
        </row>
        <row r="30">
          <cell r="F30">
            <v>2275.4477556011816</v>
          </cell>
        </row>
        <row r="33">
          <cell r="F33">
            <v>1561.1616013429584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19.260000000000002</v>
          </cell>
        </row>
        <row r="19">
          <cell r="E19">
            <v>26.27</v>
          </cell>
        </row>
      </sheetData>
      <sheetData sheetId="29" refreshError="1"/>
      <sheetData sheetId="30">
        <row r="12">
          <cell r="F12">
            <v>81.705003637093341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Новороссийское, Здвинский муниципальный район</v>
          </cell>
        </row>
        <row r="15">
          <cell r="D15" t="str">
            <v/>
          </cell>
        </row>
        <row r="16">
          <cell r="D16" t="str">
            <v>Код ОКТМО</v>
          </cell>
          <cell r="E16" t="str">
            <v>50613416101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1086.4255230501792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2921.2166666666667</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421.51433058931559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50.739660000000001</v>
          </cell>
        </row>
        <row r="27">
          <cell r="F27">
            <v>1038.565361974559</v>
          </cell>
        </row>
        <row r="28">
          <cell r="F28">
            <v>797.66924882838634</v>
          </cell>
        </row>
        <row r="29">
          <cell r="F29">
            <v>240.89611314617269</v>
          </cell>
        </row>
        <row r="30">
          <cell r="F30">
            <v>2313.0100865154554</v>
          </cell>
        </row>
        <row r="33">
          <cell r="F33">
            <v>1600.2557856902299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12.94</v>
          </cell>
        </row>
        <row r="19">
          <cell r="E19">
            <v>26.27</v>
          </cell>
        </row>
      </sheetData>
      <sheetData sheetId="29" refreshError="1"/>
      <sheetData sheetId="30">
        <row r="12">
          <cell r="F12">
            <v>82.248196842703891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Петраки, Здвинский муниципальный район</v>
          </cell>
        </row>
        <row r="15">
          <cell r="D15" t="str">
            <v/>
          </cell>
        </row>
        <row r="16">
          <cell r="D16" t="str">
            <v>Код ОКТМО</v>
          </cell>
          <cell r="E16" t="str">
            <v>50613419101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1018.8683306946884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2739.5666666666666</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416.5872827435216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47.898990000000005</v>
          </cell>
        </row>
        <row r="27">
          <cell r="F27">
            <v>1038.565361974559</v>
          </cell>
        </row>
        <row r="28">
          <cell r="F28">
            <v>797.66924882838634</v>
          </cell>
        </row>
        <row r="29">
          <cell r="F29">
            <v>240.89611314617269</v>
          </cell>
        </row>
        <row r="30">
          <cell r="F30">
            <v>2214.3647010064369</v>
          </cell>
        </row>
        <row r="33">
          <cell r="F33">
            <v>1501.8067294977823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12.13</v>
          </cell>
        </row>
        <row r="19">
          <cell r="E19">
            <v>26.27</v>
          </cell>
        </row>
      </sheetData>
      <sheetData sheetId="29" refreshError="1"/>
      <sheetData sheetId="30">
        <row r="12">
          <cell r="F12">
            <v>80.798512038678197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Березовка, Здвинский муниципальный район</v>
          </cell>
        </row>
        <row r="15">
          <cell r="D15" t="str">
            <v/>
          </cell>
        </row>
        <row r="16">
          <cell r="D16" t="str">
            <v>Код ОКТМО</v>
          </cell>
          <cell r="E16" t="str">
            <v>50613422101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1042.4411357711112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2802.9500000000003</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419.15302873653354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61.032705000000007</v>
          </cell>
        </row>
        <row r="27">
          <cell r="F27">
            <v>1038.565361974559</v>
          </cell>
        </row>
        <row r="28">
          <cell r="F28">
            <v>797.66924882838634</v>
          </cell>
        </row>
        <row r="29">
          <cell r="F29">
            <v>240.89611314617269</v>
          </cell>
        </row>
        <row r="30">
          <cell r="F30">
            <v>2249.6243580573946</v>
          </cell>
        </row>
        <row r="33">
          <cell r="F33">
            <v>1536.1586664369399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15.875000000000002</v>
          </cell>
        </row>
        <row r="19">
          <cell r="E19">
            <v>26.27</v>
          </cell>
        </row>
      </sheetData>
      <sheetData sheetId="29" refreshError="1"/>
      <sheetData sheetId="30">
        <row r="12">
          <cell r="F12">
            <v>81.321283060066904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Сарыбалык, Здвинский муниципальный район</v>
          </cell>
        </row>
        <row r="15">
          <cell r="D15" t="str">
            <v/>
          </cell>
        </row>
        <row r="16">
          <cell r="D16" t="str">
            <v>Код ОКТМО</v>
          </cell>
          <cell r="E16" t="str">
            <v>50613425101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1034.987468112842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2782.9083333333333</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418.16305596410672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54.316800000000001</v>
          </cell>
        </row>
        <row r="27">
          <cell r="F27">
            <v>1038.565361974559</v>
          </cell>
        </row>
        <row r="28">
          <cell r="F28">
            <v>797.66924882838634</v>
          </cell>
        </row>
        <row r="29">
          <cell r="F29">
            <v>240.89611314617269</v>
          </cell>
        </row>
        <row r="30">
          <cell r="F30">
            <v>2238.2981919942886</v>
          </cell>
        </row>
        <row r="33">
          <cell r="F33">
            <v>1525.2966616593073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13.96</v>
          </cell>
        </row>
        <row r="19">
          <cell r="E19">
            <v>26.27</v>
          </cell>
        </row>
      </sheetData>
      <sheetData sheetId="29" refreshError="1"/>
      <sheetData sheetId="30">
        <row r="12">
          <cell r="F12">
            <v>81.152410251452977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Цветники, Здвинский муниципальный район</v>
          </cell>
        </row>
        <row r="15">
          <cell r="D15" t="str">
            <v/>
          </cell>
        </row>
        <row r="16">
          <cell r="D16" t="str">
            <v>Код ОКТМО</v>
          </cell>
          <cell r="E16" t="str">
            <v>50613430101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1028.9563507477728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2766.6916666666671</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418.31789594478238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62.593319999999999</v>
          </cell>
        </row>
        <row r="27">
          <cell r="F27">
            <v>1038.565361974559</v>
          </cell>
        </row>
        <row r="28">
          <cell r="F28">
            <v>797.66924882838634</v>
          </cell>
        </row>
        <row r="29">
          <cell r="F29">
            <v>240.89611314617269</v>
          </cell>
        </row>
        <row r="30">
          <cell r="F30">
            <v>2230.0812480165691</v>
          </cell>
        </row>
        <row r="33">
          <cell r="F33">
            <v>1516.5076964629366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16.32</v>
          </cell>
        </row>
        <row r="19">
          <cell r="E19">
            <v>26.27</v>
          </cell>
        </row>
      </sheetData>
      <sheetData sheetId="29" refreshError="1"/>
      <sheetData sheetId="30">
        <row r="12">
          <cell r="F12">
            <v>81.034884703765115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Чулым, Здвинский муниципальный район</v>
          </cell>
        </row>
        <row r="15">
          <cell r="D15" t="str">
            <v/>
          </cell>
        </row>
        <row r="16">
          <cell r="D16" t="str">
            <v>Код ОКТМО</v>
          </cell>
          <cell r="E16" t="str">
            <v>50613431101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1025.5007002533982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2757.4</v>
          </cell>
        </row>
      </sheetData>
      <sheetData sheetId="9" refreshError="1"/>
      <sheetData sheetId="10" refreshError="1"/>
      <sheetData sheetId="11"/>
      <sheetData sheetId="12" refreshError="1"/>
      <sheetData sheetId="13">
        <row r="12">
          <cell r="F12">
            <v>2101.7757879094611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637.93498622918537</v>
          </cell>
        </row>
        <row r="27">
          <cell r="F27">
            <v>0.10988357099999999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502.69420058623905</v>
          </cell>
        </row>
        <row r="14">
          <cell r="F14">
            <v>6976.0888978803041</v>
          </cell>
        </row>
        <row r="15">
          <cell r="F15">
            <v>0.2</v>
          </cell>
        </row>
        <row r="18">
          <cell r="F18">
            <v>15</v>
          </cell>
        </row>
        <row r="19">
          <cell r="F19">
            <v>3487.1555421534131</v>
          </cell>
        </row>
        <row r="20">
          <cell r="F20">
            <v>2.1999999999999999E-2</v>
          </cell>
        </row>
        <row r="21">
          <cell r="F21">
            <v>10</v>
          </cell>
        </row>
        <row r="22">
          <cell r="F22">
            <v>1.9138049586875561</v>
          </cell>
        </row>
        <row r="23">
          <cell r="F23">
            <v>3.0000000000000001E-3</v>
          </cell>
        </row>
        <row r="24">
          <cell r="F24">
            <v>637.93498622918537</v>
          </cell>
        </row>
      </sheetData>
      <sheetData sheetId="24"/>
      <sheetData sheetId="25">
        <row r="12">
          <cell r="F12">
            <v>418.62367869812374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70.448999999999998</v>
          </cell>
        </row>
        <row r="27">
          <cell r="F27">
            <v>1038.565361974559</v>
          </cell>
        </row>
        <row r="28">
          <cell r="F28">
            <v>797.66924882838634</v>
          </cell>
        </row>
        <row r="29">
          <cell r="F29">
            <v>240.89611314617269</v>
          </cell>
        </row>
        <row r="30">
          <cell r="F30">
            <v>2225.5883683057364</v>
          </cell>
        </row>
        <row r="33">
          <cell r="F33">
            <v>1511.4718813581296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18.559999999999999</v>
          </cell>
        </row>
        <row r="19">
          <cell r="E19">
            <v>26.27</v>
          </cell>
        </row>
      </sheetData>
      <sheetData sheetId="29" refreshError="1"/>
      <sheetData sheetId="30">
        <row r="12">
          <cell r="F12">
            <v>80.971887348944435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M14" sqref="M14"/>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[5]И1!D13</f>
        <v>Субъект Российской Федерации</v>
      </c>
      <c r="C4" s="10" t="str">
        <f>[5]И1!E13</f>
        <v>Новосибирская область</v>
      </c>
    </row>
    <row r="5" spans="1:3" ht="38.25">
      <c r="A5" s="8"/>
      <c r="B5" s="9" t="str">
        <f>[5]И1!D14</f>
        <v>Тип муниципального образования (выберите из списка)</v>
      </c>
      <c r="C5" s="10" t="str">
        <f>[5]И1!E14</f>
        <v>деревня Алексеевка, Купинский муниципальный район</v>
      </c>
    </row>
    <row r="6" spans="1:3">
      <c r="A6" s="8"/>
      <c r="B6" s="9" t="str">
        <f>IF([5]И1!E15="","",[5]И1!D15)</f>
        <v/>
      </c>
      <c r="C6" s="10" t="str">
        <f>IF([5]И1!E15="","",[5]И1!E15)</f>
        <v/>
      </c>
    </row>
    <row r="7" spans="1:3">
      <c r="A7" s="8"/>
      <c r="B7" s="9" t="str">
        <f>[5]И1!D16</f>
        <v>Код ОКТМО</v>
      </c>
      <c r="C7" s="11" t="str">
        <f>[5]И1!E16</f>
        <v>50613401101</v>
      </c>
    </row>
    <row r="8" spans="1:3">
      <c r="A8" s="8"/>
      <c r="B8" s="12" t="str">
        <f>[5]И1!D17</f>
        <v>Система теплоснабжения</v>
      </c>
      <c r="C8" s="13">
        <f>[5]И1!E17</f>
        <v>0</v>
      </c>
    </row>
    <row r="9" spans="1:3">
      <c r="A9" s="8"/>
      <c r="B9" s="9" t="str">
        <f>[5]И1!D8</f>
        <v>Период регулирования (i)-й</v>
      </c>
      <c r="C9" s="14">
        <f>[5]И1!E8</f>
        <v>2023</v>
      </c>
    </row>
    <row r="10" spans="1:3">
      <c r="A10" s="8"/>
      <c r="B10" s="9" t="str">
        <f>[5]И1!D9</f>
        <v>Период регулирования (i-1)-й</v>
      </c>
      <c r="C10" s="14">
        <f>[5]И1!E9</f>
        <v>2022</v>
      </c>
    </row>
    <row r="11" spans="1:3">
      <c r="A11" s="8"/>
      <c r="B11" s="9" t="str">
        <f>[5]И1!D10</f>
        <v>Период регулирования (i-2)-й</v>
      </c>
      <c r="C11" s="14">
        <f>[5]И1!E10</f>
        <v>2021</v>
      </c>
    </row>
    <row r="12" spans="1:3">
      <c r="A12" s="8"/>
      <c r="B12" s="9" t="str">
        <f>[5]И1!D11</f>
        <v>Базовый год (б)</v>
      </c>
      <c r="C12" s="14">
        <f>[5]И1!E11</f>
        <v>2019</v>
      </c>
    </row>
    <row r="13" spans="1:3" ht="38.25">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4068.5493254545559</v>
      </c>
    </row>
    <row r="18" spans="1:3" ht="42.75">
      <c r="A18" s="22" t="s">
        <v>8</v>
      </c>
      <c r="B18" s="25" t="s">
        <v>9</v>
      </c>
      <c r="C18" s="26">
        <f>[5]С1!F12</f>
        <v>970.18549843851633</v>
      </c>
    </row>
    <row r="19" spans="1:3" ht="42.75">
      <c r="A19" s="22" t="s">
        <v>10</v>
      </c>
      <c r="B19" s="25" t="s">
        <v>11</v>
      </c>
      <c r="C19" s="26">
        <f>[5]С2!F12</f>
        <v>2101.7757879094611</v>
      </c>
    </row>
    <row r="20" spans="1:3" ht="30">
      <c r="A20" s="22" t="s">
        <v>12</v>
      </c>
      <c r="B20" s="25" t="s">
        <v>13</v>
      </c>
      <c r="C20" s="26">
        <f>[5]С3!F12</f>
        <v>502.69420058623905</v>
      </c>
    </row>
    <row r="21" spans="1:3" ht="42.75">
      <c r="A21" s="22" t="s">
        <v>14</v>
      </c>
      <c r="B21" s="25" t="s">
        <v>15</v>
      </c>
      <c r="C21" s="26">
        <f>[5]С4!F12</f>
        <v>414.11836155064253</v>
      </c>
    </row>
    <row r="22" spans="1:3" ht="30">
      <c r="A22" s="22" t="s">
        <v>16</v>
      </c>
      <c r="B22" s="25" t="s">
        <v>17</v>
      </c>
      <c r="C22" s="26">
        <f>[5]С5!F12</f>
        <v>79.775476969697181</v>
      </c>
    </row>
    <row r="23" spans="1:3" ht="43.5" thickBot="1">
      <c r="A23" s="27" t="s">
        <v>18</v>
      </c>
      <c r="B23" s="117" t="s">
        <v>19</v>
      </c>
      <c r="C23" s="28" t="str">
        <f>[5]С6!F12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[5]С1.1!E16</f>
        <v>5100</v>
      </c>
    </row>
    <row r="29" spans="1:3" ht="42.75">
      <c r="A29" s="22" t="s">
        <v>10</v>
      </c>
      <c r="B29" s="33" t="s">
        <v>22</v>
      </c>
      <c r="C29" s="34">
        <f>[5]С1.1!E27</f>
        <v>2608.666666666667</v>
      </c>
    </row>
    <row r="30" spans="1:3" ht="17.25">
      <c r="A30" s="22" t="s">
        <v>12</v>
      </c>
      <c r="B30" s="33" t="s">
        <v>23</v>
      </c>
      <c r="C30" s="35">
        <f>[5]С1.1!E19</f>
        <v>0.59499999999999997</v>
      </c>
    </row>
    <row r="31" spans="1:3" ht="17.25">
      <c r="A31" s="22" t="s">
        <v>14</v>
      </c>
      <c r="B31" s="33" t="s">
        <v>24</v>
      </c>
      <c r="C31" s="35">
        <f>[5]С1.1!E20</f>
        <v>-0.113</v>
      </c>
    </row>
    <row r="32" spans="1:3" ht="30">
      <c r="A32" s="22" t="s">
        <v>16</v>
      </c>
      <c r="B32" s="36" t="s">
        <v>25</v>
      </c>
      <c r="C32" s="37">
        <f>[5]С1!F13</f>
        <v>176.4</v>
      </c>
    </row>
    <row r="33" spans="1:3">
      <c r="A33" s="22" t="s">
        <v>18</v>
      </c>
      <c r="B33" s="36" t="s">
        <v>26</v>
      </c>
      <c r="C33" s="38">
        <f>[5]С1!F16</f>
        <v>7000</v>
      </c>
    </row>
    <row r="34" spans="1:3" ht="14.25">
      <c r="A34" s="22" t="s">
        <v>27</v>
      </c>
      <c r="B34" s="39" t="s">
        <v>28</v>
      </c>
      <c r="C34" s="40">
        <f>[5]С1!F17</f>
        <v>0.72857142857142854</v>
      </c>
    </row>
    <row r="35" spans="1:3" ht="15.75">
      <c r="A35" s="41" t="s">
        <v>29</v>
      </c>
      <c r="B35" s="42" t="s">
        <v>30</v>
      </c>
      <c r="C35" s="40">
        <f>[5]С1!F20</f>
        <v>21.588411179999994</v>
      </c>
    </row>
    <row r="36" spans="1:3" ht="15.75">
      <c r="A36" s="41" t="s">
        <v>31</v>
      </c>
      <c r="B36" s="43" t="s">
        <v>32</v>
      </c>
      <c r="C36" s="40">
        <f>[5]С1!F21</f>
        <v>20.818139999999996</v>
      </c>
    </row>
    <row r="37" spans="1:3" ht="14.25">
      <c r="A37" s="41" t="s">
        <v>33</v>
      </c>
      <c r="B37" s="44" t="s">
        <v>34</v>
      </c>
      <c r="C37" s="40">
        <f>[5]С1!F22</f>
        <v>1.0369999999999999</v>
      </c>
    </row>
    <row r="38" spans="1:3" ht="53.25" thickBot="1">
      <c r="A38" s="27" t="s">
        <v>35</v>
      </c>
      <c r="B38" s="45" t="s">
        <v>36</v>
      </c>
      <c r="C38" s="46">
        <f>[5]С1!F23</f>
        <v>1.0469999999999999</v>
      </c>
    </row>
    <row r="39" spans="1:3" ht="13.5" thickBot="1">
      <c r="A39" s="47"/>
      <c r="B39" s="48"/>
      <c r="C39" s="49"/>
    </row>
    <row r="40" spans="1:3" ht="30" customHeight="1">
      <c r="A40" s="50" t="s">
        <v>37</v>
      </c>
      <c r="B40" s="118" t="s">
        <v>38</v>
      </c>
      <c r="C40" s="118"/>
    </row>
    <row r="41" spans="1:3" ht="25.5">
      <c r="A41" s="22" t="s">
        <v>39</v>
      </c>
      <c r="B41" s="36" t="s">
        <v>40</v>
      </c>
      <c r="C41" s="51" t="str">
        <f>[5]С2.1!E12</f>
        <v>V</v>
      </c>
    </row>
    <row r="42" spans="1:3" ht="25.5">
      <c r="A42" s="22" t="s">
        <v>41</v>
      </c>
      <c r="B42" s="33" t="s">
        <v>42</v>
      </c>
      <c r="C42" s="51" t="str">
        <f>[5]С2.1!E13</f>
        <v>6 и менее баллов</v>
      </c>
    </row>
    <row r="43" spans="1:3" ht="25.5">
      <c r="A43" s="22" t="s">
        <v>43</v>
      </c>
      <c r="B43" s="33" t="s">
        <v>44</v>
      </c>
      <c r="C43" s="51" t="str">
        <f>[5]С2.1!E14</f>
        <v>от 200 до 500</v>
      </c>
    </row>
    <row r="44" spans="1:3" ht="25.5">
      <c r="A44" s="22" t="s">
        <v>45</v>
      </c>
      <c r="B44" s="33" t="s">
        <v>46</v>
      </c>
      <c r="C44" s="52" t="str">
        <f>[5]С2.1!E15</f>
        <v>нет</v>
      </c>
    </row>
    <row r="45" spans="1:3" ht="30">
      <c r="A45" s="22" t="s">
        <v>47</v>
      </c>
      <c r="B45" s="33" t="s">
        <v>48</v>
      </c>
      <c r="C45" s="34">
        <f>[5]С2!F18</f>
        <v>32402.627334033532</v>
      </c>
    </row>
    <row r="46" spans="1:3" ht="30">
      <c r="A46" s="22" t="s">
        <v>49</v>
      </c>
      <c r="B46" s="53" t="s">
        <v>50</v>
      </c>
      <c r="C46" s="34">
        <f>IF([5]С2!F19&gt;0,[5]С2!F19,[5]С2!F20)</f>
        <v>23441.524932855718</v>
      </c>
    </row>
    <row r="47" spans="1:3" ht="25.5">
      <c r="A47" s="22" t="s">
        <v>51</v>
      </c>
      <c r="B47" s="54" t="s">
        <v>52</v>
      </c>
      <c r="C47" s="34">
        <f>[5]С2.1!E19</f>
        <v>-38</v>
      </c>
    </row>
    <row r="48" spans="1:3" ht="25.5">
      <c r="A48" s="22" t="s">
        <v>53</v>
      </c>
      <c r="B48" s="54" t="s">
        <v>54</v>
      </c>
      <c r="C48" s="34" t="str">
        <f>[5]С2.1!E22</f>
        <v>нет</v>
      </c>
    </row>
    <row r="49" spans="1:3" ht="38.25">
      <c r="A49" s="22" t="s">
        <v>55</v>
      </c>
      <c r="B49" s="55" t="s">
        <v>56</v>
      </c>
      <c r="C49" s="34">
        <f>[5]С2.2!E10</f>
        <v>1287</v>
      </c>
    </row>
    <row r="50" spans="1:3" ht="25.5">
      <c r="A50" s="22" t="s">
        <v>57</v>
      </c>
      <c r="B50" s="56" t="s">
        <v>58</v>
      </c>
      <c r="C50" s="34">
        <f>[5]С2.2!E12</f>
        <v>5.97</v>
      </c>
    </row>
    <row r="51" spans="1:3" ht="52.5">
      <c r="A51" s="22" t="s">
        <v>59</v>
      </c>
      <c r="B51" s="57" t="s">
        <v>60</v>
      </c>
      <c r="C51" s="34">
        <f>[5]С2.2!E13</f>
        <v>1</v>
      </c>
    </row>
    <row r="52" spans="1:3" ht="27.75">
      <c r="A52" s="22" t="s">
        <v>61</v>
      </c>
      <c r="B52" s="56" t="s">
        <v>62</v>
      </c>
      <c r="C52" s="34">
        <f>[5]С2.2!E14</f>
        <v>12104</v>
      </c>
    </row>
    <row r="53" spans="1:3" ht="25.5">
      <c r="A53" s="22" t="s">
        <v>63</v>
      </c>
      <c r="B53" s="57" t="s">
        <v>64</v>
      </c>
      <c r="C53" s="35">
        <f>[5]С2.2!E15</f>
        <v>4.8000000000000001E-2</v>
      </c>
    </row>
    <row r="54" spans="1:3">
      <c r="A54" s="22" t="s">
        <v>65</v>
      </c>
      <c r="B54" s="57" t="s">
        <v>66</v>
      </c>
      <c r="C54" s="34">
        <f>[5]С2.2!E16</f>
        <v>1</v>
      </c>
    </row>
    <row r="55" spans="1:3" ht="15.75">
      <c r="A55" s="22" t="s">
        <v>67</v>
      </c>
      <c r="B55" s="58" t="s">
        <v>68</v>
      </c>
      <c r="C55" s="34">
        <f>[5]С2!F21</f>
        <v>1</v>
      </c>
    </row>
    <row r="56" spans="1:3" ht="30">
      <c r="A56" s="59" t="s">
        <v>69</v>
      </c>
      <c r="B56" s="33" t="s">
        <v>70</v>
      </c>
      <c r="C56" s="34">
        <f>[5]С2!F13</f>
        <v>169640.22915965237</v>
      </c>
    </row>
    <row r="57" spans="1:3" ht="30">
      <c r="A57" s="59" t="s">
        <v>71</v>
      </c>
      <c r="B57" s="58" t="s">
        <v>72</v>
      </c>
      <c r="C57" s="34">
        <f>[5]С2!F14</f>
        <v>113455</v>
      </c>
    </row>
    <row r="58" spans="1:3" ht="15.75">
      <c r="A58" s="59" t="s">
        <v>73</v>
      </c>
      <c r="B58" s="60" t="s">
        <v>74</v>
      </c>
      <c r="C58" s="40">
        <f>[5]С2!F15</f>
        <v>1.071</v>
      </c>
    </row>
    <row r="59" spans="1:3" ht="15.75">
      <c r="A59" s="59" t="s">
        <v>75</v>
      </c>
      <c r="B59" s="60" t="s">
        <v>76</v>
      </c>
      <c r="C59" s="40">
        <f>[5]С2!F16</f>
        <v>1</v>
      </c>
    </row>
    <row r="60" spans="1:3" ht="17.25">
      <c r="A60" s="59" t="s">
        <v>77</v>
      </c>
      <c r="B60" s="58" t="s">
        <v>78</v>
      </c>
      <c r="C60" s="34">
        <f>[5]С2!F17</f>
        <v>1.01</v>
      </c>
    </row>
    <row r="61" spans="1:3" s="63" customFormat="1" ht="14.25">
      <c r="A61" s="59" t="s">
        <v>79</v>
      </c>
      <c r="B61" s="61" t="s">
        <v>80</v>
      </c>
      <c r="C61" s="62">
        <f>[5]С2!F33</f>
        <v>10</v>
      </c>
    </row>
    <row r="62" spans="1:3" ht="30">
      <c r="A62" s="59" t="s">
        <v>81</v>
      </c>
      <c r="B62" s="64" t="s">
        <v>82</v>
      </c>
      <c r="C62" s="34">
        <f>[5]С2!F26</f>
        <v>637.93498622918537</v>
      </c>
    </row>
    <row r="63" spans="1:3" ht="17.25">
      <c r="A63" s="59" t="s">
        <v>83</v>
      </c>
      <c r="B63" s="53" t="s">
        <v>84</v>
      </c>
      <c r="C63" s="34">
        <f>[5]С2!F27</f>
        <v>0.10988357099999999</v>
      </c>
    </row>
    <row r="64" spans="1:3" ht="17.25">
      <c r="A64" s="59" t="s">
        <v>85</v>
      </c>
      <c r="B64" s="58" t="s">
        <v>86</v>
      </c>
      <c r="C64" s="62">
        <f>[5]С2!F28</f>
        <v>4200</v>
      </c>
    </row>
    <row r="65" spans="1:3" ht="42.75">
      <c r="A65" s="59" t="s">
        <v>87</v>
      </c>
      <c r="B65" s="33" t="s">
        <v>88</v>
      </c>
      <c r="C65" s="34">
        <f>[5]С2!F22</f>
        <v>35717.748653137714</v>
      </c>
    </row>
    <row r="66" spans="1:3" ht="30">
      <c r="A66" s="59" t="s">
        <v>89</v>
      </c>
      <c r="B66" s="60" t="s">
        <v>90</v>
      </c>
      <c r="C66" s="34">
        <f>[5]С2!F23</f>
        <v>1990</v>
      </c>
    </row>
    <row r="67" spans="1:3" ht="30">
      <c r="A67" s="59" t="s">
        <v>91</v>
      </c>
      <c r="B67" s="53" t="s">
        <v>92</v>
      </c>
      <c r="C67" s="34">
        <f>[5]С2.1!E27</f>
        <v>14307.876789999998</v>
      </c>
    </row>
    <row r="68" spans="1:3" ht="38.25">
      <c r="A68" s="59" t="s">
        <v>93</v>
      </c>
      <c r="B68" s="65" t="s">
        <v>94</v>
      </c>
      <c r="C68" s="52">
        <f>[5]С2.3!E21</f>
        <v>0</v>
      </c>
    </row>
    <row r="69" spans="1:3" ht="25.5">
      <c r="A69" s="59" t="s">
        <v>95</v>
      </c>
      <c r="B69" s="66" t="s">
        <v>96</v>
      </c>
      <c r="C69" s="67">
        <f>[5]С2.3!E11</f>
        <v>9.89</v>
      </c>
    </row>
    <row r="70" spans="1:3" ht="25.5">
      <c r="A70" s="59" t="s">
        <v>97</v>
      </c>
      <c r="B70" s="66" t="s">
        <v>98</v>
      </c>
      <c r="C70" s="62">
        <f>[5]С2.3!E13</f>
        <v>300</v>
      </c>
    </row>
    <row r="71" spans="1:3" ht="25.5">
      <c r="A71" s="59" t="s">
        <v>99</v>
      </c>
      <c r="B71" s="65" t="s">
        <v>100</v>
      </c>
      <c r="C71" s="68">
        <f>IF([5]С2.3!E22&gt;0,[5]С2.3!E22,[5]С2.3!E14)</f>
        <v>61211</v>
      </c>
    </row>
    <row r="72" spans="1:3" ht="38.25">
      <c r="A72" s="59" t="s">
        <v>101</v>
      </c>
      <c r="B72" s="65" t="s">
        <v>102</v>
      </c>
      <c r="C72" s="68">
        <f>IF([5]С2.3!E23&gt;0,[5]С2.3!E23,[5]С2.3!E15)</f>
        <v>45675</v>
      </c>
    </row>
    <row r="73" spans="1:3" ht="30">
      <c r="A73" s="59" t="s">
        <v>103</v>
      </c>
      <c r="B73" s="53" t="s">
        <v>104</v>
      </c>
      <c r="C73" s="34">
        <f>[5]С2.1!E28</f>
        <v>9541.9567200000001</v>
      </c>
    </row>
    <row r="74" spans="1:3" ht="38.25">
      <c r="A74" s="59" t="s">
        <v>105</v>
      </c>
      <c r="B74" s="65" t="s">
        <v>106</v>
      </c>
      <c r="C74" s="52">
        <f>[5]С2.3!E25</f>
        <v>0</v>
      </c>
    </row>
    <row r="75" spans="1:3" ht="25.5">
      <c r="A75" s="59" t="s">
        <v>107</v>
      </c>
      <c r="B75" s="66" t="s">
        <v>108</v>
      </c>
      <c r="C75" s="67">
        <f>[5]С2.3!E12</f>
        <v>0.56000000000000005</v>
      </c>
    </row>
    <row r="76" spans="1:3" ht="25.5">
      <c r="A76" s="59" t="s">
        <v>109</v>
      </c>
      <c r="B76" s="66" t="s">
        <v>98</v>
      </c>
      <c r="C76" s="62">
        <f>[5]С2.3!E13</f>
        <v>300</v>
      </c>
    </row>
    <row r="77" spans="1:3" ht="25.5">
      <c r="A77" s="59" t="s">
        <v>110</v>
      </c>
      <c r="B77" s="69" t="s">
        <v>111</v>
      </c>
      <c r="C77" s="68">
        <f>IF([5]С2.3!E26&gt;0,[5]С2.3!E26,[5]С2.3!E16)</f>
        <v>65637</v>
      </c>
    </row>
    <row r="78" spans="1:3" ht="38.25">
      <c r="A78" s="59" t="s">
        <v>112</v>
      </c>
      <c r="B78" s="69" t="s">
        <v>113</v>
      </c>
      <c r="C78" s="68">
        <f>IF([5]С2.3!E27&gt;0,[5]С2.3!E27,[5]С2.3!E17)</f>
        <v>31684</v>
      </c>
    </row>
    <row r="79" spans="1:3" ht="17.25">
      <c r="A79" s="59" t="s">
        <v>114</v>
      </c>
      <c r="B79" s="33" t="s">
        <v>115</v>
      </c>
      <c r="C79" s="35">
        <f>[5]С2!F29</f>
        <v>0.128978033685065</v>
      </c>
    </row>
    <row r="80" spans="1:3" ht="30">
      <c r="A80" s="59" t="s">
        <v>116</v>
      </c>
      <c r="B80" s="53" t="s">
        <v>117</v>
      </c>
      <c r="C80" s="70">
        <f>[5]С2!F30</f>
        <v>0.11668498168498169</v>
      </c>
    </row>
    <row r="81" spans="1:3" ht="17.25">
      <c r="A81" s="59" t="s">
        <v>118</v>
      </c>
      <c r="B81" s="71" t="s">
        <v>119</v>
      </c>
      <c r="C81" s="35">
        <f>[5]С2!F31</f>
        <v>0.13880000000000001</v>
      </c>
    </row>
    <row r="82" spans="1:3" s="63" customFormat="1" ht="18" thickBot="1">
      <c r="A82" s="72" t="s">
        <v>120</v>
      </c>
      <c r="B82" s="73" t="s">
        <v>121</v>
      </c>
      <c r="C82" s="74">
        <f>[5]С2!F32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[5]С3!F14</f>
        <v>6976.0888978803041</v>
      </c>
    </row>
    <row r="86" spans="1:3" s="63" customFormat="1" ht="42.75">
      <c r="A86" s="77" t="s">
        <v>126</v>
      </c>
      <c r="B86" s="53" t="s">
        <v>127</v>
      </c>
      <c r="C86" s="78">
        <f>[5]С3!F15</f>
        <v>0.2</v>
      </c>
    </row>
    <row r="87" spans="1:3" s="63" customFormat="1" ht="14.25">
      <c r="A87" s="77" t="s">
        <v>128</v>
      </c>
      <c r="B87" s="79" t="s">
        <v>129</v>
      </c>
      <c r="C87" s="62">
        <f>[5]С3!F18</f>
        <v>15</v>
      </c>
    </row>
    <row r="88" spans="1:3" s="63" customFormat="1" ht="17.25">
      <c r="A88" s="77" t="s">
        <v>130</v>
      </c>
      <c r="B88" s="33" t="s">
        <v>131</v>
      </c>
      <c r="C88" s="34">
        <f>[5]С3!F19</f>
        <v>3487.1555421534131</v>
      </c>
    </row>
    <row r="89" spans="1:3" s="63" customFormat="1" ht="55.5">
      <c r="A89" s="77" t="s">
        <v>132</v>
      </c>
      <c r="B89" s="53" t="s">
        <v>133</v>
      </c>
      <c r="C89" s="80">
        <f>[5]С3!F20</f>
        <v>2.1999999999999999E-2</v>
      </c>
    </row>
    <row r="90" spans="1:3" s="63" customFormat="1" ht="14.25">
      <c r="A90" s="77" t="s">
        <v>134</v>
      </c>
      <c r="B90" s="58" t="s">
        <v>80</v>
      </c>
      <c r="C90" s="62">
        <f>[5]С3!F21</f>
        <v>10</v>
      </c>
    </row>
    <row r="91" spans="1:3" s="63" customFormat="1" ht="17.25">
      <c r="A91" s="77" t="s">
        <v>135</v>
      </c>
      <c r="B91" s="33" t="s">
        <v>136</v>
      </c>
      <c r="C91" s="34">
        <f>[5]С3!F22</f>
        <v>1.9138049586875561</v>
      </c>
    </row>
    <row r="92" spans="1:3" s="63" customFormat="1" ht="55.5">
      <c r="A92" s="77" t="s">
        <v>137</v>
      </c>
      <c r="B92" s="53" t="s">
        <v>138</v>
      </c>
      <c r="C92" s="80">
        <f>[5]С3!F23</f>
        <v>3.0000000000000001E-3</v>
      </c>
    </row>
    <row r="93" spans="1:3" s="63" customFormat="1" ht="27.75" thickBot="1">
      <c r="A93" s="81" t="s">
        <v>139</v>
      </c>
      <c r="B93" s="82" t="s">
        <v>140</v>
      </c>
      <c r="C93" s="83">
        <f>[5]С3!F24</f>
        <v>637.93498622918537</v>
      </c>
    </row>
    <row r="94" spans="1:3" ht="13.5" thickBot="1">
      <c r="A94" s="47"/>
      <c r="B94" s="75"/>
      <c r="C94" s="15"/>
    </row>
    <row r="95" spans="1:3" ht="30" customHeight="1">
      <c r="A95" s="84" t="s">
        <v>141</v>
      </c>
      <c r="B95" s="118" t="s">
        <v>142</v>
      </c>
      <c r="C95" s="118"/>
    </row>
    <row r="96" spans="1:3" ht="30">
      <c r="A96" s="59" t="s">
        <v>143</v>
      </c>
      <c r="B96" s="33" t="s">
        <v>144</v>
      </c>
      <c r="C96" s="34">
        <f>[5]С4!F16</f>
        <v>1652.5</v>
      </c>
    </row>
    <row r="97" spans="1:3" ht="30">
      <c r="A97" s="59" t="s">
        <v>145</v>
      </c>
      <c r="B97" s="58" t="s">
        <v>146</v>
      </c>
      <c r="C97" s="34">
        <f>[5]С4!F17</f>
        <v>73547</v>
      </c>
    </row>
    <row r="98" spans="1:3" ht="17.25">
      <c r="A98" s="59" t="s">
        <v>147</v>
      </c>
      <c r="B98" s="58" t="s">
        <v>148</v>
      </c>
      <c r="C98" s="40">
        <f>[5]С4!F18</f>
        <v>0.02</v>
      </c>
    </row>
    <row r="99" spans="1:3" ht="30">
      <c r="A99" s="59" t="s">
        <v>149</v>
      </c>
      <c r="B99" s="58" t="s">
        <v>150</v>
      </c>
      <c r="C99" s="34">
        <f>[5]С4!F19</f>
        <v>12104</v>
      </c>
    </row>
    <row r="100" spans="1:3" ht="31.5">
      <c r="A100" s="59" t="s">
        <v>151</v>
      </c>
      <c r="B100" s="58" t="s">
        <v>152</v>
      </c>
      <c r="C100" s="40">
        <f>[5]С4!F20</f>
        <v>1.4999999999999999E-2</v>
      </c>
    </row>
    <row r="101" spans="1:3" ht="30">
      <c r="A101" s="59" t="s">
        <v>153</v>
      </c>
      <c r="B101" s="33" t="s">
        <v>154</v>
      </c>
      <c r="C101" s="34">
        <f>[5]С4!F21</f>
        <v>1933.1949342509995</v>
      </c>
    </row>
    <row r="102" spans="1:3" ht="24" customHeight="1">
      <c r="A102" s="59" t="s">
        <v>155</v>
      </c>
      <c r="B102" s="53" t="s">
        <v>156</v>
      </c>
      <c r="C102" s="85">
        <f>IF([5]С4.2!F8="да",[5]С4.2!D21,[5]С4.2!D15)</f>
        <v>0</v>
      </c>
    </row>
    <row r="103" spans="1:3" ht="68.25">
      <c r="A103" s="59" t="s">
        <v>157</v>
      </c>
      <c r="B103" s="53" t="s">
        <v>158</v>
      </c>
      <c r="C103" s="34">
        <f>[5]С4!F22</f>
        <v>3.6112641666666665</v>
      </c>
    </row>
    <row r="104" spans="1:3" ht="30">
      <c r="A104" s="59" t="s">
        <v>159</v>
      </c>
      <c r="B104" s="58" t="s">
        <v>160</v>
      </c>
      <c r="C104" s="34">
        <f>[5]С4!F23</f>
        <v>180</v>
      </c>
    </row>
    <row r="105" spans="1:3" ht="14.25">
      <c r="A105" s="59" t="s">
        <v>161</v>
      </c>
      <c r="B105" s="53" t="s">
        <v>162</v>
      </c>
      <c r="C105" s="34">
        <f>[5]С4!F24</f>
        <v>8497.1999999999989</v>
      </c>
    </row>
    <row r="106" spans="1:3" ht="14.25">
      <c r="A106" s="59" t="s">
        <v>163</v>
      </c>
      <c r="B106" s="58" t="s">
        <v>164</v>
      </c>
      <c r="C106" s="40">
        <f>[5]С4!F25</f>
        <v>0.35</v>
      </c>
    </row>
    <row r="107" spans="1:3" ht="17.25">
      <c r="A107" s="59" t="s">
        <v>165</v>
      </c>
      <c r="B107" s="33" t="s">
        <v>166</v>
      </c>
      <c r="C107" s="34">
        <f>[5]С4!F26</f>
        <v>61.365870000000001</v>
      </c>
    </row>
    <row r="108" spans="1:3" ht="25.5">
      <c r="A108" s="59" t="s">
        <v>167</v>
      </c>
      <c r="B108" s="53" t="s">
        <v>94</v>
      </c>
      <c r="C108" s="85">
        <f>[5]С4.3!E16</f>
        <v>0</v>
      </c>
    </row>
    <row r="109" spans="1:3" ht="25.5">
      <c r="A109" s="59" t="s">
        <v>168</v>
      </c>
      <c r="B109" s="53" t="s">
        <v>169</v>
      </c>
      <c r="C109" s="34">
        <f>[5]С4.3!E17</f>
        <v>15.97</v>
      </c>
    </row>
    <row r="110" spans="1:3" ht="38.25">
      <c r="A110" s="59" t="s">
        <v>170</v>
      </c>
      <c r="B110" s="53" t="s">
        <v>106</v>
      </c>
      <c r="C110" s="85">
        <f>[5]С4.3!E18</f>
        <v>0</v>
      </c>
    </row>
    <row r="111" spans="1:3">
      <c r="A111" s="59" t="s">
        <v>171</v>
      </c>
      <c r="B111" s="53" t="s">
        <v>172</v>
      </c>
      <c r="C111" s="34">
        <f>[5]С4.3!E19</f>
        <v>26.27</v>
      </c>
    </row>
    <row r="112" spans="1:3">
      <c r="A112" s="59" t="s">
        <v>173</v>
      </c>
      <c r="B112" s="58" t="s">
        <v>174</v>
      </c>
      <c r="C112" s="34">
        <f>[5]С4.3!E11</f>
        <v>1871</v>
      </c>
    </row>
    <row r="113" spans="1:3">
      <c r="A113" s="59" t="s">
        <v>175</v>
      </c>
      <c r="B113" s="58" t="s">
        <v>176</v>
      </c>
      <c r="C113" s="52">
        <f>[5]С4.3!E12</f>
        <v>1636</v>
      </c>
    </row>
    <row r="114" spans="1:3">
      <c r="A114" s="59" t="s">
        <v>177</v>
      </c>
      <c r="B114" s="58" t="s">
        <v>178</v>
      </c>
      <c r="C114" s="52">
        <f>[5]С4.3!E13</f>
        <v>204</v>
      </c>
    </row>
    <row r="115" spans="1:3" ht="30">
      <c r="A115" s="59" t="s">
        <v>179</v>
      </c>
      <c r="B115" s="33" t="s">
        <v>180</v>
      </c>
      <c r="C115" s="34">
        <f>[5]С4!F27</f>
        <v>1038.565361974559</v>
      </c>
    </row>
    <row r="116" spans="1:3" ht="25.5">
      <c r="A116" s="59" t="s">
        <v>181</v>
      </c>
      <c r="B116" s="53" t="s">
        <v>182</v>
      </c>
      <c r="C116" s="34">
        <f>[5]С4!F28</f>
        <v>797.66924882838634</v>
      </c>
    </row>
    <row r="117" spans="1:3" ht="42.75">
      <c r="A117" s="59" t="s">
        <v>183</v>
      </c>
      <c r="B117" s="53" t="s">
        <v>184</v>
      </c>
      <c r="C117" s="34">
        <f>[5]С4!F29</f>
        <v>240.89611314617269</v>
      </c>
    </row>
    <row r="118" spans="1:3" ht="30">
      <c r="A118" s="59" t="s">
        <v>185</v>
      </c>
      <c r="B118" s="39" t="s">
        <v>186</v>
      </c>
      <c r="C118" s="34">
        <f>[5]С4!F30</f>
        <v>2144.351426170721</v>
      </c>
    </row>
    <row r="119" spans="1:3" ht="42.75">
      <c r="A119" s="59" t="s">
        <v>187</v>
      </c>
      <c r="B119" s="86" t="s">
        <v>188</v>
      </c>
      <c r="C119" s="34">
        <f>[5]С4!F33</f>
        <v>1430.862708272397</v>
      </c>
    </row>
    <row r="120" spans="1:3" ht="30">
      <c r="A120" s="59" t="s">
        <v>189</v>
      </c>
      <c r="B120" s="87" t="s">
        <v>190</v>
      </c>
      <c r="C120" s="34">
        <f>[5]С4!F35</f>
        <v>17.040680999999999</v>
      </c>
    </row>
    <row r="121" spans="1:3" ht="14.25">
      <c r="A121" s="59" t="s">
        <v>191</v>
      </c>
      <c r="B121" s="56" t="s">
        <v>192</v>
      </c>
      <c r="C121" s="34">
        <f>[5]С4!F36</f>
        <v>14319.9</v>
      </c>
    </row>
    <row r="122" spans="1:3" ht="28.5" thickBot="1">
      <c r="A122" s="72" t="s">
        <v>193</v>
      </c>
      <c r="B122" s="88" t="s">
        <v>194</v>
      </c>
      <c r="C122" s="83">
        <f>[5]С4!F37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[5]С5!F17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[5]С2!F37</f>
        <v>20.818139999999996</v>
      </c>
    </row>
    <row r="136" spans="1:4" ht="14.25">
      <c r="A136" s="59" t="s">
        <v>216</v>
      </c>
      <c r="B136" s="101" t="s">
        <v>217</v>
      </c>
      <c r="C136" s="34">
        <f>[5]С2!F38</f>
        <v>7</v>
      </c>
    </row>
    <row r="137" spans="1:4" ht="17.25">
      <c r="A137" s="59" t="s">
        <v>218</v>
      </c>
      <c r="B137" s="101" t="s">
        <v>219</v>
      </c>
      <c r="C137" s="34">
        <f>[5]С2!F40</f>
        <v>0.97</v>
      </c>
    </row>
    <row r="138" spans="1:4" ht="15" thickBot="1">
      <c r="A138" s="72" t="s">
        <v>220</v>
      </c>
      <c r="B138" s="102" t="s">
        <v>221</v>
      </c>
      <c r="C138" s="46">
        <f>[5]С2!F42</f>
        <v>0.35</v>
      </c>
    </row>
    <row r="139" spans="1:4" s="89" customFormat="1" ht="13.5" thickBot="1">
      <c r="A139" s="47"/>
      <c r="B139" s="75"/>
      <c r="C139" s="15"/>
    </row>
    <row r="140" spans="1:4" ht="30">
      <c r="A140" s="84" t="s">
        <v>222</v>
      </c>
      <c r="B140" s="103" t="s">
        <v>223</v>
      </c>
      <c r="C140" s="104">
        <f>[5]С2!F35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[5]С2.5!$E$11</f>
        <v>-2.9000000000000026E-2</v>
      </c>
      <c r="D143" s="89"/>
    </row>
    <row r="144" spans="1:4">
      <c r="A144" s="105"/>
      <c r="B144" s="110">
        <f>B143+1</f>
        <v>2021</v>
      </c>
      <c r="C144" s="111">
        <f>[5]С2.5!$F$11</f>
        <v>0.245</v>
      </c>
      <c r="D144" s="89"/>
    </row>
    <row r="145" spans="1:4">
      <c r="A145" s="105"/>
      <c r="B145" s="110">
        <f t="shared" ref="B145:B208" si="0">B144+1</f>
        <v>2022</v>
      </c>
      <c r="C145" s="111">
        <f>[5]С2.5!$G$11</f>
        <v>0.121</v>
      </c>
      <c r="D145" s="89"/>
    </row>
    <row r="146" spans="1:4" ht="13.5" thickBot="1">
      <c r="A146" s="105"/>
      <c r="B146" s="112">
        <f t="shared" si="0"/>
        <v>2023</v>
      </c>
      <c r="C146" s="113">
        <f>[5]С2.5!$H$11</f>
        <v>0.02</v>
      </c>
      <c r="D146" s="89"/>
    </row>
    <row r="147" spans="1:4" hidden="1">
      <c r="A147" s="105"/>
      <c r="B147" s="114">
        <f t="shared" si="0"/>
        <v>2024</v>
      </c>
      <c r="C147" s="115">
        <f>[5]С2.5!$I$11</f>
        <v>-2.93E-2</v>
      </c>
      <c r="D147" s="89"/>
    </row>
    <row r="148" spans="1:4" hidden="1">
      <c r="A148" s="105"/>
      <c r="B148" s="110">
        <f t="shared" si="0"/>
        <v>2025</v>
      </c>
      <c r="C148" s="111">
        <f>[5]С2.5!$J$11</f>
        <v>0.21215960863291</v>
      </c>
      <c r="D148" s="89"/>
    </row>
    <row r="149" spans="1:4" hidden="1">
      <c r="A149" s="105"/>
      <c r="B149" s="110">
        <f t="shared" si="0"/>
        <v>2026</v>
      </c>
      <c r="C149" s="111">
        <f>[5]С2.5!$K$11</f>
        <v>3.5813361771260002E-2</v>
      </c>
      <c r="D149" s="89"/>
    </row>
    <row r="150" spans="1:4" hidden="1">
      <c r="A150" s="105"/>
      <c r="B150" s="110">
        <f t="shared" si="0"/>
        <v>2027</v>
      </c>
      <c r="C150" s="111">
        <f>[5]С2.5!$L$11</f>
        <v>3.2682303599220003E-2</v>
      </c>
      <c r="D150" s="89"/>
    </row>
    <row r="151" spans="1:4" hidden="1">
      <c r="A151" s="105"/>
      <c r="B151" s="110">
        <f t="shared" si="0"/>
        <v>2028</v>
      </c>
      <c r="C151" s="111">
        <f>[5]С2.5!$M$11</f>
        <v>0</v>
      </c>
      <c r="D151" s="89"/>
    </row>
    <row r="152" spans="1:4" hidden="1">
      <c r="A152" s="105"/>
      <c r="B152" s="110">
        <f t="shared" si="0"/>
        <v>2029</v>
      </c>
      <c r="C152" s="111">
        <f>[5]С2.5!$N$11</f>
        <v>0</v>
      </c>
      <c r="D152" s="89"/>
    </row>
    <row r="153" spans="1:4" hidden="1">
      <c r="A153" s="105"/>
      <c r="B153" s="110">
        <f t="shared" si="0"/>
        <v>2030</v>
      </c>
      <c r="C153" s="111">
        <f>[5]С2.5!$O$11</f>
        <v>0</v>
      </c>
      <c r="D153" s="89"/>
    </row>
    <row r="154" spans="1:4" hidden="1">
      <c r="A154" s="105"/>
      <c r="B154" s="110">
        <f t="shared" si="0"/>
        <v>2031</v>
      </c>
      <c r="C154" s="111">
        <f>[5]С2.5!$P$11</f>
        <v>0</v>
      </c>
      <c r="D154" s="89"/>
    </row>
    <row r="155" spans="1:4" hidden="1">
      <c r="A155" s="89"/>
      <c r="B155" s="110">
        <f t="shared" si="0"/>
        <v>2032</v>
      </c>
      <c r="C155" s="111">
        <f>[5]С2.5!$Q$11</f>
        <v>0</v>
      </c>
      <c r="D155" s="89"/>
    </row>
    <row r="156" spans="1:4" hidden="1">
      <c r="A156" s="89"/>
      <c r="B156" s="110">
        <f t="shared" si="0"/>
        <v>2033</v>
      </c>
      <c r="C156" s="111">
        <f>[5]С2.5!$R$11</f>
        <v>0</v>
      </c>
      <c r="D156" s="89"/>
    </row>
    <row r="157" spans="1:4" hidden="1">
      <c r="B157" s="110">
        <f t="shared" si="0"/>
        <v>2034</v>
      </c>
      <c r="C157" s="111">
        <f>[5]С2.5!$S$11</f>
        <v>0</v>
      </c>
    </row>
    <row r="158" spans="1:4" hidden="1">
      <c r="B158" s="110">
        <f t="shared" si="0"/>
        <v>2035</v>
      </c>
      <c r="C158" s="111">
        <f>[5]С2.5!$T$11</f>
        <v>0</v>
      </c>
    </row>
    <row r="159" spans="1:4" hidden="1">
      <c r="B159" s="110">
        <f t="shared" si="0"/>
        <v>2036</v>
      </c>
      <c r="C159" s="111">
        <f>[5]С2.5!$U$11</f>
        <v>0</v>
      </c>
    </row>
    <row r="160" spans="1:4" hidden="1">
      <c r="B160" s="110">
        <f t="shared" si="0"/>
        <v>2037</v>
      </c>
      <c r="C160" s="111">
        <f>[5]С2.5!$V$11</f>
        <v>0</v>
      </c>
    </row>
    <row r="161" spans="2:3" hidden="1">
      <c r="B161" s="110">
        <f t="shared" si="0"/>
        <v>2038</v>
      </c>
      <c r="C161" s="111">
        <f>[5]С2.5!$W$11</f>
        <v>0</v>
      </c>
    </row>
    <row r="162" spans="2:3" hidden="1">
      <c r="B162" s="110">
        <f t="shared" si="0"/>
        <v>2039</v>
      </c>
      <c r="C162" s="111">
        <f>[5]С2.5!$X$11</f>
        <v>0</v>
      </c>
    </row>
    <row r="163" spans="2:3" hidden="1">
      <c r="B163" s="110">
        <f t="shared" si="0"/>
        <v>2040</v>
      </c>
      <c r="C163" s="111">
        <f>[5]С2.5!$Y$11</f>
        <v>0</v>
      </c>
    </row>
    <row r="164" spans="2:3" hidden="1">
      <c r="B164" s="110">
        <f t="shared" si="0"/>
        <v>2041</v>
      </c>
      <c r="C164" s="111">
        <f>[5]С2.5!$Z$11</f>
        <v>0</v>
      </c>
    </row>
    <row r="165" spans="2:3" hidden="1">
      <c r="B165" s="110">
        <f t="shared" si="0"/>
        <v>2042</v>
      </c>
      <c r="C165" s="111">
        <f>[5]С2.5!$AA$11</f>
        <v>0</v>
      </c>
    </row>
    <row r="166" spans="2:3" hidden="1">
      <c r="B166" s="110">
        <f t="shared" si="0"/>
        <v>2043</v>
      </c>
      <c r="C166" s="111">
        <f>[5]С2.5!$AB$11</f>
        <v>0</v>
      </c>
    </row>
    <row r="167" spans="2:3" hidden="1">
      <c r="B167" s="110">
        <f t="shared" si="0"/>
        <v>2044</v>
      </c>
      <c r="C167" s="111">
        <f>[5]С2.5!$AC$11</f>
        <v>0</v>
      </c>
    </row>
    <row r="168" spans="2:3" hidden="1">
      <c r="B168" s="110">
        <f t="shared" si="0"/>
        <v>2045</v>
      </c>
      <c r="C168" s="111">
        <f>[5]С2.5!$AD$11</f>
        <v>0</v>
      </c>
    </row>
    <row r="169" spans="2:3" hidden="1">
      <c r="B169" s="110">
        <f t="shared" si="0"/>
        <v>2046</v>
      </c>
      <c r="C169" s="111">
        <f>[5]С2.5!$AE$11</f>
        <v>0</v>
      </c>
    </row>
    <row r="170" spans="2:3" hidden="1">
      <c r="B170" s="110">
        <f t="shared" si="0"/>
        <v>2047</v>
      </c>
      <c r="C170" s="111">
        <f>[5]С2.5!$AF$11</f>
        <v>0</v>
      </c>
    </row>
    <row r="171" spans="2:3" hidden="1">
      <c r="B171" s="110">
        <f t="shared" si="0"/>
        <v>2048</v>
      </c>
      <c r="C171" s="111">
        <f>[5]С2.5!$AG$11</f>
        <v>0</v>
      </c>
    </row>
    <row r="172" spans="2:3" hidden="1">
      <c r="B172" s="110">
        <f t="shared" si="0"/>
        <v>2049</v>
      </c>
      <c r="C172" s="111">
        <f>[5]С2.5!$AH$11</f>
        <v>0</v>
      </c>
    </row>
    <row r="173" spans="2:3" hidden="1">
      <c r="B173" s="110">
        <f t="shared" si="0"/>
        <v>2050</v>
      </c>
      <c r="C173" s="111">
        <f>[5]С2.5!$AI$11</f>
        <v>0</v>
      </c>
    </row>
    <row r="174" spans="2:3" hidden="1">
      <c r="B174" s="110">
        <f t="shared" si="0"/>
        <v>2051</v>
      </c>
      <c r="C174" s="111">
        <f>[5]С2.5!$AJ$11</f>
        <v>0</v>
      </c>
    </row>
    <row r="175" spans="2:3" hidden="1">
      <c r="B175" s="110">
        <f t="shared" si="0"/>
        <v>2052</v>
      </c>
      <c r="C175" s="111">
        <f>[5]С2.5!$AK$11</f>
        <v>0</v>
      </c>
    </row>
    <row r="176" spans="2:3" hidden="1">
      <c r="B176" s="110">
        <f t="shared" si="0"/>
        <v>2053</v>
      </c>
      <c r="C176" s="111">
        <f>[5]С2.5!$AL$11</f>
        <v>0</v>
      </c>
    </row>
    <row r="177" spans="2:3" hidden="1">
      <c r="B177" s="110">
        <f t="shared" si="0"/>
        <v>2054</v>
      </c>
      <c r="C177" s="111">
        <f>[5]С2.5!$AM$11</f>
        <v>0</v>
      </c>
    </row>
    <row r="178" spans="2:3" hidden="1">
      <c r="B178" s="110">
        <f t="shared" si="0"/>
        <v>2055</v>
      </c>
      <c r="C178" s="111">
        <f>[5]С2.5!$AN$11</f>
        <v>0</v>
      </c>
    </row>
    <row r="179" spans="2:3" hidden="1">
      <c r="B179" s="110">
        <f t="shared" si="0"/>
        <v>2056</v>
      </c>
      <c r="C179" s="111">
        <f>[5]С2.5!$AO$11</f>
        <v>0</v>
      </c>
    </row>
    <row r="180" spans="2:3" hidden="1">
      <c r="B180" s="110">
        <f t="shared" si="0"/>
        <v>2057</v>
      </c>
      <c r="C180" s="111">
        <f>[5]С2.5!$AP$11</f>
        <v>0</v>
      </c>
    </row>
    <row r="181" spans="2:3" hidden="1">
      <c r="B181" s="110">
        <f t="shared" si="0"/>
        <v>2058</v>
      </c>
      <c r="C181" s="111">
        <f>[5]С2.5!$AQ$11</f>
        <v>0</v>
      </c>
    </row>
    <row r="182" spans="2:3" hidden="1">
      <c r="B182" s="110">
        <f t="shared" si="0"/>
        <v>2059</v>
      </c>
      <c r="C182" s="111">
        <f>[5]С2.5!$AR$11</f>
        <v>0</v>
      </c>
    </row>
    <row r="183" spans="2:3" hidden="1">
      <c r="B183" s="110">
        <f t="shared" si="0"/>
        <v>2060</v>
      </c>
      <c r="C183" s="111">
        <f>[5]С2.5!$AS$11</f>
        <v>0</v>
      </c>
    </row>
    <row r="184" spans="2:3" hidden="1">
      <c r="B184" s="110">
        <f t="shared" si="0"/>
        <v>2061</v>
      </c>
      <c r="C184" s="111">
        <f>[5]С2.5!$AT$11</f>
        <v>0</v>
      </c>
    </row>
    <row r="185" spans="2:3" hidden="1">
      <c r="B185" s="110">
        <f t="shared" si="0"/>
        <v>2062</v>
      </c>
      <c r="C185" s="111">
        <f>[5]С2.5!$AU$11</f>
        <v>0</v>
      </c>
    </row>
    <row r="186" spans="2:3" hidden="1">
      <c r="B186" s="110">
        <f t="shared" si="0"/>
        <v>2063</v>
      </c>
      <c r="C186" s="111">
        <f>[5]С2.5!$AV$11</f>
        <v>0</v>
      </c>
    </row>
    <row r="187" spans="2:3" hidden="1">
      <c r="B187" s="110">
        <f t="shared" si="0"/>
        <v>2064</v>
      </c>
      <c r="C187" s="111">
        <f>[5]С2.5!$AW$11</f>
        <v>0</v>
      </c>
    </row>
    <row r="188" spans="2:3" hidden="1">
      <c r="B188" s="110">
        <f t="shared" si="0"/>
        <v>2065</v>
      </c>
      <c r="C188" s="111">
        <f>[5]С2.5!$AX$11</f>
        <v>0</v>
      </c>
    </row>
    <row r="189" spans="2:3" hidden="1">
      <c r="B189" s="110">
        <f t="shared" si="0"/>
        <v>2066</v>
      </c>
      <c r="C189" s="111">
        <f>[5]С2.5!$AY$11</f>
        <v>0</v>
      </c>
    </row>
    <row r="190" spans="2:3" hidden="1">
      <c r="B190" s="110">
        <f t="shared" si="0"/>
        <v>2067</v>
      </c>
      <c r="C190" s="111">
        <f>[5]С2.5!$AZ$11</f>
        <v>0</v>
      </c>
    </row>
    <row r="191" spans="2:3" hidden="1">
      <c r="B191" s="110">
        <f t="shared" si="0"/>
        <v>2068</v>
      </c>
      <c r="C191" s="111">
        <f>[5]С2.5!$BA$11</f>
        <v>0</v>
      </c>
    </row>
    <row r="192" spans="2:3" hidden="1">
      <c r="B192" s="110">
        <f t="shared" si="0"/>
        <v>2069</v>
      </c>
      <c r="C192" s="111">
        <f>[5]С2.5!$BB$11</f>
        <v>0</v>
      </c>
    </row>
    <row r="193" spans="2:3" hidden="1">
      <c r="B193" s="110">
        <f t="shared" si="0"/>
        <v>2070</v>
      </c>
      <c r="C193" s="111">
        <f>[5]С2.5!$BC$11</f>
        <v>0</v>
      </c>
    </row>
    <row r="194" spans="2:3" hidden="1">
      <c r="B194" s="110">
        <f t="shared" si="0"/>
        <v>2071</v>
      </c>
      <c r="C194" s="111">
        <f>[5]С2.5!$BD$11</f>
        <v>0</v>
      </c>
    </row>
    <row r="195" spans="2:3" hidden="1">
      <c r="B195" s="110">
        <f t="shared" si="0"/>
        <v>2072</v>
      </c>
      <c r="C195" s="111">
        <f>[5]С2.5!$BE$11</f>
        <v>0</v>
      </c>
    </row>
    <row r="196" spans="2:3" hidden="1">
      <c r="B196" s="110">
        <f t="shared" si="0"/>
        <v>2073</v>
      </c>
      <c r="C196" s="111">
        <f>[5]С2.5!$BF$11</f>
        <v>0</v>
      </c>
    </row>
    <row r="197" spans="2:3" hidden="1">
      <c r="B197" s="110">
        <f t="shared" si="0"/>
        <v>2074</v>
      </c>
      <c r="C197" s="111">
        <f>[5]С2.5!$BG$11</f>
        <v>0</v>
      </c>
    </row>
    <row r="198" spans="2:3" hidden="1">
      <c r="B198" s="110">
        <f t="shared" si="0"/>
        <v>2075</v>
      </c>
      <c r="C198" s="111">
        <f>[5]С2.5!$BH$11</f>
        <v>0</v>
      </c>
    </row>
    <row r="199" spans="2:3" hidden="1">
      <c r="B199" s="110">
        <f t="shared" si="0"/>
        <v>2076</v>
      </c>
      <c r="C199" s="111">
        <f>[5]С2.5!$BI$11</f>
        <v>0</v>
      </c>
    </row>
    <row r="200" spans="2:3" hidden="1">
      <c r="B200" s="110">
        <f t="shared" si="0"/>
        <v>2077</v>
      </c>
      <c r="C200" s="111">
        <f>[5]С2.5!$BJ$11</f>
        <v>0</v>
      </c>
    </row>
    <row r="201" spans="2:3" hidden="1">
      <c r="B201" s="110">
        <f t="shared" si="0"/>
        <v>2078</v>
      </c>
      <c r="C201" s="111">
        <f>[5]С2.5!$BK$11</f>
        <v>0</v>
      </c>
    </row>
    <row r="202" spans="2:3" hidden="1">
      <c r="B202" s="110">
        <f t="shared" si="0"/>
        <v>2079</v>
      </c>
      <c r="C202" s="111">
        <f>[5]С2.5!$BL$11</f>
        <v>0</v>
      </c>
    </row>
    <row r="203" spans="2:3" hidden="1">
      <c r="B203" s="110">
        <f t="shared" si="0"/>
        <v>2080</v>
      </c>
      <c r="C203" s="111">
        <f>[5]С2.5!$BM$11</f>
        <v>0</v>
      </c>
    </row>
    <row r="204" spans="2:3" hidden="1">
      <c r="B204" s="110">
        <f t="shared" si="0"/>
        <v>2081</v>
      </c>
      <c r="C204" s="111">
        <f>[5]С2.5!$BN$11</f>
        <v>0</v>
      </c>
    </row>
    <row r="205" spans="2:3" hidden="1">
      <c r="B205" s="110">
        <f t="shared" si="0"/>
        <v>2082</v>
      </c>
      <c r="C205" s="111">
        <f>[5]С2.5!$BO$11</f>
        <v>0</v>
      </c>
    </row>
    <row r="206" spans="2:3" hidden="1">
      <c r="B206" s="110">
        <f t="shared" si="0"/>
        <v>2083</v>
      </c>
      <c r="C206" s="111">
        <f>[5]С2.5!$BP$11</f>
        <v>0</v>
      </c>
    </row>
    <row r="207" spans="2:3" hidden="1">
      <c r="B207" s="110">
        <f t="shared" si="0"/>
        <v>2084</v>
      </c>
      <c r="C207" s="111">
        <f>[5]С2.5!$BQ$11</f>
        <v>0</v>
      </c>
    </row>
    <row r="208" spans="2:3" hidden="1">
      <c r="B208" s="110">
        <f t="shared" si="0"/>
        <v>2085</v>
      </c>
      <c r="C208" s="111">
        <f>[5]С2.5!$BR$11</f>
        <v>0</v>
      </c>
    </row>
    <row r="209" spans="2:3" hidden="1">
      <c r="B209" s="110">
        <f t="shared" ref="B209:B223" si="1">B208+1</f>
        <v>2086</v>
      </c>
      <c r="C209" s="111">
        <f>[5]С2.5!$BS$11</f>
        <v>0</v>
      </c>
    </row>
    <row r="210" spans="2:3" hidden="1">
      <c r="B210" s="110">
        <f t="shared" si="1"/>
        <v>2087</v>
      </c>
      <c r="C210" s="111">
        <f>[5]С2.5!$BT$11</f>
        <v>0</v>
      </c>
    </row>
    <row r="211" spans="2:3" hidden="1">
      <c r="B211" s="110">
        <f t="shared" si="1"/>
        <v>2088</v>
      </c>
      <c r="C211" s="111">
        <f>[5]С2.5!$BU$11</f>
        <v>0</v>
      </c>
    </row>
    <row r="212" spans="2:3" hidden="1">
      <c r="B212" s="110">
        <f t="shared" si="1"/>
        <v>2089</v>
      </c>
      <c r="C212" s="111">
        <f>[5]С2.5!$BV$11</f>
        <v>0</v>
      </c>
    </row>
    <row r="213" spans="2:3" hidden="1">
      <c r="B213" s="110">
        <f t="shared" si="1"/>
        <v>2090</v>
      </c>
      <c r="C213" s="111">
        <f>[5]С2.5!$BW$11</f>
        <v>0</v>
      </c>
    </row>
    <row r="214" spans="2:3" hidden="1">
      <c r="B214" s="110">
        <f t="shared" si="1"/>
        <v>2091</v>
      </c>
      <c r="C214" s="111">
        <f>[5]С2.5!$BX$11</f>
        <v>0</v>
      </c>
    </row>
    <row r="215" spans="2:3" hidden="1">
      <c r="B215" s="110">
        <f t="shared" si="1"/>
        <v>2092</v>
      </c>
      <c r="C215" s="111">
        <f>[5]С2.5!$BY$11</f>
        <v>0</v>
      </c>
    </row>
    <row r="216" spans="2:3" hidden="1">
      <c r="B216" s="110">
        <f t="shared" si="1"/>
        <v>2093</v>
      </c>
      <c r="C216" s="111">
        <f>[5]С2.5!$BZ$11</f>
        <v>0</v>
      </c>
    </row>
    <row r="217" spans="2:3" hidden="1">
      <c r="B217" s="110">
        <f t="shared" si="1"/>
        <v>2094</v>
      </c>
      <c r="C217" s="111">
        <f>[5]С2.5!$CA$11</f>
        <v>0</v>
      </c>
    </row>
    <row r="218" spans="2:3" hidden="1">
      <c r="B218" s="110">
        <f t="shared" si="1"/>
        <v>2095</v>
      </c>
      <c r="C218" s="111">
        <f>[5]С2.5!$CB$11</f>
        <v>0</v>
      </c>
    </row>
    <row r="219" spans="2:3" hidden="1">
      <c r="B219" s="110">
        <f t="shared" si="1"/>
        <v>2096</v>
      </c>
      <c r="C219" s="111">
        <f>[5]С2.5!$CC$11</f>
        <v>0</v>
      </c>
    </row>
    <row r="220" spans="2:3" hidden="1">
      <c r="B220" s="110">
        <f t="shared" si="1"/>
        <v>2097</v>
      </c>
      <c r="C220" s="111">
        <f>[5]С2.5!$CD$11</f>
        <v>0</v>
      </c>
    </row>
    <row r="221" spans="2:3" hidden="1">
      <c r="B221" s="110">
        <f t="shared" si="1"/>
        <v>2098</v>
      </c>
      <c r="C221" s="111">
        <f>[5]С2.5!$CE$11</f>
        <v>0</v>
      </c>
    </row>
    <row r="222" spans="2:3" hidden="1">
      <c r="B222" s="110">
        <f t="shared" si="1"/>
        <v>2099</v>
      </c>
      <c r="C222" s="111">
        <f>[5]С2.5!$CF$11</f>
        <v>0</v>
      </c>
    </row>
    <row r="223" spans="2:3" ht="13.5" hidden="1" thickBot="1">
      <c r="B223" s="112">
        <f t="shared" si="1"/>
        <v>2100</v>
      </c>
      <c r="C223" s="113">
        <f>[5]С2.5!$CG$11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[6]И1!D13</f>
        <v>Субъект Российской Федерации</v>
      </c>
      <c r="C4" s="10" t="str">
        <f>[6]И1!E13</f>
        <v>Новосибирская область</v>
      </c>
    </row>
    <row r="5" spans="1:3" ht="38.25">
      <c r="A5" s="8"/>
      <c r="B5" s="9" t="str">
        <f>[6]И1!D14</f>
        <v>Тип муниципального образования (выберите из списка)</v>
      </c>
      <c r="C5" s="10" t="str">
        <f>[6]И1!E14</f>
        <v>село Верх-Каргат, Здвинский муниципальный район</v>
      </c>
    </row>
    <row r="6" spans="1:3">
      <c r="A6" s="8"/>
      <c r="B6" s="9" t="str">
        <f>IF([6]И1!E15="","",[6]И1!D15)</f>
        <v/>
      </c>
      <c r="C6" s="10" t="str">
        <f>IF([6]И1!E15="","",[6]И1!E15)</f>
        <v/>
      </c>
    </row>
    <row r="7" spans="1:3">
      <c r="A7" s="8"/>
      <c r="B7" s="9" t="str">
        <f>[6]И1!D16</f>
        <v>Код ОКТМО</v>
      </c>
      <c r="C7" s="11" t="str">
        <f>[6]И1!E16</f>
        <v>50613402101</v>
      </c>
    </row>
    <row r="8" spans="1:3">
      <c r="A8" s="8"/>
      <c r="B8" s="12" t="str">
        <f>[6]И1!D17</f>
        <v>Система теплоснабжения</v>
      </c>
      <c r="C8" s="13">
        <f>[6]И1!E17</f>
        <v>0</v>
      </c>
    </row>
    <row r="9" spans="1:3">
      <c r="A9" s="8"/>
      <c r="B9" s="9" t="str">
        <f>[6]И1!D8</f>
        <v>Период регулирования (i)-й</v>
      </c>
      <c r="C9" s="14">
        <f>[6]И1!E8</f>
        <v>2023</v>
      </c>
    </row>
    <row r="10" spans="1:3">
      <c r="A10" s="8"/>
      <c r="B10" s="9" t="str">
        <f>[6]И1!D9</f>
        <v>Период регулирования (i-1)-й</v>
      </c>
      <c r="C10" s="14">
        <f>[6]И1!E9</f>
        <v>2022</v>
      </c>
    </row>
    <row r="11" spans="1:3">
      <c r="A11" s="8"/>
      <c r="B11" s="9" t="str">
        <f>[6]И1!D10</f>
        <v>Период регулирования (i-2)-й</v>
      </c>
      <c r="C11" s="14">
        <f>[6]И1!E10</f>
        <v>2021</v>
      </c>
    </row>
    <row r="12" spans="1:3">
      <c r="A12" s="8"/>
      <c r="B12" s="9" t="str">
        <f>[6]И1!D11</f>
        <v>Базовый год (б)</v>
      </c>
      <c r="C12" s="14">
        <f>[6]И1!E11</f>
        <v>2019</v>
      </c>
    </row>
    <row r="13" spans="1:3" ht="38.25">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4184.987222838764</v>
      </c>
    </row>
    <row r="18" spans="1:3" ht="42.75">
      <c r="A18" s="22" t="s">
        <v>8</v>
      </c>
      <c r="B18" s="25" t="s">
        <v>9</v>
      </c>
      <c r="C18" s="26">
        <f>[6]С1!F12</f>
        <v>1076.2941136635336</v>
      </c>
    </row>
    <row r="19" spans="1:3" ht="42.75">
      <c r="A19" s="22" t="s">
        <v>10</v>
      </c>
      <c r="B19" s="25" t="s">
        <v>11</v>
      </c>
      <c r="C19" s="26">
        <f>[6]С2!F12</f>
        <v>2101.7757879094611</v>
      </c>
    </row>
    <row r="20" spans="1:3" ht="30">
      <c r="A20" s="22" t="s">
        <v>12</v>
      </c>
      <c r="B20" s="25" t="s">
        <v>13</v>
      </c>
      <c r="C20" s="26">
        <f>[6]С3!F12</f>
        <v>502.69420058623905</v>
      </c>
    </row>
    <row r="21" spans="1:3" ht="42.75">
      <c r="A21" s="22" t="s">
        <v>14</v>
      </c>
      <c r="B21" s="25" t="s">
        <v>15</v>
      </c>
      <c r="C21" s="26">
        <f>[6]С4!F12</f>
        <v>422.16454768269182</v>
      </c>
    </row>
    <row r="22" spans="1:3" ht="30">
      <c r="A22" s="22" t="s">
        <v>16</v>
      </c>
      <c r="B22" s="25" t="s">
        <v>17</v>
      </c>
      <c r="C22" s="26">
        <f>[6]С5!F12</f>
        <v>82.058572996838507</v>
      </c>
    </row>
    <row r="23" spans="1:3" ht="43.5" thickBot="1">
      <c r="A23" s="27" t="s">
        <v>18</v>
      </c>
      <c r="B23" s="117" t="s">
        <v>19</v>
      </c>
      <c r="C23" s="28" t="str">
        <f>[6]С6!F12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[6]С1.1!E16</f>
        <v>5100</v>
      </c>
    </row>
    <row r="29" spans="1:3" ht="42.75">
      <c r="A29" s="22" t="s">
        <v>10</v>
      </c>
      <c r="B29" s="33" t="s">
        <v>22</v>
      </c>
      <c r="C29" s="34">
        <f>[6]С1.1!E27</f>
        <v>2893.9749999999999</v>
      </c>
    </row>
    <row r="30" spans="1:3" ht="17.25">
      <c r="A30" s="22" t="s">
        <v>12</v>
      </c>
      <c r="B30" s="33" t="s">
        <v>23</v>
      </c>
      <c r="C30" s="35">
        <f>[6]С1.1!E19</f>
        <v>0.59499999999999997</v>
      </c>
    </row>
    <row r="31" spans="1:3" ht="17.25">
      <c r="A31" s="22" t="s">
        <v>14</v>
      </c>
      <c r="B31" s="33" t="s">
        <v>24</v>
      </c>
      <c r="C31" s="35">
        <f>[6]С1.1!E20</f>
        <v>-0.113</v>
      </c>
    </row>
    <row r="32" spans="1:3" ht="30">
      <c r="A32" s="22" t="s">
        <v>16</v>
      </c>
      <c r="B32" s="36" t="s">
        <v>25</v>
      </c>
      <c r="C32" s="37">
        <f>[6]С1!F13</f>
        <v>176.4</v>
      </c>
    </row>
    <row r="33" spans="1:3">
      <c r="A33" s="22" t="s">
        <v>18</v>
      </c>
      <c r="B33" s="36" t="s">
        <v>26</v>
      </c>
      <c r="C33" s="38">
        <f>[6]С1!F16</f>
        <v>7000</v>
      </c>
    </row>
    <row r="34" spans="1:3" ht="14.25">
      <c r="A34" s="22" t="s">
        <v>27</v>
      </c>
      <c r="B34" s="39" t="s">
        <v>28</v>
      </c>
      <c r="C34" s="40">
        <f>[6]С1!F17</f>
        <v>0.72857142857142854</v>
      </c>
    </row>
    <row r="35" spans="1:3" ht="15.75">
      <c r="A35" s="41" t="s">
        <v>29</v>
      </c>
      <c r="B35" s="42" t="s">
        <v>30</v>
      </c>
      <c r="C35" s="40">
        <f>[6]С1!F20</f>
        <v>21.588411179999994</v>
      </c>
    </row>
    <row r="36" spans="1:3" ht="15.75">
      <c r="A36" s="41" t="s">
        <v>31</v>
      </c>
      <c r="B36" s="43" t="s">
        <v>32</v>
      </c>
      <c r="C36" s="40">
        <f>[6]С1!F21</f>
        <v>20.818139999999996</v>
      </c>
    </row>
    <row r="37" spans="1:3" ht="14.25">
      <c r="A37" s="41" t="s">
        <v>33</v>
      </c>
      <c r="B37" s="44" t="s">
        <v>34</v>
      </c>
      <c r="C37" s="40">
        <f>[6]С1!F22</f>
        <v>1.0369999999999999</v>
      </c>
    </row>
    <row r="38" spans="1:3" ht="53.25" thickBot="1">
      <c r="A38" s="27" t="s">
        <v>35</v>
      </c>
      <c r="B38" s="45" t="s">
        <v>36</v>
      </c>
      <c r="C38" s="46">
        <f>[6]С1!F23</f>
        <v>1.0469999999999999</v>
      </c>
    </row>
    <row r="39" spans="1:3" ht="13.5" thickBot="1">
      <c r="A39" s="47"/>
      <c r="B39" s="48"/>
      <c r="C39" s="49"/>
    </row>
    <row r="40" spans="1:3" ht="30" customHeight="1">
      <c r="A40" s="50" t="s">
        <v>37</v>
      </c>
      <c r="B40" s="118" t="s">
        <v>38</v>
      </c>
      <c r="C40" s="118"/>
    </row>
    <row r="41" spans="1:3" ht="25.5">
      <c r="A41" s="22" t="s">
        <v>39</v>
      </c>
      <c r="B41" s="36" t="s">
        <v>40</v>
      </c>
      <c r="C41" s="51" t="str">
        <f>[6]С2.1!E12</f>
        <v>V</v>
      </c>
    </row>
    <row r="42" spans="1:3" ht="25.5">
      <c r="A42" s="22" t="s">
        <v>41</v>
      </c>
      <c r="B42" s="33" t="s">
        <v>42</v>
      </c>
      <c r="C42" s="51" t="str">
        <f>[6]С2.1!E13</f>
        <v>6 и менее баллов</v>
      </c>
    </row>
    <row r="43" spans="1:3" ht="25.5">
      <c r="A43" s="22" t="s">
        <v>43</v>
      </c>
      <c r="B43" s="33" t="s">
        <v>44</v>
      </c>
      <c r="C43" s="51" t="str">
        <f>[6]С2.1!E14</f>
        <v>от 200 до 500</v>
      </c>
    </row>
    <row r="44" spans="1:3" ht="25.5">
      <c r="A44" s="22" t="s">
        <v>45</v>
      </c>
      <c r="B44" s="33" t="s">
        <v>46</v>
      </c>
      <c r="C44" s="52" t="str">
        <f>[6]С2.1!E15</f>
        <v>нет</v>
      </c>
    </row>
    <row r="45" spans="1:3" ht="30">
      <c r="A45" s="22" t="s">
        <v>47</v>
      </c>
      <c r="B45" s="33" t="s">
        <v>48</v>
      </c>
      <c r="C45" s="34">
        <f>[6]С2!F18</f>
        <v>32402.627334033532</v>
      </c>
    </row>
    <row r="46" spans="1:3" ht="30">
      <c r="A46" s="22" t="s">
        <v>49</v>
      </c>
      <c r="B46" s="53" t="s">
        <v>50</v>
      </c>
      <c r="C46" s="34">
        <f>IF([6]С2!F19&gt;0,[6]С2!F19,[6]С2!F20)</f>
        <v>23441.524932855718</v>
      </c>
    </row>
    <row r="47" spans="1:3" ht="25.5">
      <c r="A47" s="22" t="s">
        <v>51</v>
      </c>
      <c r="B47" s="54" t="s">
        <v>52</v>
      </c>
      <c r="C47" s="34">
        <f>[6]С2.1!E19</f>
        <v>-38</v>
      </c>
    </row>
    <row r="48" spans="1:3" ht="25.5">
      <c r="A48" s="22" t="s">
        <v>53</v>
      </c>
      <c r="B48" s="54" t="s">
        <v>54</v>
      </c>
      <c r="C48" s="34" t="str">
        <f>[6]С2.1!E22</f>
        <v>нет</v>
      </c>
    </row>
    <row r="49" spans="1:3" ht="38.25">
      <c r="A49" s="22" t="s">
        <v>55</v>
      </c>
      <c r="B49" s="55" t="s">
        <v>56</v>
      </c>
      <c r="C49" s="34">
        <f>[6]С2.2!E10</f>
        <v>1287</v>
      </c>
    </row>
    <row r="50" spans="1:3" ht="25.5">
      <c r="A50" s="22" t="s">
        <v>57</v>
      </c>
      <c r="B50" s="56" t="s">
        <v>58</v>
      </c>
      <c r="C50" s="34">
        <f>[6]С2.2!E12</f>
        <v>5.97</v>
      </c>
    </row>
    <row r="51" spans="1:3" ht="52.5">
      <c r="A51" s="22" t="s">
        <v>59</v>
      </c>
      <c r="B51" s="57" t="s">
        <v>60</v>
      </c>
      <c r="C51" s="34">
        <f>[6]С2.2!E13</f>
        <v>1</v>
      </c>
    </row>
    <row r="52" spans="1:3" ht="27.75">
      <c r="A52" s="22" t="s">
        <v>61</v>
      </c>
      <c r="B52" s="56" t="s">
        <v>62</v>
      </c>
      <c r="C52" s="34">
        <f>[6]С2.2!E14</f>
        <v>12104</v>
      </c>
    </row>
    <row r="53" spans="1:3" ht="25.5">
      <c r="A53" s="22" t="s">
        <v>63</v>
      </c>
      <c r="B53" s="57" t="s">
        <v>64</v>
      </c>
      <c r="C53" s="35">
        <f>[6]С2.2!E15</f>
        <v>4.8000000000000001E-2</v>
      </c>
    </row>
    <row r="54" spans="1:3">
      <c r="A54" s="22" t="s">
        <v>65</v>
      </c>
      <c r="B54" s="57" t="s">
        <v>66</v>
      </c>
      <c r="C54" s="34">
        <f>[6]С2.2!E16</f>
        <v>1</v>
      </c>
    </row>
    <row r="55" spans="1:3" ht="15.75">
      <c r="A55" s="22" t="s">
        <v>67</v>
      </c>
      <c r="B55" s="58" t="s">
        <v>68</v>
      </c>
      <c r="C55" s="34">
        <f>[6]С2!F21</f>
        <v>1</v>
      </c>
    </row>
    <row r="56" spans="1:3" ht="30">
      <c r="A56" s="59" t="s">
        <v>69</v>
      </c>
      <c r="B56" s="33" t="s">
        <v>70</v>
      </c>
      <c r="C56" s="34">
        <f>[6]С2!F13</f>
        <v>169640.22915965237</v>
      </c>
    </row>
    <row r="57" spans="1:3" ht="30">
      <c r="A57" s="59" t="s">
        <v>71</v>
      </c>
      <c r="B57" s="58" t="s">
        <v>72</v>
      </c>
      <c r="C57" s="34">
        <f>[6]С2!F14</f>
        <v>113455</v>
      </c>
    </row>
    <row r="58" spans="1:3" ht="15.75">
      <c r="A58" s="59" t="s">
        <v>73</v>
      </c>
      <c r="B58" s="60" t="s">
        <v>74</v>
      </c>
      <c r="C58" s="40">
        <f>[6]С2!F15</f>
        <v>1.071</v>
      </c>
    </row>
    <row r="59" spans="1:3" ht="15.75">
      <c r="A59" s="59" t="s">
        <v>75</v>
      </c>
      <c r="B59" s="60" t="s">
        <v>76</v>
      </c>
      <c r="C59" s="40">
        <f>[6]С2!F16</f>
        <v>1</v>
      </c>
    </row>
    <row r="60" spans="1:3" ht="17.25">
      <c r="A60" s="59" t="s">
        <v>77</v>
      </c>
      <c r="B60" s="58" t="s">
        <v>78</v>
      </c>
      <c r="C60" s="34">
        <f>[6]С2!F17</f>
        <v>1.01</v>
      </c>
    </row>
    <row r="61" spans="1:3" s="63" customFormat="1" ht="14.25">
      <c r="A61" s="59" t="s">
        <v>79</v>
      </c>
      <c r="B61" s="61" t="s">
        <v>80</v>
      </c>
      <c r="C61" s="62">
        <f>[6]С2!F33</f>
        <v>10</v>
      </c>
    </row>
    <row r="62" spans="1:3" ht="30">
      <c r="A62" s="59" t="s">
        <v>81</v>
      </c>
      <c r="B62" s="64" t="s">
        <v>82</v>
      </c>
      <c r="C62" s="34">
        <f>[6]С2!F26</f>
        <v>637.93498622918537</v>
      </c>
    </row>
    <row r="63" spans="1:3" ht="17.25">
      <c r="A63" s="59" t="s">
        <v>83</v>
      </c>
      <c r="B63" s="53" t="s">
        <v>84</v>
      </c>
      <c r="C63" s="34">
        <f>[6]С2!F27</f>
        <v>0.10988357099999999</v>
      </c>
    </row>
    <row r="64" spans="1:3" ht="17.25">
      <c r="A64" s="59" t="s">
        <v>85</v>
      </c>
      <c r="B64" s="58" t="s">
        <v>86</v>
      </c>
      <c r="C64" s="62">
        <f>[6]С2!F28</f>
        <v>4200</v>
      </c>
    </row>
    <row r="65" spans="1:3" ht="42.75">
      <c r="A65" s="59" t="s">
        <v>87</v>
      </c>
      <c r="B65" s="33" t="s">
        <v>88</v>
      </c>
      <c r="C65" s="34">
        <f>[6]С2!F22</f>
        <v>35717.748653137714</v>
      </c>
    </row>
    <row r="66" spans="1:3" ht="30">
      <c r="A66" s="59" t="s">
        <v>89</v>
      </c>
      <c r="B66" s="60" t="s">
        <v>90</v>
      </c>
      <c r="C66" s="34">
        <f>[6]С2!F23</f>
        <v>1990</v>
      </c>
    </row>
    <row r="67" spans="1:3" ht="30">
      <c r="A67" s="59" t="s">
        <v>91</v>
      </c>
      <c r="B67" s="53" t="s">
        <v>92</v>
      </c>
      <c r="C67" s="34">
        <f>[6]С2.1!E27</f>
        <v>14307.876789999998</v>
      </c>
    </row>
    <row r="68" spans="1:3" ht="38.25">
      <c r="A68" s="59" t="s">
        <v>93</v>
      </c>
      <c r="B68" s="65" t="s">
        <v>94</v>
      </c>
      <c r="C68" s="52">
        <f>[6]С2.3!E21</f>
        <v>0</v>
      </c>
    </row>
    <row r="69" spans="1:3" ht="25.5">
      <c r="A69" s="59" t="s">
        <v>95</v>
      </c>
      <c r="B69" s="66" t="s">
        <v>96</v>
      </c>
      <c r="C69" s="67">
        <f>[6]С2.3!E11</f>
        <v>9.89</v>
      </c>
    </row>
    <row r="70" spans="1:3" ht="25.5">
      <c r="A70" s="59" t="s">
        <v>97</v>
      </c>
      <c r="B70" s="66" t="s">
        <v>98</v>
      </c>
      <c r="C70" s="62">
        <f>[6]С2.3!E13</f>
        <v>300</v>
      </c>
    </row>
    <row r="71" spans="1:3" ht="25.5">
      <c r="A71" s="59" t="s">
        <v>99</v>
      </c>
      <c r="B71" s="65" t="s">
        <v>100</v>
      </c>
      <c r="C71" s="68">
        <f>IF([6]С2.3!E22&gt;0,[6]С2.3!E22,[6]С2.3!E14)</f>
        <v>61211</v>
      </c>
    </row>
    <row r="72" spans="1:3" ht="38.25">
      <c r="A72" s="59" t="s">
        <v>101</v>
      </c>
      <c r="B72" s="65" t="s">
        <v>102</v>
      </c>
      <c r="C72" s="68">
        <f>IF([6]С2.3!E23&gt;0,[6]С2.3!E23,[6]С2.3!E15)</f>
        <v>45675</v>
      </c>
    </row>
    <row r="73" spans="1:3" ht="30">
      <c r="A73" s="59" t="s">
        <v>103</v>
      </c>
      <c r="B73" s="53" t="s">
        <v>104</v>
      </c>
      <c r="C73" s="34">
        <f>[6]С2.1!E28</f>
        <v>9541.9567200000001</v>
      </c>
    </row>
    <row r="74" spans="1:3" ht="38.25">
      <c r="A74" s="59" t="s">
        <v>105</v>
      </c>
      <c r="B74" s="65" t="s">
        <v>106</v>
      </c>
      <c r="C74" s="52">
        <f>[6]С2.3!E25</f>
        <v>0</v>
      </c>
    </row>
    <row r="75" spans="1:3" ht="25.5">
      <c r="A75" s="59" t="s">
        <v>107</v>
      </c>
      <c r="B75" s="66" t="s">
        <v>108</v>
      </c>
      <c r="C75" s="67">
        <f>[6]С2.3!E12</f>
        <v>0.56000000000000005</v>
      </c>
    </row>
    <row r="76" spans="1:3" ht="25.5">
      <c r="A76" s="59" t="s">
        <v>109</v>
      </c>
      <c r="B76" s="66" t="s">
        <v>98</v>
      </c>
      <c r="C76" s="62">
        <f>[6]С2.3!E13</f>
        <v>300</v>
      </c>
    </row>
    <row r="77" spans="1:3" ht="25.5">
      <c r="A77" s="59" t="s">
        <v>110</v>
      </c>
      <c r="B77" s="69" t="s">
        <v>111</v>
      </c>
      <c r="C77" s="68">
        <f>IF([6]С2.3!E26&gt;0,[6]С2.3!E26,[6]С2.3!E16)</f>
        <v>65637</v>
      </c>
    </row>
    <row r="78" spans="1:3" ht="38.25">
      <c r="A78" s="59" t="s">
        <v>112</v>
      </c>
      <c r="B78" s="69" t="s">
        <v>113</v>
      </c>
      <c r="C78" s="68">
        <f>IF([6]С2.3!E27&gt;0,[6]С2.3!E27,[6]С2.3!E17)</f>
        <v>31684</v>
      </c>
    </row>
    <row r="79" spans="1:3" ht="17.25">
      <c r="A79" s="59" t="s">
        <v>114</v>
      </c>
      <c r="B79" s="33" t="s">
        <v>115</v>
      </c>
      <c r="C79" s="35">
        <f>[6]С2!F29</f>
        <v>0.128978033685065</v>
      </c>
    </row>
    <row r="80" spans="1:3" ht="30">
      <c r="A80" s="59" t="s">
        <v>116</v>
      </c>
      <c r="B80" s="53" t="s">
        <v>117</v>
      </c>
      <c r="C80" s="70">
        <f>[6]С2!F30</f>
        <v>0.11668498168498169</v>
      </c>
    </row>
    <row r="81" spans="1:3" ht="17.25">
      <c r="A81" s="59" t="s">
        <v>118</v>
      </c>
      <c r="B81" s="71" t="s">
        <v>119</v>
      </c>
      <c r="C81" s="35">
        <f>[6]С2!F31</f>
        <v>0.13880000000000001</v>
      </c>
    </row>
    <row r="82" spans="1:3" s="63" customFormat="1" ht="18" thickBot="1">
      <c r="A82" s="72" t="s">
        <v>120</v>
      </c>
      <c r="B82" s="73" t="s">
        <v>121</v>
      </c>
      <c r="C82" s="74">
        <f>[6]С2!F32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[6]С3!F14</f>
        <v>6976.0888978803041</v>
      </c>
    </row>
    <row r="86" spans="1:3" s="63" customFormat="1" ht="42.75">
      <c r="A86" s="77" t="s">
        <v>126</v>
      </c>
      <c r="B86" s="53" t="s">
        <v>127</v>
      </c>
      <c r="C86" s="78">
        <f>[6]С3!F15</f>
        <v>0.2</v>
      </c>
    </row>
    <row r="87" spans="1:3" s="63" customFormat="1" ht="14.25">
      <c r="A87" s="77" t="s">
        <v>128</v>
      </c>
      <c r="B87" s="79" t="s">
        <v>129</v>
      </c>
      <c r="C87" s="62">
        <f>[6]С3!F18</f>
        <v>15</v>
      </c>
    </row>
    <row r="88" spans="1:3" s="63" customFormat="1" ht="17.25">
      <c r="A88" s="77" t="s">
        <v>130</v>
      </c>
      <c r="B88" s="33" t="s">
        <v>131</v>
      </c>
      <c r="C88" s="34">
        <f>[6]С3!F19</f>
        <v>3487.1555421534131</v>
      </c>
    </row>
    <row r="89" spans="1:3" s="63" customFormat="1" ht="55.5">
      <c r="A89" s="77" t="s">
        <v>132</v>
      </c>
      <c r="B89" s="53" t="s">
        <v>133</v>
      </c>
      <c r="C89" s="80">
        <f>[6]С3!F20</f>
        <v>2.1999999999999999E-2</v>
      </c>
    </row>
    <row r="90" spans="1:3" s="63" customFormat="1" ht="14.25">
      <c r="A90" s="77" t="s">
        <v>134</v>
      </c>
      <c r="B90" s="58" t="s">
        <v>80</v>
      </c>
      <c r="C90" s="62">
        <f>[6]С3!F21</f>
        <v>10</v>
      </c>
    </row>
    <row r="91" spans="1:3" s="63" customFormat="1" ht="17.25">
      <c r="A91" s="77" t="s">
        <v>135</v>
      </c>
      <c r="B91" s="33" t="s">
        <v>136</v>
      </c>
      <c r="C91" s="34">
        <f>[6]С3!F22</f>
        <v>1.9138049586875561</v>
      </c>
    </row>
    <row r="92" spans="1:3" s="63" customFormat="1" ht="55.5">
      <c r="A92" s="77" t="s">
        <v>137</v>
      </c>
      <c r="B92" s="53" t="s">
        <v>138</v>
      </c>
      <c r="C92" s="80">
        <f>[6]С3!F23</f>
        <v>3.0000000000000001E-3</v>
      </c>
    </row>
    <row r="93" spans="1:3" s="63" customFormat="1" ht="27.75" thickBot="1">
      <c r="A93" s="81" t="s">
        <v>139</v>
      </c>
      <c r="B93" s="82" t="s">
        <v>140</v>
      </c>
      <c r="C93" s="83">
        <f>[6]С3!F24</f>
        <v>637.93498622918537</v>
      </c>
    </row>
    <row r="94" spans="1:3" ht="13.5" thickBot="1">
      <c r="A94" s="47"/>
      <c r="B94" s="75"/>
      <c r="C94" s="15"/>
    </row>
    <row r="95" spans="1:3" ht="30" customHeight="1">
      <c r="A95" s="84" t="s">
        <v>141</v>
      </c>
      <c r="B95" s="118" t="s">
        <v>142</v>
      </c>
      <c r="C95" s="118"/>
    </row>
    <row r="96" spans="1:3" ht="30">
      <c r="A96" s="59" t="s">
        <v>143</v>
      </c>
      <c r="B96" s="33" t="s">
        <v>144</v>
      </c>
      <c r="C96" s="34">
        <f>[6]С4!F16</f>
        <v>1652.5</v>
      </c>
    </row>
    <row r="97" spans="1:3" ht="30">
      <c r="A97" s="59" t="s">
        <v>145</v>
      </c>
      <c r="B97" s="58" t="s">
        <v>146</v>
      </c>
      <c r="C97" s="34">
        <f>[6]С4!F17</f>
        <v>73547</v>
      </c>
    </row>
    <row r="98" spans="1:3" ht="17.25">
      <c r="A98" s="59" t="s">
        <v>147</v>
      </c>
      <c r="B98" s="58" t="s">
        <v>148</v>
      </c>
      <c r="C98" s="40">
        <f>[6]С4!F18</f>
        <v>0.02</v>
      </c>
    </row>
    <row r="99" spans="1:3" ht="30">
      <c r="A99" s="59" t="s">
        <v>149</v>
      </c>
      <c r="B99" s="58" t="s">
        <v>150</v>
      </c>
      <c r="C99" s="34">
        <f>[6]С4!F19</f>
        <v>12104</v>
      </c>
    </row>
    <row r="100" spans="1:3" ht="31.5">
      <c r="A100" s="59" t="s">
        <v>151</v>
      </c>
      <c r="B100" s="58" t="s">
        <v>152</v>
      </c>
      <c r="C100" s="40">
        <f>[6]С4!F20</f>
        <v>1.4999999999999999E-2</v>
      </c>
    </row>
    <row r="101" spans="1:3" ht="30">
      <c r="A101" s="59" t="s">
        <v>153</v>
      </c>
      <c r="B101" s="33" t="s">
        <v>154</v>
      </c>
      <c r="C101" s="34">
        <f>[6]С4!F21</f>
        <v>1933.1949342509995</v>
      </c>
    </row>
    <row r="102" spans="1:3" ht="24" customHeight="1">
      <c r="A102" s="59" t="s">
        <v>155</v>
      </c>
      <c r="B102" s="53" t="s">
        <v>156</v>
      </c>
      <c r="C102" s="85">
        <f>IF([6]С4.2!F8="да",[6]С4.2!D21,[6]С4.2!D15)</f>
        <v>0</v>
      </c>
    </row>
    <row r="103" spans="1:3" ht="68.25">
      <c r="A103" s="59" t="s">
        <v>157</v>
      </c>
      <c r="B103" s="53" t="s">
        <v>158</v>
      </c>
      <c r="C103" s="34">
        <f>[6]С4!F22</f>
        <v>3.6112641666666665</v>
      </c>
    </row>
    <row r="104" spans="1:3" ht="30">
      <c r="A104" s="59" t="s">
        <v>159</v>
      </c>
      <c r="B104" s="58" t="s">
        <v>160</v>
      </c>
      <c r="C104" s="34">
        <f>[6]С4!F23</f>
        <v>180</v>
      </c>
    </row>
    <row r="105" spans="1:3" ht="14.25">
      <c r="A105" s="59" t="s">
        <v>161</v>
      </c>
      <c r="B105" s="53" t="s">
        <v>162</v>
      </c>
      <c r="C105" s="34">
        <f>[6]С4!F24</f>
        <v>8497.1999999999989</v>
      </c>
    </row>
    <row r="106" spans="1:3" ht="14.25">
      <c r="A106" s="59" t="s">
        <v>163</v>
      </c>
      <c r="B106" s="58" t="s">
        <v>164</v>
      </c>
      <c r="C106" s="40">
        <f>[6]С4!F25</f>
        <v>0.35</v>
      </c>
    </row>
    <row r="107" spans="1:3" ht="17.25">
      <c r="A107" s="59" t="s">
        <v>165</v>
      </c>
      <c r="B107" s="33" t="s">
        <v>166</v>
      </c>
      <c r="C107" s="34">
        <f>[6]С4!F26</f>
        <v>70.238579999999999</v>
      </c>
    </row>
    <row r="108" spans="1:3" ht="25.5">
      <c r="A108" s="59" t="s">
        <v>167</v>
      </c>
      <c r="B108" s="53" t="s">
        <v>94</v>
      </c>
      <c r="C108" s="85">
        <f>[6]С4.3!E16</f>
        <v>0</v>
      </c>
    </row>
    <row r="109" spans="1:3" ht="25.5">
      <c r="A109" s="59" t="s">
        <v>168</v>
      </c>
      <c r="B109" s="53" t="s">
        <v>169</v>
      </c>
      <c r="C109" s="34">
        <f>[6]С4.3!E17</f>
        <v>18.5</v>
      </c>
    </row>
    <row r="110" spans="1:3" ht="38.25">
      <c r="A110" s="59" t="s">
        <v>170</v>
      </c>
      <c r="B110" s="53" t="s">
        <v>106</v>
      </c>
      <c r="C110" s="85">
        <f>[6]С4.3!E18</f>
        <v>0</v>
      </c>
    </row>
    <row r="111" spans="1:3">
      <c r="A111" s="59" t="s">
        <v>171</v>
      </c>
      <c r="B111" s="53" t="s">
        <v>172</v>
      </c>
      <c r="C111" s="34">
        <f>[6]С4.3!E19</f>
        <v>26.27</v>
      </c>
    </row>
    <row r="112" spans="1:3">
      <c r="A112" s="59" t="s">
        <v>173</v>
      </c>
      <c r="B112" s="58" t="s">
        <v>174</v>
      </c>
      <c r="C112" s="34">
        <f>[6]С4.3!E11</f>
        <v>1871</v>
      </c>
    </row>
    <row r="113" spans="1:3">
      <c r="A113" s="59" t="s">
        <v>175</v>
      </c>
      <c r="B113" s="58" t="s">
        <v>176</v>
      </c>
      <c r="C113" s="52">
        <f>[6]С4.3!E12</f>
        <v>1636</v>
      </c>
    </row>
    <row r="114" spans="1:3">
      <c r="A114" s="59" t="s">
        <v>177</v>
      </c>
      <c r="B114" s="58" t="s">
        <v>178</v>
      </c>
      <c r="C114" s="52">
        <f>[6]С4.3!E13</f>
        <v>204</v>
      </c>
    </row>
    <row r="115" spans="1:3" ht="30">
      <c r="A115" s="59" t="s">
        <v>179</v>
      </c>
      <c r="B115" s="33" t="s">
        <v>180</v>
      </c>
      <c r="C115" s="34">
        <f>[6]С4!F27</f>
        <v>1038.565361974559</v>
      </c>
    </row>
    <row r="116" spans="1:3" ht="25.5">
      <c r="A116" s="59" t="s">
        <v>181</v>
      </c>
      <c r="B116" s="53" t="s">
        <v>182</v>
      </c>
      <c r="C116" s="34">
        <f>[6]С4!F28</f>
        <v>797.66924882838634</v>
      </c>
    </row>
    <row r="117" spans="1:3" ht="42.75">
      <c r="A117" s="59" t="s">
        <v>183</v>
      </c>
      <c r="B117" s="53" t="s">
        <v>184</v>
      </c>
      <c r="C117" s="34">
        <f>[6]С4!F29</f>
        <v>240.89611314617269</v>
      </c>
    </row>
    <row r="118" spans="1:3" ht="30">
      <c r="A118" s="59" t="s">
        <v>185</v>
      </c>
      <c r="B118" s="39" t="s">
        <v>186</v>
      </c>
      <c r="C118" s="34">
        <f>[6]С4!F30</f>
        <v>2299.5935327949028</v>
      </c>
    </row>
    <row r="119" spans="1:3" ht="42.75">
      <c r="A119" s="59" t="s">
        <v>187</v>
      </c>
      <c r="B119" s="86" t="s">
        <v>188</v>
      </c>
      <c r="C119" s="34">
        <f>[6]С4!F33</f>
        <v>1585.4915887596349</v>
      </c>
    </row>
    <row r="120" spans="1:3" ht="30">
      <c r="A120" s="59" t="s">
        <v>189</v>
      </c>
      <c r="B120" s="87" t="s">
        <v>190</v>
      </c>
      <c r="C120" s="34">
        <f>[6]С4!F35</f>
        <v>17.040680999999999</v>
      </c>
    </row>
    <row r="121" spans="1:3" ht="14.25">
      <c r="A121" s="59" t="s">
        <v>191</v>
      </c>
      <c r="B121" s="56" t="s">
        <v>192</v>
      </c>
      <c r="C121" s="34">
        <f>[6]С4!F36</f>
        <v>14319.9</v>
      </c>
    </row>
    <row r="122" spans="1:3" ht="28.5" thickBot="1">
      <c r="A122" s="72" t="s">
        <v>193</v>
      </c>
      <c r="B122" s="88" t="s">
        <v>194</v>
      </c>
      <c r="C122" s="83">
        <f>[6]С4!F37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[6]С5!F17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[6]С2!F37</f>
        <v>20.818139999999996</v>
      </c>
    </row>
    <row r="136" spans="1:4" ht="14.25">
      <c r="A136" s="59" t="s">
        <v>216</v>
      </c>
      <c r="B136" s="101" t="s">
        <v>217</v>
      </c>
      <c r="C136" s="34">
        <f>[6]С2!F38</f>
        <v>7</v>
      </c>
    </row>
    <row r="137" spans="1:4" ht="17.25">
      <c r="A137" s="59" t="s">
        <v>218</v>
      </c>
      <c r="B137" s="101" t="s">
        <v>219</v>
      </c>
      <c r="C137" s="34">
        <f>[6]С2!F40</f>
        <v>0.97</v>
      </c>
    </row>
    <row r="138" spans="1:4" ht="15" thickBot="1">
      <c r="A138" s="72" t="s">
        <v>220</v>
      </c>
      <c r="B138" s="102" t="s">
        <v>221</v>
      </c>
      <c r="C138" s="46">
        <f>[6]С2!F42</f>
        <v>0.35</v>
      </c>
    </row>
    <row r="139" spans="1:4" s="89" customFormat="1" ht="13.5" thickBot="1">
      <c r="A139" s="47"/>
      <c r="B139" s="75"/>
      <c r="C139" s="15"/>
    </row>
    <row r="140" spans="1:4" ht="30">
      <c r="A140" s="84" t="s">
        <v>222</v>
      </c>
      <c r="B140" s="103" t="s">
        <v>223</v>
      </c>
      <c r="C140" s="104">
        <f>[6]С2!F35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[6]С2.5!$E$11</f>
        <v>-2.9000000000000026E-2</v>
      </c>
      <c r="D143" s="89"/>
    </row>
    <row r="144" spans="1:4">
      <c r="A144" s="105"/>
      <c r="B144" s="110">
        <f>B143+1</f>
        <v>2021</v>
      </c>
      <c r="C144" s="111">
        <f>[6]С2.5!$F$11</f>
        <v>0.245</v>
      </c>
      <c r="D144" s="89"/>
    </row>
    <row r="145" spans="1:4">
      <c r="A145" s="105"/>
      <c r="B145" s="110">
        <f t="shared" ref="B145:B208" si="0">B144+1</f>
        <v>2022</v>
      </c>
      <c r="C145" s="111">
        <f>[6]С2.5!$G$11</f>
        <v>0.121</v>
      </c>
      <c r="D145" s="89"/>
    </row>
    <row r="146" spans="1:4" ht="13.5" thickBot="1">
      <c r="A146" s="105"/>
      <c r="B146" s="112">
        <f t="shared" si="0"/>
        <v>2023</v>
      </c>
      <c r="C146" s="113">
        <f>[6]С2.5!$H$11</f>
        <v>0.02</v>
      </c>
      <c r="D146" s="89"/>
    </row>
    <row r="147" spans="1:4" hidden="1">
      <c r="A147" s="105"/>
      <c r="B147" s="114">
        <f t="shared" si="0"/>
        <v>2024</v>
      </c>
      <c r="C147" s="115">
        <f>[6]С2.5!$I$11</f>
        <v>-2.93E-2</v>
      </c>
      <c r="D147" s="89"/>
    </row>
    <row r="148" spans="1:4" hidden="1">
      <c r="A148" s="105"/>
      <c r="B148" s="110">
        <f t="shared" si="0"/>
        <v>2025</v>
      </c>
      <c r="C148" s="111">
        <f>[6]С2.5!$J$11</f>
        <v>0.21215960863291</v>
      </c>
      <c r="D148" s="89"/>
    </row>
    <row r="149" spans="1:4" hidden="1">
      <c r="A149" s="105"/>
      <c r="B149" s="110">
        <f t="shared" si="0"/>
        <v>2026</v>
      </c>
      <c r="C149" s="111">
        <f>[6]С2.5!$K$11</f>
        <v>3.5813361771260002E-2</v>
      </c>
      <c r="D149" s="89"/>
    </row>
    <row r="150" spans="1:4" hidden="1">
      <c r="A150" s="105"/>
      <c r="B150" s="110">
        <f t="shared" si="0"/>
        <v>2027</v>
      </c>
      <c r="C150" s="111">
        <f>[6]С2.5!$L$11</f>
        <v>3.2682303599220003E-2</v>
      </c>
      <c r="D150" s="89"/>
    </row>
    <row r="151" spans="1:4" hidden="1">
      <c r="A151" s="105"/>
      <c r="B151" s="110">
        <f t="shared" si="0"/>
        <v>2028</v>
      </c>
      <c r="C151" s="111">
        <f>[6]С2.5!$M$11</f>
        <v>0</v>
      </c>
      <c r="D151" s="89"/>
    </row>
    <row r="152" spans="1:4" hidden="1">
      <c r="A152" s="105"/>
      <c r="B152" s="110">
        <f t="shared" si="0"/>
        <v>2029</v>
      </c>
      <c r="C152" s="111">
        <f>[6]С2.5!$N$11</f>
        <v>0</v>
      </c>
      <c r="D152" s="89"/>
    </row>
    <row r="153" spans="1:4" hidden="1">
      <c r="A153" s="105"/>
      <c r="B153" s="110">
        <f t="shared" si="0"/>
        <v>2030</v>
      </c>
      <c r="C153" s="111">
        <f>[6]С2.5!$O$11</f>
        <v>0</v>
      </c>
      <c r="D153" s="89"/>
    </row>
    <row r="154" spans="1:4" hidden="1">
      <c r="A154" s="105"/>
      <c r="B154" s="110">
        <f t="shared" si="0"/>
        <v>2031</v>
      </c>
      <c r="C154" s="111">
        <f>[6]С2.5!$P$11</f>
        <v>0</v>
      </c>
      <c r="D154" s="89"/>
    </row>
    <row r="155" spans="1:4" hidden="1">
      <c r="A155" s="89"/>
      <c r="B155" s="110">
        <f t="shared" si="0"/>
        <v>2032</v>
      </c>
      <c r="C155" s="111">
        <f>[6]С2.5!$Q$11</f>
        <v>0</v>
      </c>
      <c r="D155" s="89"/>
    </row>
    <row r="156" spans="1:4" hidden="1">
      <c r="A156" s="89"/>
      <c r="B156" s="110">
        <f t="shared" si="0"/>
        <v>2033</v>
      </c>
      <c r="C156" s="111">
        <f>[6]С2.5!$R$11</f>
        <v>0</v>
      </c>
      <c r="D156" s="89"/>
    </row>
    <row r="157" spans="1:4" hidden="1">
      <c r="B157" s="110">
        <f t="shared" si="0"/>
        <v>2034</v>
      </c>
      <c r="C157" s="111">
        <f>[6]С2.5!$S$11</f>
        <v>0</v>
      </c>
    </row>
    <row r="158" spans="1:4" hidden="1">
      <c r="B158" s="110">
        <f t="shared" si="0"/>
        <v>2035</v>
      </c>
      <c r="C158" s="111">
        <f>[6]С2.5!$T$11</f>
        <v>0</v>
      </c>
    </row>
    <row r="159" spans="1:4" hidden="1">
      <c r="B159" s="110">
        <f t="shared" si="0"/>
        <v>2036</v>
      </c>
      <c r="C159" s="111">
        <f>[6]С2.5!$U$11</f>
        <v>0</v>
      </c>
    </row>
    <row r="160" spans="1:4" hidden="1">
      <c r="B160" s="110">
        <f t="shared" si="0"/>
        <v>2037</v>
      </c>
      <c r="C160" s="111">
        <f>[6]С2.5!$V$11</f>
        <v>0</v>
      </c>
    </row>
    <row r="161" spans="2:3" hidden="1">
      <c r="B161" s="110">
        <f t="shared" si="0"/>
        <v>2038</v>
      </c>
      <c r="C161" s="111">
        <f>[6]С2.5!$W$11</f>
        <v>0</v>
      </c>
    </row>
    <row r="162" spans="2:3" hidden="1">
      <c r="B162" s="110">
        <f t="shared" si="0"/>
        <v>2039</v>
      </c>
      <c r="C162" s="111">
        <f>[6]С2.5!$X$11</f>
        <v>0</v>
      </c>
    </row>
    <row r="163" spans="2:3" hidden="1">
      <c r="B163" s="110">
        <f t="shared" si="0"/>
        <v>2040</v>
      </c>
      <c r="C163" s="111">
        <f>[6]С2.5!$Y$11</f>
        <v>0</v>
      </c>
    </row>
    <row r="164" spans="2:3" hidden="1">
      <c r="B164" s="110">
        <f t="shared" si="0"/>
        <v>2041</v>
      </c>
      <c r="C164" s="111">
        <f>[6]С2.5!$Z$11</f>
        <v>0</v>
      </c>
    </row>
    <row r="165" spans="2:3" hidden="1">
      <c r="B165" s="110">
        <f t="shared" si="0"/>
        <v>2042</v>
      </c>
      <c r="C165" s="111">
        <f>[6]С2.5!$AA$11</f>
        <v>0</v>
      </c>
    </row>
    <row r="166" spans="2:3" hidden="1">
      <c r="B166" s="110">
        <f t="shared" si="0"/>
        <v>2043</v>
      </c>
      <c r="C166" s="111">
        <f>[6]С2.5!$AB$11</f>
        <v>0</v>
      </c>
    </row>
    <row r="167" spans="2:3" hidden="1">
      <c r="B167" s="110">
        <f t="shared" si="0"/>
        <v>2044</v>
      </c>
      <c r="C167" s="111">
        <f>[6]С2.5!$AC$11</f>
        <v>0</v>
      </c>
    </row>
    <row r="168" spans="2:3" hidden="1">
      <c r="B168" s="110">
        <f t="shared" si="0"/>
        <v>2045</v>
      </c>
      <c r="C168" s="111">
        <f>[6]С2.5!$AD$11</f>
        <v>0</v>
      </c>
    </row>
    <row r="169" spans="2:3" hidden="1">
      <c r="B169" s="110">
        <f t="shared" si="0"/>
        <v>2046</v>
      </c>
      <c r="C169" s="111">
        <f>[6]С2.5!$AE$11</f>
        <v>0</v>
      </c>
    </row>
    <row r="170" spans="2:3" hidden="1">
      <c r="B170" s="110">
        <f t="shared" si="0"/>
        <v>2047</v>
      </c>
      <c r="C170" s="111">
        <f>[6]С2.5!$AF$11</f>
        <v>0</v>
      </c>
    </row>
    <row r="171" spans="2:3" hidden="1">
      <c r="B171" s="110">
        <f t="shared" si="0"/>
        <v>2048</v>
      </c>
      <c r="C171" s="111">
        <f>[6]С2.5!$AG$11</f>
        <v>0</v>
      </c>
    </row>
    <row r="172" spans="2:3" hidden="1">
      <c r="B172" s="110">
        <f t="shared" si="0"/>
        <v>2049</v>
      </c>
      <c r="C172" s="111">
        <f>[6]С2.5!$AH$11</f>
        <v>0</v>
      </c>
    </row>
    <row r="173" spans="2:3" hidden="1">
      <c r="B173" s="110">
        <f t="shared" si="0"/>
        <v>2050</v>
      </c>
      <c r="C173" s="111">
        <f>[6]С2.5!$AI$11</f>
        <v>0</v>
      </c>
    </row>
    <row r="174" spans="2:3" hidden="1">
      <c r="B174" s="110">
        <f t="shared" si="0"/>
        <v>2051</v>
      </c>
      <c r="C174" s="111">
        <f>[6]С2.5!$AJ$11</f>
        <v>0</v>
      </c>
    </row>
    <row r="175" spans="2:3" hidden="1">
      <c r="B175" s="110">
        <f t="shared" si="0"/>
        <v>2052</v>
      </c>
      <c r="C175" s="111">
        <f>[6]С2.5!$AK$11</f>
        <v>0</v>
      </c>
    </row>
    <row r="176" spans="2:3" hidden="1">
      <c r="B176" s="110">
        <f t="shared" si="0"/>
        <v>2053</v>
      </c>
      <c r="C176" s="111">
        <f>[6]С2.5!$AL$11</f>
        <v>0</v>
      </c>
    </row>
    <row r="177" spans="2:3" hidden="1">
      <c r="B177" s="110">
        <f t="shared" si="0"/>
        <v>2054</v>
      </c>
      <c r="C177" s="111">
        <f>[6]С2.5!$AM$11</f>
        <v>0</v>
      </c>
    </row>
    <row r="178" spans="2:3" hidden="1">
      <c r="B178" s="110">
        <f t="shared" si="0"/>
        <v>2055</v>
      </c>
      <c r="C178" s="111">
        <f>[6]С2.5!$AN$11</f>
        <v>0</v>
      </c>
    </row>
    <row r="179" spans="2:3" hidden="1">
      <c r="B179" s="110">
        <f t="shared" si="0"/>
        <v>2056</v>
      </c>
      <c r="C179" s="111">
        <f>[6]С2.5!$AO$11</f>
        <v>0</v>
      </c>
    </row>
    <row r="180" spans="2:3" hidden="1">
      <c r="B180" s="110">
        <f t="shared" si="0"/>
        <v>2057</v>
      </c>
      <c r="C180" s="111">
        <f>[6]С2.5!$AP$11</f>
        <v>0</v>
      </c>
    </row>
    <row r="181" spans="2:3" hidden="1">
      <c r="B181" s="110">
        <f t="shared" si="0"/>
        <v>2058</v>
      </c>
      <c r="C181" s="111">
        <f>[6]С2.5!$AQ$11</f>
        <v>0</v>
      </c>
    </row>
    <row r="182" spans="2:3" hidden="1">
      <c r="B182" s="110">
        <f t="shared" si="0"/>
        <v>2059</v>
      </c>
      <c r="C182" s="111">
        <f>[6]С2.5!$AR$11</f>
        <v>0</v>
      </c>
    </row>
    <row r="183" spans="2:3" hidden="1">
      <c r="B183" s="110">
        <f t="shared" si="0"/>
        <v>2060</v>
      </c>
      <c r="C183" s="111">
        <f>[6]С2.5!$AS$11</f>
        <v>0</v>
      </c>
    </row>
    <row r="184" spans="2:3" hidden="1">
      <c r="B184" s="110">
        <f t="shared" si="0"/>
        <v>2061</v>
      </c>
      <c r="C184" s="111">
        <f>[6]С2.5!$AT$11</f>
        <v>0</v>
      </c>
    </row>
    <row r="185" spans="2:3" hidden="1">
      <c r="B185" s="110">
        <f t="shared" si="0"/>
        <v>2062</v>
      </c>
      <c r="C185" s="111">
        <f>[6]С2.5!$AU$11</f>
        <v>0</v>
      </c>
    </row>
    <row r="186" spans="2:3" hidden="1">
      <c r="B186" s="110">
        <f t="shared" si="0"/>
        <v>2063</v>
      </c>
      <c r="C186" s="111">
        <f>[6]С2.5!$AV$11</f>
        <v>0</v>
      </c>
    </row>
    <row r="187" spans="2:3" hidden="1">
      <c r="B187" s="110">
        <f t="shared" si="0"/>
        <v>2064</v>
      </c>
      <c r="C187" s="111">
        <f>[6]С2.5!$AW$11</f>
        <v>0</v>
      </c>
    </row>
    <row r="188" spans="2:3" hidden="1">
      <c r="B188" s="110">
        <f t="shared" si="0"/>
        <v>2065</v>
      </c>
      <c r="C188" s="111">
        <f>[6]С2.5!$AX$11</f>
        <v>0</v>
      </c>
    </row>
    <row r="189" spans="2:3" hidden="1">
      <c r="B189" s="110">
        <f t="shared" si="0"/>
        <v>2066</v>
      </c>
      <c r="C189" s="111">
        <f>[6]С2.5!$AY$11</f>
        <v>0</v>
      </c>
    </row>
    <row r="190" spans="2:3" hidden="1">
      <c r="B190" s="110">
        <f t="shared" si="0"/>
        <v>2067</v>
      </c>
      <c r="C190" s="111">
        <f>[6]С2.5!$AZ$11</f>
        <v>0</v>
      </c>
    </row>
    <row r="191" spans="2:3" hidden="1">
      <c r="B191" s="110">
        <f t="shared" si="0"/>
        <v>2068</v>
      </c>
      <c r="C191" s="111">
        <f>[6]С2.5!$BA$11</f>
        <v>0</v>
      </c>
    </row>
    <row r="192" spans="2:3" hidden="1">
      <c r="B192" s="110">
        <f t="shared" si="0"/>
        <v>2069</v>
      </c>
      <c r="C192" s="111">
        <f>[6]С2.5!$BB$11</f>
        <v>0</v>
      </c>
    </row>
    <row r="193" spans="2:3" hidden="1">
      <c r="B193" s="110">
        <f t="shared" si="0"/>
        <v>2070</v>
      </c>
      <c r="C193" s="111">
        <f>[6]С2.5!$BC$11</f>
        <v>0</v>
      </c>
    </row>
    <row r="194" spans="2:3" hidden="1">
      <c r="B194" s="110">
        <f t="shared" si="0"/>
        <v>2071</v>
      </c>
      <c r="C194" s="111">
        <f>[6]С2.5!$BD$11</f>
        <v>0</v>
      </c>
    </row>
    <row r="195" spans="2:3" hidden="1">
      <c r="B195" s="110">
        <f t="shared" si="0"/>
        <v>2072</v>
      </c>
      <c r="C195" s="111">
        <f>[6]С2.5!$BE$11</f>
        <v>0</v>
      </c>
    </row>
    <row r="196" spans="2:3" hidden="1">
      <c r="B196" s="110">
        <f t="shared" si="0"/>
        <v>2073</v>
      </c>
      <c r="C196" s="111">
        <f>[6]С2.5!$BF$11</f>
        <v>0</v>
      </c>
    </row>
    <row r="197" spans="2:3" hidden="1">
      <c r="B197" s="110">
        <f t="shared" si="0"/>
        <v>2074</v>
      </c>
      <c r="C197" s="111">
        <f>[6]С2.5!$BG$11</f>
        <v>0</v>
      </c>
    </row>
    <row r="198" spans="2:3" hidden="1">
      <c r="B198" s="110">
        <f t="shared" si="0"/>
        <v>2075</v>
      </c>
      <c r="C198" s="111">
        <f>[6]С2.5!$BH$11</f>
        <v>0</v>
      </c>
    </row>
    <row r="199" spans="2:3" hidden="1">
      <c r="B199" s="110">
        <f t="shared" si="0"/>
        <v>2076</v>
      </c>
      <c r="C199" s="111">
        <f>[6]С2.5!$BI$11</f>
        <v>0</v>
      </c>
    </row>
    <row r="200" spans="2:3" hidden="1">
      <c r="B200" s="110">
        <f t="shared" si="0"/>
        <v>2077</v>
      </c>
      <c r="C200" s="111">
        <f>[6]С2.5!$BJ$11</f>
        <v>0</v>
      </c>
    </row>
    <row r="201" spans="2:3" hidden="1">
      <c r="B201" s="110">
        <f t="shared" si="0"/>
        <v>2078</v>
      </c>
      <c r="C201" s="111">
        <f>[6]С2.5!$BK$11</f>
        <v>0</v>
      </c>
    </row>
    <row r="202" spans="2:3" hidden="1">
      <c r="B202" s="110">
        <f t="shared" si="0"/>
        <v>2079</v>
      </c>
      <c r="C202" s="111">
        <f>[6]С2.5!$BL$11</f>
        <v>0</v>
      </c>
    </row>
    <row r="203" spans="2:3" hidden="1">
      <c r="B203" s="110">
        <f t="shared" si="0"/>
        <v>2080</v>
      </c>
      <c r="C203" s="111">
        <f>[6]С2.5!$BM$11</f>
        <v>0</v>
      </c>
    </row>
    <row r="204" spans="2:3" hidden="1">
      <c r="B204" s="110">
        <f t="shared" si="0"/>
        <v>2081</v>
      </c>
      <c r="C204" s="111">
        <f>[6]С2.5!$BN$11</f>
        <v>0</v>
      </c>
    </row>
    <row r="205" spans="2:3" hidden="1">
      <c r="B205" s="110">
        <f t="shared" si="0"/>
        <v>2082</v>
      </c>
      <c r="C205" s="111">
        <f>[6]С2.5!$BO$11</f>
        <v>0</v>
      </c>
    </row>
    <row r="206" spans="2:3" hidden="1">
      <c r="B206" s="110">
        <f t="shared" si="0"/>
        <v>2083</v>
      </c>
      <c r="C206" s="111">
        <f>[6]С2.5!$BP$11</f>
        <v>0</v>
      </c>
    </row>
    <row r="207" spans="2:3" hidden="1">
      <c r="B207" s="110">
        <f t="shared" si="0"/>
        <v>2084</v>
      </c>
      <c r="C207" s="111">
        <f>[6]С2.5!$BQ$11</f>
        <v>0</v>
      </c>
    </row>
    <row r="208" spans="2:3" hidden="1">
      <c r="B208" s="110">
        <f t="shared" si="0"/>
        <v>2085</v>
      </c>
      <c r="C208" s="111">
        <f>[6]С2.5!$BR$11</f>
        <v>0</v>
      </c>
    </row>
    <row r="209" spans="2:3" hidden="1">
      <c r="B209" s="110">
        <f t="shared" ref="B209:B223" si="1">B208+1</f>
        <v>2086</v>
      </c>
      <c r="C209" s="111">
        <f>[6]С2.5!$BS$11</f>
        <v>0</v>
      </c>
    </row>
    <row r="210" spans="2:3" hidden="1">
      <c r="B210" s="110">
        <f t="shared" si="1"/>
        <v>2087</v>
      </c>
      <c r="C210" s="111">
        <f>[6]С2.5!$BT$11</f>
        <v>0</v>
      </c>
    </row>
    <row r="211" spans="2:3" hidden="1">
      <c r="B211" s="110">
        <f t="shared" si="1"/>
        <v>2088</v>
      </c>
      <c r="C211" s="111">
        <f>[6]С2.5!$BU$11</f>
        <v>0</v>
      </c>
    </row>
    <row r="212" spans="2:3" hidden="1">
      <c r="B212" s="110">
        <f t="shared" si="1"/>
        <v>2089</v>
      </c>
      <c r="C212" s="111">
        <f>[6]С2.5!$BV$11</f>
        <v>0</v>
      </c>
    </row>
    <row r="213" spans="2:3" hidden="1">
      <c r="B213" s="110">
        <f t="shared" si="1"/>
        <v>2090</v>
      </c>
      <c r="C213" s="111">
        <f>[6]С2.5!$BW$11</f>
        <v>0</v>
      </c>
    </row>
    <row r="214" spans="2:3" hidden="1">
      <c r="B214" s="110">
        <f t="shared" si="1"/>
        <v>2091</v>
      </c>
      <c r="C214" s="111">
        <f>[6]С2.5!$BX$11</f>
        <v>0</v>
      </c>
    </row>
    <row r="215" spans="2:3" hidden="1">
      <c r="B215" s="110">
        <f t="shared" si="1"/>
        <v>2092</v>
      </c>
      <c r="C215" s="111">
        <f>[6]С2.5!$BY$11</f>
        <v>0</v>
      </c>
    </row>
    <row r="216" spans="2:3" hidden="1">
      <c r="B216" s="110">
        <f t="shared" si="1"/>
        <v>2093</v>
      </c>
      <c r="C216" s="111">
        <f>[6]С2.5!$BZ$11</f>
        <v>0</v>
      </c>
    </row>
    <row r="217" spans="2:3" hidden="1">
      <c r="B217" s="110">
        <f t="shared" si="1"/>
        <v>2094</v>
      </c>
      <c r="C217" s="111">
        <f>[6]С2.5!$CA$11</f>
        <v>0</v>
      </c>
    </row>
    <row r="218" spans="2:3" hidden="1">
      <c r="B218" s="110">
        <f t="shared" si="1"/>
        <v>2095</v>
      </c>
      <c r="C218" s="111">
        <f>[6]С2.5!$CB$11</f>
        <v>0</v>
      </c>
    </row>
    <row r="219" spans="2:3" hidden="1">
      <c r="B219" s="110">
        <f t="shared" si="1"/>
        <v>2096</v>
      </c>
      <c r="C219" s="111">
        <f>[6]С2.5!$CC$11</f>
        <v>0</v>
      </c>
    </row>
    <row r="220" spans="2:3" hidden="1">
      <c r="B220" s="110">
        <f t="shared" si="1"/>
        <v>2097</v>
      </c>
      <c r="C220" s="111">
        <f>[6]С2.5!$CD$11</f>
        <v>0</v>
      </c>
    </row>
    <row r="221" spans="2:3" hidden="1">
      <c r="B221" s="110">
        <f t="shared" si="1"/>
        <v>2098</v>
      </c>
      <c r="C221" s="111">
        <f>[6]С2.5!$CE$11</f>
        <v>0</v>
      </c>
    </row>
    <row r="222" spans="2:3" hidden="1">
      <c r="B222" s="110">
        <f t="shared" si="1"/>
        <v>2099</v>
      </c>
      <c r="C222" s="111">
        <f>[6]С2.5!$CF$11</f>
        <v>0</v>
      </c>
    </row>
    <row r="223" spans="2:3" ht="13.5" hidden="1" thickBot="1">
      <c r="B223" s="112">
        <f t="shared" si="1"/>
        <v>2100</v>
      </c>
      <c r="C223" s="113">
        <f>[6]С2.5!$CG$11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[7]И1!D13</f>
        <v>Субъект Российской Федерации</v>
      </c>
      <c r="C4" s="10" t="str">
        <f>[7]И1!E13</f>
        <v>Новосибирская область</v>
      </c>
    </row>
    <row r="5" spans="1:3" ht="38.25">
      <c r="A5" s="8"/>
      <c r="B5" s="9" t="str">
        <f>[7]И1!D14</f>
        <v>Тип муниципального образования (выберите из списка)</v>
      </c>
      <c r="C5" s="10" t="str">
        <f>[7]И1!E14</f>
        <v>село Верх-Урюм, Здвинский муниципальный район</v>
      </c>
    </row>
    <row r="6" spans="1:3">
      <c r="A6" s="8"/>
      <c r="B6" s="9" t="str">
        <f>IF([7]И1!E15="","",[7]И1!D15)</f>
        <v/>
      </c>
      <c r="C6" s="10" t="str">
        <f>IF([7]И1!E15="","",[7]И1!E15)</f>
        <v/>
      </c>
    </row>
    <row r="7" spans="1:3">
      <c r="A7" s="8"/>
      <c r="B7" s="9" t="str">
        <f>[7]И1!D16</f>
        <v>Код ОКТМО</v>
      </c>
      <c r="C7" s="11" t="str">
        <f>[7]И1!E16</f>
        <v>50613404101</v>
      </c>
    </row>
    <row r="8" spans="1:3">
      <c r="A8" s="8"/>
      <c r="B8" s="12" t="str">
        <f>[7]И1!D17</f>
        <v>Система теплоснабжения</v>
      </c>
      <c r="C8" s="13">
        <f>[7]И1!E17</f>
        <v>0</v>
      </c>
    </row>
    <row r="9" spans="1:3">
      <c r="A9" s="8"/>
      <c r="B9" s="9" t="str">
        <f>[7]И1!D8</f>
        <v>Период регулирования (i)-й</v>
      </c>
      <c r="C9" s="14">
        <f>[7]И1!E8</f>
        <v>2023</v>
      </c>
    </row>
    <row r="10" spans="1:3">
      <c r="A10" s="8"/>
      <c r="B10" s="9" t="str">
        <f>[7]И1!D9</f>
        <v>Период регулирования (i-1)-й</v>
      </c>
      <c r="C10" s="14">
        <f>[7]И1!E9</f>
        <v>2022</v>
      </c>
    </row>
    <row r="11" spans="1:3">
      <c r="A11" s="8"/>
      <c r="B11" s="9" t="str">
        <f>[7]И1!D10</f>
        <v>Период регулирования (i-2)-й</v>
      </c>
      <c r="C11" s="14">
        <f>[7]И1!E10</f>
        <v>2021</v>
      </c>
    </row>
    <row r="12" spans="1:3">
      <c r="A12" s="8"/>
      <c r="B12" s="9" t="str">
        <f>[7]И1!D11</f>
        <v>Базовый год (б)</v>
      </c>
      <c r="C12" s="14">
        <f>[7]И1!E11</f>
        <v>2019</v>
      </c>
    </row>
    <row r="13" spans="1:3" ht="38.25">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4058.758883775522</v>
      </c>
    </row>
    <row r="18" spans="1:3" ht="42.75">
      <c r="A18" s="22" t="s">
        <v>8</v>
      </c>
      <c r="B18" s="25" t="s">
        <v>9</v>
      </c>
      <c r="C18" s="26">
        <f>[7]С1!F12</f>
        <v>961.2720896297086</v>
      </c>
    </row>
    <row r="19" spans="1:3" ht="42.75">
      <c r="A19" s="22" t="s">
        <v>10</v>
      </c>
      <c r="B19" s="25" t="s">
        <v>11</v>
      </c>
      <c r="C19" s="26">
        <f>[7]С2!F12</f>
        <v>2101.7757879094611</v>
      </c>
    </row>
    <row r="20" spans="1:3" ht="30">
      <c r="A20" s="22" t="s">
        <v>12</v>
      </c>
      <c r="B20" s="25" t="s">
        <v>13</v>
      </c>
      <c r="C20" s="26">
        <f>[7]С3!F12</f>
        <v>502.69420058623905</v>
      </c>
    </row>
    <row r="21" spans="1:3" ht="42.75">
      <c r="A21" s="22" t="s">
        <v>14</v>
      </c>
      <c r="B21" s="25" t="s">
        <v>15</v>
      </c>
      <c r="C21" s="26">
        <f>[7]С4!F12</f>
        <v>413.43329812510336</v>
      </c>
    </row>
    <row r="22" spans="1:3" ht="30">
      <c r="A22" s="22" t="s">
        <v>16</v>
      </c>
      <c r="B22" s="25" t="s">
        <v>17</v>
      </c>
      <c r="C22" s="26">
        <f>[7]С5!F12</f>
        <v>79.583507525010234</v>
      </c>
    </row>
    <row r="23" spans="1:3" ht="43.5" thickBot="1">
      <c r="A23" s="27" t="s">
        <v>18</v>
      </c>
      <c r="B23" s="117" t="s">
        <v>19</v>
      </c>
      <c r="C23" s="28" t="str">
        <f>[7]С6!F12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[7]С1.1!E16</f>
        <v>5100</v>
      </c>
    </row>
    <row r="29" spans="1:3" ht="42.75">
      <c r="A29" s="22" t="s">
        <v>10</v>
      </c>
      <c r="B29" s="33" t="s">
        <v>22</v>
      </c>
      <c r="C29" s="34">
        <f>[7]С1.1!E27</f>
        <v>2584.6999999999998</v>
      </c>
    </row>
    <row r="30" spans="1:3" ht="17.25">
      <c r="A30" s="22" t="s">
        <v>12</v>
      </c>
      <c r="B30" s="33" t="s">
        <v>23</v>
      </c>
      <c r="C30" s="35">
        <f>[7]С1.1!E19</f>
        <v>0.59499999999999997</v>
      </c>
    </row>
    <row r="31" spans="1:3" ht="17.25">
      <c r="A31" s="22" t="s">
        <v>14</v>
      </c>
      <c r="B31" s="33" t="s">
        <v>24</v>
      </c>
      <c r="C31" s="35">
        <f>[7]С1.1!E20</f>
        <v>-0.113</v>
      </c>
    </row>
    <row r="32" spans="1:3" ht="30">
      <c r="A32" s="22" t="s">
        <v>16</v>
      </c>
      <c r="B32" s="36" t="s">
        <v>25</v>
      </c>
      <c r="C32" s="37">
        <f>[7]С1!F13</f>
        <v>176.4</v>
      </c>
    </row>
    <row r="33" spans="1:3">
      <c r="A33" s="22" t="s">
        <v>18</v>
      </c>
      <c r="B33" s="36" t="s">
        <v>26</v>
      </c>
      <c r="C33" s="38">
        <f>[7]С1!F16</f>
        <v>7000</v>
      </c>
    </row>
    <row r="34" spans="1:3" ht="14.25">
      <c r="A34" s="22" t="s">
        <v>27</v>
      </c>
      <c r="B34" s="39" t="s">
        <v>28</v>
      </c>
      <c r="C34" s="40">
        <f>[7]С1!F17</f>
        <v>0.72857142857142854</v>
      </c>
    </row>
    <row r="35" spans="1:3" ht="15.75">
      <c r="A35" s="41" t="s">
        <v>29</v>
      </c>
      <c r="B35" s="42" t="s">
        <v>30</v>
      </c>
      <c r="C35" s="40">
        <f>[7]С1!F20</f>
        <v>21.588411179999994</v>
      </c>
    </row>
    <row r="36" spans="1:3" ht="15.75">
      <c r="A36" s="41" t="s">
        <v>31</v>
      </c>
      <c r="B36" s="43" t="s">
        <v>32</v>
      </c>
      <c r="C36" s="40">
        <f>[7]С1!F21</f>
        <v>20.818139999999996</v>
      </c>
    </row>
    <row r="37" spans="1:3" ht="14.25">
      <c r="A37" s="41" t="s">
        <v>33</v>
      </c>
      <c r="B37" s="44" t="s">
        <v>34</v>
      </c>
      <c r="C37" s="40">
        <f>[7]С1!F22</f>
        <v>1.0369999999999999</v>
      </c>
    </row>
    <row r="38" spans="1:3" ht="53.25" thickBot="1">
      <c r="A38" s="27" t="s">
        <v>35</v>
      </c>
      <c r="B38" s="45" t="s">
        <v>36</v>
      </c>
      <c r="C38" s="46">
        <f>[7]С1!F23</f>
        <v>1.0469999999999999</v>
      </c>
    </row>
    <row r="39" spans="1:3" ht="13.5" thickBot="1">
      <c r="A39" s="47"/>
      <c r="B39" s="48"/>
      <c r="C39" s="49"/>
    </row>
    <row r="40" spans="1:3" ht="30" customHeight="1">
      <c r="A40" s="50" t="s">
        <v>37</v>
      </c>
      <c r="B40" s="118" t="s">
        <v>38</v>
      </c>
      <c r="C40" s="118"/>
    </row>
    <row r="41" spans="1:3" ht="25.5">
      <c r="A41" s="22" t="s">
        <v>39</v>
      </c>
      <c r="B41" s="36" t="s">
        <v>40</v>
      </c>
      <c r="C41" s="51" t="str">
        <f>[7]С2.1!E12</f>
        <v>V</v>
      </c>
    </row>
    <row r="42" spans="1:3" ht="25.5">
      <c r="A42" s="22" t="s">
        <v>41</v>
      </c>
      <c r="B42" s="33" t="s">
        <v>42</v>
      </c>
      <c r="C42" s="51" t="str">
        <f>[7]С2.1!E13</f>
        <v>6 и менее баллов</v>
      </c>
    </row>
    <row r="43" spans="1:3" ht="25.5">
      <c r="A43" s="22" t="s">
        <v>43</v>
      </c>
      <c r="B43" s="33" t="s">
        <v>44</v>
      </c>
      <c r="C43" s="51" t="str">
        <f>[7]С2.1!E14</f>
        <v>от 200 до 500</v>
      </c>
    </row>
    <row r="44" spans="1:3" ht="25.5">
      <c r="A44" s="22" t="s">
        <v>45</v>
      </c>
      <c r="B44" s="33" t="s">
        <v>46</v>
      </c>
      <c r="C44" s="52" t="str">
        <f>[7]С2.1!E15</f>
        <v>нет</v>
      </c>
    </row>
    <row r="45" spans="1:3" ht="30">
      <c r="A45" s="22" t="s">
        <v>47</v>
      </c>
      <c r="B45" s="33" t="s">
        <v>48</v>
      </c>
      <c r="C45" s="34">
        <f>[7]С2!F18</f>
        <v>32402.627334033532</v>
      </c>
    </row>
    <row r="46" spans="1:3" ht="30">
      <c r="A46" s="22" t="s">
        <v>49</v>
      </c>
      <c r="B46" s="53" t="s">
        <v>50</v>
      </c>
      <c r="C46" s="34">
        <f>IF([7]С2!F19&gt;0,[7]С2!F19,[7]С2!F20)</f>
        <v>23441.524932855718</v>
      </c>
    </row>
    <row r="47" spans="1:3" ht="25.5">
      <c r="A47" s="22" t="s">
        <v>51</v>
      </c>
      <c r="B47" s="54" t="s">
        <v>52</v>
      </c>
      <c r="C47" s="34">
        <f>[7]С2.1!E19</f>
        <v>-38</v>
      </c>
    </row>
    <row r="48" spans="1:3" ht="25.5">
      <c r="A48" s="22" t="s">
        <v>53</v>
      </c>
      <c r="B48" s="54" t="s">
        <v>54</v>
      </c>
      <c r="C48" s="34" t="str">
        <f>[7]С2.1!E22</f>
        <v>нет</v>
      </c>
    </row>
    <row r="49" spans="1:3" ht="38.25">
      <c r="A49" s="22" t="s">
        <v>55</v>
      </c>
      <c r="B49" s="55" t="s">
        <v>56</v>
      </c>
      <c r="C49" s="34">
        <f>[7]С2.2!E10</f>
        <v>1287</v>
      </c>
    </row>
    <row r="50" spans="1:3" ht="25.5">
      <c r="A50" s="22" t="s">
        <v>57</v>
      </c>
      <c r="B50" s="56" t="s">
        <v>58</v>
      </c>
      <c r="C50" s="34">
        <f>[7]С2.2!E12</f>
        <v>5.97</v>
      </c>
    </row>
    <row r="51" spans="1:3" ht="52.5">
      <c r="A51" s="22" t="s">
        <v>59</v>
      </c>
      <c r="B51" s="57" t="s">
        <v>60</v>
      </c>
      <c r="C51" s="34">
        <f>[7]С2.2!E13</f>
        <v>1</v>
      </c>
    </row>
    <row r="52" spans="1:3" ht="27.75">
      <c r="A52" s="22" t="s">
        <v>61</v>
      </c>
      <c r="B52" s="56" t="s">
        <v>62</v>
      </c>
      <c r="C52" s="34">
        <f>[7]С2.2!E14</f>
        <v>12104</v>
      </c>
    </row>
    <row r="53" spans="1:3" ht="25.5">
      <c r="A53" s="22" t="s">
        <v>63</v>
      </c>
      <c r="B53" s="57" t="s">
        <v>64</v>
      </c>
      <c r="C53" s="35">
        <f>[7]С2.2!E15</f>
        <v>4.8000000000000001E-2</v>
      </c>
    </row>
    <row r="54" spans="1:3">
      <c r="A54" s="22" t="s">
        <v>65</v>
      </c>
      <c r="B54" s="57" t="s">
        <v>66</v>
      </c>
      <c r="C54" s="34">
        <f>[7]С2.2!E16</f>
        <v>1</v>
      </c>
    </row>
    <row r="55" spans="1:3" ht="15.75">
      <c r="A55" s="22" t="s">
        <v>67</v>
      </c>
      <c r="B55" s="58" t="s">
        <v>68</v>
      </c>
      <c r="C55" s="34">
        <f>[7]С2!F21</f>
        <v>1</v>
      </c>
    </row>
    <row r="56" spans="1:3" ht="30">
      <c r="A56" s="59" t="s">
        <v>69</v>
      </c>
      <c r="B56" s="33" t="s">
        <v>70</v>
      </c>
      <c r="C56" s="34">
        <f>[7]С2!F13</f>
        <v>169640.22915965237</v>
      </c>
    </row>
    <row r="57" spans="1:3" ht="30">
      <c r="A57" s="59" t="s">
        <v>71</v>
      </c>
      <c r="B57" s="58" t="s">
        <v>72</v>
      </c>
      <c r="C57" s="34">
        <f>[7]С2!F14</f>
        <v>113455</v>
      </c>
    </row>
    <row r="58" spans="1:3" ht="15.75">
      <c r="A58" s="59" t="s">
        <v>73</v>
      </c>
      <c r="B58" s="60" t="s">
        <v>74</v>
      </c>
      <c r="C58" s="40">
        <f>[7]С2!F15</f>
        <v>1.071</v>
      </c>
    </row>
    <row r="59" spans="1:3" ht="15.75">
      <c r="A59" s="59" t="s">
        <v>75</v>
      </c>
      <c r="B59" s="60" t="s">
        <v>76</v>
      </c>
      <c r="C59" s="40">
        <f>[7]С2!F16</f>
        <v>1</v>
      </c>
    </row>
    <row r="60" spans="1:3" ht="17.25">
      <c r="A60" s="59" t="s">
        <v>77</v>
      </c>
      <c r="B60" s="58" t="s">
        <v>78</v>
      </c>
      <c r="C60" s="34">
        <f>[7]С2!F17</f>
        <v>1.01</v>
      </c>
    </row>
    <row r="61" spans="1:3" s="63" customFormat="1" ht="14.25">
      <c r="A61" s="59" t="s">
        <v>79</v>
      </c>
      <c r="B61" s="61" t="s">
        <v>80</v>
      </c>
      <c r="C61" s="62">
        <f>[7]С2!F33</f>
        <v>10</v>
      </c>
    </row>
    <row r="62" spans="1:3" ht="30">
      <c r="A62" s="59" t="s">
        <v>81</v>
      </c>
      <c r="B62" s="64" t="s">
        <v>82</v>
      </c>
      <c r="C62" s="34">
        <f>[7]С2!F26</f>
        <v>637.93498622918537</v>
      </c>
    </row>
    <row r="63" spans="1:3" ht="17.25">
      <c r="A63" s="59" t="s">
        <v>83</v>
      </c>
      <c r="B63" s="53" t="s">
        <v>84</v>
      </c>
      <c r="C63" s="34">
        <f>[7]С2!F27</f>
        <v>0.10988357099999999</v>
      </c>
    </row>
    <row r="64" spans="1:3" ht="17.25">
      <c r="A64" s="59" t="s">
        <v>85</v>
      </c>
      <c r="B64" s="58" t="s">
        <v>86</v>
      </c>
      <c r="C64" s="62">
        <f>[7]С2!F28</f>
        <v>4200</v>
      </c>
    </row>
    <row r="65" spans="1:3" ht="42.75">
      <c r="A65" s="59" t="s">
        <v>87</v>
      </c>
      <c r="B65" s="33" t="s">
        <v>88</v>
      </c>
      <c r="C65" s="34">
        <f>[7]С2!F22</f>
        <v>35717.748653137714</v>
      </c>
    </row>
    <row r="66" spans="1:3" ht="30">
      <c r="A66" s="59" t="s">
        <v>89</v>
      </c>
      <c r="B66" s="60" t="s">
        <v>90</v>
      </c>
      <c r="C66" s="34">
        <f>[7]С2!F23</f>
        <v>1990</v>
      </c>
    </row>
    <row r="67" spans="1:3" ht="30">
      <c r="A67" s="59" t="s">
        <v>91</v>
      </c>
      <c r="B67" s="53" t="s">
        <v>92</v>
      </c>
      <c r="C67" s="34">
        <f>[7]С2.1!E27</f>
        <v>14307.876789999998</v>
      </c>
    </row>
    <row r="68" spans="1:3" ht="38.25">
      <c r="A68" s="59" t="s">
        <v>93</v>
      </c>
      <c r="B68" s="65" t="s">
        <v>94</v>
      </c>
      <c r="C68" s="52">
        <f>[7]С2.3!E21</f>
        <v>0</v>
      </c>
    </row>
    <row r="69" spans="1:3" ht="25.5">
      <c r="A69" s="59" t="s">
        <v>95</v>
      </c>
      <c r="B69" s="66" t="s">
        <v>96</v>
      </c>
      <c r="C69" s="67">
        <f>[7]С2.3!E11</f>
        <v>9.89</v>
      </c>
    </row>
    <row r="70" spans="1:3" ht="25.5">
      <c r="A70" s="59" t="s">
        <v>97</v>
      </c>
      <c r="B70" s="66" t="s">
        <v>98</v>
      </c>
      <c r="C70" s="62">
        <f>[7]С2.3!E13</f>
        <v>300</v>
      </c>
    </row>
    <row r="71" spans="1:3" ht="25.5">
      <c r="A71" s="59" t="s">
        <v>99</v>
      </c>
      <c r="B71" s="65" t="s">
        <v>100</v>
      </c>
      <c r="C71" s="68">
        <f>IF([7]С2.3!E22&gt;0,[7]С2.3!E22,[7]С2.3!E14)</f>
        <v>61211</v>
      </c>
    </row>
    <row r="72" spans="1:3" ht="38.25">
      <c r="A72" s="59" t="s">
        <v>101</v>
      </c>
      <c r="B72" s="65" t="s">
        <v>102</v>
      </c>
      <c r="C72" s="68">
        <f>IF([7]С2.3!E23&gt;0,[7]С2.3!E23,[7]С2.3!E15)</f>
        <v>45675</v>
      </c>
    </row>
    <row r="73" spans="1:3" ht="30">
      <c r="A73" s="59" t="s">
        <v>103</v>
      </c>
      <c r="B73" s="53" t="s">
        <v>104</v>
      </c>
      <c r="C73" s="34">
        <f>[7]С2.1!E28</f>
        <v>9541.9567200000001</v>
      </c>
    </row>
    <row r="74" spans="1:3" ht="38.25">
      <c r="A74" s="59" t="s">
        <v>105</v>
      </c>
      <c r="B74" s="65" t="s">
        <v>106</v>
      </c>
      <c r="C74" s="52">
        <f>[7]С2.3!E25</f>
        <v>0</v>
      </c>
    </row>
    <row r="75" spans="1:3" ht="25.5">
      <c r="A75" s="59" t="s">
        <v>107</v>
      </c>
      <c r="B75" s="66" t="s">
        <v>108</v>
      </c>
      <c r="C75" s="67">
        <f>[7]С2.3!E12</f>
        <v>0.56000000000000005</v>
      </c>
    </row>
    <row r="76" spans="1:3" ht="25.5">
      <c r="A76" s="59" t="s">
        <v>109</v>
      </c>
      <c r="B76" s="66" t="s">
        <v>98</v>
      </c>
      <c r="C76" s="62">
        <f>[7]С2.3!E13</f>
        <v>300</v>
      </c>
    </row>
    <row r="77" spans="1:3" ht="25.5">
      <c r="A77" s="59" t="s">
        <v>110</v>
      </c>
      <c r="B77" s="69" t="s">
        <v>111</v>
      </c>
      <c r="C77" s="68">
        <f>IF([7]С2.3!E26&gt;0,[7]С2.3!E26,[7]С2.3!E16)</f>
        <v>65637</v>
      </c>
    </row>
    <row r="78" spans="1:3" ht="38.25">
      <c r="A78" s="59" t="s">
        <v>112</v>
      </c>
      <c r="B78" s="69" t="s">
        <v>113</v>
      </c>
      <c r="C78" s="68">
        <f>IF([7]С2.3!E27&gt;0,[7]С2.3!E27,[7]С2.3!E17)</f>
        <v>31684</v>
      </c>
    </row>
    <row r="79" spans="1:3" ht="17.25">
      <c r="A79" s="59" t="s">
        <v>114</v>
      </c>
      <c r="B79" s="33" t="s">
        <v>115</v>
      </c>
      <c r="C79" s="35">
        <f>[7]С2!F29</f>
        <v>0.128978033685065</v>
      </c>
    </row>
    <row r="80" spans="1:3" ht="30">
      <c r="A80" s="59" t="s">
        <v>116</v>
      </c>
      <c r="B80" s="53" t="s">
        <v>117</v>
      </c>
      <c r="C80" s="70">
        <f>[7]С2!F30</f>
        <v>0.11668498168498169</v>
      </c>
    </row>
    <row r="81" spans="1:3" ht="17.25">
      <c r="A81" s="59" t="s">
        <v>118</v>
      </c>
      <c r="B81" s="71" t="s">
        <v>119</v>
      </c>
      <c r="C81" s="35">
        <f>[7]С2!F31</f>
        <v>0.13880000000000001</v>
      </c>
    </row>
    <row r="82" spans="1:3" s="63" customFormat="1" ht="18" thickBot="1">
      <c r="A82" s="72" t="s">
        <v>120</v>
      </c>
      <c r="B82" s="73" t="s">
        <v>121</v>
      </c>
      <c r="C82" s="74">
        <f>[7]С2!F32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[7]С3!F14</f>
        <v>6976.0888978803041</v>
      </c>
    </row>
    <row r="86" spans="1:3" s="63" customFormat="1" ht="42.75">
      <c r="A86" s="77" t="s">
        <v>126</v>
      </c>
      <c r="B86" s="53" t="s">
        <v>127</v>
      </c>
      <c r="C86" s="78">
        <f>[7]С3!F15</f>
        <v>0.2</v>
      </c>
    </row>
    <row r="87" spans="1:3" s="63" customFormat="1" ht="14.25">
      <c r="A87" s="77" t="s">
        <v>128</v>
      </c>
      <c r="B87" s="79" t="s">
        <v>129</v>
      </c>
      <c r="C87" s="62">
        <f>[7]С3!F18</f>
        <v>15</v>
      </c>
    </row>
    <row r="88" spans="1:3" s="63" customFormat="1" ht="17.25">
      <c r="A88" s="77" t="s">
        <v>130</v>
      </c>
      <c r="B88" s="33" t="s">
        <v>131</v>
      </c>
      <c r="C88" s="34">
        <f>[7]С3!F19</f>
        <v>3487.1555421534131</v>
      </c>
    </row>
    <row r="89" spans="1:3" s="63" customFormat="1" ht="55.5">
      <c r="A89" s="77" t="s">
        <v>132</v>
      </c>
      <c r="B89" s="53" t="s">
        <v>133</v>
      </c>
      <c r="C89" s="80">
        <f>[7]С3!F20</f>
        <v>2.1999999999999999E-2</v>
      </c>
    </row>
    <row r="90" spans="1:3" s="63" customFormat="1" ht="14.25">
      <c r="A90" s="77" t="s">
        <v>134</v>
      </c>
      <c r="B90" s="58" t="s">
        <v>80</v>
      </c>
      <c r="C90" s="62">
        <f>[7]С3!F21</f>
        <v>10</v>
      </c>
    </row>
    <row r="91" spans="1:3" s="63" customFormat="1" ht="17.25">
      <c r="A91" s="77" t="s">
        <v>135</v>
      </c>
      <c r="B91" s="33" t="s">
        <v>136</v>
      </c>
      <c r="C91" s="34">
        <f>[7]С3!F22</f>
        <v>1.9138049586875561</v>
      </c>
    </row>
    <row r="92" spans="1:3" s="63" customFormat="1" ht="55.5">
      <c r="A92" s="77" t="s">
        <v>137</v>
      </c>
      <c r="B92" s="53" t="s">
        <v>138</v>
      </c>
      <c r="C92" s="80">
        <f>[7]С3!F23</f>
        <v>3.0000000000000001E-3</v>
      </c>
    </row>
    <row r="93" spans="1:3" s="63" customFormat="1" ht="27.75" thickBot="1">
      <c r="A93" s="81" t="s">
        <v>139</v>
      </c>
      <c r="B93" s="82" t="s">
        <v>140</v>
      </c>
      <c r="C93" s="83">
        <f>[7]С3!F24</f>
        <v>637.93498622918537</v>
      </c>
    </row>
    <row r="94" spans="1:3" ht="13.5" thickBot="1">
      <c r="A94" s="47"/>
      <c r="B94" s="75"/>
      <c r="C94" s="15"/>
    </row>
    <row r="95" spans="1:3" ht="30" customHeight="1">
      <c r="A95" s="84" t="s">
        <v>141</v>
      </c>
      <c r="B95" s="118" t="s">
        <v>142</v>
      </c>
      <c r="C95" s="118"/>
    </row>
    <row r="96" spans="1:3" ht="30">
      <c r="A96" s="59" t="s">
        <v>143</v>
      </c>
      <c r="B96" s="33" t="s">
        <v>144</v>
      </c>
      <c r="C96" s="34">
        <f>[7]С4!F16</f>
        <v>1652.5</v>
      </c>
    </row>
    <row r="97" spans="1:3" ht="30">
      <c r="A97" s="59" t="s">
        <v>145</v>
      </c>
      <c r="B97" s="58" t="s">
        <v>146</v>
      </c>
      <c r="C97" s="34">
        <f>[7]С4!F17</f>
        <v>73547</v>
      </c>
    </row>
    <row r="98" spans="1:3" ht="17.25">
      <c r="A98" s="59" t="s">
        <v>147</v>
      </c>
      <c r="B98" s="58" t="s">
        <v>148</v>
      </c>
      <c r="C98" s="40">
        <f>[7]С4!F18</f>
        <v>0.02</v>
      </c>
    </row>
    <row r="99" spans="1:3" ht="30">
      <c r="A99" s="59" t="s">
        <v>149</v>
      </c>
      <c r="B99" s="58" t="s">
        <v>150</v>
      </c>
      <c r="C99" s="34">
        <f>[7]С4!F19</f>
        <v>12104</v>
      </c>
    </row>
    <row r="100" spans="1:3" ht="31.5">
      <c r="A100" s="59" t="s">
        <v>151</v>
      </c>
      <c r="B100" s="58" t="s">
        <v>152</v>
      </c>
      <c r="C100" s="40">
        <f>[7]С4!F20</f>
        <v>1.4999999999999999E-2</v>
      </c>
    </row>
    <row r="101" spans="1:3" ht="30">
      <c r="A101" s="59" t="s">
        <v>153</v>
      </c>
      <c r="B101" s="33" t="s">
        <v>154</v>
      </c>
      <c r="C101" s="34">
        <f>[7]С4!F21</f>
        <v>1933.1949342509995</v>
      </c>
    </row>
    <row r="102" spans="1:3" ht="24" customHeight="1">
      <c r="A102" s="59" t="s">
        <v>155</v>
      </c>
      <c r="B102" s="53" t="s">
        <v>156</v>
      </c>
      <c r="C102" s="85">
        <f>IF([7]С4.2!F8="да",[7]С4.2!D21,[7]С4.2!D15)</f>
        <v>0</v>
      </c>
    </row>
    <row r="103" spans="1:3" ht="68.25">
      <c r="A103" s="59" t="s">
        <v>157</v>
      </c>
      <c r="B103" s="53" t="s">
        <v>158</v>
      </c>
      <c r="C103" s="34">
        <f>[7]С4!F22</f>
        <v>3.6112641666666665</v>
      </c>
    </row>
    <row r="104" spans="1:3" ht="30">
      <c r="A104" s="59" t="s">
        <v>159</v>
      </c>
      <c r="B104" s="58" t="s">
        <v>160</v>
      </c>
      <c r="C104" s="34">
        <f>[7]С4!F23</f>
        <v>180</v>
      </c>
    </row>
    <row r="105" spans="1:3" ht="14.25">
      <c r="A105" s="59" t="s">
        <v>161</v>
      </c>
      <c r="B105" s="53" t="s">
        <v>162</v>
      </c>
      <c r="C105" s="34">
        <f>[7]С4!F24</f>
        <v>8497.1999999999989</v>
      </c>
    </row>
    <row r="106" spans="1:3" ht="14.25">
      <c r="A106" s="59" t="s">
        <v>163</v>
      </c>
      <c r="B106" s="58" t="s">
        <v>164</v>
      </c>
      <c r="C106" s="40">
        <f>[7]С4!F25</f>
        <v>0.35</v>
      </c>
    </row>
    <row r="107" spans="1:3" ht="17.25">
      <c r="A107" s="59" t="s">
        <v>165</v>
      </c>
      <c r="B107" s="33" t="s">
        <v>166</v>
      </c>
      <c r="C107" s="34">
        <f>[7]С4!F26</f>
        <v>60.48912</v>
      </c>
    </row>
    <row r="108" spans="1:3" ht="25.5">
      <c r="A108" s="59" t="s">
        <v>167</v>
      </c>
      <c r="B108" s="53" t="s">
        <v>94</v>
      </c>
      <c r="C108" s="85">
        <f>[7]С4.3!E16</f>
        <v>0</v>
      </c>
    </row>
    <row r="109" spans="1:3" ht="25.5">
      <c r="A109" s="59" t="s">
        <v>168</v>
      </c>
      <c r="B109" s="53" t="s">
        <v>169</v>
      </c>
      <c r="C109" s="34">
        <f>[7]С4.3!E17</f>
        <v>15.72</v>
      </c>
    </row>
    <row r="110" spans="1:3" ht="38.25">
      <c r="A110" s="59" t="s">
        <v>170</v>
      </c>
      <c r="B110" s="53" t="s">
        <v>106</v>
      </c>
      <c r="C110" s="85">
        <f>[7]С4.3!E18</f>
        <v>0</v>
      </c>
    </row>
    <row r="111" spans="1:3">
      <c r="A111" s="59" t="s">
        <v>171</v>
      </c>
      <c r="B111" s="53" t="s">
        <v>172</v>
      </c>
      <c r="C111" s="34">
        <f>[7]С4.3!E19</f>
        <v>26.27</v>
      </c>
    </row>
    <row r="112" spans="1:3">
      <c r="A112" s="59" t="s">
        <v>173</v>
      </c>
      <c r="B112" s="58" t="s">
        <v>174</v>
      </c>
      <c r="C112" s="34">
        <f>[7]С4.3!E11</f>
        <v>1871</v>
      </c>
    </row>
    <row r="113" spans="1:3">
      <c r="A113" s="59" t="s">
        <v>175</v>
      </c>
      <c r="B113" s="58" t="s">
        <v>176</v>
      </c>
      <c r="C113" s="52">
        <f>[7]С4.3!E12</f>
        <v>1636</v>
      </c>
    </row>
    <row r="114" spans="1:3">
      <c r="A114" s="59" t="s">
        <v>177</v>
      </c>
      <c r="B114" s="58" t="s">
        <v>178</v>
      </c>
      <c r="C114" s="52">
        <f>[7]С4.3!E13</f>
        <v>204</v>
      </c>
    </row>
    <row r="115" spans="1:3" ht="30">
      <c r="A115" s="59" t="s">
        <v>179</v>
      </c>
      <c r="B115" s="33" t="s">
        <v>180</v>
      </c>
      <c r="C115" s="34">
        <f>[7]С4!F27</f>
        <v>1038.565361974559</v>
      </c>
    </row>
    <row r="116" spans="1:3" ht="25.5">
      <c r="A116" s="59" t="s">
        <v>181</v>
      </c>
      <c r="B116" s="53" t="s">
        <v>182</v>
      </c>
      <c r="C116" s="34">
        <f>[7]С4!F28</f>
        <v>797.66924882838634</v>
      </c>
    </row>
    <row r="117" spans="1:3" ht="42.75">
      <c r="A117" s="59" t="s">
        <v>183</v>
      </c>
      <c r="B117" s="53" t="s">
        <v>184</v>
      </c>
      <c r="C117" s="34">
        <f>[7]С4!F29</f>
        <v>240.89611314617269</v>
      </c>
    </row>
    <row r="118" spans="1:3" ht="30">
      <c r="A118" s="59" t="s">
        <v>185</v>
      </c>
      <c r="B118" s="39" t="s">
        <v>186</v>
      </c>
      <c r="C118" s="34">
        <f>[7]С4!F30</f>
        <v>2131.3015892305139</v>
      </c>
    </row>
    <row r="119" spans="1:3" ht="42.75">
      <c r="A119" s="59" t="s">
        <v>187</v>
      </c>
      <c r="B119" s="86" t="s">
        <v>188</v>
      </c>
      <c r="C119" s="34">
        <f>[7]С4!F33</f>
        <v>1417.8734668002674</v>
      </c>
    </row>
    <row r="120" spans="1:3" ht="30">
      <c r="A120" s="59" t="s">
        <v>189</v>
      </c>
      <c r="B120" s="87" t="s">
        <v>190</v>
      </c>
      <c r="C120" s="34">
        <f>[7]С4!F35</f>
        <v>17.040680999999999</v>
      </c>
    </row>
    <row r="121" spans="1:3" ht="14.25">
      <c r="A121" s="59" t="s">
        <v>191</v>
      </c>
      <c r="B121" s="56" t="s">
        <v>192</v>
      </c>
      <c r="C121" s="34">
        <f>[7]С4!F36</f>
        <v>14319.9</v>
      </c>
    </row>
    <row r="122" spans="1:3" ht="28.5" thickBot="1">
      <c r="A122" s="72" t="s">
        <v>193</v>
      </c>
      <c r="B122" s="88" t="s">
        <v>194</v>
      </c>
      <c r="C122" s="83">
        <f>[7]С4!F37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[7]С5!F17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[7]С2!F37</f>
        <v>20.818139999999996</v>
      </c>
    </row>
    <row r="136" spans="1:4" ht="14.25">
      <c r="A136" s="59" t="s">
        <v>216</v>
      </c>
      <c r="B136" s="101" t="s">
        <v>217</v>
      </c>
      <c r="C136" s="34">
        <f>[7]С2!F38</f>
        <v>7</v>
      </c>
    </row>
    <row r="137" spans="1:4" ht="17.25">
      <c r="A137" s="59" t="s">
        <v>218</v>
      </c>
      <c r="B137" s="101" t="s">
        <v>219</v>
      </c>
      <c r="C137" s="34">
        <f>[7]С2!F40</f>
        <v>0.97</v>
      </c>
    </row>
    <row r="138" spans="1:4" ht="15" thickBot="1">
      <c r="A138" s="72" t="s">
        <v>220</v>
      </c>
      <c r="B138" s="102" t="s">
        <v>221</v>
      </c>
      <c r="C138" s="46">
        <f>[7]С2!F42</f>
        <v>0.35</v>
      </c>
    </row>
    <row r="139" spans="1:4" s="89" customFormat="1" ht="13.5" thickBot="1">
      <c r="A139" s="47"/>
      <c r="B139" s="75"/>
      <c r="C139" s="15"/>
    </row>
    <row r="140" spans="1:4" ht="30">
      <c r="A140" s="84" t="s">
        <v>222</v>
      </c>
      <c r="B140" s="103" t="s">
        <v>223</v>
      </c>
      <c r="C140" s="104">
        <f>[7]С2!F35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[7]С2.5!$E$11</f>
        <v>-2.9000000000000026E-2</v>
      </c>
      <c r="D143" s="89"/>
    </row>
    <row r="144" spans="1:4">
      <c r="A144" s="105"/>
      <c r="B144" s="110">
        <f>B143+1</f>
        <v>2021</v>
      </c>
      <c r="C144" s="111">
        <f>[7]С2.5!$F$11</f>
        <v>0.245</v>
      </c>
      <c r="D144" s="89"/>
    </row>
    <row r="145" spans="1:4">
      <c r="A145" s="105"/>
      <c r="B145" s="110">
        <f t="shared" ref="B145:B208" si="0">B144+1</f>
        <v>2022</v>
      </c>
      <c r="C145" s="111">
        <f>[7]С2.5!$G$11</f>
        <v>0.121</v>
      </c>
      <c r="D145" s="89"/>
    </row>
    <row r="146" spans="1:4" ht="13.5" thickBot="1">
      <c r="A146" s="105"/>
      <c r="B146" s="112">
        <f t="shared" si="0"/>
        <v>2023</v>
      </c>
      <c r="C146" s="113">
        <f>[7]С2.5!$H$11</f>
        <v>0.02</v>
      </c>
      <c r="D146" s="89"/>
    </row>
    <row r="147" spans="1:4" hidden="1">
      <c r="A147" s="105"/>
      <c r="B147" s="114">
        <f t="shared" si="0"/>
        <v>2024</v>
      </c>
      <c r="C147" s="115">
        <f>[7]С2.5!$I$11</f>
        <v>-2.93E-2</v>
      </c>
      <c r="D147" s="89"/>
    </row>
    <row r="148" spans="1:4" hidden="1">
      <c r="A148" s="105"/>
      <c r="B148" s="110">
        <f t="shared" si="0"/>
        <v>2025</v>
      </c>
      <c r="C148" s="111">
        <f>[7]С2.5!$J$11</f>
        <v>0.21215960863291</v>
      </c>
      <c r="D148" s="89"/>
    </row>
    <row r="149" spans="1:4" hidden="1">
      <c r="A149" s="105"/>
      <c r="B149" s="110">
        <f t="shared" si="0"/>
        <v>2026</v>
      </c>
      <c r="C149" s="111">
        <f>[7]С2.5!$K$11</f>
        <v>3.5813361771260002E-2</v>
      </c>
      <c r="D149" s="89"/>
    </row>
    <row r="150" spans="1:4" hidden="1">
      <c r="A150" s="105"/>
      <c r="B150" s="110">
        <f t="shared" si="0"/>
        <v>2027</v>
      </c>
      <c r="C150" s="111">
        <f>[7]С2.5!$L$11</f>
        <v>3.2682303599220003E-2</v>
      </c>
      <c r="D150" s="89"/>
    </row>
    <row r="151" spans="1:4" hidden="1">
      <c r="A151" s="105"/>
      <c r="B151" s="110">
        <f t="shared" si="0"/>
        <v>2028</v>
      </c>
      <c r="C151" s="111">
        <f>[7]С2.5!$M$11</f>
        <v>0</v>
      </c>
      <c r="D151" s="89"/>
    </row>
    <row r="152" spans="1:4" hidden="1">
      <c r="A152" s="105"/>
      <c r="B152" s="110">
        <f t="shared" si="0"/>
        <v>2029</v>
      </c>
      <c r="C152" s="111">
        <f>[7]С2.5!$N$11</f>
        <v>0</v>
      </c>
      <c r="D152" s="89"/>
    </row>
    <row r="153" spans="1:4" hidden="1">
      <c r="A153" s="105"/>
      <c r="B153" s="110">
        <f t="shared" si="0"/>
        <v>2030</v>
      </c>
      <c r="C153" s="111">
        <f>[7]С2.5!$O$11</f>
        <v>0</v>
      </c>
      <c r="D153" s="89"/>
    </row>
    <row r="154" spans="1:4" hidden="1">
      <c r="A154" s="105"/>
      <c r="B154" s="110">
        <f t="shared" si="0"/>
        <v>2031</v>
      </c>
      <c r="C154" s="111">
        <f>[7]С2.5!$P$11</f>
        <v>0</v>
      </c>
      <c r="D154" s="89"/>
    </row>
    <row r="155" spans="1:4" hidden="1">
      <c r="A155" s="89"/>
      <c r="B155" s="110">
        <f t="shared" si="0"/>
        <v>2032</v>
      </c>
      <c r="C155" s="111">
        <f>[7]С2.5!$Q$11</f>
        <v>0</v>
      </c>
      <c r="D155" s="89"/>
    </row>
    <row r="156" spans="1:4" hidden="1">
      <c r="A156" s="89"/>
      <c r="B156" s="110">
        <f t="shared" si="0"/>
        <v>2033</v>
      </c>
      <c r="C156" s="111">
        <f>[7]С2.5!$R$11</f>
        <v>0</v>
      </c>
      <c r="D156" s="89"/>
    </row>
    <row r="157" spans="1:4" hidden="1">
      <c r="B157" s="110">
        <f t="shared" si="0"/>
        <v>2034</v>
      </c>
      <c r="C157" s="111">
        <f>[7]С2.5!$S$11</f>
        <v>0</v>
      </c>
    </row>
    <row r="158" spans="1:4" hidden="1">
      <c r="B158" s="110">
        <f t="shared" si="0"/>
        <v>2035</v>
      </c>
      <c r="C158" s="111">
        <f>[7]С2.5!$T$11</f>
        <v>0</v>
      </c>
    </row>
    <row r="159" spans="1:4" hidden="1">
      <c r="B159" s="110">
        <f t="shared" si="0"/>
        <v>2036</v>
      </c>
      <c r="C159" s="111">
        <f>[7]С2.5!$U$11</f>
        <v>0</v>
      </c>
    </row>
    <row r="160" spans="1:4" hidden="1">
      <c r="B160" s="110">
        <f t="shared" si="0"/>
        <v>2037</v>
      </c>
      <c r="C160" s="111">
        <f>[7]С2.5!$V$11</f>
        <v>0</v>
      </c>
    </row>
    <row r="161" spans="2:3" hidden="1">
      <c r="B161" s="110">
        <f t="shared" si="0"/>
        <v>2038</v>
      </c>
      <c r="C161" s="111">
        <f>[7]С2.5!$W$11</f>
        <v>0</v>
      </c>
    </row>
    <row r="162" spans="2:3" hidden="1">
      <c r="B162" s="110">
        <f t="shared" si="0"/>
        <v>2039</v>
      </c>
      <c r="C162" s="111">
        <f>[7]С2.5!$X$11</f>
        <v>0</v>
      </c>
    </row>
    <row r="163" spans="2:3" hidden="1">
      <c r="B163" s="110">
        <f t="shared" si="0"/>
        <v>2040</v>
      </c>
      <c r="C163" s="111">
        <f>[7]С2.5!$Y$11</f>
        <v>0</v>
      </c>
    </row>
    <row r="164" spans="2:3" hidden="1">
      <c r="B164" s="110">
        <f t="shared" si="0"/>
        <v>2041</v>
      </c>
      <c r="C164" s="111">
        <f>[7]С2.5!$Z$11</f>
        <v>0</v>
      </c>
    </row>
    <row r="165" spans="2:3" hidden="1">
      <c r="B165" s="110">
        <f t="shared" si="0"/>
        <v>2042</v>
      </c>
      <c r="C165" s="111">
        <f>[7]С2.5!$AA$11</f>
        <v>0</v>
      </c>
    </row>
    <row r="166" spans="2:3" hidden="1">
      <c r="B166" s="110">
        <f t="shared" si="0"/>
        <v>2043</v>
      </c>
      <c r="C166" s="111">
        <f>[7]С2.5!$AB$11</f>
        <v>0</v>
      </c>
    </row>
    <row r="167" spans="2:3" hidden="1">
      <c r="B167" s="110">
        <f t="shared" si="0"/>
        <v>2044</v>
      </c>
      <c r="C167" s="111">
        <f>[7]С2.5!$AC$11</f>
        <v>0</v>
      </c>
    </row>
    <row r="168" spans="2:3" hidden="1">
      <c r="B168" s="110">
        <f t="shared" si="0"/>
        <v>2045</v>
      </c>
      <c r="C168" s="111">
        <f>[7]С2.5!$AD$11</f>
        <v>0</v>
      </c>
    </row>
    <row r="169" spans="2:3" hidden="1">
      <c r="B169" s="110">
        <f t="shared" si="0"/>
        <v>2046</v>
      </c>
      <c r="C169" s="111">
        <f>[7]С2.5!$AE$11</f>
        <v>0</v>
      </c>
    </row>
    <row r="170" spans="2:3" hidden="1">
      <c r="B170" s="110">
        <f t="shared" si="0"/>
        <v>2047</v>
      </c>
      <c r="C170" s="111">
        <f>[7]С2.5!$AF$11</f>
        <v>0</v>
      </c>
    </row>
    <row r="171" spans="2:3" hidden="1">
      <c r="B171" s="110">
        <f t="shared" si="0"/>
        <v>2048</v>
      </c>
      <c r="C171" s="111">
        <f>[7]С2.5!$AG$11</f>
        <v>0</v>
      </c>
    </row>
    <row r="172" spans="2:3" hidden="1">
      <c r="B172" s="110">
        <f t="shared" si="0"/>
        <v>2049</v>
      </c>
      <c r="C172" s="111">
        <f>[7]С2.5!$AH$11</f>
        <v>0</v>
      </c>
    </row>
    <row r="173" spans="2:3" hidden="1">
      <c r="B173" s="110">
        <f t="shared" si="0"/>
        <v>2050</v>
      </c>
      <c r="C173" s="111">
        <f>[7]С2.5!$AI$11</f>
        <v>0</v>
      </c>
    </row>
    <row r="174" spans="2:3" hidden="1">
      <c r="B174" s="110">
        <f t="shared" si="0"/>
        <v>2051</v>
      </c>
      <c r="C174" s="111">
        <f>[7]С2.5!$AJ$11</f>
        <v>0</v>
      </c>
    </row>
    <row r="175" spans="2:3" hidden="1">
      <c r="B175" s="110">
        <f t="shared" si="0"/>
        <v>2052</v>
      </c>
      <c r="C175" s="111">
        <f>[7]С2.5!$AK$11</f>
        <v>0</v>
      </c>
    </row>
    <row r="176" spans="2:3" hidden="1">
      <c r="B176" s="110">
        <f t="shared" si="0"/>
        <v>2053</v>
      </c>
      <c r="C176" s="111">
        <f>[7]С2.5!$AL$11</f>
        <v>0</v>
      </c>
    </row>
    <row r="177" spans="2:3" hidden="1">
      <c r="B177" s="110">
        <f t="shared" si="0"/>
        <v>2054</v>
      </c>
      <c r="C177" s="111">
        <f>[7]С2.5!$AM$11</f>
        <v>0</v>
      </c>
    </row>
    <row r="178" spans="2:3" hidden="1">
      <c r="B178" s="110">
        <f t="shared" si="0"/>
        <v>2055</v>
      </c>
      <c r="C178" s="111">
        <f>[7]С2.5!$AN$11</f>
        <v>0</v>
      </c>
    </row>
    <row r="179" spans="2:3" hidden="1">
      <c r="B179" s="110">
        <f t="shared" si="0"/>
        <v>2056</v>
      </c>
      <c r="C179" s="111">
        <f>[7]С2.5!$AO$11</f>
        <v>0</v>
      </c>
    </row>
    <row r="180" spans="2:3" hidden="1">
      <c r="B180" s="110">
        <f t="shared" si="0"/>
        <v>2057</v>
      </c>
      <c r="C180" s="111">
        <f>[7]С2.5!$AP$11</f>
        <v>0</v>
      </c>
    </row>
    <row r="181" spans="2:3" hidden="1">
      <c r="B181" s="110">
        <f t="shared" si="0"/>
        <v>2058</v>
      </c>
      <c r="C181" s="111">
        <f>[7]С2.5!$AQ$11</f>
        <v>0</v>
      </c>
    </row>
    <row r="182" spans="2:3" hidden="1">
      <c r="B182" s="110">
        <f t="shared" si="0"/>
        <v>2059</v>
      </c>
      <c r="C182" s="111">
        <f>[7]С2.5!$AR$11</f>
        <v>0</v>
      </c>
    </row>
    <row r="183" spans="2:3" hidden="1">
      <c r="B183" s="110">
        <f t="shared" si="0"/>
        <v>2060</v>
      </c>
      <c r="C183" s="111">
        <f>[7]С2.5!$AS$11</f>
        <v>0</v>
      </c>
    </row>
    <row r="184" spans="2:3" hidden="1">
      <c r="B184" s="110">
        <f t="shared" si="0"/>
        <v>2061</v>
      </c>
      <c r="C184" s="111">
        <f>[7]С2.5!$AT$11</f>
        <v>0</v>
      </c>
    </row>
    <row r="185" spans="2:3" hidden="1">
      <c r="B185" s="110">
        <f t="shared" si="0"/>
        <v>2062</v>
      </c>
      <c r="C185" s="111">
        <f>[7]С2.5!$AU$11</f>
        <v>0</v>
      </c>
    </row>
    <row r="186" spans="2:3" hidden="1">
      <c r="B186" s="110">
        <f t="shared" si="0"/>
        <v>2063</v>
      </c>
      <c r="C186" s="111">
        <f>[7]С2.5!$AV$11</f>
        <v>0</v>
      </c>
    </row>
    <row r="187" spans="2:3" hidden="1">
      <c r="B187" s="110">
        <f t="shared" si="0"/>
        <v>2064</v>
      </c>
      <c r="C187" s="111">
        <f>[7]С2.5!$AW$11</f>
        <v>0</v>
      </c>
    </row>
    <row r="188" spans="2:3" hidden="1">
      <c r="B188" s="110">
        <f t="shared" si="0"/>
        <v>2065</v>
      </c>
      <c r="C188" s="111">
        <f>[7]С2.5!$AX$11</f>
        <v>0</v>
      </c>
    </row>
    <row r="189" spans="2:3" hidden="1">
      <c r="B189" s="110">
        <f t="shared" si="0"/>
        <v>2066</v>
      </c>
      <c r="C189" s="111">
        <f>[7]С2.5!$AY$11</f>
        <v>0</v>
      </c>
    </row>
    <row r="190" spans="2:3" hidden="1">
      <c r="B190" s="110">
        <f t="shared" si="0"/>
        <v>2067</v>
      </c>
      <c r="C190" s="111">
        <f>[7]С2.5!$AZ$11</f>
        <v>0</v>
      </c>
    </row>
    <row r="191" spans="2:3" hidden="1">
      <c r="B191" s="110">
        <f t="shared" si="0"/>
        <v>2068</v>
      </c>
      <c r="C191" s="111">
        <f>[7]С2.5!$BA$11</f>
        <v>0</v>
      </c>
    </row>
    <row r="192" spans="2:3" hidden="1">
      <c r="B192" s="110">
        <f t="shared" si="0"/>
        <v>2069</v>
      </c>
      <c r="C192" s="111">
        <f>[7]С2.5!$BB$11</f>
        <v>0</v>
      </c>
    </row>
    <row r="193" spans="2:3" hidden="1">
      <c r="B193" s="110">
        <f t="shared" si="0"/>
        <v>2070</v>
      </c>
      <c r="C193" s="111">
        <f>[7]С2.5!$BC$11</f>
        <v>0</v>
      </c>
    </row>
    <row r="194" spans="2:3" hidden="1">
      <c r="B194" s="110">
        <f t="shared" si="0"/>
        <v>2071</v>
      </c>
      <c r="C194" s="111">
        <f>[7]С2.5!$BD$11</f>
        <v>0</v>
      </c>
    </row>
    <row r="195" spans="2:3" hidden="1">
      <c r="B195" s="110">
        <f t="shared" si="0"/>
        <v>2072</v>
      </c>
      <c r="C195" s="111">
        <f>[7]С2.5!$BE$11</f>
        <v>0</v>
      </c>
    </row>
    <row r="196" spans="2:3" hidden="1">
      <c r="B196" s="110">
        <f t="shared" si="0"/>
        <v>2073</v>
      </c>
      <c r="C196" s="111">
        <f>[7]С2.5!$BF$11</f>
        <v>0</v>
      </c>
    </row>
    <row r="197" spans="2:3" hidden="1">
      <c r="B197" s="110">
        <f t="shared" si="0"/>
        <v>2074</v>
      </c>
      <c r="C197" s="111">
        <f>[7]С2.5!$BG$11</f>
        <v>0</v>
      </c>
    </row>
    <row r="198" spans="2:3" hidden="1">
      <c r="B198" s="110">
        <f t="shared" si="0"/>
        <v>2075</v>
      </c>
      <c r="C198" s="111">
        <f>[7]С2.5!$BH$11</f>
        <v>0</v>
      </c>
    </row>
    <row r="199" spans="2:3" hidden="1">
      <c r="B199" s="110">
        <f t="shared" si="0"/>
        <v>2076</v>
      </c>
      <c r="C199" s="111">
        <f>[7]С2.5!$BI$11</f>
        <v>0</v>
      </c>
    </row>
    <row r="200" spans="2:3" hidden="1">
      <c r="B200" s="110">
        <f t="shared" si="0"/>
        <v>2077</v>
      </c>
      <c r="C200" s="111">
        <f>[7]С2.5!$BJ$11</f>
        <v>0</v>
      </c>
    </row>
    <row r="201" spans="2:3" hidden="1">
      <c r="B201" s="110">
        <f t="shared" si="0"/>
        <v>2078</v>
      </c>
      <c r="C201" s="111">
        <f>[7]С2.5!$BK$11</f>
        <v>0</v>
      </c>
    </row>
    <row r="202" spans="2:3" hidden="1">
      <c r="B202" s="110">
        <f t="shared" si="0"/>
        <v>2079</v>
      </c>
      <c r="C202" s="111">
        <f>[7]С2.5!$BL$11</f>
        <v>0</v>
      </c>
    </row>
    <row r="203" spans="2:3" hidden="1">
      <c r="B203" s="110">
        <f t="shared" si="0"/>
        <v>2080</v>
      </c>
      <c r="C203" s="111">
        <f>[7]С2.5!$BM$11</f>
        <v>0</v>
      </c>
    </row>
    <row r="204" spans="2:3" hidden="1">
      <c r="B204" s="110">
        <f t="shared" si="0"/>
        <v>2081</v>
      </c>
      <c r="C204" s="111">
        <f>[7]С2.5!$BN$11</f>
        <v>0</v>
      </c>
    </row>
    <row r="205" spans="2:3" hidden="1">
      <c r="B205" s="110">
        <f t="shared" si="0"/>
        <v>2082</v>
      </c>
      <c r="C205" s="111">
        <f>[7]С2.5!$BO$11</f>
        <v>0</v>
      </c>
    </row>
    <row r="206" spans="2:3" hidden="1">
      <c r="B206" s="110">
        <f t="shared" si="0"/>
        <v>2083</v>
      </c>
      <c r="C206" s="111">
        <f>[7]С2.5!$BP$11</f>
        <v>0</v>
      </c>
    </row>
    <row r="207" spans="2:3" hidden="1">
      <c r="B207" s="110">
        <f t="shared" si="0"/>
        <v>2084</v>
      </c>
      <c r="C207" s="111">
        <f>[7]С2.5!$BQ$11</f>
        <v>0</v>
      </c>
    </row>
    <row r="208" spans="2:3" hidden="1">
      <c r="B208" s="110">
        <f t="shared" si="0"/>
        <v>2085</v>
      </c>
      <c r="C208" s="111">
        <f>[7]С2.5!$BR$11</f>
        <v>0</v>
      </c>
    </row>
    <row r="209" spans="2:3" hidden="1">
      <c r="B209" s="110">
        <f t="shared" ref="B209:B223" si="1">B208+1</f>
        <v>2086</v>
      </c>
      <c r="C209" s="111">
        <f>[7]С2.5!$BS$11</f>
        <v>0</v>
      </c>
    </row>
    <row r="210" spans="2:3" hidden="1">
      <c r="B210" s="110">
        <f t="shared" si="1"/>
        <v>2087</v>
      </c>
      <c r="C210" s="111">
        <f>[7]С2.5!$BT$11</f>
        <v>0</v>
      </c>
    </row>
    <row r="211" spans="2:3" hidden="1">
      <c r="B211" s="110">
        <f t="shared" si="1"/>
        <v>2088</v>
      </c>
      <c r="C211" s="111">
        <f>[7]С2.5!$BU$11</f>
        <v>0</v>
      </c>
    </row>
    <row r="212" spans="2:3" hidden="1">
      <c r="B212" s="110">
        <f t="shared" si="1"/>
        <v>2089</v>
      </c>
      <c r="C212" s="111">
        <f>[7]С2.5!$BV$11</f>
        <v>0</v>
      </c>
    </row>
    <row r="213" spans="2:3" hidden="1">
      <c r="B213" s="110">
        <f t="shared" si="1"/>
        <v>2090</v>
      </c>
      <c r="C213" s="111">
        <f>[7]С2.5!$BW$11</f>
        <v>0</v>
      </c>
    </row>
    <row r="214" spans="2:3" hidden="1">
      <c r="B214" s="110">
        <f t="shared" si="1"/>
        <v>2091</v>
      </c>
      <c r="C214" s="111">
        <f>[7]С2.5!$BX$11</f>
        <v>0</v>
      </c>
    </row>
    <row r="215" spans="2:3" hidden="1">
      <c r="B215" s="110">
        <f t="shared" si="1"/>
        <v>2092</v>
      </c>
      <c r="C215" s="111">
        <f>[7]С2.5!$BY$11</f>
        <v>0</v>
      </c>
    </row>
    <row r="216" spans="2:3" hidden="1">
      <c r="B216" s="110">
        <f t="shared" si="1"/>
        <v>2093</v>
      </c>
      <c r="C216" s="111">
        <f>[7]С2.5!$BZ$11</f>
        <v>0</v>
      </c>
    </row>
    <row r="217" spans="2:3" hidden="1">
      <c r="B217" s="110">
        <f t="shared" si="1"/>
        <v>2094</v>
      </c>
      <c r="C217" s="111">
        <f>[7]С2.5!$CA$11</f>
        <v>0</v>
      </c>
    </row>
    <row r="218" spans="2:3" hidden="1">
      <c r="B218" s="110">
        <f t="shared" si="1"/>
        <v>2095</v>
      </c>
      <c r="C218" s="111">
        <f>[7]С2.5!$CB$11</f>
        <v>0</v>
      </c>
    </row>
    <row r="219" spans="2:3" hidden="1">
      <c r="B219" s="110">
        <f t="shared" si="1"/>
        <v>2096</v>
      </c>
      <c r="C219" s="111">
        <f>[7]С2.5!$CC$11</f>
        <v>0</v>
      </c>
    </row>
    <row r="220" spans="2:3" hidden="1">
      <c r="B220" s="110">
        <f t="shared" si="1"/>
        <v>2097</v>
      </c>
      <c r="C220" s="111">
        <f>[7]С2.5!$CD$11</f>
        <v>0</v>
      </c>
    </row>
    <row r="221" spans="2:3" hidden="1">
      <c r="B221" s="110">
        <f t="shared" si="1"/>
        <v>2098</v>
      </c>
      <c r="C221" s="111">
        <f>[7]С2.5!$CE$11</f>
        <v>0</v>
      </c>
    </row>
    <row r="222" spans="2:3" hidden="1">
      <c r="B222" s="110">
        <f t="shared" si="1"/>
        <v>2099</v>
      </c>
      <c r="C222" s="111">
        <f>[7]С2.5!$CF$11</f>
        <v>0</v>
      </c>
    </row>
    <row r="223" spans="2:3" ht="13.5" hidden="1" thickBot="1">
      <c r="B223" s="112">
        <f t="shared" si="1"/>
        <v>2100</v>
      </c>
      <c r="C223" s="113">
        <f>[7]С2.5!$CG$11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[8]И1!D13</f>
        <v>Субъект Российской Федерации</v>
      </c>
      <c r="C4" s="10" t="str">
        <f>[8]И1!E13</f>
        <v>Новосибирская область</v>
      </c>
    </row>
    <row r="5" spans="1:3" ht="51">
      <c r="A5" s="8"/>
      <c r="B5" s="9" t="str">
        <f>[8]И1!D14</f>
        <v>Тип муниципального образования (выберите из списка)</v>
      </c>
      <c r="C5" s="10" t="str">
        <f>[8]И1!E14</f>
        <v>село Старогорносталево, Здвинский муниципальный район</v>
      </c>
    </row>
    <row r="6" spans="1:3">
      <c r="A6" s="8"/>
      <c r="B6" s="9" t="str">
        <f>IF([8]И1!E15="","",[8]И1!D15)</f>
        <v/>
      </c>
      <c r="C6" s="10" t="str">
        <f>IF([8]И1!E15="","",[8]И1!E15)</f>
        <v/>
      </c>
    </row>
    <row r="7" spans="1:3">
      <c r="A7" s="8"/>
      <c r="B7" s="9" t="str">
        <f>[8]И1!D16</f>
        <v>Код ОКТМО</v>
      </c>
      <c r="C7" s="11" t="str">
        <f>[8]И1!E16</f>
        <v>50613406101</v>
      </c>
    </row>
    <row r="8" spans="1:3">
      <c r="A8" s="8"/>
      <c r="B8" s="12" t="str">
        <f>[8]И1!D17</f>
        <v>Система теплоснабжения</v>
      </c>
      <c r="C8" s="13">
        <f>[8]И1!E17</f>
        <v>0</v>
      </c>
    </row>
    <row r="9" spans="1:3">
      <c r="A9" s="8"/>
      <c r="B9" s="9" t="str">
        <f>[8]И1!D8</f>
        <v>Период регулирования (i)-й</v>
      </c>
      <c r="C9" s="14">
        <f>[8]И1!E8</f>
        <v>2023</v>
      </c>
    </row>
    <row r="10" spans="1:3">
      <c r="A10" s="8"/>
      <c r="B10" s="9" t="str">
        <f>[8]И1!D9</f>
        <v>Период регулирования (i-1)-й</v>
      </c>
      <c r="C10" s="14">
        <f>[8]И1!E9</f>
        <v>2022</v>
      </c>
    </row>
    <row r="11" spans="1:3">
      <c r="A11" s="8"/>
      <c r="B11" s="9" t="str">
        <f>[8]И1!D10</f>
        <v>Период регулирования (i-2)-й</v>
      </c>
      <c r="C11" s="14">
        <f>[8]И1!E10</f>
        <v>2021</v>
      </c>
    </row>
    <row r="12" spans="1:3">
      <c r="A12" s="8"/>
      <c r="B12" s="9" t="str">
        <f>[8]И1!D11</f>
        <v>Базовый год (б)</v>
      </c>
      <c r="C12" s="14">
        <f>[8]И1!E11</f>
        <v>2019</v>
      </c>
    </row>
    <row r="13" spans="1:3" ht="38.25">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4076.0700586115477</v>
      </c>
    </row>
    <row r="18" spans="1:3" ht="42.75">
      <c r="A18" s="22" t="s">
        <v>8</v>
      </c>
      <c r="B18" s="25" t="s">
        <v>9</v>
      </c>
      <c r="C18" s="26">
        <f>[8]С1!F12</f>
        <v>977.62366990622797</v>
      </c>
    </row>
    <row r="19" spans="1:3" ht="42.75">
      <c r="A19" s="22" t="s">
        <v>10</v>
      </c>
      <c r="B19" s="25" t="s">
        <v>11</v>
      </c>
      <c r="C19" s="26">
        <f>[8]С2!F12</f>
        <v>2101.7757879094611</v>
      </c>
    </row>
    <row r="20" spans="1:3" ht="30">
      <c r="A20" s="22" t="s">
        <v>12</v>
      </c>
      <c r="B20" s="25" t="s">
        <v>13</v>
      </c>
      <c r="C20" s="26">
        <f>[8]С3!F12</f>
        <v>502.69420058623905</v>
      </c>
    </row>
    <row r="21" spans="1:3" ht="42.75">
      <c r="A21" s="22" t="s">
        <v>14</v>
      </c>
      <c r="B21" s="25" t="s">
        <v>15</v>
      </c>
      <c r="C21" s="26">
        <f>[8]С4!F12</f>
        <v>414.05345788390269</v>
      </c>
    </row>
    <row r="22" spans="1:3" ht="30">
      <c r="A22" s="22" t="s">
        <v>16</v>
      </c>
      <c r="B22" s="25" t="s">
        <v>17</v>
      </c>
      <c r="C22" s="26">
        <f>[8]С5!F12</f>
        <v>79.922942325716619</v>
      </c>
    </row>
    <row r="23" spans="1:3" ht="43.5" thickBot="1">
      <c r="A23" s="27" t="s">
        <v>18</v>
      </c>
      <c r="B23" s="117" t="s">
        <v>19</v>
      </c>
      <c r="C23" s="28" t="str">
        <f>[8]С6!F12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[8]С1.1!E16</f>
        <v>5100</v>
      </c>
    </row>
    <row r="29" spans="1:3" ht="42.75">
      <c r="A29" s="22" t="s">
        <v>10</v>
      </c>
      <c r="B29" s="33" t="s">
        <v>22</v>
      </c>
      <c r="C29" s="34">
        <f>[8]С1.1!E27</f>
        <v>2628.666666666667</v>
      </c>
    </row>
    <row r="30" spans="1:3" ht="17.25">
      <c r="A30" s="22" t="s">
        <v>12</v>
      </c>
      <c r="B30" s="33" t="s">
        <v>23</v>
      </c>
      <c r="C30" s="35">
        <f>[8]С1.1!E19</f>
        <v>0.59499999999999997</v>
      </c>
    </row>
    <row r="31" spans="1:3" ht="17.25">
      <c r="A31" s="22" t="s">
        <v>14</v>
      </c>
      <c r="B31" s="33" t="s">
        <v>24</v>
      </c>
      <c r="C31" s="35">
        <f>[8]С1.1!E20</f>
        <v>-0.113</v>
      </c>
    </row>
    <row r="32" spans="1:3" ht="30">
      <c r="A32" s="22" t="s">
        <v>16</v>
      </c>
      <c r="B32" s="36" t="s">
        <v>25</v>
      </c>
      <c r="C32" s="37">
        <f>[8]С1!F13</f>
        <v>176.4</v>
      </c>
    </row>
    <row r="33" spans="1:3">
      <c r="A33" s="22" t="s">
        <v>18</v>
      </c>
      <c r="B33" s="36" t="s">
        <v>26</v>
      </c>
      <c r="C33" s="38">
        <f>[8]С1!F16</f>
        <v>7000</v>
      </c>
    </row>
    <row r="34" spans="1:3" ht="14.25">
      <c r="A34" s="22" t="s">
        <v>27</v>
      </c>
      <c r="B34" s="39" t="s">
        <v>28</v>
      </c>
      <c r="C34" s="40">
        <f>[8]С1!F17</f>
        <v>0.72857142857142854</v>
      </c>
    </row>
    <row r="35" spans="1:3" ht="15.75">
      <c r="A35" s="41" t="s">
        <v>29</v>
      </c>
      <c r="B35" s="42" t="s">
        <v>30</v>
      </c>
      <c r="C35" s="40">
        <f>[8]С1!F20</f>
        <v>21.588411179999994</v>
      </c>
    </row>
    <row r="36" spans="1:3" ht="15.75">
      <c r="A36" s="41" t="s">
        <v>31</v>
      </c>
      <c r="B36" s="43" t="s">
        <v>32</v>
      </c>
      <c r="C36" s="40">
        <f>[8]С1!F21</f>
        <v>20.818139999999996</v>
      </c>
    </row>
    <row r="37" spans="1:3" ht="14.25">
      <c r="A37" s="41" t="s">
        <v>33</v>
      </c>
      <c r="B37" s="44" t="s">
        <v>34</v>
      </c>
      <c r="C37" s="40">
        <f>[8]С1!F22</f>
        <v>1.0369999999999999</v>
      </c>
    </row>
    <row r="38" spans="1:3" ht="53.25" thickBot="1">
      <c r="A38" s="27" t="s">
        <v>35</v>
      </c>
      <c r="B38" s="45" t="s">
        <v>36</v>
      </c>
      <c r="C38" s="46">
        <f>[8]С1!F23</f>
        <v>1.0469999999999999</v>
      </c>
    </row>
    <row r="39" spans="1:3" ht="13.5" thickBot="1">
      <c r="A39" s="47"/>
      <c r="B39" s="48"/>
      <c r="C39" s="49"/>
    </row>
    <row r="40" spans="1:3" ht="30" customHeight="1">
      <c r="A40" s="50" t="s">
        <v>37</v>
      </c>
      <c r="B40" s="118" t="s">
        <v>38</v>
      </c>
      <c r="C40" s="118"/>
    </row>
    <row r="41" spans="1:3" ht="25.5">
      <c r="A41" s="22" t="s">
        <v>39</v>
      </c>
      <c r="B41" s="36" t="s">
        <v>40</v>
      </c>
      <c r="C41" s="51" t="str">
        <f>[8]С2.1!E12</f>
        <v>V</v>
      </c>
    </row>
    <row r="42" spans="1:3" ht="25.5">
      <c r="A42" s="22" t="s">
        <v>41</v>
      </c>
      <c r="B42" s="33" t="s">
        <v>42</v>
      </c>
      <c r="C42" s="51" t="str">
        <f>[8]С2.1!E13</f>
        <v>6 и менее баллов</v>
      </c>
    </row>
    <row r="43" spans="1:3" ht="25.5">
      <c r="A43" s="22" t="s">
        <v>43</v>
      </c>
      <c r="B43" s="33" t="s">
        <v>44</v>
      </c>
      <c r="C43" s="51" t="str">
        <f>[8]С2.1!E14</f>
        <v>от 200 до 500</v>
      </c>
    </row>
    <row r="44" spans="1:3" ht="25.5">
      <c r="A44" s="22" t="s">
        <v>45</v>
      </c>
      <c r="B44" s="33" t="s">
        <v>46</v>
      </c>
      <c r="C44" s="52" t="str">
        <f>[8]С2.1!E15</f>
        <v>нет</v>
      </c>
    </row>
    <row r="45" spans="1:3" ht="30">
      <c r="A45" s="22" t="s">
        <v>47</v>
      </c>
      <c r="B45" s="33" t="s">
        <v>48</v>
      </c>
      <c r="C45" s="34">
        <f>[8]С2!F18</f>
        <v>32402.627334033532</v>
      </c>
    </row>
    <row r="46" spans="1:3" ht="30">
      <c r="A46" s="22" t="s">
        <v>49</v>
      </c>
      <c r="B46" s="53" t="s">
        <v>50</v>
      </c>
      <c r="C46" s="34">
        <f>IF([8]С2!F19&gt;0,[8]С2!F19,[8]С2!F20)</f>
        <v>23441.524932855718</v>
      </c>
    </row>
    <row r="47" spans="1:3" ht="25.5">
      <c r="A47" s="22" t="s">
        <v>51</v>
      </c>
      <c r="B47" s="54" t="s">
        <v>52</v>
      </c>
      <c r="C47" s="34">
        <f>[8]С2.1!E19</f>
        <v>-38</v>
      </c>
    </row>
    <row r="48" spans="1:3" ht="25.5">
      <c r="A48" s="22" t="s">
        <v>53</v>
      </c>
      <c r="B48" s="54" t="s">
        <v>54</v>
      </c>
      <c r="C48" s="34" t="str">
        <f>[8]С2.1!E22</f>
        <v>нет</v>
      </c>
    </row>
    <row r="49" spans="1:3" ht="38.25">
      <c r="A49" s="22" t="s">
        <v>55</v>
      </c>
      <c r="B49" s="55" t="s">
        <v>56</v>
      </c>
      <c r="C49" s="34">
        <f>[8]С2.2!E10</f>
        <v>1287</v>
      </c>
    </row>
    <row r="50" spans="1:3" ht="25.5">
      <c r="A50" s="22" t="s">
        <v>57</v>
      </c>
      <c r="B50" s="56" t="s">
        <v>58</v>
      </c>
      <c r="C50" s="34">
        <f>[8]С2.2!E12</f>
        <v>5.97</v>
      </c>
    </row>
    <row r="51" spans="1:3" ht="52.5">
      <c r="A51" s="22" t="s">
        <v>59</v>
      </c>
      <c r="B51" s="57" t="s">
        <v>60</v>
      </c>
      <c r="C51" s="34">
        <f>[8]С2.2!E13</f>
        <v>1</v>
      </c>
    </row>
    <row r="52" spans="1:3" ht="27.75">
      <c r="A52" s="22" t="s">
        <v>61</v>
      </c>
      <c r="B52" s="56" t="s">
        <v>62</v>
      </c>
      <c r="C52" s="34">
        <f>[8]С2.2!E14</f>
        <v>12104</v>
      </c>
    </row>
    <row r="53" spans="1:3" ht="25.5">
      <c r="A53" s="22" t="s">
        <v>63</v>
      </c>
      <c r="B53" s="57" t="s">
        <v>64</v>
      </c>
      <c r="C53" s="35">
        <f>[8]С2.2!E15</f>
        <v>4.8000000000000001E-2</v>
      </c>
    </row>
    <row r="54" spans="1:3">
      <c r="A54" s="22" t="s">
        <v>65</v>
      </c>
      <c r="B54" s="57" t="s">
        <v>66</v>
      </c>
      <c r="C54" s="34">
        <f>[8]С2.2!E16</f>
        <v>1</v>
      </c>
    </row>
    <row r="55" spans="1:3" ht="15.75">
      <c r="A55" s="22" t="s">
        <v>67</v>
      </c>
      <c r="B55" s="58" t="s">
        <v>68</v>
      </c>
      <c r="C55" s="34">
        <f>[8]С2!F21</f>
        <v>1</v>
      </c>
    </row>
    <row r="56" spans="1:3" ht="30">
      <c r="A56" s="59" t="s">
        <v>69</v>
      </c>
      <c r="B56" s="33" t="s">
        <v>70</v>
      </c>
      <c r="C56" s="34">
        <f>[8]С2!F13</f>
        <v>169640.22915965237</v>
      </c>
    </row>
    <row r="57" spans="1:3" ht="30">
      <c r="A57" s="59" t="s">
        <v>71</v>
      </c>
      <c r="B57" s="58" t="s">
        <v>72</v>
      </c>
      <c r="C57" s="34">
        <f>[8]С2!F14</f>
        <v>113455</v>
      </c>
    </row>
    <row r="58" spans="1:3" ht="15.75">
      <c r="A58" s="59" t="s">
        <v>73</v>
      </c>
      <c r="B58" s="60" t="s">
        <v>74</v>
      </c>
      <c r="C58" s="40">
        <f>[8]С2!F15</f>
        <v>1.071</v>
      </c>
    </row>
    <row r="59" spans="1:3" ht="15.75">
      <c r="A59" s="59" t="s">
        <v>75</v>
      </c>
      <c r="B59" s="60" t="s">
        <v>76</v>
      </c>
      <c r="C59" s="40">
        <f>[8]С2!F16</f>
        <v>1</v>
      </c>
    </row>
    <row r="60" spans="1:3" ht="17.25">
      <c r="A60" s="59" t="s">
        <v>77</v>
      </c>
      <c r="B60" s="58" t="s">
        <v>78</v>
      </c>
      <c r="C60" s="34">
        <f>[8]С2!F17</f>
        <v>1.01</v>
      </c>
    </row>
    <row r="61" spans="1:3" s="63" customFormat="1" ht="14.25">
      <c r="A61" s="59" t="s">
        <v>79</v>
      </c>
      <c r="B61" s="61" t="s">
        <v>80</v>
      </c>
      <c r="C61" s="62">
        <f>[8]С2!F33</f>
        <v>10</v>
      </c>
    </row>
    <row r="62" spans="1:3" ht="30">
      <c r="A62" s="59" t="s">
        <v>81</v>
      </c>
      <c r="B62" s="64" t="s">
        <v>82</v>
      </c>
      <c r="C62" s="34">
        <f>[8]С2!F26</f>
        <v>637.93498622918537</v>
      </c>
    </row>
    <row r="63" spans="1:3" ht="17.25">
      <c r="A63" s="59" t="s">
        <v>83</v>
      </c>
      <c r="B63" s="53" t="s">
        <v>84</v>
      </c>
      <c r="C63" s="34">
        <f>[8]С2!F27</f>
        <v>0.10988357099999999</v>
      </c>
    </row>
    <row r="64" spans="1:3" ht="17.25">
      <c r="A64" s="59" t="s">
        <v>85</v>
      </c>
      <c r="B64" s="58" t="s">
        <v>86</v>
      </c>
      <c r="C64" s="62">
        <f>[8]С2!F28</f>
        <v>4200</v>
      </c>
    </row>
    <row r="65" spans="1:3" ht="42.75">
      <c r="A65" s="59" t="s">
        <v>87</v>
      </c>
      <c r="B65" s="33" t="s">
        <v>88</v>
      </c>
      <c r="C65" s="34">
        <f>[8]С2!F22</f>
        <v>35717.748653137714</v>
      </c>
    </row>
    <row r="66" spans="1:3" ht="30">
      <c r="A66" s="59" t="s">
        <v>89</v>
      </c>
      <c r="B66" s="60" t="s">
        <v>90</v>
      </c>
      <c r="C66" s="34">
        <f>[8]С2!F23</f>
        <v>1990</v>
      </c>
    </row>
    <row r="67" spans="1:3" ht="30">
      <c r="A67" s="59" t="s">
        <v>91</v>
      </c>
      <c r="B67" s="53" t="s">
        <v>92</v>
      </c>
      <c r="C67" s="34">
        <f>[8]С2.1!E27</f>
        <v>14307.876789999998</v>
      </c>
    </row>
    <row r="68" spans="1:3" ht="38.25">
      <c r="A68" s="59" t="s">
        <v>93</v>
      </c>
      <c r="B68" s="65" t="s">
        <v>94</v>
      </c>
      <c r="C68" s="52">
        <f>[8]С2.3!E21</f>
        <v>0</v>
      </c>
    </row>
    <row r="69" spans="1:3" ht="25.5">
      <c r="A69" s="59" t="s">
        <v>95</v>
      </c>
      <c r="B69" s="66" t="s">
        <v>96</v>
      </c>
      <c r="C69" s="67">
        <f>[8]С2.3!E11</f>
        <v>9.89</v>
      </c>
    </row>
    <row r="70" spans="1:3" ht="25.5">
      <c r="A70" s="59" t="s">
        <v>97</v>
      </c>
      <c r="B70" s="66" t="s">
        <v>98</v>
      </c>
      <c r="C70" s="62">
        <f>[8]С2.3!E13</f>
        <v>300</v>
      </c>
    </row>
    <row r="71" spans="1:3" ht="25.5">
      <c r="A71" s="59" t="s">
        <v>99</v>
      </c>
      <c r="B71" s="65" t="s">
        <v>100</v>
      </c>
      <c r="C71" s="68">
        <f>IF([8]С2.3!E22&gt;0,[8]С2.3!E22,[8]С2.3!E14)</f>
        <v>61211</v>
      </c>
    </row>
    <row r="72" spans="1:3" ht="38.25">
      <c r="A72" s="59" t="s">
        <v>101</v>
      </c>
      <c r="B72" s="65" t="s">
        <v>102</v>
      </c>
      <c r="C72" s="68">
        <f>IF([8]С2.3!E23&gt;0,[8]С2.3!E23,[8]С2.3!E15)</f>
        <v>45675</v>
      </c>
    </row>
    <row r="73" spans="1:3" ht="30">
      <c r="A73" s="59" t="s">
        <v>103</v>
      </c>
      <c r="B73" s="53" t="s">
        <v>104</v>
      </c>
      <c r="C73" s="34">
        <f>[8]С2.1!E28</f>
        <v>9541.9567200000001</v>
      </c>
    </row>
    <row r="74" spans="1:3" ht="38.25">
      <c r="A74" s="59" t="s">
        <v>105</v>
      </c>
      <c r="B74" s="65" t="s">
        <v>106</v>
      </c>
      <c r="C74" s="52">
        <f>[8]С2.3!E25</f>
        <v>0</v>
      </c>
    </row>
    <row r="75" spans="1:3" ht="25.5">
      <c r="A75" s="59" t="s">
        <v>107</v>
      </c>
      <c r="B75" s="66" t="s">
        <v>108</v>
      </c>
      <c r="C75" s="67">
        <f>[8]С2.3!E12</f>
        <v>0.56000000000000005</v>
      </c>
    </row>
    <row r="76" spans="1:3" ht="25.5">
      <c r="A76" s="59" t="s">
        <v>109</v>
      </c>
      <c r="B76" s="66" t="s">
        <v>98</v>
      </c>
      <c r="C76" s="62">
        <f>[8]С2.3!E13</f>
        <v>300</v>
      </c>
    </row>
    <row r="77" spans="1:3" ht="25.5">
      <c r="A77" s="59" t="s">
        <v>110</v>
      </c>
      <c r="B77" s="69" t="s">
        <v>111</v>
      </c>
      <c r="C77" s="68">
        <f>IF([8]С2.3!E26&gt;0,[8]С2.3!E26,[8]С2.3!E16)</f>
        <v>65637</v>
      </c>
    </row>
    <row r="78" spans="1:3" ht="38.25">
      <c r="A78" s="59" t="s">
        <v>112</v>
      </c>
      <c r="B78" s="69" t="s">
        <v>113</v>
      </c>
      <c r="C78" s="68">
        <f>IF([8]С2.3!E27&gt;0,[8]С2.3!E27,[8]С2.3!E17)</f>
        <v>31684</v>
      </c>
    </row>
    <row r="79" spans="1:3" ht="17.25">
      <c r="A79" s="59" t="s">
        <v>114</v>
      </c>
      <c r="B79" s="33" t="s">
        <v>115</v>
      </c>
      <c r="C79" s="35">
        <f>[8]С2!F29</f>
        <v>0.128978033685065</v>
      </c>
    </row>
    <row r="80" spans="1:3" ht="30">
      <c r="A80" s="59" t="s">
        <v>116</v>
      </c>
      <c r="B80" s="53" t="s">
        <v>117</v>
      </c>
      <c r="C80" s="70">
        <f>[8]С2!F30</f>
        <v>0.11668498168498169</v>
      </c>
    </row>
    <row r="81" spans="1:3" ht="17.25">
      <c r="A81" s="59" t="s">
        <v>118</v>
      </c>
      <c r="B81" s="71" t="s">
        <v>119</v>
      </c>
      <c r="C81" s="35">
        <f>[8]С2!F31</f>
        <v>0.13880000000000001</v>
      </c>
    </row>
    <row r="82" spans="1:3" s="63" customFormat="1" ht="18" thickBot="1">
      <c r="A82" s="72" t="s">
        <v>120</v>
      </c>
      <c r="B82" s="73" t="s">
        <v>121</v>
      </c>
      <c r="C82" s="74">
        <f>[8]С2!F32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[8]С3!F14</f>
        <v>6976.0888978803041</v>
      </c>
    </row>
    <row r="86" spans="1:3" s="63" customFormat="1" ht="42.75">
      <c r="A86" s="77" t="s">
        <v>126</v>
      </c>
      <c r="B86" s="53" t="s">
        <v>127</v>
      </c>
      <c r="C86" s="78">
        <f>[8]С3!F15</f>
        <v>0.2</v>
      </c>
    </row>
    <row r="87" spans="1:3" s="63" customFormat="1" ht="14.25">
      <c r="A87" s="77" t="s">
        <v>128</v>
      </c>
      <c r="B87" s="79" t="s">
        <v>129</v>
      </c>
      <c r="C87" s="62">
        <f>[8]С3!F18</f>
        <v>15</v>
      </c>
    </row>
    <row r="88" spans="1:3" s="63" customFormat="1" ht="17.25">
      <c r="A88" s="77" t="s">
        <v>130</v>
      </c>
      <c r="B88" s="33" t="s">
        <v>131</v>
      </c>
      <c r="C88" s="34">
        <f>[8]С3!F19</f>
        <v>3487.1555421534131</v>
      </c>
    </row>
    <row r="89" spans="1:3" s="63" customFormat="1" ht="55.5">
      <c r="A89" s="77" t="s">
        <v>132</v>
      </c>
      <c r="B89" s="53" t="s">
        <v>133</v>
      </c>
      <c r="C89" s="80">
        <f>[8]С3!F20</f>
        <v>2.1999999999999999E-2</v>
      </c>
    </row>
    <row r="90" spans="1:3" s="63" customFormat="1" ht="14.25">
      <c r="A90" s="77" t="s">
        <v>134</v>
      </c>
      <c r="B90" s="58" t="s">
        <v>80</v>
      </c>
      <c r="C90" s="62">
        <f>[8]С3!F21</f>
        <v>10</v>
      </c>
    </row>
    <row r="91" spans="1:3" s="63" customFormat="1" ht="17.25">
      <c r="A91" s="77" t="s">
        <v>135</v>
      </c>
      <c r="B91" s="33" t="s">
        <v>136</v>
      </c>
      <c r="C91" s="34">
        <f>[8]С3!F22</f>
        <v>1.9138049586875561</v>
      </c>
    </row>
    <row r="92" spans="1:3" s="63" customFormat="1" ht="55.5">
      <c r="A92" s="77" t="s">
        <v>137</v>
      </c>
      <c r="B92" s="53" t="s">
        <v>138</v>
      </c>
      <c r="C92" s="80">
        <f>[8]С3!F23</f>
        <v>3.0000000000000001E-3</v>
      </c>
    </row>
    <row r="93" spans="1:3" s="63" customFormat="1" ht="27.75" thickBot="1">
      <c r="A93" s="81" t="s">
        <v>139</v>
      </c>
      <c r="B93" s="82" t="s">
        <v>140</v>
      </c>
      <c r="C93" s="83">
        <f>[8]С3!F24</f>
        <v>637.93498622918537</v>
      </c>
    </row>
    <row r="94" spans="1:3" ht="13.5" thickBot="1">
      <c r="A94" s="47"/>
      <c r="B94" s="75"/>
      <c r="C94" s="15"/>
    </row>
    <row r="95" spans="1:3" ht="30" customHeight="1">
      <c r="A95" s="84" t="s">
        <v>141</v>
      </c>
      <c r="B95" s="118" t="s">
        <v>142</v>
      </c>
      <c r="C95" s="118"/>
    </row>
    <row r="96" spans="1:3" ht="30">
      <c r="A96" s="59" t="s">
        <v>143</v>
      </c>
      <c r="B96" s="33" t="s">
        <v>144</v>
      </c>
      <c r="C96" s="34">
        <f>[8]С4!F16</f>
        <v>1652.5</v>
      </c>
    </row>
    <row r="97" spans="1:3" ht="30">
      <c r="A97" s="59" t="s">
        <v>145</v>
      </c>
      <c r="B97" s="58" t="s">
        <v>146</v>
      </c>
      <c r="C97" s="34">
        <f>[8]С4!F17</f>
        <v>73547</v>
      </c>
    </row>
    <row r="98" spans="1:3" ht="17.25">
      <c r="A98" s="59" t="s">
        <v>147</v>
      </c>
      <c r="B98" s="58" t="s">
        <v>148</v>
      </c>
      <c r="C98" s="40">
        <f>[8]С4!F18</f>
        <v>0.02</v>
      </c>
    </row>
    <row r="99" spans="1:3" ht="30">
      <c r="A99" s="59" t="s">
        <v>149</v>
      </c>
      <c r="B99" s="58" t="s">
        <v>150</v>
      </c>
      <c r="C99" s="34">
        <f>[8]С4!F19</f>
        <v>12104</v>
      </c>
    </row>
    <row r="100" spans="1:3" ht="31.5">
      <c r="A100" s="59" t="s">
        <v>151</v>
      </c>
      <c r="B100" s="58" t="s">
        <v>152</v>
      </c>
      <c r="C100" s="40">
        <f>[8]С4!F20</f>
        <v>1.4999999999999999E-2</v>
      </c>
    </row>
    <row r="101" spans="1:3" ht="30">
      <c r="A101" s="59" t="s">
        <v>153</v>
      </c>
      <c r="B101" s="33" t="s">
        <v>154</v>
      </c>
      <c r="C101" s="34">
        <f>[8]С4!F21</f>
        <v>1933.1949342509995</v>
      </c>
    </row>
    <row r="102" spans="1:3" ht="24" customHeight="1">
      <c r="A102" s="59" t="s">
        <v>155</v>
      </c>
      <c r="B102" s="53" t="s">
        <v>156</v>
      </c>
      <c r="C102" s="85">
        <f>IF([8]С4.2!F8="да",[8]С4.2!D21,[8]С4.2!D15)</f>
        <v>0</v>
      </c>
    </row>
    <row r="103" spans="1:3" ht="68.25">
      <c r="A103" s="59" t="s">
        <v>157</v>
      </c>
      <c r="B103" s="53" t="s">
        <v>158</v>
      </c>
      <c r="C103" s="34">
        <f>[8]С4!F22</f>
        <v>3.6112641666666665</v>
      </c>
    </row>
    <row r="104" spans="1:3" ht="30">
      <c r="A104" s="59" t="s">
        <v>159</v>
      </c>
      <c r="B104" s="58" t="s">
        <v>160</v>
      </c>
      <c r="C104" s="34">
        <f>[8]С4!F23</f>
        <v>180</v>
      </c>
    </row>
    <row r="105" spans="1:3" ht="14.25">
      <c r="A105" s="59" t="s">
        <v>161</v>
      </c>
      <c r="B105" s="53" t="s">
        <v>162</v>
      </c>
      <c r="C105" s="34">
        <f>[8]С4!F24</f>
        <v>8497.1999999999989</v>
      </c>
    </row>
    <row r="106" spans="1:3" ht="14.25">
      <c r="A106" s="59" t="s">
        <v>163</v>
      </c>
      <c r="B106" s="58" t="s">
        <v>164</v>
      </c>
      <c r="C106" s="40">
        <f>[8]С4!F25</f>
        <v>0.35</v>
      </c>
    </row>
    <row r="107" spans="1:3" ht="17.25">
      <c r="A107" s="59" t="s">
        <v>165</v>
      </c>
      <c r="B107" s="33" t="s">
        <v>166</v>
      </c>
      <c r="C107" s="34">
        <f>[8]С4!F26</f>
        <v>52.966604999999994</v>
      </c>
    </row>
    <row r="108" spans="1:3" ht="25.5">
      <c r="A108" s="59" t="s">
        <v>167</v>
      </c>
      <c r="B108" s="53" t="s">
        <v>94</v>
      </c>
      <c r="C108" s="85">
        <f>[8]С4.3!E16</f>
        <v>0</v>
      </c>
    </row>
    <row r="109" spans="1:3" ht="25.5">
      <c r="A109" s="59" t="s">
        <v>168</v>
      </c>
      <c r="B109" s="53" t="s">
        <v>169</v>
      </c>
      <c r="C109" s="34">
        <f>[8]С4.3!E17</f>
        <v>13.574999999999999</v>
      </c>
    </row>
    <row r="110" spans="1:3" ht="38.25">
      <c r="A110" s="59" t="s">
        <v>170</v>
      </c>
      <c r="B110" s="53" t="s">
        <v>106</v>
      </c>
      <c r="C110" s="85">
        <f>[8]С4.3!E18</f>
        <v>0</v>
      </c>
    </row>
    <row r="111" spans="1:3">
      <c r="A111" s="59" t="s">
        <v>171</v>
      </c>
      <c r="B111" s="53" t="s">
        <v>172</v>
      </c>
      <c r="C111" s="34">
        <f>[8]С4.3!E19</f>
        <v>26.27</v>
      </c>
    </row>
    <row r="112" spans="1:3">
      <c r="A112" s="59" t="s">
        <v>173</v>
      </c>
      <c r="B112" s="58" t="s">
        <v>174</v>
      </c>
      <c r="C112" s="34">
        <f>[8]С4.3!E11</f>
        <v>1871</v>
      </c>
    </row>
    <row r="113" spans="1:3">
      <c r="A113" s="59" t="s">
        <v>175</v>
      </c>
      <c r="B113" s="58" t="s">
        <v>176</v>
      </c>
      <c r="C113" s="52">
        <f>[8]С4.3!E12</f>
        <v>1636</v>
      </c>
    </row>
    <row r="114" spans="1:3">
      <c r="A114" s="59" t="s">
        <v>177</v>
      </c>
      <c r="B114" s="58" t="s">
        <v>178</v>
      </c>
      <c r="C114" s="52">
        <f>[8]С4.3!E13</f>
        <v>204</v>
      </c>
    </row>
    <row r="115" spans="1:3" ht="30">
      <c r="A115" s="59" t="s">
        <v>179</v>
      </c>
      <c r="B115" s="33" t="s">
        <v>180</v>
      </c>
      <c r="C115" s="34">
        <f>[8]С4!F27</f>
        <v>1038.565361974559</v>
      </c>
    </row>
    <row r="116" spans="1:3" ht="25.5">
      <c r="A116" s="59" t="s">
        <v>181</v>
      </c>
      <c r="B116" s="53" t="s">
        <v>182</v>
      </c>
      <c r="C116" s="34">
        <f>[8]С4!F28</f>
        <v>797.66924882838634</v>
      </c>
    </row>
    <row r="117" spans="1:3" ht="42.75">
      <c r="A117" s="59" t="s">
        <v>183</v>
      </c>
      <c r="B117" s="53" t="s">
        <v>184</v>
      </c>
      <c r="C117" s="34">
        <f>[8]С4!F29</f>
        <v>240.89611314617269</v>
      </c>
    </row>
    <row r="118" spans="1:3" ht="30">
      <c r="A118" s="59" t="s">
        <v>185</v>
      </c>
      <c r="B118" s="39" t="s">
        <v>186</v>
      </c>
      <c r="C118" s="34">
        <f>[8]С4!F30</f>
        <v>2154.6103442336571</v>
      </c>
    </row>
    <row r="119" spans="1:3" ht="42.75">
      <c r="A119" s="59" t="s">
        <v>187</v>
      </c>
      <c r="B119" s="86" t="s">
        <v>188</v>
      </c>
      <c r="C119" s="34">
        <f>[8]С4!F33</f>
        <v>1441.7021309195147</v>
      </c>
    </row>
    <row r="120" spans="1:3" ht="30">
      <c r="A120" s="59" t="s">
        <v>189</v>
      </c>
      <c r="B120" s="87" t="s">
        <v>190</v>
      </c>
      <c r="C120" s="34">
        <f>[8]С4!F35</f>
        <v>17.040680999999999</v>
      </c>
    </row>
    <row r="121" spans="1:3" ht="14.25">
      <c r="A121" s="59" t="s">
        <v>191</v>
      </c>
      <c r="B121" s="56" t="s">
        <v>192</v>
      </c>
      <c r="C121" s="34">
        <f>[8]С4!F36</f>
        <v>14319.9</v>
      </c>
    </row>
    <row r="122" spans="1:3" ht="28.5" thickBot="1">
      <c r="A122" s="72" t="s">
        <v>193</v>
      </c>
      <c r="B122" s="88" t="s">
        <v>194</v>
      </c>
      <c r="C122" s="83">
        <f>[8]С4!F37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[8]С5!F17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[8]С2!F37</f>
        <v>20.818139999999996</v>
      </c>
    </row>
    <row r="136" spans="1:4" ht="14.25">
      <c r="A136" s="59" t="s">
        <v>216</v>
      </c>
      <c r="B136" s="101" t="s">
        <v>217</v>
      </c>
      <c r="C136" s="34">
        <f>[8]С2!F38</f>
        <v>7</v>
      </c>
    </row>
    <row r="137" spans="1:4" ht="17.25">
      <c r="A137" s="59" t="s">
        <v>218</v>
      </c>
      <c r="B137" s="101" t="s">
        <v>219</v>
      </c>
      <c r="C137" s="34">
        <f>[8]С2!F40</f>
        <v>0.97</v>
      </c>
    </row>
    <row r="138" spans="1:4" ht="15" thickBot="1">
      <c r="A138" s="72" t="s">
        <v>220</v>
      </c>
      <c r="B138" s="102" t="s">
        <v>221</v>
      </c>
      <c r="C138" s="46">
        <f>[8]С2!F42</f>
        <v>0.35</v>
      </c>
    </row>
    <row r="139" spans="1:4" s="89" customFormat="1" ht="13.5" thickBot="1">
      <c r="A139" s="47"/>
      <c r="B139" s="75"/>
      <c r="C139" s="15"/>
    </row>
    <row r="140" spans="1:4" ht="30">
      <c r="A140" s="84" t="s">
        <v>222</v>
      </c>
      <c r="B140" s="103" t="s">
        <v>223</v>
      </c>
      <c r="C140" s="104">
        <f>[8]С2!F35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[8]С2.5!$E$11</f>
        <v>-2.9000000000000026E-2</v>
      </c>
      <c r="D143" s="89"/>
    </row>
    <row r="144" spans="1:4">
      <c r="A144" s="105"/>
      <c r="B144" s="110">
        <f>B143+1</f>
        <v>2021</v>
      </c>
      <c r="C144" s="111">
        <f>[8]С2.5!$F$11</f>
        <v>0.245</v>
      </c>
      <c r="D144" s="89"/>
    </row>
    <row r="145" spans="1:4">
      <c r="A145" s="105"/>
      <c r="B145" s="110">
        <f t="shared" ref="B145:B208" si="0">B144+1</f>
        <v>2022</v>
      </c>
      <c r="C145" s="111">
        <f>[8]С2.5!$G$11</f>
        <v>0.121</v>
      </c>
      <c r="D145" s="89"/>
    </row>
    <row r="146" spans="1:4" ht="13.5" thickBot="1">
      <c r="A146" s="105"/>
      <c r="B146" s="112">
        <f t="shared" si="0"/>
        <v>2023</v>
      </c>
      <c r="C146" s="113">
        <f>[8]С2.5!$H$11</f>
        <v>0.02</v>
      </c>
      <c r="D146" s="89"/>
    </row>
    <row r="147" spans="1:4" hidden="1">
      <c r="A147" s="105"/>
      <c r="B147" s="114">
        <f t="shared" si="0"/>
        <v>2024</v>
      </c>
      <c r="C147" s="115">
        <f>[8]С2.5!$I$11</f>
        <v>-2.93E-2</v>
      </c>
      <c r="D147" s="89"/>
    </row>
    <row r="148" spans="1:4" hidden="1">
      <c r="A148" s="105"/>
      <c r="B148" s="110">
        <f t="shared" si="0"/>
        <v>2025</v>
      </c>
      <c r="C148" s="111">
        <f>[8]С2.5!$J$11</f>
        <v>0.21215960863291</v>
      </c>
      <c r="D148" s="89"/>
    </row>
    <row r="149" spans="1:4" hidden="1">
      <c r="A149" s="105"/>
      <c r="B149" s="110">
        <f t="shared" si="0"/>
        <v>2026</v>
      </c>
      <c r="C149" s="111">
        <f>[8]С2.5!$K$11</f>
        <v>3.5813361771260002E-2</v>
      </c>
      <c r="D149" s="89"/>
    </row>
    <row r="150" spans="1:4" hidden="1">
      <c r="A150" s="105"/>
      <c r="B150" s="110">
        <f t="shared" si="0"/>
        <v>2027</v>
      </c>
      <c r="C150" s="111">
        <f>[8]С2.5!$L$11</f>
        <v>3.2682303599220003E-2</v>
      </c>
      <c r="D150" s="89"/>
    </row>
    <row r="151" spans="1:4" hidden="1">
      <c r="A151" s="105"/>
      <c r="B151" s="110">
        <f t="shared" si="0"/>
        <v>2028</v>
      </c>
      <c r="C151" s="111">
        <f>[8]С2.5!$M$11</f>
        <v>0</v>
      </c>
      <c r="D151" s="89"/>
    </row>
    <row r="152" spans="1:4" hidden="1">
      <c r="A152" s="105"/>
      <c r="B152" s="110">
        <f t="shared" si="0"/>
        <v>2029</v>
      </c>
      <c r="C152" s="111">
        <f>[8]С2.5!$N$11</f>
        <v>0</v>
      </c>
      <c r="D152" s="89"/>
    </row>
    <row r="153" spans="1:4" hidden="1">
      <c r="A153" s="105"/>
      <c r="B153" s="110">
        <f t="shared" si="0"/>
        <v>2030</v>
      </c>
      <c r="C153" s="111">
        <f>[8]С2.5!$O$11</f>
        <v>0</v>
      </c>
      <c r="D153" s="89"/>
    </row>
    <row r="154" spans="1:4" hidden="1">
      <c r="A154" s="105"/>
      <c r="B154" s="110">
        <f t="shared" si="0"/>
        <v>2031</v>
      </c>
      <c r="C154" s="111">
        <f>[8]С2.5!$P$11</f>
        <v>0</v>
      </c>
      <c r="D154" s="89"/>
    </row>
    <row r="155" spans="1:4" hidden="1">
      <c r="A155" s="89"/>
      <c r="B155" s="110">
        <f t="shared" si="0"/>
        <v>2032</v>
      </c>
      <c r="C155" s="111">
        <f>[8]С2.5!$Q$11</f>
        <v>0</v>
      </c>
      <c r="D155" s="89"/>
    </row>
    <row r="156" spans="1:4" hidden="1">
      <c r="A156" s="89"/>
      <c r="B156" s="110">
        <f t="shared" si="0"/>
        <v>2033</v>
      </c>
      <c r="C156" s="111">
        <f>[8]С2.5!$R$11</f>
        <v>0</v>
      </c>
      <c r="D156" s="89"/>
    </row>
    <row r="157" spans="1:4" hidden="1">
      <c r="B157" s="110">
        <f t="shared" si="0"/>
        <v>2034</v>
      </c>
      <c r="C157" s="111">
        <f>[8]С2.5!$S$11</f>
        <v>0</v>
      </c>
    </row>
    <row r="158" spans="1:4" hidden="1">
      <c r="B158" s="110">
        <f t="shared" si="0"/>
        <v>2035</v>
      </c>
      <c r="C158" s="111">
        <f>[8]С2.5!$T$11</f>
        <v>0</v>
      </c>
    </row>
    <row r="159" spans="1:4" hidden="1">
      <c r="B159" s="110">
        <f t="shared" si="0"/>
        <v>2036</v>
      </c>
      <c r="C159" s="111">
        <f>[8]С2.5!$U$11</f>
        <v>0</v>
      </c>
    </row>
    <row r="160" spans="1:4" hidden="1">
      <c r="B160" s="110">
        <f t="shared" si="0"/>
        <v>2037</v>
      </c>
      <c r="C160" s="111">
        <f>[8]С2.5!$V$11</f>
        <v>0</v>
      </c>
    </row>
    <row r="161" spans="2:3" hidden="1">
      <c r="B161" s="110">
        <f t="shared" si="0"/>
        <v>2038</v>
      </c>
      <c r="C161" s="111">
        <f>[8]С2.5!$W$11</f>
        <v>0</v>
      </c>
    </row>
    <row r="162" spans="2:3" hidden="1">
      <c r="B162" s="110">
        <f t="shared" si="0"/>
        <v>2039</v>
      </c>
      <c r="C162" s="111">
        <f>[8]С2.5!$X$11</f>
        <v>0</v>
      </c>
    </row>
    <row r="163" spans="2:3" hidden="1">
      <c r="B163" s="110">
        <f t="shared" si="0"/>
        <v>2040</v>
      </c>
      <c r="C163" s="111">
        <f>[8]С2.5!$Y$11</f>
        <v>0</v>
      </c>
    </row>
    <row r="164" spans="2:3" hidden="1">
      <c r="B164" s="110">
        <f t="shared" si="0"/>
        <v>2041</v>
      </c>
      <c r="C164" s="111">
        <f>[8]С2.5!$Z$11</f>
        <v>0</v>
      </c>
    </row>
    <row r="165" spans="2:3" hidden="1">
      <c r="B165" s="110">
        <f t="shared" si="0"/>
        <v>2042</v>
      </c>
      <c r="C165" s="111">
        <f>[8]С2.5!$AA$11</f>
        <v>0</v>
      </c>
    </row>
    <row r="166" spans="2:3" hidden="1">
      <c r="B166" s="110">
        <f t="shared" si="0"/>
        <v>2043</v>
      </c>
      <c r="C166" s="111">
        <f>[8]С2.5!$AB$11</f>
        <v>0</v>
      </c>
    </row>
    <row r="167" spans="2:3" hidden="1">
      <c r="B167" s="110">
        <f t="shared" si="0"/>
        <v>2044</v>
      </c>
      <c r="C167" s="111">
        <f>[8]С2.5!$AC$11</f>
        <v>0</v>
      </c>
    </row>
    <row r="168" spans="2:3" hidden="1">
      <c r="B168" s="110">
        <f t="shared" si="0"/>
        <v>2045</v>
      </c>
      <c r="C168" s="111">
        <f>[8]С2.5!$AD$11</f>
        <v>0</v>
      </c>
    </row>
    <row r="169" spans="2:3" hidden="1">
      <c r="B169" s="110">
        <f t="shared" si="0"/>
        <v>2046</v>
      </c>
      <c r="C169" s="111">
        <f>[8]С2.5!$AE$11</f>
        <v>0</v>
      </c>
    </row>
    <row r="170" spans="2:3" hidden="1">
      <c r="B170" s="110">
        <f t="shared" si="0"/>
        <v>2047</v>
      </c>
      <c r="C170" s="111">
        <f>[8]С2.5!$AF$11</f>
        <v>0</v>
      </c>
    </row>
    <row r="171" spans="2:3" hidden="1">
      <c r="B171" s="110">
        <f t="shared" si="0"/>
        <v>2048</v>
      </c>
      <c r="C171" s="111">
        <f>[8]С2.5!$AG$11</f>
        <v>0</v>
      </c>
    </row>
    <row r="172" spans="2:3" hidden="1">
      <c r="B172" s="110">
        <f t="shared" si="0"/>
        <v>2049</v>
      </c>
      <c r="C172" s="111">
        <f>[8]С2.5!$AH$11</f>
        <v>0</v>
      </c>
    </row>
    <row r="173" spans="2:3" hidden="1">
      <c r="B173" s="110">
        <f t="shared" si="0"/>
        <v>2050</v>
      </c>
      <c r="C173" s="111">
        <f>[8]С2.5!$AI$11</f>
        <v>0</v>
      </c>
    </row>
    <row r="174" spans="2:3" hidden="1">
      <c r="B174" s="110">
        <f t="shared" si="0"/>
        <v>2051</v>
      </c>
      <c r="C174" s="111">
        <f>[8]С2.5!$AJ$11</f>
        <v>0</v>
      </c>
    </row>
    <row r="175" spans="2:3" hidden="1">
      <c r="B175" s="110">
        <f t="shared" si="0"/>
        <v>2052</v>
      </c>
      <c r="C175" s="111">
        <f>[8]С2.5!$AK$11</f>
        <v>0</v>
      </c>
    </row>
    <row r="176" spans="2:3" hidden="1">
      <c r="B176" s="110">
        <f t="shared" si="0"/>
        <v>2053</v>
      </c>
      <c r="C176" s="111">
        <f>[8]С2.5!$AL$11</f>
        <v>0</v>
      </c>
    </row>
    <row r="177" spans="2:3" hidden="1">
      <c r="B177" s="110">
        <f t="shared" si="0"/>
        <v>2054</v>
      </c>
      <c r="C177" s="111">
        <f>[8]С2.5!$AM$11</f>
        <v>0</v>
      </c>
    </row>
    <row r="178" spans="2:3" hidden="1">
      <c r="B178" s="110">
        <f t="shared" si="0"/>
        <v>2055</v>
      </c>
      <c r="C178" s="111">
        <f>[8]С2.5!$AN$11</f>
        <v>0</v>
      </c>
    </row>
    <row r="179" spans="2:3" hidden="1">
      <c r="B179" s="110">
        <f t="shared" si="0"/>
        <v>2056</v>
      </c>
      <c r="C179" s="111">
        <f>[8]С2.5!$AO$11</f>
        <v>0</v>
      </c>
    </row>
    <row r="180" spans="2:3" hidden="1">
      <c r="B180" s="110">
        <f t="shared" si="0"/>
        <v>2057</v>
      </c>
      <c r="C180" s="111">
        <f>[8]С2.5!$AP$11</f>
        <v>0</v>
      </c>
    </row>
    <row r="181" spans="2:3" hidden="1">
      <c r="B181" s="110">
        <f t="shared" si="0"/>
        <v>2058</v>
      </c>
      <c r="C181" s="111">
        <f>[8]С2.5!$AQ$11</f>
        <v>0</v>
      </c>
    </row>
    <row r="182" spans="2:3" hidden="1">
      <c r="B182" s="110">
        <f t="shared" si="0"/>
        <v>2059</v>
      </c>
      <c r="C182" s="111">
        <f>[8]С2.5!$AR$11</f>
        <v>0</v>
      </c>
    </row>
    <row r="183" spans="2:3" hidden="1">
      <c r="B183" s="110">
        <f t="shared" si="0"/>
        <v>2060</v>
      </c>
      <c r="C183" s="111">
        <f>[8]С2.5!$AS$11</f>
        <v>0</v>
      </c>
    </row>
    <row r="184" spans="2:3" hidden="1">
      <c r="B184" s="110">
        <f t="shared" si="0"/>
        <v>2061</v>
      </c>
      <c r="C184" s="111">
        <f>[8]С2.5!$AT$11</f>
        <v>0</v>
      </c>
    </row>
    <row r="185" spans="2:3" hidden="1">
      <c r="B185" s="110">
        <f t="shared" si="0"/>
        <v>2062</v>
      </c>
      <c r="C185" s="111">
        <f>[8]С2.5!$AU$11</f>
        <v>0</v>
      </c>
    </row>
    <row r="186" spans="2:3" hidden="1">
      <c r="B186" s="110">
        <f t="shared" si="0"/>
        <v>2063</v>
      </c>
      <c r="C186" s="111">
        <f>[8]С2.5!$AV$11</f>
        <v>0</v>
      </c>
    </row>
    <row r="187" spans="2:3" hidden="1">
      <c r="B187" s="110">
        <f t="shared" si="0"/>
        <v>2064</v>
      </c>
      <c r="C187" s="111">
        <f>[8]С2.5!$AW$11</f>
        <v>0</v>
      </c>
    </row>
    <row r="188" spans="2:3" hidden="1">
      <c r="B188" s="110">
        <f t="shared" si="0"/>
        <v>2065</v>
      </c>
      <c r="C188" s="111">
        <f>[8]С2.5!$AX$11</f>
        <v>0</v>
      </c>
    </row>
    <row r="189" spans="2:3" hidden="1">
      <c r="B189" s="110">
        <f t="shared" si="0"/>
        <v>2066</v>
      </c>
      <c r="C189" s="111">
        <f>[8]С2.5!$AY$11</f>
        <v>0</v>
      </c>
    </row>
    <row r="190" spans="2:3" hidden="1">
      <c r="B190" s="110">
        <f t="shared" si="0"/>
        <v>2067</v>
      </c>
      <c r="C190" s="111">
        <f>[8]С2.5!$AZ$11</f>
        <v>0</v>
      </c>
    </row>
    <row r="191" spans="2:3" hidden="1">
      <c r="B191" s="110">
        <f t="shared" si="0"/>
        <v>2068</v>
      </c>
      <c r="C191" s="111">
        <f>[8]С2.5!$BA$11</f>
        <v>0</v>
      </c>
    </row>
    <row r="192" spans="2:3" hidden="1">
      <c r="B192" s="110">
        <f t="shared" si="0"/>
        <v>2069</v>
      </c>
      <c r="C192" s="111">
        <f>[8]С2.5!$BB$11</f>
        <v>0</v>
      </c>
    </row>
    <row r="193" spans="2:3" hidden="1">
      <c r="B193" s="110">
        <f t="shared" si="0"/>
        <v>2070</v>
      </c>
      <c r="C193" s="111">
        <f>[8]С2.5!$BC$11</f>
        <v>0</v>
      </c>
    </row>
    <row r="194" spans="2:3" hidden="1">
      <c r="B194" s="110">
        <f t="shared" si="0"/>
        <v>2071</v>
      </c>
      <c r="C194" s="111">
        <f>[8]С2.5!$BD$11</f>
        <v>0</v>
      </c>
    </row>
    <row r="195" spans="2:3" hidden="1">
      <c r="B195" s="110">
        <f t="shared" si="0"/>
        <v>2072</v>
      </c>
      <c r="C195" s="111">
        <f>[8]С2.5!$BE$11</f>
        <v>0</v>
      </c>
    </row>
    <row r="196" spans="2:3" hidden="1">
      <c r="B196" s="110">
        <f t="shared" si="0"/>
        <v>2073</v>
      </c>
      <c r="C196" s="111">
        <f>[8]С2.5!$BF$11</f>
        <v>0</v>
      </c>
    </row>
    <row r="197" spans="2:3" hidden="1">
      <c r="B197" s="110">
        <f t="shared" si="0"/>
        <v>2074</v>
      </c>
      <c r="C197" s="111">
        <f>[8]С2.5!$BG$11</f>
        <v>0</v>
      </c>
    </row>
    <row r="198" spans="2:3" hidden="1">
      <c r="B198" s="110">
        <f t="shared" si="0"/>
        <v>2075</v>
      </c>
      <c r="C198" s="111">
        <f>[8]С2.5!$BH$11</f>
        <v>0</v>
      </c>
    </row>
    <row r="199" spans="2:3" hidden="1">
      <c r="B199" s="110">
        <f t="shared" si="0"/>
        <v>2076</v>
      </c>
      <c r="C199" s="111">
        <f>[8]С2.5!$BI$11</f>
        <v>0</v>
      </c>
    </row>
    <row r="200" spans="2:3" hidden="1">
      <c r="B200" s="110">
        <f t="shared" si="0"/>
        <v>2077</v>
      </c>
      <c r="C200" s="111">
        <f>[8]С2.5!$BJ$11</f>
        <v>0</v>
      </c>
    </row>
    <row r="201" spans="2:3" hidden="1">
      <c r="B201" s="110">
        <f t="shared" si="0"/>
        <v>2078</v>
      </c>
      <c r="C201" s="111">
        <f>[8]С2.5!$BK$11</f>
        <v>0</v>
      </c>
    </row>
    <row r="202" spans="2:3" hidden="1">
      <c r="B202" s="110">
        <f t="shared" si="0"/>
        <v>2079</v>
      </c>
      <c r="C202" s="111">
        <f>[8]С2.5!$BL$11</f>
        <v>0</v>
      </c>
    </row>
    <row r="203" spans="2:3" hidden="1">
      <c r="B203" s="110">
        <f t="shared" si="0"/>
        <v>2080</v>
      </c>
      <c r="C203" s="111">
        <f>[8]С2.5!$BM$11</f>
        <v>0</v>
      </c>
    </row>
    <row r="204" spans="2:3" hidden="1">
      <c r="B204" s="110">
        <f t="shared" si="0"/>
        <v>2081</v>
      </c>
      <c r="C204" s="111">
        <f>[8]С2.5!$BN$11</f>
        <v>0</v>
      </c>
    </row>
    <row r="205" spans="2:3" hidden="1">
      <c r="B205" s="110">
        <f t="shared" si="0"/>
        <v>2082</v>
      </c>
      <c r="C205" s="111">
        <f>[8]С2.5!$BO$11</f>
        <v>0</v>
      </c>
    </row>
    <row r="206" spans="2:3" hidden="1">
      <c r="B206" s="110">
        <f t="shared" si="0"/>
        <v>2083</v>
      </c>
      <c r="C206" s="111">
        <f>[8]С2.5!$BP$11</f>
        <v>0</v>
      </c>
    </row>
    <row r="207" spans="2:3" hidden="1">
      <c r="B207" s="110">
        <f t="shared" si="0"/>
        <v>2084</v>
      </c>
      <c r="C207" s="111">
        <f>[8]С2.5!$BQ$11</f>
        <v>0</v>
      </c>
    </row>
    <row r="208" spans="2:3" hidden="1">
      <c r="B208" s="110">
        <f t="shared" si="0"/>
        <v>2085</v>
      </c>
      <c r="C208" s="111">
        <f>[8]С2.5!$BR$11</f>
        <v>0</v>
      </c>
    </row>
    <row r="209" spans="2:3" hidden="1">
      <c r="B209" s="110">
        <f t="shared" ref="B209:B223" si="1">B208+1</f>
        <v>2086</v>
      </c>
      <c r="C209" s="111">
        <f>[8]С2.5!$BS$11</f>
        <v>0</v>
      </c>
    </row>
    <row r="210" spans="2:3" hidden="1">
      <c r="B210" s="110">
        <f t="shared" si="1"/>
        <v>2087</v>
      </c>
      <c r="C210" s="111">
        <f>[8]С2.5!$BT$11</f>
        <v>0</v>
      </c>
    </row>
    <row r="211" spans="2:3" hidden="1">
      <c r="B211" s="110">
        <f t="shared" si="1"/>
        <v>2088</v>
      </c>
      <c r="C211" s="111">
        <f>[8]С2.5!$BU$11</f>
        <v>0</v>
      </c>
    </row>
    <row r="212" spans="2:3" hidden="1">
      <c r="B212" s="110">
        <f t="shared" si="1"/>
        <v>2089</v>
      </c>
      <c r="C212" s="111">
        <f>[8]С2.5!$BV$11</f>
        <v>0</v>
      </c>
    </row>
    <row r="213" spans="2:3" hidden="1">
      <c r="B213" s="110">
        <f t="shared" si="1"/>
        <v>2090</v>
      </c>
      <c r="C213" s="111">
        <f>[8]С2.5!$BW$11</f>
        <v>0</v>
      </c>
    </row>
    <row r="214" spans="2:3" hidden="1">
      <c r="B214" s="110">
        <f t="shared" si="1"/>
        <v>2091</v>
      </c>
      <c r="C214" s="111">
        <f>[8]С2.5!$BX$11</f>
        <v>0</v>
      </c>
    </row>
    <row r="215" spans="2:3" hidden="1">
      <c r="B215" s="110">
        <f t="shared" si="1"/>
        <v>2092</v>
      </c>
      <c r="C215" s="111">
        <f>[8]С2.5!$BY$11</f>
        <v>0</v>
      </c>
    </row>
    <row r="216" spans="2:3" hidden="1">
      <c r="B216" s="110">
        <f t="shared" si="1"/>
        <v>2093</v>
      </c>
      <c r="C216" s="111">
        <f>[8]С2.5!$BZ$11</f>
        <v>0</v>
      </c>
    </row>
    <row r="217" spans="2:3" hidden="1">
      <c r="B217" s="110">
        <f t="shared" si="1"/>
        <v>2094</v>
      </c>
      <c r="C217" s="111">
        <f>[8]С2.5!$CA$11</f>
        <v>0</v>
      </c>
    </row>
    <row r="218" spans="2:3" hidden="1">
      <c r="B218" s="110">
        <f t="shared" si="1"/>
        <v>2095</v>
      </c>
      <c r="C218" s="111">
        <f>[8]С2.5!$CB$11</f>
        <v>0</v>
      </c>
    </row>
    <row r="219" spans="2:3" hidden="1">
      <c r="B219" s="110">
        <f t="shared" si="1"/>
        <v>2096</v>
      </c>
      <c r="C219" s="111">
        <f>[8]С2.5!$CC$11</f>
        <v>0</v>
      </c>
    </row>
    <row r="220" spans="2:3" hidden="1">
      <c r="B220" s="110">
        <f t="shared" si="1"/>
        <v>2097</v>
      </c>
      <c r="C220" s="111">
        <f>[8]С2.5!$CD$11</f>
        <v>0</v>
      </c>
    </row>
    <row r="221" spans="2:3" hidden="1">
      <c r="B221" s="110">
        <f t="shared" si="1"/>
        <v>2098</v>
      </c>
      <c r="C221" s="111">
        <f>[8]С2.5!$CE$11</f>
        <v>0</v>
      </c>
    </row>
    <row r="222" spans="2:3" hidden="1">
      <c r="B222" s="110">
        <f t="shared" si="1"/>
        <v>2099</v>
      </c>
      <c r="C222" s="111">
        <f>[8]С2.5!$CF$11</f>
        <v>0</v>
      </c>
    </row>
    <row r="223" spans="2:3" ht="13.5" hidden="1" thickBot="1">
      <c r="B223" s="112">
        <f t="shared" si="1"/>
        <v>2100</v>
      </c>
      <c r="C223" s="113">
        <f>[8]С2.5!$CG$11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[9]И1!D13</f>
        <v>Субъект Российской Федерации</v>
      </c>
      <c r="C4" s="10" t="str">
        <f>[9]И1!E13</f>
        <v>Новосибирская область</v>
      </c>
    </row>
    <row r="5" spans="1:3" ht="38.25">
      <c r="A5" s="8"/>
      <c r="B5" s="9" t="str">
        <f>[9]И1!D14</f>
        <v>Тип муниципального образования (выберите из списка)</v>
      </c>
      <c r="C5" s="10" t="str">
        <f>[9]И1!E14</f>
        <v>село Здвинск, Здвинский муниципальный район</v>
      </c>
    </row>
    <row r="6" spans="1:3">
      <c r="A6" s="8"/>
      <c r="B6" s="9" t="str">
        <f>IF([9]И1!E15="","",[9]И1!D15)</f>
        <v/>
      </c>
      <c r="C6" s="10" t="str">
        <f>IF([9]И1!E15="","",[9]И1!E15)</f>
        <v/>
      </c>
    </row>
    <row r="7" spans="1:3">
      <c r="A7" s="8"/>
      <c r="B7" s="9" t="str">
        <f>[9]И1!D16</f>
        <v>Код ОКТМО</v>
      </c>
      <c r="C7" s="11" t="str">
        <f>[9]И1!E16</f>
        <v>50613407101</v>
      </c>
    </row>
    <row r="8" spans="1:3">
      <c r="A8" s="8"/>
      <c r="B8" s="12" t="str">
        <f>[9]И1!D17</f>
        <v>Система теплоснабжения</v>
      </c>
      <c r="C8" s="13">
        <f>[9]И1!E17</f>
        <v>0</v>
      </c>
    </row>
    <row r="9" spans="1:3">
      <c r="A9" s="8"/>
      <c r="B9" s="9" t="str">
        <f>[9]И1!D8</f>
        <v>Период регулирования (i)-й</v>
      </c>
      <c r="C9" s="14">
        <f>[9]И1!E8</f>
        <v>2023</v>
      </c>
    </row>
    <row r="10" spans="1:3">
      <c r="A10" s="8"/>
      <c r="B10" s="9" t="str">
        <f>[9]И1!D9</f>
        <v>Период регулирования (i-1)-й</v>
      </c>
      <c r="C10" s="14">
        <f>[9]И1!E9</f>
        <v>2022</v>
      </c>
    </row>
    <row r="11" spans="1:3">
      <c r="A11" s="8"/>
      <c r="B11" s="9" t="str">
        <f>[9]И1!D10</f>
        <v>Период регулирования (i-2)-й</v>
      </c>
      <c r="C11" s="14">
        <f>[9]И1!E10</f>
        <v>2021</v>
      </c>
    </row>
    <row r="12" spans="1:3">
      <c r="A12" s="8"/>
      <c r="B12" s="9" t="str">
        <f>[9]И1!D11</f>
        <v>Базовый год (б)</v>
      </c>
      <c r="C12" s="14">
        <f>[9]И1!E11</f>
        <v>2019</v>
      </c>
    </row>
    <row r="13" spans="1:3" ht="38.25">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4136.1720343486786</v>
      </c>
    </row>
    <row r="18" spans="1:3" ht="42.75">
      <c r="A18" s="22" t="s">
        <v>8</v>
      </c>
      <c r="B18" s="25" t="s">
        <v>9</v>
      </c>
      <c r="C18" s="26">
        <f>[9]С1!F12</f>
        <v>1031.9440162873034</v>
      </c>
    </row>
    <row r="19" spans="1:3" ht="42.75">
      <c r="A19" s="22" t="s">
        <v>10</v>
      </c>
      <c r="B19" s="25" t="s">
        <v>11</v>
      </c>
      <c r="C19" s="26">
        <f>[9]С2!F12</f>
        <v>2101.7757879094611</v>
      </c>
    </row>
    <row r="20" spans="1:3" ht="30">
      <c r="A20" s="22" t="s">
        <v>12</v>
      </c>
      <c r="B20" s="25" t="s">
        <v>13</v>
      </c>
      <c r="C20" s="26">
        <f>[9]С3!F12</f>
        <v>502.69420058623905</v>
      </c>
    </row>
    <row r="21" spans="1:3" ht="42.75">
      <c r="A21" s="22" t="s">
        <v>14</v>
      </c>
      <c r="B21" s="25" t="s">
        <v>15</v>
      </c>
      <c r="C21" s="26">
        <f>[9]С4!F12</f>
        <v>418.65661712746567</v>
      </c>
    </row>
    <row r="22" spans="1:3" ht="30">
      <c r="A22" s="22" t="s">
        <v>16</v>
      </c>
      <c r="B22" s="25" t="s">
        <v>17</v>
      </c>
      <c r="C22" s="26">
        <f>[9]С5!F12</f>
        <v>81.10141243820938</v>
      </c>
    </row>
    <row r="23" spans="1:3" ht="43.5" thickBot="1">
      <c r="A23" s="27" t="s">
        <v>18</v>
      </c>
      <c r="B23" s="117" t="s">
        <v>19</v>
      </c>
      <c r="C23" s="28" t="str">
        <f>[9]С6!F12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[9]С1.1!E16</f>
        <v>5100</v>
      </c>
    </row>
    <row r="29" spans="1:3" ht="42.75">
      <c r="A29" s="22" t="s">
        <v>10</v>
      </c>
      <c r="B29" s="33" t="s">
        <v>22</v>
      </c>
      <c r="C29" s="34">
        <f>[9]С1.1!E27</f>
        <v>2774.7250000000004</v>
      </c>
    </row>
    <row r="30" spans="1:3" ht="17.25">
      <c r="A30" s="22" t="s">
        <v>12</v>
      </c>
      <c r="B30" s="33" t="s">
        <v>23</v>
      </c>
      <c r="C30" s="35">
        <f>[9]С1.1!E19</f>
        <v>0.59499999999999997</v>
      </c>
    </row>
    <row r="31" spans="1:3" ht="17.25">
      <c r="A31" s="22" t="s">
        <v>14</v>
      </c>
      <c r="B31" s="33" t="s">
        <v>24</v>
      </c>
      <c r="C31" s="35">
        <f>[9]С1.1!E20</f>
        <v>-0.113</v>
      </c>
    </row>
    <row r="32" spans="1:3" ht="30">
      <c r="A32" s="22" t="s">
        <v>16</v>
      </c>
      <c r="B32" s="36" t="s">
        <v>25</v>
      </c>
      <c r="C32" s="37">
        <f>[9]С1!F13</f>
        <v>176.4</v>
      </c>
    </row>
    <row r="33" spans="1:3">
      <c r="A33" s="22" t="s">
        <v>18</v>
      </c>
      <c r="B33" s="36" t="s">
        <v>26</v>
      </c>
      <c r="C33" s="38">
        <f>[9]С1!F16</f>
        <v>7000</v>
      </c>
    </row>
    <row r="34" spans="1:3" ht="14.25">
      <c r="A34" s="22" t="s">
        <v>27</v>
      </c>
      <c r="B34" s="39" t="s">
        <v>28</v>
      </c>
      <c r="C34" s="40">
        <f>[9]С1!F17</f>
        <v>0.72857142857142854</v>
      </c>
    </row>
    <row r="35" spans="1:3" ht="15.75">
      <c r="A35" s="41" t="s">
        <v>29</v>
      </c>
      <c r="B35" s="42" t="s">
        <v>30</v>
      </c>
      <c r="C35" s="40">
        <f>[9]С1!F20</f>
        <v>21.588411179999994</v>
      </c>
    </row>
    <row r="36" spans="1:3" ht="15.75">
      <c r="A36" s="41" t="s">
        <v>31</v>
      </c>
      <c r="B36" s="43" t="s">
        <v>32</v>
      </c>
      <c r="C36" s="40">
        <f>[9]С1!F21</f>
        <v>20.818139999999996</v>
      </c>
    </row>
    <row r="37" spans="1:3" ht="14.25">
      <c r="A37" s="41" t="s">
        <v>33</v>
      </c>
      <c r="B37" s="44" t="s">
        <v>34</v>
      </c>
      <c r="C37" s="40">
        <f>[9]С1!F22</f>
        <v>1.0369999999999999</v>
      </c>
    </row>
    <row r="38" spans="1:3" ht="53.25" thickBot="1">
      <c r="A38" s="27" t="s">
        <v>35</v>
      </c>
      <c r="B38" s="45" t="s">
        <v>36</v>
      </c>
      <c r="C38" s="46">
        <f>[9]С1!F23</f>
        <v>1.0469999999999999</v>
      </c>
    </row>
    <row r="39" spans="1:3" ht="13.5" thickBot="1">
      <c r="A39" s="47"/>
      <c r="B39" s="48"/>
      <c r="C39" s="49"/>
    </row>
    <row r="40" spans="1:3" ht="30" customHeight="1">
      <c r="A40" s="50" t="s">
        <v>37</v>
      </c>
      <c r="B40" s="118" t="s">
        <v>38</v>
      </c>
      <c r="C40" s="118"/>
    </row>
    <row r="41" spans="1:3" ht="25.5">
      <c r="A41" s="22" t="s">
        <v>39</v>
      </c>
      <c r="B41" s="36" t="s">
        <v>40</v>
      </c>
      <c r="C41" s="51" t="str">
        <f>[9]С2.1!E12</f>
        <v>V</v>
      </c>
    </row>
    <row r="42" spans="1:3" ht="25.5">
      <c r="A42" s="22" t="s">
        <v>41</v>
      </c>
      <c r="B42" s="33" t="s">
        <v>42</v>
      </c>
      <c r="C42" s="51" t="str">
        <f>[9]С2.1!E13</f>
        <v>6 и менее баллов</v>
      </c>
    </row>
    <row r="43" spans="1:3" ht="25.5">
      <c r="A43" s="22" t="s">
        <v>43</v>
      </c>
      <c r="B43" s="33" t="s">
        <v>44</v>
      </c>
      <c r="C43" s="51" t="str">
        <f>[9]С2.1!E14</f>
        <v>от 200 до 500</v>
      </c>
    </row>
    <row r="44" spans="1:3" ht="25.5">
      <c r="A44" s="22" t="s">
        <v>45</v>
      </c>
      <c r="B44" s="33" t="s">
        <v>46</v>
      </c>
      <c r="C44" s="52" t="str">
        <f>[9]С2.1!E15</f>
        <v>нет</v>
      </c>
    </row>
    <row r="45" spans="1:3" ht="30">
      <c r="A45" s="22" t="s">
        <v>47</v>
      </c>
      <c r="B45" s="33" t="s">
        <v>48</v>
      </c>
      <c r="C45" s="34">
        <f>[9]С2!F18</f>
        <v>32402.627334033532</v>
      </c>
    </row>
    <row r="46" spans="1:3" ht="30">
      <c r="A46" s="22" t="s">
        <v>49</v>
      </c>
      <c r="B46" s="53" t="s">
        <v>50</v>
      </c>
      <c r="C46" s="34">
        <f>IF([9]С2!F19&gt;0,[9]С2!F19,[9]С2!F20)</f>
        <v>23441.524932855718</v>
      </c>
    </row>
    <row r="47" spans="1:3" ht="25.5">
      <c r="A47" s="22" t="s">
        <v>51</v>
      </c>
      <c r="B47" s="54" t="s">
        <v>52</v>
      </c>
      <c r="C47" s="34">
        <f>[9]С2.1!E19</f>
        <v>-38</v>
      </c>
    </row>
    <row r="48" spans="1:3" ht="25.5">
      <c r="A48" s="22" t="s">
        <v>53</v>
      </c>
      <c r="B48" s="54" t="s">
        <v>54</v>
      </c>
      <c r="C48" s="34" t="str">
        <f>[9]С2.1!E22</f>
        <v>нет</v>
      </c>
    </row>
    <row r="49" spans="1:3" ht="38.25">
      <c r="A49" s="22" t="s">
        <v>55</v>
      </c>
      <c r="B49" s="55" t="s">
        <v>56</v>
      </c>
      <c r="C49" s="34">
        <f>[9]С2.2!E10</f>
        <v>1287</v>
      </c>
    </row>
    <row r="50" spans="1:3" ht="25.5">
      <c r="A50" s="22" t="s">
        <v>57</v>
      </c>
      <c r="B50" s="56" t="s">
        <v>58</v>
      </c>
      <c r="C50" s="34">
        <f>[9]С2.2!E12</f>
        <v>5.97</v>
      </c>
    </row>
    <row r="51" spans="1:3" ht="52.5">
      <c r="A51" s="22" t="s">
        <v>59</v>
      </c>
      <c r="B51" s="57" t="s">
        <v>60</v>
      </c>
      <c r="C51" s="34">
        <f>[9]С2.2!E13</f>
        <v>1</v>
      </c>
    </row>
    <row r="52" spans="1:3" ht="27.75">
      <c r="A52" s="22" t="s">
        <v>61</v>
      </c>
      <c r="B52" s="56" t="s">
        <v>62</v>
      </c>
      <c r="C52" s="34">
        <f>[9]С2.2!E14</f>
        <v>12104</v>
      </c>
    </row>
    <row r="53" spans="1:3" ht="25.5">
      <c r="A53" s="22" t="s">
        <v>63</v>
      </c>
      <c r="B53" s="57" t="s">
        <v>64</v>
      </c>
      <c r="C53" s="35">
        <f>[9]С2.2!E15</f>
        <v>4.8000000000000001E-2</v>
      </c>
    </row>
    <row r="54" spans="1:3">
      <c r="A54" s="22" t="s">
        <v>65</v>
      </c>
      <c r="B54" s="57" t="s">
        <v>66</v>
      </c>
      <c r="C54" s="34">
        <f>[9]С2.2!E16</f>
        <v>1</v>
      </c>
    </row>
    <row r="55" spans="1:3" ht="15.75">
      <c r="A55" s="22" t="s">
        <v>67</v>
      </c>
      <c r="B55" s="58" t="s">
        <v>68</v>
      </c>
      <c r="C55" s="34">
        <f>[9]С2!F21</f>
        <v>1</v>
      </c>
    </row>
    <row r="56" spans="1:3" ht="30">
      <c r="A56" s="59" t="s">
        <v>69</v>
      </c>
      <c r="B56" s="33" t="s">
        <v>70</v>
      </c>
      <c r="C56" s="34">
        <f>[9]С2!F13</f>
        <v>169640.22915965237</v>
      </c>
    </row>
    <row r="57" spans="1:3" ht="30">
      <c r="A57" s="59" t="s">
        <v>71</v>
      </c>
      <c r="B57" s="58" t="s">
        <v>72</v>
      </c>
      <c r="C57" s="34">
        <f>[9]С2!F14</f>
        <v>113455</v>
      </c>
    </row>
    <row r="58" spans="1:3" ht="15.75">
      <c r="A58" s="59" t="s">
        <v>73</v>
      </c>
      <c r="B58" s="60" t="s">
        <v>74</v>
      </c>
      <c r="C58" s="40">
        <f>[9]С2!F15</f>
        <v>1.071</v>
      </c>
    </row>
    <row r="59" spans="1:3" ht="15.75">
      <c r="A59" s="59" t="s">
        <v>75</v>
      </c>
      <c r="B59" s="60" t="s">
        <v>76</v>
      </c>
      <c r="C59" s="40">
        <f>[9]С2!F16</f>
        <v>1</v>
      </c>
    </row>
    <row r="60" spans="1:3" ht="17.25">
      <c r="A60" s="59" t="s">
        <v>77</v>
      </c>
      <c r="B60" s="58" t="s">
        <v>78</v>
      </c>
      <c r="C60" s="34">
        <f>[9]С2!F17</f>
        <v>1.01</v>
      </c>
    </row>
    <row r="61" spans="1:3" s="63" customFormat="1" ht="14.25">
      <c r="A61" s="59" t="s">
        <v>79</v>
      </c>
      <c r="B61" s="61" t="s">
        <v>80</v>
      </c>
      <c r="C61" s="62">
        <f>[9]С2!F33</f>
        <v>10</v>
      </c>
    </row>
    <row r="62" spans="1:3" ht="30">
      <c r="A62" s="59" t="s">
        <v>81</v>
      </c>
      <c r="B62" s="64" t="s">
        <v>82</v>
      </c>
      <c r="C62" s="34">
        <f>[9]С2!F26</f>
        <v>637.93498622918537</v>
      </c>
    </row>
    <row r="63" spans="1:3" ht="17.25">
      <c r="A63" s="59" t="s">
        <v>83</v>
      </c>
      <c r="B63" s="53" t="s">
        <v>84</v>
      </c>
      <c r="C63" s="34">
        <f>[9]С2!F27</f>
        <v>0.10988357099999999</v>
      </c>
    </row>
    <row r="64" spans="1:3" ht="17.25">
      <c r="A64" s="59" t="s">
        <v>85</v>
      </c>
      <c r="B64" s="58" t="s">
        <v>86</v>
      </c>
      <c r="C64" s="62">
        <f>[9]С2!F28</f>
        <v>4200</v>
      </c>
    </row>
    <row r="65" spans="1:3" ht="42.75">
      <c r="A65" s="59" t="s">
        <v>87</v>
      </c>
      <c r="B65" s="33" t="s">
        <v>88</v>
      </c>
      <c r="C65" s="34">
        <f>[9]С2!F22</f>
        <v>35717.748653137714</v>
      </c>
    </row>
    <row r="66" spans="1:3" ht="30">
      <c r="A66" s="59" t="s">
        <v>89</v>
      </c>
      <c r="B66" s="60" t="s">
        <v>90</v>
      </c>
      <c r="C66" s="34">
        <f>[9]С2!F23</f>
        <v>1990</v>
      </c>
    </row>
    <row r="67" spans="1:3" ht="30">
      <c r="A67" s="59" t="s">
        <v>91</v>
      </c>
      <c r="B67" s="53" t="s">
        <v>92</v>
      </c>
      <c r="C67" s="34">
        <f>[9]С2.1!E27</f>
        <v>14307.876789999998</v>
      </c>
    </row>
    <row r="68" spans="1:3" ht="38.25">
      <c r="A68" s="59" t="s">
        <v>93</v>
      </c>
      <c r="B68" s="65" t="s">
        <v>94</v>
      </c>
      <c r="C68" s="52">
        <f>[9]С2.3!E21</f>
        <v>0</v>
      </c>
    </row>
    <row r="69" spans="1:3" ht="25.5">
      <c r="A69" s="59" t="s">
        <v>95</v>
      </c>
      <c r="B69" s="66" t="s">
        <v>96</v>
      </c>
      <c r="C69" s="67">
        <f>[9]С2.3!E11</f>
        <v>9.89</v>
      </c>
    </row>
    <row r="70" spans="1:3" ht="25.5">
      <c r="A70" s="59" t="s">
        <v>97</v>
      </c>
      <c r="B70" s="66" t="s">
        <v>98</v>
      </c>
      <c r="C70" s="62">
        <f>[9]С2.3!E13</f>
        <v>300</v>
      </c>
    </row>
    <row r="71" spans="1:3" ht="25.5">
      <c r="A71" s="59" t="s">
        <v>99</v>
      </c>
      <c r="B71" s="65" t="s">
        <v>100</v>
      </c>
      <c r="C71" s="68">
        <f>IF([9]С2.3!E22&gt;0,[9]С2.3!E22,[9]С2.3!E14)</f>
        <v>61211</v>
      </c>
    </row>
    <row r="72" spans="1:3" ht="38.25">
      <c r="A72" s="59" t="s">
        <v>101</v>
      </c>
      <c r="B72" s="65" t="s">
        <v>102</v>
      </c>
      <c r="C72" s="68">
        <f>IF([9]С2.3!E23&gt;0,[9]С2.3!E23,[9]С2.3!E15)</f>
        <v>45675</v>
      </c>
    </row>
    <row r="73" spans="1:3" ht="30">
      <c r="A73" s="59" t="s">
        <v>103</v>
      </c>
      <c r="B73" s="53" t="s">
        <v>104</v>
      </c>
      <c r="C73" s="34">
        <f>[9]С2.1!E28</f>
        <v>9541.9567200000001</v>
      </c>
    </row>
    <row r="74" spans="1:3" ht="38.25">
      <c r="A74" s="59" t="s">
        <v>105</v>
      </c>
      <c r="B74" s="65" t="s">
        <v>106</v>
      </c>
      <c r="C74" s="52">
        <f>[9]С2.3!E25</f>
        <v>0</v>
      </c>
    </row>
    <row r="75" spans="1:3" ht="25.5">
      <c r="A75" s="59" t="s">
        <v>107</v>
      </c>
      <c r="B75" s="66" t="s">
        <v>108</v>
      </c>
      <c r="C75" s="67">
        <f>[9]С2.3!E12</f>
        <v>0.56000000000000005</v>
      </c>
    </row>
    <row r="76" spans="1:3" ht="25.5">
      <c r="A76" s="59" t="s">
        <v>109</v>
      </c>
      <c r="B76" s="66" t="s">
        <v>98</v>
      </c>
      <c r="C76" s="62">
        <f>[9]С2.3!E13</f>
        <v>300</v>
      </c>
    </row>
    <row r="77" spans="1:3" ht="25.5">
      <c r="A77" s="59" t="s">
        <v>110</v>
      </c>
      <c r="B77" s="69" t="s">
        <v>111</v>
      </c>
      <c r="C77" s="68">
        <f>IF([9]С2.3!E26&gt;0,[9]С2.3!E26,[9]С2.3!E16)</f>
        <v>65637</v>
      </c>
    </row>
    <row r="78" spans="1:3" ht="38.25">
      <c r="A78" s="59" t="s">
        <v>112</v>
      </c>
      <c r="B78" s="69" t="s">
        <v>113</v>
      </c>
      <c r="C78" s="68">
        <f>IF([9]С2.3!E27&gt;0,[9]С2.3!E27,[9]С2.3!E17)</f>
        <v>31684</v>
      </c>
    </row>
    <row r="79" spans="1:3" ht="17.25">
      <c r="A79" s="59" t="s">
        <v>114</v>
      </c>
      <c r="B79" s="33" t="s">
        <v>115</v>
      </c>
      <c r="C79" s="35">
        <f>[9]С2!F29</f>
        <v>0.128978033685065</v>
      </c>
    </row>
    <row r="80" spans="1:3" ht="30">
      <c r="A80" s="59" t="s">
        <v>116</v>
      </c>
      <c r="B80" s="53" t="s">
        <v>117</v>
      </c>
      <c r="C80" s="70">
        <f>[9]С2!F30</f>
        <v>0.11668498168498169</v>
      </c>
    </row>
    <row r="81" spans="1:3" ht="17.25">
      <c r="A81" s="59" t="s">
        <v>118</v>
      </c>
      <c r="B81" s="71" t="s">
        <v>119</v>
      </c>
      <c r="C81" s="35">
        <f>[9]С2!F31</f>
        <v>0.13880000000000001</v>
      </c>
    </row>
    <row r="82" spans="1:3" s="63" customFormat="1" ht="18" thickBot="1">
      <c r="A82" s="72" t="s">
        <v>120</v>
      </c>
      <c r="B82" s="73" t="s">
        <v>121</v>
      </c>
      <c r="C82" s="74">
        <f>[9]С2!F32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[9]С3!F14</f>
        <v>6976.0888978803041</v>
      </c>
    </row>
    <row r="86" spans="1:3" s="63" customFormat="1" ht="42.75">
      <c r="A86" s="77" t="s">
        <v>126</v>
      </c>
      <c r="B86" s="53" t="s">
        <v>127</v>
      </c>
      <c r="C86" s="78">
        <f>[9]С3!F15</f>
        <v>0.2</v>
      </c>
    </row>
    <row r="87" spans="1:3" s="63" customFormat="1" ht="14.25">
      <c r="A87" s="77" t="s">
        <v>128</v>
      </c>
      <c r="B87" s="79" t="s">
        <v>129</v>
      </c>
      <c r="C87" s="62">
        <f>[9]С3!F18</f>
        <v>15</v>
      </c>
    </row>
    <row r="88" spans="1:3" s="63" customFormat="1" ht="17.25">
      <c r="A88" s="77" t="s">
        <v>130</v>
      </c>
      <c r="B88" s="33" t="s">
        <v>131</v>
      </c>
      <c r="C88" s="34">
        <f>[9]С3!F19</f>
        <v>3487.1555421534131</v>
      </c>
    </row>
    <row r="89" spans="1:3" s="63" customFormat="1" ht="55.5">
      <c r="A89" s="77" t="s">
        <v>132</v>
      </c>
      <c r="B89" s="53" t="s">
        <v>133</v>
      </c>
      <c r="C89" s="80">
        <f>[9]С3!F20</f>
        <v>2.1999999999999999E-2</v>
      </c>
    </row>
    <row r="90" spans="1:3" s="63" customFormat="1" ht="14.25">
      <c r="A90" s="77" t="s">
        <v>134</v>
      </c>
      <c r="B90" s="58" t="s">
        <v>80</v>
      </c>
      <c r="C90" s="62">
        <f>[9]С3!F21</f>
        <v>10</v>
      </c>
    </row>
    <row r="91" spans="1:3" s="63" customFormat="1" ht="17.25">
      <c r="A91" s="77" t="s">
        <v>135</v>
      </c>
      <c r="B91" s="33" t="s">
        <v>136</v>
      </c>
      <c r="C91" s="34">
        <f>[9]С3!F22</f>
        <v>1.9138049586875561</v>
      </c>
    </row>
    <row r="92" spans="1:3" s="63" customFormat="1" ht="55.5">
      <c r="A92" s="77" t="s">
        <v>137</v>
      </c>
      <c r="B92" s="53" t="s">
        <v>138</v>
      </c>
      <c r="C92" s="80">
        <f>[9]С3!F23</f>
        <v>3.0000000000000001E-3</v>
      </c>
    </row>
    <row r="93" spans="1:3" s="63" customFormat="1" ht="27.75" thickBot="1">
      <c r="A93" s="81" t="s">
        <v>139</v>
      </c>
      <c r="B93" s="82" t="s">
        <v>140</v>
      </c>
      <c r="C93" s="83">
        <f>[9]С3!F24</f>
        <v>637.93498622918537</v>
      </c>
    </row>
    <row r="94" spans="1:3" ht="13.5" thickBot="1">
      <c r="A94" s="47"/>
      <c r="B94" s="75"/>
      <c r="C94" s="15"/>
    </row>
    <row r="95" spans="1:3" ht="30" customHeight="1">
      <c r="A95" s="84" t="s">
        <v>141</v>
      </c>
      <c r="B95" s="118" t="s">
        <v>142</v>
      </c>
      <c r="C95" s="118"/>
    </row>
    <row r="96" spans="1:3" ht="30">
      <c r="A96" s="59" t="s">
        <v>143</v>
      </c>
      <c r="B96" s="33" t="s">
        <v>144</v>
      </c>
      <c r="C96" s="34">
        <f>[9]С4!F16</f>
        <v>1652.5</v>
      </c>
    </row>
    <row r="97" spans="1:3" ht="30">
      <c r="A97" s="59" t="s">
        <v>145</v>
      </c>
      <c r="B97" s="58" t="s">
        <v>146</v>
      </c>
      <c r="C97" s="34">
        <f>[9]С4!F17</f>
        <v>73547</v>
      </c>
    </row>
    <row r="98" spans="1:3" ht="17.25">
      <c r="A98" s="59" t="s">
        <v>147</v>
      </c>
      <c r="B98" s="58" t="s">
        <v>148</v>
      </c>
      <c r="C98" s="40">
        <f>[9]С4!F18</f>
        <v>0.02</v>
      </c>
    </row>
    <row r="99" spans="1:3" ht="30">
      <c r="A99" s="59" t="s">
        <v>149</v>
      </c>
      <c r="B99" s="58" t="s">
        <v>150</v>
      </c>
      <c r="C99" s="34">
        <f>[9]С4!F19</f>
        <v>12104</v>
      </c>
    </row>
    <row r="100" spans="1:3" ht="31.5">
      <c r="A100" s="59" t="s">
        <v>151</v>
      </c>
      <c r="B100" s="58" t="s">
        <v>152</v>
      </c>
      <c r="C100" s="40">
        <f>[9]С4!F20</f>
        <v>1.4999999999999999E-2</v>
      </c>
    </row>
    <row r="101" spans="1:3" ht="30">
      <c r="A101" s="59" t="s">
        <v>153</v>
      </c>
      <c r="B101" s="33" t="s">
        <v>154</v>
      </c>
      <c r="C101" s="34">
        <f>[9]С4!F21</f>
        <v>1933.1949342509995</v>
      </c>
    </row>
    <row r="102" spans="1:3" ht="24" customHeight="1">
      <c r="A102" s="59" t="s">
        <v>155</v>
      </c>
      <c r="B102" s="53" t="s">
        <v>156</v>
      </c>
      <c r="C102" s="85">
        <f>IF([9]С4.2!F8="да",[9]С4.2!D21,[9]С4.2!D15)</f>
        <v>0</v>
      </c>
    </row>
    <row r="103" spans="1:3" ht="68.25">
      <c r="A103" s="59" t="s">
        <v>157</v>
      </c>
      <c r="B103" s="53" t="s">
        <v>158</v>
      </c>
      <c r="C103" s="34">
        <f>[9]С4!F22</f>
        <v>3.6112641666666665</v>
      </c>
    </row>
    <row r="104" spans="1:3" ht="30">
      <c r="A104" s="59" t="s">
        <v>159</v>
      </c>
      <c r="B104" s="58" t="s">
        <v>160</v>
      </c>
      <c r="C104" s="34">
        <f>[9]С4!F23</f>
        <v>180</v>
      </c>
    </row>
    <row r="105" spans="1:3" ht="14.25">
      <c r="A105" s="59" t="s">
        <v>161</v>
      </c>
      <c r="B105" s="53" t="s">
        <v>162</v>
      </c>
      <c r="C105" s="34">
        <f>[9]С4!F24</f>
        <v>8497.1999999999989</v>
      </c>
    </row>
    <row r="106" spans="1:3" ht="14.25">
      <c r="A106" s="59" t="s">
        <v>163</v>
      </c>
      <c r="B106" s="58" t="s">
        <v>164</v>
      </c>
      <c r="C106" s="40">
        <f>[9]С4!F25</f>
        <v>0.35</v>
      </c>
    </row>
    <row r="107" spans="1:3" ht="17.25">
      <c r="A107" s="59" t="s">
        <v>165</v>
      </c>
      <c r="B107" s="33" t="s">
        <v>166</v>
      </c>
      <c r="C107" s="34">
        <f>[9]С4!F26</f>
        <v>64.452030000000008</v>
      </c>
    </row>
    <row r="108" spans="1:3" ht="25.5">
      <c r="A108" s="59" t="s">
        <v>167</v>
      </c>
      <c r="B108" s="53" t="s">
        <v>94</v>
      </c>
      <c r="C108" s="85">
        <f>[9]С4.3!E16</f>
        <v>0</v>
      </c>
    </row>
    <row r="109" spans="1:3" ht="25.5">
      <c r="A109" s="59" t="s">
        <v>168</v>
      </c>
      <c r="B109" s="53" t="s">
        <v>169</v>
      </c>
      <c r="C109" s="34">
        <f>[9]С4.3!E17</f>
        <v>16.850000000000001</v>
      </c>
    </row>
    <row r="110" spans="1:3" ht="38.25">
      <c r="A110" s="59" t="s">
        <v>170</v>
      </c>
      <c r="B110" s="53" t="s">
        <v>106</v>
      </c>
      <c r="C110" s="85">
        <f>[9]С4.3!E18</f>
        <v>0</v>
      </c>
    </row>
    <row r="111" spans="1:3">
      <c r="A111" s="59" t="s">
        <v>171</v>
      </c>
      <c r="B111" s="53" t="s">
        <v>172</v>
      </c>
      <c r="C111" s="34">
        <f>[9]С4.3!E19</f>
        <v>26.27</v>
      </c>
    </row>
    <row r="112" spans="1:3">
      <c r="A112" s="59" t="s">
        <v>173</v>
      </c>
      <c r="B112" s="58" t="s">
        <v>174</v>
      </c>
      <c r="C112" s="34">
        <f>[9]С4.3!E11</f>
        <v>1871</v>
      </c>
    </row>
    <row r="113" spans="1:3">
      <c r="A113" s="59" t="s">
        <v>175</v>
      </c>
      <c r="B113" s="58" t="s">
        <v>176</v>
      </c>
      <c r="C113" s="52">
        <f>[9]С4.3!E12</f>
        <v>1636</v>
      </c>
    </row>
    <row r="114" spans="1:3">
      <c r="A114" s="59" t="s">
        <v>177</v>
      </c>
      <c r="B114" s="58" t="s">
        <v>178</v>
      </c>
      <c r="C114" s="52">
        <f>[9]С4.3!E13</f>
        <v>204</v>
      </c>
    </row>
    <row r="115" spans="1:3" ht="30">
      <c r="A115" s="59" t="s">
        <v>179</v>
      </c>
      <c r="B115" s="33" t="s">
        <v>180</v>
      </c>
      <c r="C115" s="34">
        <f>[9]С4!F27</f>
        <v>1038.565361974559</v>
      </c>
    </row>
    <row r="116" spans="1:3" ht="25.5">
      <c r="A116" s="59" t="s">
        <v>181</v>
      </c>
      <c r="B116" s="53" t="s">
        <v>182</v>
      </c>
      <c r="C116" s="34">
        <f>[9]С4!F28</f>
        <v>797.66924882838634</v>
      </c>
    </row>
    <row r="117" spans="1:3" ht="42.75">
      <c r="A117" s="59" t="s">
        <v>183</v>
      </c>
      <c r="B117" s="53" t="s">
        <v>184</v>
      </c>
      <c r="C117" s="34">
        <f>[9]С4!F29</f>
        <v>240.89611314617269</v>
      </c>
    </row>
    <row r="118" spans="1:3" ht="30">
      <c r="A118" s="59" t="s">
        <v>185</v>
      </c>
      <c r="B118" s="39" t="s">
        <v>186</v>
      </c>
      <c r="C118" s="34">
        <f>[9]С4!F30</f>
        <v>2234.5635451721519</v>
      </c>
    </row>
    <row r="119" spans="1:3" ht="42.75">
      <c r="A119" s="59" t="s">
        <v>187</v>
      </c>
      <c r="B119" s="86" t="s">
        <v>188</v>
      </c>
      <c r="C119" s="34">
        <f>[9]С4!F33</f>
        <v>1520.861531226195</v>
      </c>
    </row>
    <row r="120" spans="1:3" ht="30">
      <c r="A120" s="59" t="s">
        <v>189</v>
      </c>
      <c r="B120" s="87" t="s">
        <v>190</v>
      </c>
      <c r="C120" s="34">
        <f>[9]С4!F35</f>
        <v>17.040680999999999</v>
      </c>
    </row>
    <row r="121" spans="1:3" ht="14.25">
      <c r="A121" s="59" t="s">
        <v>191</v>
      </c>
      <c r="B121" s="56" t="s">
        <v>192</v>
      </c>
      <c r="C121" s="34">
        <f>[9]С4!F36</f>
        <v>14319.9</v>
      </c>
    </row>
    <row r="122" spans="1:3" ht="28.5" thickBot="1">
      <c r="A122" s="72" t="s">
        <v>193</v>
      </c>
      <c r="B122" s="88" t="s">
        <v>194</v>
      </c>
      <c r="C122" s="83">
        <f>[9]С4!F37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[9]С5!F17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[9]С2!F37</f>
        <v>20.818139999999996</v>
      </c>
    </row>
    <row r="136" spans="1:4" ht="14.25">
      <c r="A136" s="59" t="s">
        <v>216</v>
      </c>
      <c r="B136" s="101" t="s">
        <v>217</v>
      </c>
      <c r="C136" s="34">
        <f>[9]С2!F38</f>
        <v>7</v>
      </c>
    </row>
    <row r="137" spans="1:4" ht="17.25">
      <c r="A137" s="59" t="s">
        <v>218</v>
      </c>
      <c r="B137" s="101" t="s">
        <v>219</v>
      </c>
      <c r="C137" s="34">
        <f>[9]С2!F40</f>
        <v>0.97</v>
      </c>
    </row>
    <row r="138" spans="1:4" ht="15" thickBot="1">
      <c r="A138" s="72" t="s">
        <v>220</v>
      </c>
      <c r="B138" s="102" t="s">
        <v>221</v>
      </c>
      <c r="C138" s="46">
        <f>[9]С2!F42</f>
        <v>0.35</v>
      </c>
    </row>
    <row r="139" spans="1:4" s="89" customFormat="1" ht="13.5" thickBot="1">
      <c r="A139" s="47"/>
      <c r="B139" s="75"/>
      <c r="C139" s="15"/>
    </row>
    <row r="140" spans="1:4" ht="30">
      <c r="A140" s="84" t="s">
        <v>222</v>
      </c>
      <c r="B140" s="103" t="s">
        <v>223</v>
      </c>
      <c r="C140" s="104">
        <f>[9]С2!F35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[9]С2.5!$E$11</f>
        <v>-2.9000000000000026E-2</v>
      </c>
      <c r="D143" s="89"/>
    </row>
    <row r="144" spans="1:4">
      <c r="A144" s="105"/>
      <c r="B144" s="110">
        <f>B143+1</f>
        <v>2021</v>
      </c>
      <c r="C144" s="111">
        <f>[9]С2.5!$F$11</f>
        <v>0.245</v>
      </c>
      <c r="D144" s="89"/>
    </row>
    <row r="145" spans="1:4">
      <c r="A145" s="105"/>
      <c r="B145" s="110">
        <f t="shared" ref="B145:B208" si="0">B144+1</f>
        <v>2022</v>
      </c>
      <c r="C145" s="111">
        <f>[9]С2.5!$G$11</f>
        <v>0.121</v>
      </c>
      <c r="D145" s="89"/>
    </row>
    <row r="146" spans="1:4" ht="13.5" thickBot="1">
      <c r="A146" s="105"/>
      <c r="B146" s="112">
        <f t="shared" si="0"/>
        <v>2023</v>
      </c>
      <c r="C146" s="113">
        <f>[9]С2.5!$H$11</f>
        <v>0.02</v>
      </c>
      <c r="D146" s="89"/>
    </row>
    <row r="147" spans="1:4" hidden="1">
      <c r="A147" s="105"/>
      <c r="B147" s="114">
        <f t="shared" si="0"/>
        <v>2024</v>
      </c>
      <c r="C147" s="115">
        <f>[9]С2.5!$I$11</f>
        <v>-2.93E-2</v>
      </c>
      <c r="D147" s="89"/>
    </row>
    <row r="148" spans="1:4" hidden="1">
      <c r="A148" s="105"/>
      <c r="B148" s="110">
        <f t="shared" si="0"/>
        <v>2025</v>
      </c>
      <c r="C148" s="111">
        <f>[9]С2.5!$J$11</f>
        <v>0.21215960863291</v>
      </c>
      <c r="D148" s="89"/>
    </row>
    <row r="149" spans="1:4" hidden="1">
      <c r="A149" s="105"/>
      <c r="B149" s="110">
        <f t="shared" si="0"/>
        <v>2026</v>
      </c>
      <c r="C149" s="111">
        <f>[9]С2.5!$K$11</f>
        <v>3.5813361771260002E-2</v>
      </c>
      <c r="D149" s="89"/>
    </row>
    <row r="150" spans="1:4" hidden="1">
      <c r="A150" s="105"/>
      <c r="B150" s="110">
        <f t="shared" si="0"/>
        <v>2027</v>
      </c>
      <c r="C150" s="111">
        <f>[9]С2.5!$L$11</f>
        <v>3.2682303599220003E-2</v>
      </c>
      <c r="D150" s="89"/>
    </row>
    <row r="151" spans="1:4" hidden="1">
      <c r="A151" s="105"/>
      <c r="B151" s="110">
        <f t="shared" si="0"/>
        <v>2028</v>
      </c>
      <c r="C151" s="111">
        <f>[9]С2.5!$M$11</f>
        <v>0</v>
      </c>
      <c r="D151" s="89"/>
    </row>
    <row r="152" spans="1:4" hidden="1">
      <c r="A152" s="105"/>
      <c r="B152" s="110">
        <f t="shared" si="0"/>
        <v>2029</v>
      </c>
      <c r="C152" s="111">
        <f>[9]С2.5!$N$11</f>
        <v>0</v>
      </c>
      <c r="D152" s="89"/>
    </row>
    <row r="153" spans="1:4" hidden="1">
      <c r="A153" s="105"/>
      <c r="B153" s="110">
        <f t="shared" si="0"/>
        <v>2030</v>
      </c>
      <c r="C153" s="111">
        <f>[9]С2.5!$O$11</f>
        <v>0</v>
      </c>
      <c r="D153" s="89"/>
    </row>
    <row r="154" spans="1:4" hidden="1">
      <c r="A154" s="105"/>
      <c r="B154" s="110">
        <f t="shared" si="0"/>
        <v>2031</v>
      </c>
      <c r="C154" s="111">
        <f>[9]С2.5!$P$11</f>
        <v>0</v>
      </c>
      <c r="D154" s="89"/>
    </row>
    <row r="155" spans="1:4" hidden="1">
      <c r="A155" s="89"/>
      <c r="B155" s="110">
        <f t="shared" si="0"/>
        <v>2032</v>
      </c>
      <c r="C155" s="111">
        <f>[9]С2.5!$Q$11</f>
        <v>0</v>
      </c>
      <c r="D155" s="89"/>
    </row>
    <row r="156" spans="1:4" hidden="1">
      <c r="A156" s="89"/>
      <c r="B156" s="110">
        <f t="shared" si="0"/>
        <v>2033</v>
      </c>
      <c r="C156" s="111">
        <f>[9]С2.5!$R$11</f>
        <v>0</v>
      </c>
      <c r="D156" s="89"/>
    </row>
    <row r="157" spans="1:4" hidden="1">
      <c r="B157" s="110">
        <f t="shared" si="0"/>
        <v>2034</v>
      </c>
      <c r="C157" s="111">
        <f>[9]С2.5!$S$11</f>
        <v>0</v>
      </c>
    </row>
    <row r="158" spans="1:4" hidden="1">
      <c r="B158" s="110">
        <f t="shared" si="0"/>
        <v>2035</v>
      </c>
      <c r="C158" s="111">
        <f>[9]С2.5!$T$11</f>
        <v>0</v>
      </c>
    </row>
    <row r="159" spans="1:4" hidden="1">
      <c r="B159" s="110">
        <f t="shared" si="0"/>
        <v>2036</v>
      </c>
      <c r="C159" s="111">
        <f>[9]С2.5!$U$11</f>
        <v>0</v>
      </c>
    </row>
    <row r="160" spans="1:4" hidden="1">
      <c r="B160" s="110">
        <f t="shared" si="0"/>
        <v>2037</v>
      </c>
      <c r="C160" s="111">
        <f>[9]С2.5!$V$11</f>
        <v>0</v>
      </c>
    </row>
    <row r="161" spans="2:3" hidden="1">
      <c r="B161" s="110">
        <f t="shared" si="0"/>
        <v>2038</v>
      </c>
      <c r="C161" s="111">
        <f>[9]С2.5!$W$11</f>
        <v>0</v>
      </c>
    </row>
    <row r="162" spans="2:3" hidden="1">
      <c r="B162" s="110">
        <f t="shared" si="0"/>
        <v>2039</v>
      </c>
      <c r="C162" s="111">
        <f>[9]С2.5!$X$11</f>
        <v>0</v>
      </c>
    </row>
    <row r="163" spans="2:3" hidden="1">
      <c r="B163" s="110">
        <f t="shared" si="0"/>
        <v>2040</v>
      </c>
      <c r="C163" s="111">
        <f>[9]С2.5!$Y$11</f>
        <v>0</v>
      </c>
    </row>
    <row r="164" spans="2:3" hidden="1">
      <c r="B164" s="110">
        <f t="shared" si="0"/>
        <v>2041</v>
      </c>
      <c r="C164" s="111">
        <f>[9]С2.5!$Z$11</f>
        <v>0</v>
      </c>
    </row>
    <row r="165" spans="2:3" hidden="1">
      <c r="B165" s="110">
        <f t="shared" si="0"/>
        <v>2042</v>
      </c>
      <c r="C165" s="111">
        <f>[9]С2.5!$AA$11</f>
        <v>0</v>
      </c>
    </row>
    <row r="166" spans="2:3" hidden="1">
      <c r="B166" s="110">
        <f t="shared" si="0"/>
        <v>2043</v>
      </c>
      <c r="C166" s="111">
        <f>[9]С2.5!$AB$11</f>
        <v>0</v>
      </c>
    </row>
    <row r="167" spans="2:3" hidden="1">
      <c r="B167" s="110">
        <f t="shared" si="0"/>
        <v>2044</v>
      </c>
      <c r="C167" s="111">
        <f>[9]С2.5!$AC$11</f>
        <v>0</v>
      </c>
    </row>
    <row r="168" spans="2:3" hidden="1">
      <c r="B168" s="110">
        <f t="shared" si="0"/>
        <v>2045</v>
      </c>
      <c r="C168" s="111">
        <f>[9]С2.5!$AD$11</f>
        <v>0</v>
      </c>
    </row>
    <row r="169" spans="2:3" hidden="1">
      <c r="B169" s="110">
        <f t="shared" si="0"/>
        <v>2046</v>
      </c>
      <c r="C169" s="111">
        <f>[9]С2.5!$AE$11</f>
        <v>0</v>
      </c>
    </row>
    <row r="170" spans="2:3" hidden="1">
      <c r="B170" s="110">
        <f t="shared" si="0"/>
        <v>2047</v>
      </c>
      <c r="C170" s="111">
        <f>[9]С2.5!$AF$11</f>
        <v>0</v>
      </c>
    </row>
    <row r="171" spans="2:3" hidden="1">
      <c r="B171" s="110">
        <f t="shared" si="0"/>
        <v>2048</v>
      </c>
      <c r="C171" s="111">
        <f>[9]С2.5!$AG$11</f>
        <v>0</v>
      </c>
    </row>
    <row r="172" spans="2:3" hidden="1">
      <c r="B172" s="110">
        <f t="shared" si="0"/>
        <v>2049</v>
      </c>
      <c r="C172" s="111">
        <f>[9]С2.5!$AH$11</f>
        <v>0</v>
      </c>
    </row>
    <row r="173" spans="2:3" hidden="1">
      <c r="B173" s="110">
        <f t="shared" si="0"/>
        <v>2050</v>
      </c>
      <c r="C173" s="111">
        <f>[9]С2.5!$AI$11</f>
        <v>0</v>
      </c>
    </row>
    <row r="174" spans="2:3" hidden="1">
      <c r="B174" s="110">
        <f t="shared" si="0"/>
        <v>2051</v>
      </c>
      <c r="C174" s="111">
        <f>[9]С2.5!$AJ$11</f>
        <v>0</v>
      </c>
    </row>
    <row r="175" spans="2:3" hidden="1">
      <c r="B175" s="110">
        <f t="shared" si="0"/>
        <v>2052</v>
      </c>
      <c r="C175" s="111">
        <f>[9]С2.5!$AK$11</f>
        <v>0</v>
      </c>
    </row>
    <row r="176" spans="2:3" hidden="1">
      <c r="B176" s="110">
        <f t="shared" si="0"/>
        <v>2053</v>
      </c>
      <c r="C176" s="111">
        <f>[9]С2.5!$AL$11</f>
        <v>0</v>
      </c>
    </row>
    <row r="177" spans="2:3" hidden="1">
      <c r="B177" s="110">
        <f t="shared" si="0"/>
        <v>2054</v>
      </c>
      <c r="C177" s="111">
        <f>[9]С2.5!$AM$11</f>
        <v>0</v>
      </c>
    </row>
    <row r="178" spans="2:3" hidden="1">
      <c r="B178" s="110">
        <f t="shared" si="0"/>
        <v>2055</v>
      </c>
      <c r="C178" s="111">
        <f>[9]С2.5!$AN$11</f>
        <v>0</v>
      </c>
    </row>
    <row r="179" spans="2:3" hidden="1">
      <c r="B179" s="110">
        <f t="shared" si="0"/>
        <v>2056</v>
      </c>
      <c r="C179" s="111">
        <f>[9]С2.5!$AO$11</f>
        <v>0</v>
      </c>
    </row>
    <row r="180" spans="2:3" hidden="1">
      <c r="B180" s="110">
        <f t="shared" si="0"/>
        <v>2057</v>
      </c>
      <c r="C180" s="111">
        <f>[9]С2.5!$AP$11</f>
        <v>0</v>
      </c>
    </row>
    <row r="181" spans="2:3" hidden="1">
      <c r="B181" s="110">
        <f t="shared" si="0"/>
        <v>2058</v>
      </c>
      <c r="C181" s="111">
        <f>[9]С2.5!$AQ$11</f>
        <v>0</v>
      </c>
    </row>
    <row r="182" spans="2:3" hidden="1">
      <c r="B182" s="110">
        <f t="shared" si="0"/>
        <v>2059</v>
      </c>
      <c r="C182" s="111">
        <f>[9]С2.5!$AR$11</f>
        <v>0</v>
      </c>
    </row>
    <row r="183" spans="2:3" hidden="1">
      <c r="B183" s="110">
        <f t="shared" si="0"/>
        <v>2060</v>
      </c>
      <c r="C183" s="111">
        <f>[9]С2.5!$AS$11</f>
        <v>0</v>
      </c>
    </row>
    <row r="184" spans="2:3" hidden="1">
      <c r="B184" s="110">
        <f t="shared" si="0"/>
        <v>2061</v>
      </c>
      <c r="C184" s="111">
        <f>[9]С2.5!$AT$11</f>
        <v>0</v>
      </c>
    </row>
    <row r="185" spans="2:3" hidden="1">
      <c r="B185" s="110">
        <f t="shared" si="0"/>
        <v>2062</v>
      </c>
      <c r="C185" s="111">
        <f>[9]С2.5!$AU$11</f>
        <v>0</v>
      </c>
    </row>
    <row r="186" spans="2:3" hidden="1">
      <c r="B186" s="110">
        <f t="shared" si="0"/>
        <v>2063</v>
      </c>
      <c r="C186" s="111">
        <f>[9]С2.5!$AV$11</f>
        <v>0</v>
      </c>
    </row>
    <row r="187" spans="2:3" hidden="1">
      <c r="B187" s="110">
        <f t="shared" si="0"/>
        <v>2064</v>
      </c>
      <c r="C187" s="111">
        <f>[9]С2.5!$AW$11</f>
        <v>0</v>
      </c>
    </row>
    <row r="188" spans="2:3" hidden="1">
      <c r="B188" s="110">
        <f t="shared" si="0"/>
        <v>2065</v>
      </c>
      <c r="C188" s="111">
        <f>[9]С2.5!$AX$11</f>
        <v>0</v>
      </c>
    </row>
    <row r="189" spans="2:3" hidden="1">
      <c r="B189" s="110">
        <f t="shared" si="0"/>
        <v>2066</v>
      </c>
      <c r="C189" s="111">
        <f>[9]С2.5!$AY$11</f>
        <v>0</v>
      </c>
    </row>
    <row r="190" spans="2:3" hidden="1">
      <c r="B190" s="110">
        <f t="shared" si="0"/>
        <v>2067</v>
      </c>
      <c r="C190" s="111">
        <f>[9]С2.5!$AZ$11</f>
        <v>0</v>
      </c>
    </row>
    <row r="191" spans="2:3" hidden="1">
      <c r="B191" s="110">
        <f t="shared" si="0"/>
        <v>2068</v>
      </c>
      <c r="C191" s="111">
        <f>[9]С2.5!$BA$11</f>
        <v>0</v>
      </c>
    </row>
    <row r="192" spans="2:3" hidden="1">
      <c r="B192" s="110">
        <f t="shared" si="0"/>
        <v>2069</v>
      </c>
      <c r="C192" s="111">
        <f>[9]С2.5!$BB$11</f>
        <v>0</v>
      </c>
    </row>
    <row r="193" spans="2:3" hidden="1">
      <c r="B193" s="110">
        <f t="shared" si="0"/>
        <v>2070</v>
      </c>
      <c r="C193" s="111">
        <f>[9]С2.5!$BC$11</f>
        <v>0</v>
      </c>
    </row>
    <row r="194" spans="2:3" hidden="1">
      <c r="B194" s="110">
        <f t="shared" si="0"/>
        <v>2071</v>
      </c>
      <c r="C194" s="111">
        <f>[9]С2.5!$BD$11</f>
        <v>0</v>
      </c>
    </row>
    <row r="195" spans="2:3" hidden="1">
      <c r="B195" s="110">
        <f t="shared" si="0"/>
        <v>2072</v>
      </c>
      <c r="C195" s="111">
        <f>[9]С2.5!$BE$11</f>
        <v>0</v>
      </c>
    </row>
    <row r="196" spans="2:3" hidden="1">
      <c r="B196" s="110">
        <f t="shared" si="0"/>
        <v>2073</v>
      </c>
      <c r="C196" s="111">
        <f>[9]С2.5!$BF$11</f>
        <v>0</v>
      </c>
    </row>
    <row r="197" spans="2:3" hidden="1">
      <c r="B197" s="110">
        <f t="shared" si="0"/>
        <v>2074</v>
      </c>
      <c r="C197" s="111">
        <f>[9]С2.5!$BG$11</f>
        <v>0</v>
      </c>
    </row>
    <row r="198" spans="2:3" hidden="1">
      <c r="B198" s="110">
        <f t="shared" si="0"/>
        <v>2075</v>
      </c>
      <c r="C198" s="111">
        <f>[9]С2.5!$BH$11</f>
        <v>0</v>
      </c>
    </row>
    <row r="199" spans="2:3" hidden="1">
      <c r="B199" s="110">
        <f t="shared" si="0"/>
        <v>2076</v>
      </c>
      <c r="C199" s="111">
        <f>[9]С2.5!$BI$11</f>
        <v>0</v>
      </c>
    </row>
    <row r="200" spans="2:3" hidden="1">
      <c r="B200" s="110">
        <f t="shared" si="0"/>
        <v>2077</v>
      </c>
      <c r="C200" s="111">
        <f>[9]С2.5!$BJ$11</f>
        <v>0</v>
      </c>
    </row>
    <row r="201" spans="2:3" hidden="1">
      <c r="B201" s="110">
        <f t="shared" si="0"/>
        <v>2078</v>
      </c>
      <c r="C201" s="111">
        <f>[9]С2.5!$BK$11</f>
        <v>0</v>
      </c>
    </row>
    <row r="202" spans="2:3" hidden="1">
      <c r="B202" s="110">
        <f t="shared" si="0"/>
        <v>2079</v>
      </c>
      <c r="C202" s="111">
        <f>[9]С2.5!$BL$11</f>
        <v>0</v>
      </c>
    </row>
    <row r="203" spans="2:3" hidden="1">
      <c r="B203" s="110">
        <f t="shared" si="0"/>
        <v>2080</v>
      </c>
      <c r="C203" s="111">
        <f>[9]С2.5!$BM$11</f>
        <v>0</v>
      </c>
    </row>
    <row r="204" spans="2:3" hidden="1">
      <c r="B204" s="110">
        <f t="shared" si="0"/>
        <v>2081</v>
      </c>
      <c r="C204" s="111">
        <f>[9]С2.5!$BN$11</f>
        <v>0</v>
      </c>
    </row>
    <row r="205" spans="2:3" hidden="1">
      <c r="B205" s="110">
        <f t="shared" si="0"/>
        <v>2082</v>
      </c>
      <c r="C205" s="111">
        <f>[9]С2.5!$BO$11</f>
        <v>0</v>
      </c>
    </row>
    <row r="206" spans="2:3" hidden="1">
      <c r="B206" s="110">
        <f t="shared" si="0"/>
        <v>2083</v>
      </c>
      <c r="C206" s="111">
        <f>[9]С2.5!$BP$11</f>
        <v>0</v>
      </c>
    </row>
    <row r="207" spans="2:3" hidden="1">
      <c r="B207" s="110">
        <f t="shared" si="0"/>
        <v>2084</v>
      </c>
      <c r="C207" s="111">
        <f>[9]С2.5!$BQ$11</f>
        <v>0</v>
      </c>
    </row>
    <row r="208" spans="2:3" hidden="1">
      <c r="B208" s="110">
        <f t="shared" si="0"/>
        <v>2085</v>
      </c>
      <c r="C208" s="111">
        <f>[9]С2.5!$BR$11</f>
        <v>0</v>
      </c>
    </row>
    <row r="209" spans="2:3" hidden="1">
      <c r="B209" s="110">
        <f t="shared" ref="B209:B223" si="1">B208+1</f>
        <v>2086</v>
      </c>
      <c r="C209" s="111">
        <f>[9]С2.5!$BS$11</f>
        <v>0</v>
      </c>
    </row>
    <row r="210" spans="2:3" hidden="1">
      <c r="B210" s="110">
        <f t="shared" si="1"/>
        <v>2087</v>
      </c>
      <c r="C210" s="111">
        <f>[9]С2.5!$BT$11</f>
        <v>0</v>
      </c>
    </row>
    <row r="211" spans="2:3" hidden="1">
      <c r="B211" s="110">
        <f t="shared" si="1"/>
        <v>2088</v>
      </c>
      <c r="C211" s="111">
        <f>[9]С2.5!$BU$11</f>
        <v>0</v>
      </c>
    </row>
    <row r="212" spans="2:3" hidden="1">
      <c r="B212" s="110">
        <f t="shared" si="1"/>
        <v>2089</v>
      </c>
      <c r="C212" s="111">
        <f>[9]С2.5!$BV$11</f>
        <v>0</v>
      </c>
    </row>
    <row r="213" spans="2:3" hidden="1">
      <c r="B213" s="110">
        <f t="shared" si="1"/>
        <v>2090</v>
      </c>
      <c r="C213" s="111">
        <f>[9]С2.5!$BW$11</f>
        <v>0</v>
      </c>
    </row>
    <row r="214" spans="2:3" hidden="1">
      <c r="B214" s="110">
        <f t="shared" si="1"/>
        <v>2091</v>
      </c>
      <c r="C214" s="111">
        <f>[9]С2.5!$BX$11</f>
        <v>0</v>
      </c>
    </row>
    <row r="215" spans="2:3" hidden="1">
      <c r="B215" s="110">
        <f t="shared" si="1"/>
        <v>2092</v>
      </c>
      <c r="C215" s="111">
        <f>[9]С2.5!$BY$11</f>
        <v>0</v>
      </c>
    </row>
    <row r="216" spans="2:3" hidden="1">
      <c r="B216" s="110">
        <f t="shared" si="1"/>
        <v>2093</v>
      </c>
      <c r="C216" s="111">
        <f>[9]С2.5!$BZ$11</f>
        <v>0</v>
      </c>
    </row>
    <row r="217" spans="2:3" hidden="1">
      <c r="B217" s="110">
        <f t="shared" si="1"/>
        <v>2094</v>
      </c>
      <c r="C217" s="111">
        <f>[9]С2.5!$CA$11</f>
        <v>0</v>
      </c>
    </row>
    <row r="218" spans="2:3" hidden="1">
      <c r="B218" s="110">
        <f t="shared" si="1"/>
        <v>2095</v>
      </c>
      <c r="C218" s="111">
        <f>[9]С2.5!$CB$11</f>
        <v>0</v>
      </c>
    </row>
    <row r="219" spans="2:3" hidden="1">
      <c r="B219" s="110">
        <f t="shared" si="1"/>
        <v>2096</v>
      </c>
      <c r="C219" s="111">
        <f>[9]С2.5!$CC$11</f>
        <v>0</v>
      </c>
    </row>
    <row r="220" spans="2:3" hidden="1">
      <c r="B220" s="110">
        <f t="shared" si="1"/>
        <v>2097</v>
      </c>
      <c r="C220" s="111">
        <f>[9]С2.5!$CD$11</f>
        <v>0</v>
      </c>
    </row>
    <row r="221" spans="2:3" hidden="1">
      <c r="B221" s="110">
        <f t="shared" si="1"/>
        <v>2098</v>
      </c>
      <c r="C221" s="111">
        <f>[9]С2.5!$CE$11</f>
        <v>0</v>
      </c>
    </row>
    <row r="222" spans="2:3" hidden="1">
      <c r="B222" s="110">
        <f t="shared" si="1"/>
        <v>2099</v>
      </c>
      <c r="C222" s="111">
        <f>[9]С2.5!$CF$11</f>
        <v>0</v>
      </c>
    </row>
    <row r="223" spans="2:3" ht="13.5" hidden="1" thickBot="1">
      <c r="B223" s="112">
        <f t="shared" si="1"/>
        <v>2100</v>
      </c>
      <c r="C223" s="113">
        <f>[9]С2.5!$CG$11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[10]И1!D13</f>
        <v>Субъект Российской Федерации</v>
      </c>
      <c r="C4" s="10" t="str">
        <f>[10]И1!E13</f>
        <v>Новосибирская область</v>
      </c>
    </row>
    <row r="5" spans="1:3" ht="38.25">
      <c r="A5" s="8"/>
      <c r="B5" s="9" t="str">
        <f>[10]И1!D14</f>
        <v>Тип муниципального образования (выберите из списка)</v>
      </c>
      <c r="C5" s="10" t="str">
        <f>[10]И1!E14</f>
        <v>село Лянино, Здвинский муниципальный район</v>
      </c>
    </row>
    <row r="6" spans="1:3">
      <c r="A6" s="8"/>
      <c r="B6" s="9" t="str">
        <f>IF([10]И1!E15="","",[10]И1!D15)</f>
        <v/>
      </c>
      <c r="C6" s="10" t="str">
        <f>IF([10]И1!E15="","",[10]И1!E15)</f>
        <v/>
      </c>
    </row>
    <row r="7" spans="1:3">
      <c r="A7" s="8"/>
      <c r="B7" s="9" t="str">
        <f>[10]И1!D16</f>
        <v>Код ОКТМО</v>
      </c>
      <c r="C7" s="11" t="str">
        <f>[10]И1!E16</f>
        <v>50613410101</v>
      </c>
    </row>
    <row r="8" spans="1:3">
      <c r="A8" s="8"/>
      <c r="B8" s="12" t="str">
        <f>[10]И1!D17</f>
        <v>Система теплоснабжения</v>
      </c>
      <c r="C8" s="13">
        <f>[10]И1!E17</f>
        <v>0</v>
      </c>
    </row>
    <row r="9" spans="1:3">
      <c r="A9" s="8"/>
      <c r="B9" s="9" t="str">
        <f>[10]И1!D8</f>
        <v>Период регулирования (i)-й</v>
      </c>
      <c r="C9" s="14">
        <f>[10]И1!E8</f>
        <v>2023</v>
      </c>
    </row>
    <row r="10" spans="1:3">
      <c r="A10" s="8"/>
      <c r="B10" s="9" t="str">
        <f>[10]И1!D9</f>
        <v>Период регулирования (i-1)-й</v>
      </c>
      <c r="C10" s="14">
        <f>[10]И1!E9</f>
        <v>2022</v>
      </c>
    </row>
    <row r="11" spans="1:3">
      <c r="A11" s="8"/>
      <c r="B11" s="9" t="str">
        <f>[10]И1!D10</f>
        <v>Период регулирования (i-2)-й</v>
      </c>
      <c r="C11" s="14">
        <f>[10]И1!E10</f>
        <v>2021</v>
      </c>
    </row>
    <row r="12" spans="1:3">
      <c r="A12" s="8"/>
      <c r="B12" s="9" t="str">
        <f>[10]И1!D11</f>
        <v>Базовый год (б)</v>
      </c>
      <c r="C12" s="14">
        <f>[10]И1!E11</f>
        <v>2019</v>
      </c>
    </row>
    <row r="13" spans="1:3" ht="38.25">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4147.5717427314094</v>
      </c>
    </row>
    <row r="18" spans="1:3" ht="42.75">
      <c r="A18" s="22" t="s">
        <v>8</v>
      </c>
      <c r="B18" s="25" t="s">
        <v>9</v>
      </c>
      <c r="C18" s="26">
        <f>[10]С1!F12</f>
        <v>1043.5475637769337</v>
      </c>
    </row>
    <row r="19" spans="1:3" ht="42.75">
      <c r="A19" s="22" t="s">
        <v>10</v>
      </c>
      <c r="B19" s="25" t="s">
        <v>11</v>
      </c>
      <c r="C19" s="26">
        <f>[10]С2!F12</f>
        <v>2101.7757879094611</v>
      </c>
    </row>
    <row r="20" spans="1:3" ht="30">
      <c r="A20" s="22" t="s">
        <v>12</v>
      </c>
      <c r="B20" s="25" t="s">
        <v>13</v>
      </c>
      <c r="C20" s="26">
        <f>[10]С3!F12</f>
        <v>502.69420058623905</v>
      </c>
    </row>
    <row r="21" spans="1:3" ht="42.75">
      <c r="A21" s="22" t="s">
        <v>14</v>
      </c>
      <c r="B21" s="25" t="s">
        <v>15</v>
      </c>
      <c r="C21" s="26">
        <f>[10]С4!F12</f>
        <v>418.22925432678687</v>
      </c>
    </row>
    <row r="22" spans="1:3" ht="30">
      <c r="A22" s="22" t="s">
        <v>16</v>
      </c>
      <c r="B22" s="25" t="s">
        <v>17</v>
      </c>
      <c r="C22" s="26">
        <f>[10]С5!F12</f>
        <v>81.324936131988423</v>
      </c>
    </row>
    <row r="23" spans="1:3" ht="43.5" thickBot="1">
      <c r="A23" s="27" t="s">
        <v>18</v>
      </c>
      <c r="B23" s="117" t="s">
        <v>19</v>
      </c>
      <c r="C23" s="28" t="str">
        <f>[10]С6!F12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[10]С1.1!E16</f>
        <v>5100</v>
      </c>
    </row>
    <row r="29" spans="1:3" ht="42.75">
      <c r="A29" s="22" t="s">
        <v>10</v>
      </c>
      <c r="B29" s="33" t="s">
        <v>22</v>
      </c>
      <c r="C29" s="34">
        <f>[10]С1.1!E27</f>
        <v>2805.9250000000002</v>
      </c>
    </row>
    <row r="30" spans="1:3" ht="17.25">
      <c r="A30" s="22" t="s">
        <v>12</v>
      </c>
      <c r="B30" s="33" t="s">
        <v>23</v>
      </c>
      <c r="C30" s="35">
        <f>[10]С1.1!E19</f>
        <v>0.59499999999999997</v>
      </c>
    </row>
    <row r="31" spans="1:3" ht="17.25">
      <c r="A31" s="22" t="s">
        <v>14</v>
      </c>
      <c r="B31" s="33" t="s">
        <v>24</v>
      </c>
      <c r="C31" s="35">
        <f>[10]С1.1!E20</f>
        <v>-0.113</v>
      </c>
    </row>
    <row r="32" spans="1:3" ht="30">
      <c r="A32" s="22" t="s">
        <v>16</v>
      </c>
      <c r="B32" s="36" t="s">
        <v>25</v>
      </c>
      <c r="C32" s="37">
        <f>[10]С1!F13</f>
        <v>176.4</v>
      </c>
    </row>
    <row r="33" spans="1:3">
      <c r="A33" s="22" t="s">
        <v>18</v>
      </c>
      <c r="B33" s="36" t="s">
        <v>26</v>
      </c>
      <c r="C33" s="38">
        <f>[10]С1!F16</f>
        <v>7000</v>
      </c>
    </row>
    <row r="34" spans="1:3" ht="14.25">
      <c r="A34" s="22" t="s">
        <v>27</v>
      </c>
      <c r="B34" s="39" t="s">
        <v>28</v>
      </c>
      <c r="C34" s="40">
        <f>[10]С1!F17</f>
        <v>0.72857142857142854</v>
      </c>
    </row>
    <row r="35" spans="1:3" ht="15.75">
      <c r="A35" s="41" t="s">
        <v>29</v>
      </c>
      <c r="B35" s="42" t="s">
        <v>30</v>
      </c>
      <c r="C35" s="40">
        <f>[10]С1!F20</f>
        <v>21.588411179999994</v>
      </c>
    </row>
    <row r="36" spans="1:3" ht="15.75">
      <c r="A36" s="41" t="s">
        <v>31</v>
      </c>
      <c r="B36" s="43" t="s">
        <v>32</v>
      </c>
      <c r="C36" s="40">
        <f>[10]С1!F21</f>
        <v>20.818139999999996</v>
      </c>
    </row>
    <row r="37" spans="1:3" ht="14.25">
      <c r="A37" s="41" t="s">
        <v>33</v>
      </c>
      <c r="B37" s="44" t="s">
        <v>34</v>
      </c>
      <c r="C37" s="40">
        <f>[10]С1!F22</f>
        <v>1.0369999999999999</v>
      </c>
    </row>
    <row r="38" spans="1:3" ht="53.25" thickBot="1">
      <c r="A38" s="27" t="s">
        <v>35</v>
      </c>
      <c r="B38" s="45" t="s">
        <v>36</v>
      </c>
      <c r="C38" s="46">
        <f>[10]С1!F23</f>
        <v>1.0469999999999999</v>
      </c>
    </row>
    <row r="39" spans="1:3" ht="13.5" thickBot="1">
      <c r="A39" s="47"/>
      <c r="B39" s="48"/>
      <c r="C39" s="49"/>
    </row>
    <row r="40" spans="1:3" ht="30" customHeight="1">
      <c r="A40" s="50" t="s">
        <v>37</v>
      </c>
      <c r="B40" s="118" t="s">
        <v>38</v>
      </c>
      <c r="C40" s="118"/>
    </row>
    <row r="41" spans="1:3" ht="25.5">
      <c r="A41" s="22" t="s">
        <v>39</v>
      </c>
      <c r="B41" s="36" t="s">
        <v>40</v>
      </c>
      <c r="C41" s="51" t="str">
        <f>[10]С2.1!E12</f>
        <v>V</v>
      </c>
    </row>
    <row r="42" spans="1:3" ht="25.5">
      <c r="A42" s="22" t="s">
        <v>41</v>
      </c>
      <c r="B42" s="33" t="s">
        <v>42</v>
      </c>
      <c r="C42" s="51" t="str">
        <f>[10]С2.1!E13</f>
        <v>6 и менее баллов</v>
      </c>
    </row>
    <row r="43" spans="1:3" ht="25.5">
      <c r="A43" s="22" t="s">
        <v>43</v>
      </c>
      <c r="B43" s="33" t="s">
        <v>44</v>
      </c>
      <c r="C43" s="51" t="str">
        <f>[10]С2.1!E14</f>
        <v>от 200 до 500</v>
      </c>
    </row>
    <row r="44" spans="1:3" ht="25.5">
      <c r="A44" s="22" t="s">
        <v>45</v>
      </c>
      <c r="B44" s="33" t="s">
        <v>46</v>
      </c>
      <c r="C44" s="52" t="str">
        <f>[10]С2.1!E15</f>
        <v>нет</v>
      </c>
    </row>
    <row r="45" spans="1:3" ht="30">
      <c r="A45" s="22" t="s">
        <v>47</v>
      </c>
      <c r="B45" s="33" t="s">
        <v>48</v>
      </c>
      <c r="C45" s="34">
        <f>[10]С2!F18</f>
        <v>32402.627334033532</v>
      </c>
    </row>
    <row r="46" spans="1:3" ht="30">
      <c r="A46" s="22" t="s">
        <v>49</v>
      </c>
      <c r="B46" s="53" t="s">
        <v>50</v>
      </c>
      <c r="C46" s="34">
        <f>IF([10]С2!F19&gt;0,[10]С2!F19,[10]С2!F20)</f>
        <v>23441.524932855718</v>
      </c>
    </row>
    <row r="47" spans="1:3" ht="25.5">
      <c r="A47" s="22" t="s">
        <v>51</v>
      </c>
      <c r="B47" s="54" t="s">
        <v>52</v>
      </c>
      <c r="C47" s="34">
        <f>[10]С2.1!E19</f>
        <v>-38</v>
      </c>
    </row>
    <row r="48" spans="1:3" ht="25.5">
      <c r="A48" s="22" t="s">
        <v>53</v>
      </c>
      <c r="B48" s="54" t="s">
        <v>54</v>
      </c>
      <c r="C48" s="34" t="str">
        <f>[10]С2.1!E22</f>
        <v>нет</v>
      </c>
    </row>
    <row r="49" spans="1:3" ht="38.25">
      <c r="A49" s="22" t="s">
        <v>55</v>
      </c>
      <c r="B49" s="55" t="s">
        <v>56</v>
      </c>
      <c r="C49" s="34">
        <f>[10]С2.2!E10</f>
        <v>1287</v>
      </c>
    </row>
    <row r="50" spans="1:3" ht="25.5">
      <c r="A50" s="22" t="s">
        <v>57</v>
      </c>
      <c r="B50" s="56" t="s">
        <v>58</v>
      </c>
      <c r="C50" s="34">
        <f>[10]С2.2!E12</f>
        <v>5.97</v>
      </c>
    </row>
    <row r="51" spans="1:3" ht="52.5">
      <c r="A51" s="22" t="s">
        <v>59</v>
      </c>
      <c r="B51" s="57" t="s">
        <v>60</v>
      </c>
      <c r="C51" s="34">
        <f>[10]С2.2!E13</f>
        <v>1</v>
      </c>
    </row>
    <row r="52" spans="1:3" ht="27.75">
      <c r="A52" s="22" t="s">
        <v>61</v>
      </c>
      <c r="B52" s="56" t="s">
        <v>62</v>
      </c>
      <c r="C52" s="34">
        <f>[10]С2.2!E14</f>
        <v>12104</v>
      </c>
    </row>
    <row r="53" spans="1:3" ht="25.5">
      <c r="A53" s="22" t="s">
        <v>63</v>
      </c>
      <c r="B53" s="57" t="s">
        <v>64</v>
      </c>
      <c r="C53" s="35">
        <f>[10]С2.2!E15</f>
        <v>4.8000000000000001E-2</v>
      </c>
    </row>
    <row r="54" spans="1:3">
      <c r="A54" s="22" t="s">
        <v>65</v>
      </c>
      <c r="B54" s="57" t="s">
        <v>66</v>
      </c>
      <c r="C54" s="34">
        <f>[10]С2.2!E16</f>
        <v>1</v>
      </c>
    </row>
    <row r="55" spans="1:3" ht="15.75">
      <c r="A55" s="22" t="s">
        <v>67</v>
      </c>
      <c r="B55" s="58" t="s">
        <v>68</v>
      </c>
      <c r="C55" s="34">
        <f>[10]С2!F21</f>
        <v>1</v>
      </c>
    </row>
    <row r="56" spans="1:3" ht="30">
      <c r="A56" s="59" t="s">
        <v>69</v>
      </c>
      <c r="B56" s="33" t="s">
        <v>70</v>
      </c>
      <c r="C56" s="34">
        <f>[10]С2!F13</f>
        <v>169640.22915965237</v>
      </c>
    </row>
    <row r="57" spans="1:3" ht="30">
      <c r="A57" s="59" t="s">
        <v>71</v>
      </c>
      <c r="B57" s="58" t="s">
        <v>72</v>
      </c>
      <c r="C57" s="34">
        <f>[10]С2!F14</f>
        <v>113455</v>
      </c>
    </row>
    <row r="58" spans="1:3" ht="15.75">
      <c r="A58" s="59" t="s">
        <v>73</v>
      </c>
      <c r="B58" s="60" t="s">
        <v>74</v>
      </c>
      <c r="C58" s="40">
        <f>[10]С2!F15</f>
        <v>1.071</v>
      </c>
    </row>
    <row r="59" spans="1:3" ht="15.75">
      <c r="A59" s="59" t="s">
        <v>75</v>
      </c>
      <c r="B59" s="60" t="s">
        <v>76</v>
      </c>
      <c r="C59" s="40">
        <f>[10]С2!F16</f>
        <v>1</v>
      </c>
    </row>
    <row r="60" spans="1:3" ht="17.25">
      <c r="A60" s="59" t="s">
        <v>77</v>
      </c>
      <c r="B60" s="58" t="s">
        <v>78</v>
      </c>
      <c r="C60" s="34">
        <f>[10]С2!F17</f>
        <v>1.01</v>
      </c>
    </row>
    <row r="61" spans="1:3" s="63" customFormat="1" ht="14.25">
      <c r="A61" s="59" t="s">
        <v>79</v>
      </c>
      <c r="B61" s="61" t="s">
        <v>80</v>
      </c>
      <c r="C61" s="62">
        <f>[10]С2!F33</f>
        <v>10</v>
      </c>
    </row>
    <row r="62" spans="1:3" ht="30">
      <c r="A62" s="59" t="s">
        <v>81</v>
      </c>
      <c r="B62" s="64" t="s">
        <v>82</v>
      </c>
      <c r="C62" s="34">
        <f>[10]С2!F26</f>
        <v>637.93498622918537</v>
      </c>
    </row>
    <row r="63" spans="1:3" ht="17.25">
      <c r="A63" s="59" t="s">
        <v>83</v>
      </c>
      <c r="B63" s="53" t="s">
        <v>84</v>
      </c>
      <c r="C63" s="34">
        <f>[10]С2!F27</f>
        <v>0.10988357099999999</v>
      </c>
    </row>
    <row r="64" spans="1:3" ht="17.25">
      <c r="A64" s="59" t="s">
        <v>85</v>
      </c>
      <c r="B64" s="58" t="s">
        <v>86</v>
      </c>
      <c r="C64" s="62">
        <f>[10]С2!F28</f>
        <v>4200</v>
      </c>
    </row>
    <row r="65" spans="1:3" ht="42.75">
      <c r="A65" s="59" t="s">
        <v>87</v>
      </c>
      <c r="B65" s="33" t="s">
        <v>88</v>
      </c>
      <c r="C65" s="34">
        <f>[10]С2!F22</f>
        <v>35717.748653137714</v>
      </c>
    </row>
    <row r="66" spans="1:3" ht="30">
      <c r="A66" s="59" t="s">
        <v>89</v>
      </c>
      <c r="B66" s="60" t="s">
        <v>90</v>
      </c>
      <c r="C66" s="34">
        <f>[10]С2!F23</f>
        <v>1990</v>
      </c>
    </row>
    <row r="67" spans="1:3" ht="30">
      <c r="A67" s="59" t="s">
        <v>91</v>
      </c>
      <c r="B67" s="53" t="s">
        <v>92</v>
      </c>
      <c r="C67" s="34">
        <f>[10]С2.1!E27</f>
        <v>14307.876789999998</v>
      </c>
    </row>
    <row r="68" spans="1:3" ht="38.25">
      <c r="A68" s="59" t="s">
        <v>93</v>
      </c>
      <c r="B68" s="65" t="s">
        <v>94</v>
      </c>
      <c r="C68" s="52">
        <f>[10]С2.3!E21</f>
        <v>0</v>
      </c>
    </row>
    <row r="69" spans="1:3" ht="25.5">
      <c r="A69" s="59" t="s">
        <v>95</v>
      </c>
      <c r="B69" s="66" t="s">
        <v>96</v>
      </c>
      <c r="C69" s="67">
        <f>[10]С2.3!E11</f>
        <v>9.89</v>
      </c>
    </row>
    <row r="70" spans="1:3" ht="25.5">
      <c r="A70" s="59" t="s">
        <v>97</v>
      </c>
      <c r="B70" s="66" t="s">
        <v>98</v>
      </c>
      <c r="C70" s="62">
        <f>[10]С2.3!E13</f>
        <v>300</v>
      </c>
    </row>
    <row r="71" spans="1:3" ht="25.5">
      <c r="A71" s="59" t="s">
        <v>99</v>
      </c>
      <c r="B71" s="65" t="s">
        <v>100</v>
      </c>
      <c r="C71" s="68">
        <f>IF([10]С2.3!E22&gt;0,[10]С2.3!E22,[10]С2.3!E14)</f>
        <v>61211</v>
      </c>
    </row>
    <row r="72" spans="1:3" ht="38.25">
      <c r="A72" s="59" t="s">
        <v>101</v>
      </c>
      <c r="B72" s="65" t="s">
        <v>102</v>
      </c>
      <c r="C72" s="68">
        <f>IF([10]С2.3!E23&gt;0,[10]С2.3!E23,[10]С2.3!E15)</f>
        <v>45675</v>
      </c>
    </row>
    <row r="73" spans="1:3" ht="30">
      <c r="A73" s="59" t="s">
        <v>103</v>
      </c>
      <c r="B73" s="53" t="s">
        <v>104</v>
      </c>
      <c r="C73" s="34">
        <f>[10]С2.1!E28</f>
        <v>9541.9567200000001</v>
      </c>
    </row>
    <row r="74" spans="1:3" ht="38.25">
      <c r="A74" s="59" t="s">
        <v>105</v>
      </c>
      <c r="B74" s="65" t="s">
        <v>106</v>
      </c>
      <c r="C74" s="52">
        <f>[10]С2.3!E25</f>
        <v>0</v>
      </c>
    </row>
    <row r="75" spans="1:3" ht="25.5">
      <c r="A75" s="59" t="s">
        <v>107</v>
      </c>
      <c r="B75" s="66" t="s">
        <v>108</v>
      </c>
      <c r="C75" s="67">
        <f>[10]С2.3!E12</f>
        <v>0.56000000000000005</v>
      </c>
    </row>
    <row r="76" spans="1:3" ht="25.5">
      <c r="A76" s="59" t="s">
        <v>109</v>
      </c>
      <c r="B76" s="66" t="s">
        <v>98</v>
      </c>
      <c r="C76" s="62">
        <f>[10]С2.3!E13</f>
        <v>300</v>
      </c>
    </row>
    <row r="77" spans="1:3" ht="25.5">
      <c r="A77" s="59" t="s">
        <v>110</v>
      </c>
      <c r="B77" s="69" t="s">
        <v>111</v>
      </c>
      <c r="C77" s="68">
        <f>IF([10]С2.3!E26&gt;0,[10]С2.3!E26,[10]С2.3!E16)</f>
        <v>65637</v>
      </c>
    </row>
    <row r="78" spans="1:3" ht="38.25">
      <c r="A78" s="59" t="s">
        <v>112</v>
      </c>
      <c r="B78" s="69" t="s">
        <v>113</v>
      </c>
      <c r="C78" s="68">
        <f>IF([10]С2.3!E27&gt;0,[10]С2.3!E27,[10]С2.3!E17)</f>
        <v>31684</v>
      </c>
    </row>
    <row r="79" spans="1:3" ht="17.25">
      <c r="A79" s="59" t="s">
        <v>114</v>
      </c>
      <c r="B79" s="33" t="s">
        <v>115</v>
      </c>
      <c r="C79" s="35">
        <f>[10]С2!F29</f>
        <v>0.128978033685065</v>
      </c>
    </row>
    <row r="80" spans="1:3" ht="30">
      <c r="A80" s="59" t="s">
        <v>116</v>
      </c>
      <c r="B80" s="53" t="s">
        <v>117</v>
      </c>
      <c r="C80" s="70">
        <f>[10]С2!F30</f>
        <v>0.11668498168498169</v>
      </c>
    </row>
    <row r="81" spans="1:3" ht="17.25">
      <c r="A81" s="59" t="s">
        <v>118</v>
      </c>
      <c r="B81" s="71" t="s">
        <v>119</v>
      </c>
      <c r="C81" s="35">
        <f>[10]С2!F31</f>
        <v>0.13880000000000001</v>
      </c>
    </row>
    <row r="82" spans="1:3" s="63" customFormat="1" ht="18" thickBot="1">
      <c r="A82" s="72" t="s">
        <v>120</v>
      </c>
      <c r="B82" s="73" t="s">
        <v>121</v>
      </c>
      <c r="C82" s="74">
        <f>[10]С2!F32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[10]С3!F14</f>
        <v>6976.0888978803041</v>
      </c>
    </row>
    <row r="86" spans="1:3" s="63" customFormat="1" ht="42.75">
      <c r="A86" s="77" t="s">
        <v>126</v>
      </c>
      <c r="B86" s="53" t="s">
        <v>127</v>
      </c>
      <c r="C86" s="78">
        <f>[10]С3!F15</f>
        <v>0.2</v>
      </c>
    </row>
    <row r="87" spans="1:3" s="63" customFormat="1" ht="14.25">
      <c r="A87" s="77" t="s">
        <v>128</v>
      </c>
      <c r="B87" s="79" t="s">
        <v>129</v>
      </c>
      <c r="C87" s="62">
        <f>[10]С3!F18</f>
        <v>15</v>
      </c>
    </row>
    <row r="88" spans="1:3" s="63" customFormat="1" ht="17.25">
      <c r="A88" s="77" t="s">
        <v>130</v>
      </c>
      <c r="B88" s="33" t="s">
        <v>131</v>
      </c>
      <c r="C88" s="34">
        <f>[10]С3!F19</f>
        <v>3487.1555421534131</v>
      </c>
    </row>
    <row r="89" spans="1:3" s="63" customFormat="1" ht="55.5">
      <c r="A89" s="77" t="s">
        <v>132</v>
      </c>
      <c r="B89" s="53" t="s">
        <v>133</v>
      </c>
      <c r="C89" s="80">
        <f>[10]С3!F20</f>
        <v>2.1999999999999999E-2</v>
      </c>
    </row>
    <row r="90" spans="1:3" s="63" customFormat="1" ht="14.25">
      <c r="A90" s="77" t="s">
        <v>134</v>
      </c>
      <c r="B90" s="58" t="s">
        <v>80</v>
      </c>
      <c r="C90" s="62">
        <f>[10]С3!F21</f>
        <v>10</v>
      </c>
    </row>
    <row r="91" spans="1:3" s="63" customFormat="1" ht="17.25">
      <c r="A91" s="77" t="s">
        <v>135</v>
      </c>
      <c r="B91" s="33" t="s">
        <v>136</v>
      </c>
      <c r="C91" s="34">
        <f>[10]С3!F22</f>
        <v>1.9138049586875561</v>
      </c>
    </row>
    <row r="92" spans="1:3" s="63" customFormat="1" ht="55.5">
      <c r="A92" s="77" t="s">
        <v>137</v>
      </c>
      <c r="B92" s="53" t="s">
        <v>138</v>
      </c>
      <c r="C92" s="80">
        <f>[10]С3!F23</f>
        <v>3.0000000000000001E-3</v>
      </c>
    </row>
    <row r="93" spans="1:3" s="63" customFormat="1" ht="27.75" thickBot="1">
      <c r="A93" s="81" t="s">
        <v>139</v>
      </c>
      <c r="B93" s="82" t="s">
        <v>140</v>
      </c>
      <c r="C93" s="83">
        <f>[10]С3!F24</f>
        <v>637.93498622918537</v>
      </c>
    </row>
    <row r="94" spans="1:3" ht="13.5" thickBot="1">
      <c r="A94" s="47"/>
      <c r="B94" s="75"/>
      <c r="C94" s="15"/>
    </row>
    <row r="95" spans="1:3" ht="30" customHeight="1">
      <c r="A95" s="84" t="s">
        <v>141</v>
      </c>
      <c r="B95" s="118" t="s">
        <v>142</v>
      </c>
      <c r="C95" s="118"/>
    </row>
    <row r="96" spans="1:3" ht="30">
      <c r="A96" s="59" t="s">
        <v>143</v>
      </c>
      <c r="B96" s="33" t="s">
        <v>144</v>
      </c>
      <c r="C96" s="34">
        <f>[10]С4!F16</f>
        <v>1652.5</v>
      </c>
    </row>
    <row r="97" spans="1:3" ht="30">
      <c r="A97" s="59" t="s">
        <v>145</v>
      </c>
      <c r="B97" s="58" t="s">
        <v>146</v>
      </c>
      <c r="C97" s="34">
        <f>[10]С4!F17</f>
        <v>73547</v>
      </c>
    </row>
    <row r="98" spans="1:3" ht="17.25">
      <c r="A98" s="59" t="s">
        <v>147</v>
      </c>
      <c r="B98" s="58" t="s">
        <v>148</v>
      </c>
      <c r="C98" s="40">
        <f>[10]С4!F18</f>
        <v>0.02</v>
      </c>
    </row>
    <row r="99" spans="1:3" ht="30">
      <c r="A99" s="59" t="s">
        <v>149</v>
      </c>
      <c r="B99" s="58" t="s">
        <v>150</v>
      </c>
      <c r="C99" s="34">
        <f>[10]С4!F19</f>
        <v>12104</v>
      </c>
    </row>
    <row r="100" spans="1:3" ht="31.5">
      <c r="A100" s="59" t="s">
        <v>151</v>
      </c>
      <c r="B100" s="58" t="s">
        <v>152</v>
      </c>
      <c r="C100" s="40">
        <f>[10]С4!F20</f>
        <v>1.4999999999999999E-2</v>
      </c>
    </row>
    <row r="101" spans="1:3" ht="30">
      <c r="A101" s="59" t="s">
        <v>153</v>
      </c>
      <c r="B101" s="33" t="s">
        <v>154</v>
      </c>
      <c r="C101" s="34">
        <f>[10]С4!F21</f>
        <v>1933.1949342509995</v>
      </c>
    </row>
    <row r="102" spans="1:3" ht="24" customHeight="1">
      <c r="A102" s="59" t="s">
        <v>155</v>
      </c>
      <c r="B102" s="53" t="s">
        <v>156</v>
      </c>
      <c r="C102" s="85">
        <f>IF([10]С4.2!F8="да",[10]С4.2!D21,[10]С4.2!D15)</f>
        <v>0</v>
      </c>
    </row>
    <row r="103" spans="1:3" ht="68.25">
      <c r="A103" s="59" t="s">
        <v>157</v>
      </c>
      <c r="B103" s="53" t="s">
        <v>158</v>
      </c>
      <c r="C103" s="34">
        <f>[10]С4!F22</f>
        <v>3.6112641666666665</v>
      </c>
    </row>
    <row r="104" spans="1:3" ht="30">
      <c r="A104" s="59" t="s">
        <v>159</v>
      </c>
      <c r="B104" s="58" t="s">
        <v>160</v>
      </c>
      <c r="C104" s="34">
        <f>[10]С4!F23</f>
        <v>180</v>
      </c>
    </row>
    <row r="105" spans="1:3" ht="14.25">
      <c r="A105" s="59" t="s">
        <v>161</v>
      </c>
      <c r="B105" s="53" t="s">
        <v>162</v>
      </c>
      <c r="C105" s="34">
        <f>[10]С4!F24</f>
        <v>8497.1999999999989</v>
      </c>
    </row>
    <row r="106" spans="1:3" ht="14.25">
      <c r="A106" s="59" t="s">
        <v>163</v>
      </c>
      <c r="B106" s="58" t="s">
        <v>164</v>
      </c>
      <c r="C106" s="40">
        <f>[10]С4!F25</f>
        <v>0.35</v>
      </c>
    </row>
    <row r="107" spans="1:3" ht="17.25">
      <c r="A107" s="59" t="s">
        <v>165</v>
      </c>
      <c r="B107" s="33" t="s">
        <v>166</v>
      </c>
      <c r="C107" s="34">
        <f>[10]С4!F26</f>
        <v>46.67154</v>
      </c>
    </row>
    <row r="108" spans="1:3" ht="25.5">
      <c r="A108" s="59" t="s">
        <v>167</v>
      </c>
      <c r="B108" s="53" t="s">
        <v>94</v>
      </c>
      <c r="C108" s="85">
        <f>[10]С4.3!E16</f>
        <v>0</v>
      </c>
    </row>
    <row r="109" spans="1:3" ht="25.5">
      <c r="A109" s="59" t="s">
        <v>168</v>
      </c>
      <c r="B109" s="53" t="s">
        <v>169</v>
      </c>
      <c r="C109" s="34">
        <f>[10]С4.3!E17</f>
        <v>11.78</v>
      </c>
    </row>
    <row r="110" spans="1:3" ht="38.25">
      <c r="A110" s="59" t="s">
        <v>170</v>
      </c>
      <c r="B110" s="53" t="s">
        <v>106</v>
      </c>
      <c r="C110" s="85">
        <f>[10]С4.3!E18</f>
        <v>0</v>
      </c>
    </row>
    <row r="111" spans="1:3">
      <c r="A111" s="59" t="s">
        <v>171</v>
      </c>
      <c r="B111" s="53" t="s">
        <v>172</v>
      </c>
      <c r="C111" s="34">
        <f>[10]С4.3!E19</f>
        <v>26.27</v>
      </c>
    </row>
    <row r="112" spans="1:3">
      <c r="A112" s="59" t="s">
        <v>173</v>
      </c>
      <c r="B112" s="58" t="s">
        <v>174</v>
      </c>
      <c r="C112" s="34">
        <f>[10]С4.3!E11</f>
        <v>1871</v>
      </c>
    </row>
    <row r="113" spans="1:3">
      <c r="A113" s="59" t="s">
        <v>175</v>
      </c>
      <c r="B113" s="58" t="s">
        <v>176</v>
      </c>
      <c r="C113" s="52">
        <f>[10]С4.3!E12</f>
        <v>1636</v>
      </c>
    </row>
    <row r="114" spans="1:3">
      <c r="A114" s="59" t="s">
        <v>177</v>
      </c>
      <c r="B114" s="58" t="s">
        <v>178</v>
      </c>
      <c r="C114" s="52">
        <f>[10]С4.3!E13</f>
        <v>204</v>
      </c>
    </row>
    <row r="115" spans="1:3" ht="30">
      <c r="A115" s="59" t="s">
        <v>179</v>
      </c>
      <c r="B115" s="33" t="s">
        <v>180</v>
      </c>
      <c r="C115" s="34">
        <f>[10]С4!F27</f>
        <v>1038.565361974559</v>
      </c>
    </row>
    <row r="116" spans="1:3" ht="25.5">
      <c r="A116" s="59" t="s">
        <v>181</v>
      </c>
      <c r="B116" s="53" t="s">
        <v>182</v>
      </c>
      <c r="C116" s="34">
        <f>[10]С4!F28</f>
        <v>797.66924882838634</v>
      </c>
    </row>
    <row r="117" spans="1:3" ht="42.75">
      <c r="A117" s="59" t="s">
        <v>183</v>
      </c>
      <c r="B117" s="53" t="s">
        <v>184</v>
      </c>
      <c r="C117" s="34">
        <f>[10]С4!F29</f>
        <v>240.89611314617269</v>
      </c>
    </row>
    <row r="118" spans="1:3" ht="30">
      <c r="A118" s="59" t="s">
        <v>185</v>
      </c>
      <c r="B118" s="39" t="s">
        <v>186</v>
      </c>
      <c r="C118" s="34">
        <f>[10]С4!F30</f>
        <v>2250.2441684090454</v>
      </c>
    </row>
    <row r="119" spans="1:3" ht="42.75">
      <c r="A119" s="59" t="s">
        <v>187</v>
      </c>
      <c r="B119" s="86" t="s">
        <v>188</v>
      </c>
      <c r="C119" s="34">
        <f>[10]С4!F33</f>
        <v>1537.7710305556991</v>
      </c>
    </row>
    <row r="120" spans="1:3" ht="30">
      <c r="A120" s="59" t="s">
        <v>189</v>
      </c>
      <c r="B120" s="87" t="s">
        <v>190</v>
      </c>
      <c r="C120" s="34">
        <f>[10]С4!F35</f>
        <v>17.040680999999999</v>
      </c>
    </row>
    <row r="121" spans="1:3" ht="14.25">
      <c r="A121" s="59" t="s">
        <v>191</v>
      </c>
      <c r="B121" s="56" t="s">
        <v>192</v>
      </c>
      <c r="C121" s="34">
        <f>[10]С4!F36</f>
        <v>14319.9</v>
      </c>
    </row>
    <row r="122" spans="1:3" ht="28.5" thickBot="1">
      <c r="A122" s="72" t="s">
        <v>193</v>
      </c>
      <c r="B122" s="88" t="s">
        <v>194</v>
      </c>
      <c r="C122" s="83">
        <f>[10]С4!F37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[10]С5!F17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[10]С2!F37</f>
        <v>20.818139999999996</v>
      </c>
    </row>
    <row r="136" spans="1:4" ht="14.25">
      <c r="A136" s="59" t="s">
        <v>216</v>
      </c>
      <c r="B136" s="101" t="s">
        <v>217</v>
      </c>
      <c r="C136" s="34">
        <f>[10]С2!F38</f>
        <v>7</v>
      </c>
    </row>
    <row r="137" spans="1:4" ht="17.25">
      <c r="A137" s="59" t="s">
        <v>218</v>
      </c>
      <c r="B137" s="101" t="s">
        <v>219</v>
      </c>
      <c r="C137" s="34">
        <f>[10]С2!F40</f>
        <v>0.97</v>
      </c>
    </row>
    <row r="138" spans="1:4" ht="15" thickBot="1">
      <c r="A138" s="72" t="s">
        <v>220</v>
      </c>
      <c r="B138" s="102" t="s">
        <v>221</v>
      </c>
      <c r="C138" s="46">
        <f>[10]С2!F42</f>
        <v>0.35</v>
      </c>
    </row>
    <row r="139" spans="1:4" s="89" customFormat="1" ht="13.5" thickBot="1">
      <c r="A139" s="47"/>
      <c r="B139" s="75"/>
      <c r="C139" s="15"/>
    </row>
    <row r="140" spans="1:4" ht="30">
      <c r="A140" s="84" t="s">
        <v>222</v>
      </c>
      <c r="B140" s="103" t="s">
        <v>223</v>
      </c>
      <c r="C140" s="104">
        <f>[10]С2!F35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[10]С2.5!$E$11</f>
        <v>-2.9000000000000026E-2</v>
      </c>
      <c r="D143" s="89"/>
    </row>
    <row r="144" spans="1:4">
      <c r="A144" s="105"/>
      <c r="B144" s="110">
        <f>B143+1</f>
        <v>2021</v>
      </c>
      <c r="C144" s="111">
        <f>[10]С2.5!$F$11</f>
        <v>0.245</v>
      </c>
      <c r="D144" s="89"/>
    </row>
    <row r="145" spans="1:4">
      <c r="A145" s="105"/>
      <c r="B145" s="110">
        <f t="shared" ref="B145:B208" si="0">B144+1</f>
        <v>2022</v>
      </c>
      <c r="C145" s="111">
        <f>[10]С2.5!$G$11</f>
        <v>0.121</v>
      </c>
      <c r="D145" s="89"/>
    </row>
    <row r="146" spans="1:4" ht="13.5" thickBot="1">
      <c r="A146" s="105"/>
      <c r="B146" s="112">
        <f t="shared" si="0"/>
        <v>2023</v>
      </c>
      <c r="C146" s="113">
        <f>[10]С2.5!$H$11</f>
        <v>0.02</v>
      </c>
      <c r="D146" s="89"/>
    </row>
    <row r="147" spans="1:4" hidden="1">
      <c r="A147" s="105"/>
      <c r="B147" s="114">
        <f t="shared" si="0"/>
        <v>2024</v>
      </c>
      <c r="C147" s="115">
        <f>[10]С2.5!$I$11</f>
        <v>-2.93E-2</v>
      </c>
      <c r="D147" s="89"/>
    </row>
    <row r="148" spans="1:4" hidden="1">
      <c r="A148" s="105"/>
      <c r="B148" s="110">
        <f t="shared" si="0"/>
        <v>2025</v>
      </c>
      <c r="C148" s="111">
        <f>[10]С2.5!$J$11</f>
        <v>0.21215960863291</v>
      </c>
      <c r="D148" s="89"/>
    </row>
    <row r="149" spans="1:4" hidden="1">
      <c r="A149" s="105"/>
      <c r="B149" s="110">
        <f t="shared" si="0"/>
        <v>2026</v>
      </c>
      <c r="C149" s="111">
        <f>[10]С2.5!$K$11</f>
        <v>3.5813361771260002E-2</v>
      </c>
      <c r="D149" s="89"/>
    </row>
    <row r="150" spans="1:4" hidden="1">
      <c r="A150" s="105"/>
      <c r="B150" s="110">
        <f t="shared" si="0"/>
        <v>2027</v>
      </c>
      <c r="C150" s="111">
        <f>[10]С2.5!$L$11</f>
        <v>3.2682303599220003E-2</v>
      </c>
      <c r="D150" s="89"/>
    </row>
    <row r="151" spans="1:4" hidden="1">
      <c r="A151" s="105"/>
      <c r="B151" s="110">
        <f t="shared" si="0"/>
        <v>2028</v>
      </c>
      <c r="C151" s="111">
        <f>[10]С2.5!$M$11</f>
        <v>0</v>
      </c>
      <c r="D151" s="89"/>
    </row>
    <row r="152" spans="1:4" hidden="1">
      <c r="A152" s="105"/>
      <c r="B152" s="110">
        <f t="shared" si="0"/>
        <v>2029</v>
      </c>
      <c r="C152" s="111">
        <f>[10]С2.5!$N$11</f>
        <v>0</v>
      </c>
      <c r="D152" s="89"/>
    </row>
    <row r="153" spans="1:4" hidden="1">
      <c r="A153" s="105"/>
      <c r="B153" s="110">
        <f t="shared" si="0"/>
        <v>2030</v>
      </c>
      <c r="C153" s="111">
        <f>[10]С2.5!$O$11</f>
        <v>0</v>
      </c>
      <c r="D153" s="89"/>
    </row>
    <row r="154" spans="1:4" hidden="1">
      <c r="A154" s="105"/>
      <c r="B154" s="110">
        <f t="shared" si="0"/>
        <v>2031</v>
      </c>
      <c r="C154" s="111">
        <f>[10]С2.5!$P$11</f>
        <v>0</v>
      </c>
      <c r="D154" s="89"/>
    </row>
    <row r="155" spans="1:4" hidden="1">
      <c r="A155" s="89"/>
      <c r="B155" s="110">
        <f t="shared" si="0"/>
        <v>2032</v>
      </c>
      <c r="C155" s="111">
        <f>[10]С2.5!$Q$11</f>
        <v>0</v>
      </c>
      <c r="D155" s="89"/>
    </row>
    <row r="156" spans="1:4" hidden="1">
      <c r="A156" s="89"/>
      <c r="B156" s="110">
        <f t="shared" si="0"/>
        <v>2033</v>
      </c>
      <c r="C156" s="111">
        <f>[10]С2.5!$R$11</f>
        <v>0</v>
      </c>
      <c r="D156" s="89"/>
    </row>
    <row r="157" spans="1:4" hidden="1">
      <c r="B157" s="110">
        <f t="shared" si="0"/>
        <v>2034</v>
      </c>
      <c r="C157" s="111">
        <f>[10]С2.5!$S$11</f>
        <v>0</v>
      </c>
    </row>
    <row r="158" spans="1:4" hidden="1">
      <c r="B158" s="110">
        <f t="shared" si="0"/>
        <v>2035</v>
      </c>
      <c r="C158" s="111">
        <f>[10]С2.5!$T$11</f>
        <v>0</v>
      </c>
    </row>
    <row r="159" spans="1:4" hidden="1">
      <c r="B159" s="110">
        <f t="shared" si="0"/>
        <v>2036</v>
      </c>
      <c r="C159" s="111">
        <f>[10]С2.5!$U$11</f>
        <v>0</v>
      </c>
    </row>
    <row r="160" spans="1:4" hidden="1">
      <c r="B160" s="110">
        <f t="shared" si="0"/>
        <v>2037</v>
      </c>
      <c r="C160" s="111">
        <f>[10]С2.5!$V$11</f>
        <v>0</v>
      </c>
    </row>
    <row r="161" spans="2:3" hidden="1">
      <c r="B161" s="110">
        <f t="shared" si="0"/>
        <v>2038</v>
      </c>
      <c r="C161" s="111">
        <f>[10]С2.5!$W$11</f>
        <v>0</v>
      </c>
    </row>
    <row r="162" spans="2:3" hidden="1">
      <c r="B162" s="110">
        <f t="shared" si="0"/>
        <v>2039</v>
      </c>
      <c r="C162" s="111">
        <f>[10]С2.5!$X$11</f>
        <v>0</v>
      </c>
    </row>
    <row r="163" spans="2:3" hidden="1">
      <c r="B163" s="110">
        <f t="shared" si="0"/>
        <v>2040</v>
      </c>
      <c r="C163" s="111">
        <f>[10]С2.5!$Y$11</f>
        <v>0</v>
      </c>
    </row>
    <row r="164" spans="2:3" hidden="1">
      <c r="B164" s="110">
        <f t="shared" si="0"/>
        <v>2041</v>
      </c>
      <c r="C164" s="111">
        <f>[10]С2.5!$Z$11</f>
        <v>0</v>
      </c>
    </row>
    <row r="165" spans="2:3" hidden="1">
      <c r="B165" s="110">
        <f t="shared" si="0"/>
        <v>2042</v>
      </c>
      <c r="C165" s="111">
        <f>[10]С2.5!$AA$11</f>
        <v>0</v>
      </c>
    </row>
    <row r="166" spans="2:3" hidden="1">
      <c r="B166" s="110">
        <f t="shared" si="0"/>
        <v>2043</v>
      </c>
      <c r="C166" s="111">
        <f>[10]С2.5!$AB$11</f>
        <v>0</v>
      </c>
    </row>
    <row r="167" spans="2:3" hidden="1">
      <c r="B167" s="110">
        <f t="shared" si="0"/>
        <v>2044</v>
      </c>
      <c r="C167" s="111">
        <f>[10]С2.5!$AC$11</f>
        <v>0</v>
      </c>
    </row>
    <row r="168" spans="2:3" hidden="1">
      <c r="B168" s="110">
        <f t="shared" si="0"/>
        <v>2045</v>
      </c>
      <c r="C168" s="111">
        <f>[10]С2.5!$AD$11</f>
        <v>0</v>
      </c>
    </row>
    <row r="169" spans="2:3" hidden="1">
      <c r="B169" s="110">
        <f t="shared" si="0"/>
        <v>2046</v>
      </c>
      <c r="C169" s="111">
        <f>[10]С2.5!$AE$11</f>
        <v>0</v>
      </c>
    </row>
    <row r="170" spans="2:3" hidden="1">
      <c r="B170" s="110">
        <f t="shared" si="0"/>
        <v>2047</v>
      </c>
      <c r="C170" s="111">
        <f>[10]С2.5!$AF$11</f>
        <v>0</v>
      </c>
    </row>
    <row r="171" spans="2:3" hidden="1">
      <c r="B171" s="110">
        <f t="shared" si="0"/>
        <v>2048</v>
      </c>
      <c r="C171" s="111">
        <f>[10]С2.5!$AG$11</f>
        <v>0</v>
      </c>
    </row>
    <row r="172" spans="2:3" hidden="1">
      <c r="B172" s="110">
        <f t="shared" si="0"/>
        <v>2049</v>
      </c>
      <c r="C172" s="111">
        <f>[10]С2.5!$AH$11</f>
        <v>0</v>
      </c>
    </row>
    <row r="173" spans="2:3" hidden="1">
      <c r="B173" s="110">
        <f t="shared" si="0"/>
        <v>2050</v>
      </c>
      <c r="C173" s="111">
        <f>[10]С2.5!$AI$11</f>
        <v>0</v>
      </c>
    </row>
    <row r="174" spans="2:3" hidden="1">
      <c r="B174" s="110">
        <f t="shared" si="0"/>
        <v>2051</v>
      </c>
      <c r="C174" s="111">
        <f>[10]С2.5!$AJ$11</f>
        <v>0</v>
      </c>
    </row>
    <row r="175" spans="2:3" hidden="1">
      <c r="B175" s="110">
        <f t="shared" si="0"/>
        <v>2052</v>
      </c>
      <c r="C175" s="111">
        <f>[10]С2.5!$AK$11</f>
        <v>0</v>
      </c>
    </row>
    <row r="176" spans="2:3" hidden="1">
      <c r="B176" s="110">
        <f t="shared" si="0"/>
        <v>2053</v>
      </c>
      <c r="C176" s="111">
        <f>[10]С2.5!$AL$11</f>
        <v>0</v>
      </c>
    </row>
    <row r="177" spans="2:3" hidden="1">
      <c r="B177" s="110">
        <f t="shared" si="0"/>
        <v>2054</v>
      </c>
      <c r="C177" s="111">
        <f>[10]С2.5!$AM$11</f>
        <v>0</v>
      </c>
    </row>
    <row r="178" spans="2:3" hidden="1">
      <c r="B178" s="110">
        <f t="shared" si="0"/>
        <v>2055</v>
      </c>
      <c r="C178" s="111">
        <f>[10]С2.5!$AN$11</f>
        <v>0</v>
      </c>
    </row>
    <row r="179" spans="2:3" hidden="1">
      <c r="B179" s="110">
        <f t="shared" si="0"/>
        <v>2056</v>
      </c>
      <c r="C179" s="111">
        <f>[10]С2.5!$AO$11</f>
        <v>0</v>
      </c>
    </row>
    <row r="180" spans="2:3" hidden="1">
      <c r="B180" s="110">
        <f t="shared" si="0"/>
        <v>2057</v>
      </c>
      <c r="C180" s="111">
        <f>[10]С2.5!$AP$11</f>
        <v>0</v>
      </c>
    </row>
    <row r="181" spans="2:3" hidden="1">
      <c r="B181" s="110">
        <f t="shared" si="0"/>
        <v>2058</v>
      </c>
      <c r="C181" s="111">
        <f>[10]С2.5!$AQ$11</f>
        <v>0</v>
      </c>
    </row>
    <row r="182" spans="2:3" hidden="1">
      <c r="B182" s="110">
        <f t="shared" si="0"/>
        <v>2059</v>
      </c>
      <c r="C182" s="111">
        <f>[10]С2.5!$AR$11</f>
        <v>0</v>
      </c>
    </row>
    <row r="183" spans="2:3" hidden="1">
      <c r="B183" s="110">
        <f t="shared" si="0"/>
        <v>2060</v>
      </c>
      <c r="C183" s="111">
        <f>[10]С2.5!$AS$11</f>
        <v>0</v>
      </c>
    </row>
    <row r="184" spans="2:3" hidden="1">
      <c r="B184" s="110">
        <f t="shared" si="0"/>
        <v>2061</v>
      </c>
      <c r="C184" s="111">
        <f>[10]С2.5!$AT$11</f>
        <v>0</v>
      </c>
    </row>
    <row r="185" spans="2:3" hidden="1">
      <c r="B185" s="110">
        <f t="shared" si="0"/>
        <v>2062</v>
      </c>
      <c r="C185" s="111">
        <f>[10]С2.5!$AU$11</f>
        <v>0</v>
      </c>
    </row>
    <row r="186" spans="2:3" hidden="1">
      <c r="B186" s="110">
        <f t="shared" si="0"/>
        <v>2063</v>
      </c>
      <c r="C186" s="111">
        <f>[10]С2.5!$AV$11</f>
        <v>0</v>
      </c>
    </row>
    <row r="187" spans="2:3" hidden="1">
      <c r="B187" s="110">
        <f t="shared" si="0"/>
        <v>2064</v>
      </c>
      <c r="C187" s="111">
        <f>[10]С2.5!$AW$11</f>
        <v>0</v>
      </c>
    </row>
    <row r="188" spans="2:3" hidden="1">
      <c r="B188" s="110">
        <f t="shared" si="0"/>
        <v>2065</v>
      </c>
      <c r="C188" s="111">
        <f>[10]С2.5!$AX$11</f>
        <v>0</v>
      </c>
    </row>
    <row r="189" spans="2:3" hidden="1">
      <c r="B189" s="110">
        <f t="shared" si="0"/>
        <v>2066</v>
      </c>
      <c r="C189" s="111">
        <f>[10]С2.5!$AY$11</f>
        <v>0</v>
      </c>
    </row>
    <row r="190" spans="2:3" hidden="1">
      <c r="B190" s="110">
        <f t="shared" si="0"/>
        <v>2067</v>
      </c>
      <c r="C190" s="111">
        <f>[10]С2.5!$AZ$11</f>
        <v>0</v>
      </c>
    </row>
    <row r="191" spans="2:3" hidden="1">
      <c r="B191" s="110">
        <f t="shared" si="0"/>
        <v>2068</v>
      </c>
      <c r="C191" s="111">
        <f>[10]С2.5!$BA$11</f>
        <v>0</v>
      </c>
    </row>
    <row r="192" spans="2:3" hidden="1">
      <c r="B192" s="110">
        <f t="shared" si="0"/>
        <v>2069</v>
      </c>
      <c r="C192" s="111">
        <f>[10]С2.5!$BB$11</f>
        <v>0</v>
      </c>
    </row>
    <row r="193" spans="2:3" hidden="1">
      <c r="B193" s="110">
        <f t="shared" si="0"/>
        <v>2070</v>
      </c>
      <c r="C193" s="111">
        <f>[10]С2.5!$BC$11</f>
        <v>0</v>
      </c>
    </row>
    <row r="194" spans="2:3" hidden="1">
      <c r="B194" s="110">
        <f t="shared" si="0"/>
        <v>2071</v>
      </c>
      <c r="C194" s="111">
        <f>[10]С2.5!$BD$11</f>
        <v>0</v>
      </c>
    </row>
    <row r="195" spans="2:3" hidden="1">
      <c r="B195" s="110">
        <f t="shared" si="0"/>
        <v>2072</v>
      </c>
      <c r="C195" s="111">
        <f>[10]С2.5!$BE$11</f>
        <v>0</v>
      </c>
    </row>
    <row r="196" spans="2:3" hidden="1">
      <c r="B196" s="110">
        <f t="shared" si="0"/>
        <v>2073</v>
      </c>
      <c r="C196" s="111">
        <f>[10]С2.5!$BF$11</f>
        <v>0</v>
      </c>
    </row>
    <row r="197" spans="2:3" hidden="1">
      <c r="B197" s="110">
        <f t="shared" si="0"/>
        <v>2074</v>
      </c>
      <c r="C197" s="111">
        <f>[10]С2.5!$BG$11</f>
        <v>0</v>
      </c>
    </row>
    <row r="198" spans="2:3" hidden="1">
      <c r="B198" s="110">
        <f t="shared" si="0"/>
        <v>2075</v>
      </c>
      <c r="C198" s="111">
        <f>[10]С2.5!$BH$11</f>
        <v>0</v>
      </c>
    </row>
    <row r="199" spans="2:3" hidden="1">
      <c r="B199" s="110">
        <f t="shared" si="0"/>
        <v>2076</v>
      </c>
      <c r="C199" s="111">
        <f>[10]С2.5!$BI$11</f>
        <v>0</v>
      </c>
    </row>
    <row r="200" spans="2:3" hidden="1">
      <c r="B200" s="110">
        <f t="shared" si="0"/>
        <v>2077</v>
      </c>
      <c r="C200" s="111">
        <f>[10]С2.5!$BJ$11</f>
        <v>0</v>
      </c>
    </row>
    <row r="201" spans="2:3" hidden="1">
      <c r="B201" s="110">
        <f t="shared" si="0"/>
        <v>2078</v>
      </c>
      <c r="C201" s="111">
        <f>[10]С2.5!$BK$11</f>
        <v>0</v>
      </c>
    </row>
    <row r="202" spans="2:3" hidden="1">
      <c r="B202" s="110">
        <f t="shared" si="0"/>
        <v>2079</v>
      </c>
      <c r="C202" s="111">
        <f>[10]С2.5!$BL$11</f>
        <v>0</v>
      </c>
    </row>
    <row r="203" spans="2:3" hidden="1">
      <c r="B203" s="110">
        <f t="shared" si="0"/>
        <v>2080</v>
      </c>
      <c r="C203" s="111">
        <f>[10]С2.5!$BM$11</f>
        <v>0</v>
      </c>
    </row>
    <row r="204" spans="2:3" hidden="1">
      <c r="B204" s="110">
        <f t="shared" si="0"/>
        <v>2081</v>
      </c>
      <c r="C204" s="111">
        <f>[10]С2.5!$BN$11</f>
        <v>0</v>
      </c>
    </row>
    <row r="205" spans="2:3" hidden="1">
      <c r="B205" s="110">
        <f t="shared" si="0"/>
        <v>2082</v>
      </c>
      <c r="C205" s="111">
        <f>[10]С2.5!$BO$11</f>
        <v>0</v>
      </c>
    </row>
    <row r="206" spans="2:3" hidden="1">
      <c r="B206" s="110">
        <f t="shared" si="0"/>
        <v>2083</v>
      </c>
      <c r="C206" s="111">
        <f>[10]С2.5!$BP$11</f>
        <v>0</v>
      </c>
    </row>
    <row r="207" spans="2:3" hidden="1">
      <c r="B207" s="110">
        <f t="shared" si="0"/>
        <v>2084</v>
      </c>
      <c r="C207" s="111">
        <f>[10]С2.5!$BQ$11</f>
        <v>0</v>
      </c>
    </row>
    <row r="208" spans="2:3" hidden="1">
      <c r="B208" s="110">
        <f t="shared" si="0"/>
        <v>2085</v>
      </c>
      <c r="C208" s="111">
        <f>[10]С2.5!$BR$11</f>
        <v>0</v>
      </c>
    </row>
    <row r="209" spans="2:3" hidden="1">
      <c r="B209" s="110">
        <f t="shared" ref="B209:B223" si="1">B208+1</f>
        <v>2086</v>
      </c>
      <c r="C209" s="111">
        <f>[10]С2.5!$BS$11</f>
        <v>0</v>
      </c>
    </row>
    <row r="210" spans="2:3" hidden="1">
      <c r="B210" s="110">
        <f t="shared" si="1"/>
        <v>2087</v>
      </c>
      <c r="C210" s="111">
        <f>[10]С2.5!$BT$11</f>
        <v>0</v>
      </c>
    </row>
    <row r="211" spans="2:3" hidden="1">
      <c r="B211" s="110">
        <f t="shared" si="1"/>
        <v>2088</v>
      </c>
      <c r="C211" s="111">
        <f>[10]С2.5!$BU$11</f>
        <v>0</v>
      </c>
    </row>
    <row r="212" spans="2:3" hidden="1">
      <c r="B212" s="110">
        <f t="shared" si="1"/>
        <v>2089</v>
      </c>
      <c r="C212" s="111">
        <f>[10]С2.5!$BV$11</f>
        <v>0</v>
      </c>
    </row>
    <row r="213" spans="2:3" hidden="1">
      <c r="B213" s="110">
        <f t="shared" si="1"/>
        <v>2090</v>
      </c>
      <c r="C213" s="111">
        <f>[10]С2.5!$BW$11</f>
        <v>0</v>
      </c>
    </row>
    <row r="214" spans="2:3" hidden="1">
      <c r="B214" s="110">
        <f t="shared" si="1"/>
        <v>2091</v>
      </c>
      <c r="C214" s="111">
        <f>[10]С2.5!$BX$11</f>
        <v>0</v>
      </c>
    </row>
    <row r="215" spans="2:3" hidden="1">
      <c r="B215" s="110">
        <f t="shared" si="1"/>
        <v>2092</v>
      </c>
      <c r="C215" s="111">
        <f>[10]С2.5!$BY$11</f>
        <v>0</v>
      </c>
    </row>
    <row r="216" spans="2:3" hidden="1">
      <c r="B216" s="110">
        <f t="shared" si="1"/>
        <v>2093</v>
      </c>
      <c r="C216" s="111">
        <f>[10]С2.5!$BZ$11</f>
        <v>0</v>
      </c>
    </row>
    <row r="217" spans="2:3" hidden="1">
      <c r="B217" s="110">
        <f t="shared" si="1"/>
        <v>2094</v>
      </c>
      <c r="C217" s="111">
        <f>[10]С2.5!$CA$11</f>
        <v>0</v>
      </c>
    </row>
    <row r="218" spans="2:3" hidden="1">
      <c r="B218" s="110">
        <f t="shared" si="1"/>
        <v>2095</v>
      </c>
      <c r="C218" s="111">
        <f>[10]С2.5!$CB$11</f>
        <v>0</v>
      </c>
    </row>
    <row r="219" spans="2:3" hidden="1">
      <c r="B219" s="110">
        <f t="shared" si="1"/>
        <v>2096</v>
      </c>
      <c r="C219" s="111">
        <f>[10]С2.5!$CC$11</f>
        <v>0</v>
      </c>
    </row>
    <row r="220" spans="2:3" hidden="1">
      <c r="B220" s="110">
        <f t="shared" si="1"/>
        <v>2097</v>
      </c>
      <c r="C220" s="111">
        <f>[10]С2.5!$CD$11</f>
        <v>0</v>
      </c>
    </row>
    <row r="221" spans="2:3" hidden="1">
      <c r="B221" s="110">
        <f t="shared" si="1"/>
        <v>2098</v>
      </c>
      <c r="C221" s="111">
        <f>[10]С2.5!$CE$11</f>
        <v>0</v>
      </c>
    </row>
    <row r="222" spans="2:3" hidden="1">
      <c r="B222" s="110">
        <f t="shared" si="1"/>
        <v>2099</v>
      </c>
      <c r="C222" s="111">
        <f>[10]С2.5!$CF$11</f>
        <v>0</v>
      </c>
    </row>
    <row r="223" spans="2:3" ht="13.5" hidden="1" thickBot="1">
      <c r="B223" s="112">
        <f t="shared" si="1"/>
        <v>2100</v>
      </c>
      <c r="C223" s="113">
        <f>[10]С2.5!$CG$11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[11]И1!D13</f>
        <v>Субъект Российской Федерации</v>
      </c>
      <c r="C4" s="10" t="str">
        <f>[11]И1!E13</f>
        <v>Новосибирская область</v>
      </c>
    </row>
    <row r="5" spans="1:3" ht="38.25">
      <c r="A5" s="8"/>
      <c r="B5" s="9" t="str">
        <f>[11]И1!D14</f>
        <v>Тип муниципального образования (выберите из списка)</v>
      </c>
      <c r="C5" s="10" t="str">
        <f>[11]И1!E14</f>
        <v>село Нижний Урюм, Здвинский муниципальный район</v>
      </c>
    </row>
    <row r="6" spans="1:3">
      <c r="A6" s="8"/>
      <c r="B6" s="9" t="str">
        <f>IF([11]И1!E15="","",[11]И1!D15)</f>
        <v/>
      </c>
      <c r="C6" s="10" t="str">
        <f>IF([11]И1!E15="","",[11]И1!E15)</f>
        <v/>
      </c>
    </row>
    <row r="7" spans="1:3">
      <c r="A7" s="8"/>
      <c r="B7" s="9" t="str">
        <f>[11]И1!D16</f>
        <v>Код ОКТМО</v>
      </c>
      <c r="C7" s="11" t="str">
        <f>[11]И1!E16</f>
        <v>50613428101</v>
      </c>
    </row>
    <row r="8" spans="1:3">
      <c r="A8" s="8"/>
      <c r="B8" s="12" t="str">
        <f>[11]И1!D17</f>
        <v>Система теплоснабжения</v>
      </c>
      <c r="C8" s="13">
        <f>[11]И1!E17</f>
        <v>0</v>
      </c>
    </row>
    <row r="9" spans="1:3">
      <c r="A9" s="8"/>
      <c r="B9" s="9" t="str">
        <f>[11]И1!D8</f>
        <v>Период регулирования (i)-й</v>
      </c>
      <c r="C9" s="14">
        <f>[11]И1!E8</f>
        <v>2023</v>
      </c>
    </row>
    <row r="10" spans="1:3">
      <c r="A10" s="8"/>
      <c r="B10" s="9" t="str">
        <f>[11]И1!D9</f>
        <v>Период регулирования (i-1)-й</v>
      </c>
      <c r="C10" s="14">
        <f>[11]И1!E9</f>
        <v>2022</v>
      </c>
    </row>
    <row r="11" spans="1:3">
      <c r="A11" s="8"/>
      <c r="B11" s="9" t="str">
        <f>[11]И1!D10</f>
        <v>Период регулирования (i-2)-й</v>
      </c>
      <c r="C11" s="14">
        <f>[11]И1!E10</f>
        <v>2021</v>
      </c>
    </row>
    <row r="12" spans="1:3">
      <c r="A12" s="8"/>
      <c r="B12" s="9" t="str">
        <f>[11]И1!D11</f>
        <v>Базовый год (б)</v>
      </c>
      <c r="C12" s="14">
        <f>[11]И1!E11</f>
        <v>2019</v>
      </c>
    </row>
    <row r="13" spans="1:3" ht="38.25">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4143.6612798158876</v>
      </c>
    </row>
    <row r="18" spans="1:3" ht="42.75">
      <c r="A18" s="22" t="s">
        <v>8</v>
      </c>
      <c r="B18" s="25" t="s">
        <v>9</v>
      </c>
      <c r="C18" s="26">
        <f>[11]С1!F12</f>
        <v>1039.0505692770796</v>
      </c>
    </row>
    <row r="19" spans="1:3" ht="42.75">
      <c r="A19" s="22" t="s">
        <v>10</v>
      </c>
      <c r="B19" s="25" t="s">
        <v>11</v>
      </c>
      <c r="C19" s="26">
        <f>[11]С2!F12</f>
        <v>2101.7757879094611</v>
      </c>
    </row>
    <row r="20" spans="1:3" ht="30">
      <c r="A20" s="22" t="s">
        <v>12</v>
      </c>
      <c r="B20" s="25" t="s">
        <v>13</v>
      </c>
      <c r="C20" s="26">
        <f>[11]С3!F12</f>
        <v>502.69420058623905</v>
      </c>
    </row>
    <row r="21" spans="1:3" ht="42.75">
      <c r="A21" s="22" t="s">
        <v>14</v>
      </c>
      <c r="B21" s="25" t="s">
        <v>15</v>
      </c>
      <c r="C21" s="26">
        <f>[11]С4!F12</f>
        <v>418.89246165456075</v>
      </c>
    </row>
    <row r="22" spans="1:3" ht="30">
      <c r="A22" s="22" t="s">
        <v>16</v>
      </c>
      <c r="B22" s="25" t="s">
        <v>17</v>
      </c>
      <c r="C22" s="26">
        <f>[11]С5!F12</f>
        <v>81.248260388546825</v>
      </c>
    </row>
    <row r="23" spans="1:3" ht="43.5" thickBot="1">
      <c r="A23" s="27" t="s">
        <v>18</v>
      </c>
      <c r="B23" s="117" t="s">
        <v>19</v>
      </c>
      <c r="C23" s="28" t="str">
        <f>[11]С6!F12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[11]С1.1!E16</f>
        <v>5100</v>
      </c>
    </row>
    <row r="29" spans="1:3" ht="42.75">
      <c r="A29" s="22" t="s">
        <v>10</v>
      </c>
      <c r="B29" s="33" t="s">
        <v>22</v>
      </c>
      <c r="C29" s="34">
        <f>[11]С1.1!E27</f>
        <v>2793.8333333333335</v>
      </c>
    </row>
    <row r="30" spans="1:3" ht="17.25">
      <c r="A30" s="22" t="s">
        <v>12</v>
      </c>
      <c r="B30" s="33" t="s">
        <v>23</v>
      </c>
      <c r="C30" s="35">
        <f>[11]С1.1!E19</f>
        <v>0.59499999999999997</v>
      </c>
    </row>
    <row r="31" spans="1:3" ht="17.25">
      <c r="A31" s="22" t="s">
        <v>14</v>
      </c>
      <c r="B31" s="33" t="s">
        <v>24</v>
      </c>
      <c r="C31" s="35">
        <f>[11]С1.1!E20</f>
        <v>-0.113</v>
      </c>
    </row>
    <row r="32" spans="1:3" ht="30">
      <c r="A32" s="22" t="s">
        <v>16</v>
      </c>
      <c r="B32" s="36" t="s">
        <v>25</v>
      </c>
      <c r="C32" s="37">
        <f>[11]С1!F13</f>
        <v>176.4</v>
      </c>
    </row>
    <row r="33" spans="1:3">
      <c r="A33" s="22" t="s">
        <v>18</v>
      </c>
      <c r="B33" s="36" t="s">
        <v>26</v>
      </c>
      <c r="C33" s="38">
        <f>[11]С1!F16</f>
        <v>7000</v>
      </c>
    </row>
    <row r="34" spans="1:3" ht="14.25">
      <c r="A34" s="22" t="s">
        <v>27</v>
      </c>
      <c r="B34" s="39" t="s">
        <v>28</v>
      </c>
      <c r="C34" s="40">
        <f>[11]С1!F17</f>
        <v>0.72857142857142854</v>
      </c>
    </row>
    <row r="35" spans="1:3" ht="15.75">
      <c r="A35" s="41" t="s">
        <v>29</v>
      </c>
      <c r="B35" s="42" t="s">
        <v>30</v>
      </c>
      <c r="C35" s="40">
        <f>[11]С1!F20</f>
        <v>21.588411179999994</v>
      </c>
    </row>
    <row r="36" spans="1:3" ht="15.75">
      <c r="A36" s="41" t="s">
        <v>31</v>
      </c>
      <c r="B36" s="43" t="s">
        <v>32</v>
      </c>
      <c r="C36" s="40">
        <f>[11]С1!F21</f>
        <v>20.818139999999996</v>
      </c>
    </row>
    <row r="37" spans="1:3" ht="14.25">
      <c r="A37" s="41" t="s">
        <v>33</v>
      </c>
      <c r="B37" s="44" t="s">
        <v>34</v>
      </c>
      <c r="C37" s="40">
        <f>[11]С1!F22</f>
        <v>1.0369999999999999</v>
      </c>
    </row>
    <row r="38" spans="1:3" ht="53.25" thickBot="1">
      <c r="A38" s="27" t="s">
        <v>35</v>
      </c>
      <c r="B38" s="45" t="s">
        <v>36</v>
      </c>
      <c r="C38" s="46">
        <f>[11]С1!F23</f>
        <v>1.0469999999999999</v>
      </c>
    </row>
    <row r="39" spans="1:3" ht="13.5" thickBot="1">
      <c r="A39" s="47"/>
      <c r="B39" s="48"/>
      <c r="C39" s="49"/>
    </row>
    <row r="40" spans="1:3" ht="30" customHeight="1">
      <c r="A40" s="50" t="s">
        <v>37</v>
      </c>
      <c r="B40" s="118" t="s">
        <v>38</v>
      </c>
      <c r="C40" s="118"/>
    </row>
    <row r="41" spans="1:3" ht="25.5">
      <c r="A41" s="22" t="s">
        <v>39</v>
      </c>
      <c r="B41" s="36" t="s">
        <v>40</v>
      </c>
      <c r="C41" s="51" t="str">
        <f>[11]С2.1!E12</f>
        <v>V</v>
      </c>
    </row>
    <row r="42" spans="1:3" ht="25.5">
      <c r="A42" s="22" t="s">
        <v>41</v>
      </c>
      <c r="B42" s="33" t="s">
        <v>42</v>
      </c>
      <c r="C42" s="51" t="str">
        <f>[11]С2.1!E13</f>
        <v>6 и менее баллов</v>
      </c>
    </row>
    <row r="43" spans="1:3" ht="25.5">
      <c r="A43" s="22" t="s">
        <v>43</v>
      </c>
      <c r="B43" s="33" t="s">
        <v>44</v>
      </c>
      <c r="C43" s="51" t="str">
        <f>[11]С2.1!E14</f>
        <v>от 200 до 500</v>
      </c>
    </row>
    <row r="44" spans="1:3" ht="25.5">
      <c r="A44" s="22" t="s">
        <v>45</v>
      </c>
      <c r="B44" s="33" t="s">
        <v>46</v>
      </c>
      <c r="C44" s="52" t="str">
        <f>[11]С2.1!E15</f>
        <v>нет</v>
      </c>
    </row>
    <row r="45" spans="1:3" ht="30">
      <c r="A45" s="22" t="s">
        <v>47</v>
      </c>
      <c r="B45" s="33" t="s">
        <v>48</v>
      </c>
      <c r="C45" s="34">
        <f>[11]С2!F18</f>
        <v>32402.627334033532</v>
      </c>
    </row>
    <row r="46" spans="1:3" ht="30">
      <c r="A46" s="22" t="s">
        <v>49</v>
      </c>
      <c r="B46" s="53" t="s">
        <v>50</v>
      </c>
      <c r="C46" s="34">
        <f>IF([11]С2!F19&gt;0,[11]С2!F19,[11]С2!F20)</f>
        <v>23441.524932855718</v>
      </c>
    </row>
    <row r="47" spans="1:3" ht="25.5">
      <c r="A47" s="22" t="s">
        <v>51</v>
      </c>
      <c r="B47" s="54" t="s">
        <v>52</v>
      </c>
      <c r="C47" s="34">
        <f>[11]С2.1!E19</f>
        <v>-38</v>
      </c>
    </row>
    <row r="48" spans="1:3" ht="25.5">
      <c r="A48" s="22" t="s">
        <v>53</v>
      </c>
      <c r="B48" s="54" t="s">
        <v>54</v>
      </c>
      <c r="C48" s="34" t="str">
        <f>[11]С2.1!E22</f>
        <v>нет</v>
      </c>
    </row>
    <row r="49" spans="1:3" ht="38.25">
      <c r="A49" s="22" t="s">
        <v>55</v>
      </c>
      <c r="B49" s="55" t="s">
        <v>56</v>
      </c>
      <c r="C49" s="34">
        <f>[11]С2.2!E10</f>
        <v>1287</v>
      </c>
    </row>
    <row r="50" spans="1:3" ht="25.5">
      <c r="A50" s="22" t="s">
        <v>57</v>
      </c>
      <c r="B50" s="56" t="s">
        <v>58</v>
      </c>
      <c r="C50" s="34">
        <f>[11]С2.2!E12</f>
        <v>5.97</v>
      </c>
    </row>
    <row r="51" spans="1:3" ht="52.5">
      <c r="A51" s="22" t="s">
        <v>59</v>
      </c>
      <c r="B51" s="57" t="s">
        <v>60</v>
      </c>
      <c r="C51" s="34">
        <f>[11]С2.2!E13</f>
        <v>1</v>
      </c>
    </row>
    <row r="52" spans="1:3" ht="27.75">
      <c r="A52" s="22" t="s">
        <v>61</v>
      </c>
      <c r="B52" s="56" t="s">
        <v>62</v>
      </c>
      <c r="C52" s="34">
        <f>[11]С2.2!E14</f>
        <v>12104</v>
      </c>
    </row>
    <row r="53" spans="1:3" ht="25.5">
      <c r="A53" s="22" t="s">
        <v>63</v>
      </c>
      <c r="B53" s="57" t="s">
        <v>64</v>
      </c>
      <c r="C53" s="35">
        <f>[11]С2.2!E15</f>
        <v>4.8000000000000001E-2</v>
      </c>
    </row>
    <row r="54" spans="1:3">
      <c r="A54" s="22" t="s">
        <v>65</v>
      </c>
      <c r="B54" s="57" t="s">
        <v>66</v>
      </c>
      <c r="C54" s="34">
        <f>[11]С2.2!E16</f>
        <v>1</v>
      </c>
    </row>
    <row r="55" spans="1:3" ht="15.75">
      <c r="A55" s="22" t="s">
        <v>67</v>
      </c>
      <c r="B55" s="58" t="s">
        <v>68</v>
      </c>
      <c r="C55" s="34">
        <f>[11]С2!F21</f>
        <v>1</v>
      </c>
    </row>
    <row r="56" spans="1:3" ht="30">
      <c r="A56" s="59" t="s">
        <v>69</v>
      </c>
      <c r="B56" s="33" t="s">
        <v>70</v>
      </c>
      <c r="C56" s="34">
        <f>[11]С2!F13</f>
        <v>169640.22915965237</v>
      </c>
    </row>
    <row r="57" spans="1:3" ht="30">
      <c r="A57" s="59" t="s">
        <v>71</v>
      </c>
      <c r="B57" s="58" t="s">
        <v>72</v>
      </c>
      <c r="C57" s="34">
        <f>[11]С2!F14</f>
        <v>113455</v>
      </c>
    </row>
    <row r="58" spans="1:3" ht="15.75">
      <c r="A58" s="59" t="s">
        <v>73</v>
      </c>
      <c r="B58" s="60" t="s">
        <v>74</v>
      </c>
      <c r="C58" s="40">
        <f>[11]С2!F15</f>
        <v>1.071</v>
      </c>
    </row>
    <row r="59" spans="1:3" ht="15.75">
      <c r="A59" s="59" t="s">
        <v>75</v>
      </c>
      <c r="B59" s="60" t="s">
        <v>76</v>
      </c>
      <c r="C59" s="40">
        <f>[11]С2!F16</f>
        <v>1</v>
      </c>
    </row>
    <row r="60" spans="1:3" ht="17.25">
      <c r="A60" s="59" t="s">
        <v>77</v>
      </c>
      <c r="B60" s="58" t="s">
        <v>78</v>
      </c>
      <c r="C60" s="34">
        <f>[11]С2!F17</f>
        <v>1.01</v>
      </c>
    </row>
    <row r="61" spans="1:3" s="63" customFormat="1" ht="14.25">
      <c r="A61" s="59" t="s">
        <v>79</v>
      </c>
      <c r="B61" s="61" t="s">
        <v>80</v>
      </c>
      <c r="C61" s="62">
        <f>[11]С2!F33</f>
        <v>10</v>
      </c>
    </row>
    <row r="62" spans="1:3" ht="30">
      <c r="A62" s="59" t="s">
        <v>81</v>
      </c>
      <c r="B62" s="64" t="s">
        <v>82</v>
      </c>
      <c r="C62" s="34">
        <f>[11]С2!F26</f>
        <v>637.93498622918537</v>
      </c>
    </row>
    <row r="63" spans="1:3" ht="17.25">
      <c r="A63" s="59" t="s">
        <v>83</v>
      </c>
      <c r="B63" s="53" t="s">
        <v>84</v>
      </c>
      <c r="C63" s="34">
        <f>[11]С2!F27</f>
        <v>0.10988357099999999</v>
      </c>
    </row>
    <row r="64" spans="1:3" ht="17.25">
      <c r="A64" s="59" t="s">
        <v>85</v>
      </c>
      <c r="B64" s="58" t="s">
        <v>86</v>
      </c>
      <c r="C64" s="62">
        <f>[11]С2!F28</f>
        <v>4200</v>
      </c>
    </row>
    <row r="65" spans="1:3" ht="42.75">
      <c r="A65" s="59" t="s">
        <v>87</v>
      </c>
      <c r="B65" s="33" t="s">
        <v>88</v>
      </c>
      <c r="C65" s="34">
        <f>[11]С2!F22</f>
        <v>35717.748653137714</v>
      </c>
    </row>
    <row r="66" spans="1:3" ht="30">
      <c r="A66" s="59" t="s">
        <v>89</v>
      </c>
      <c r="B66" s="60" t="s">
        <v>90</v>
      </c>
      <c r="C66" s="34">
        <f>[11]С2!F23</f>
        <v>1990</v>
      </c>
    </row>
    <row r="67" spans="1:3" ht="30">
      <c r="A67" s="59" t="s">
        <v>91</v>
      </c>
      <c r="B67" s="53" t="s">
        <v>92</v>
      </c>
      <c r="C67" s="34">
        <f>[11]С2.1!E27</f>
        <v>14307.876789999998</v>
      </c>
    </row>
    <row r="68" spans="1:3" ht="38.25">
      <c r="A68" s="59" t="s">
        <v>93</v>
      </c>
      <c r="B68" s="65" t="s">
        <v>94</v>
      </c>
      <c r="C68" s="52">
        <f>[11]С2.3!E21</f>
        <v>0</v>
      </c>
    </row>
    <row r="69" spans="1:3" ht="25.5">
      <c r="A69" s="59" t="s">
        <v>95</v>
      </c>
      <c r="B69" s="66" t="s">
        <v>96</v>
      </c>
      <c r="C69" s="67">
        <f>[11]С2.3!E11</f>
        <v>9.89</v>
      </c>
    </row>
    <row r="70" spans="1:3" ht="25.5">
      <c r="A70" s="59" t="s">
        <v>97</v>
      </c>
      <c r="B70" s="66" t="s">
        <v>98</v>
      </c>
      <c r="C70" s="62">
        <f>[11]С2.3!E13</f>
        <v>300</v>
      </c>
    </row>
    <row r="71" spans="1:3" ht="25.5">
      <c r="A71" s="59" t="s">
        <v>99</v>
      </c>
      <c r="B71" s="65" t="s">
        <v>100</v>
      </c>
      <c r="C71" s="68">
        <f>IF([11]С2.3!E22&gt;0,[11]С2.3!E22,[11]С2.3!E14)</f>
        <v>61211</v>
      </c>
    </row>
    <row r="72" spans="1:3" ht="38.25">
      <c r="A72" s="59" t="s">
        <v>101</v>
      </c>
      <c r="B72" s="65" t="s">
        <v>102</v>
      </c>
      <c r="C72" s="68">
        <f>IF([11]С2.3!E23&gt;0,[11]С2.3!E23,[11]С2.3!E15)</f>
        <v>45675</v>
      </c>
    </row>
    <row r="73" spans="1:3" ht="30">
      <c r="A73" s="59" t="s">
        <v>103</v>
      </c>
      <c r="B73" s="53" t="s">
        <v>104</v>
      </c>
      <c r="C73" s="34">
        <f>[11]С2.1!E28</f>
        <v>9541.9567200000001</v>
      </c>
    </row>
    <row r="74" spans="1:3" ht="38.25">
      <c r="A74" s="59" t="s">
        <v>105</v>
      </c>
      <c r="B74" s="65" t="s">
        <v>106</v>
      </c>
      <c r="C74" s="52">
        <f>[11]С2.3!E25</f>
        <v>0</v>
      </c>
    </row>
    <row r="75" spans="1:3" ht="25.5">
      <c r="A75" s="59" t="s">
        <v>107</v>
      </c>
      <c r="B75" s="66" t="s">
        <v>108</v>
      </c>
      <c r="C75" s="67">
        <f>[11]С2.3!E12</f>
        <v>0.56000000000000005</v>
      </c>
    </row>
    <row r="76" spans="1:3" ht="25.5">
      <c r="A76" s="59" t="s">
        <v>109</v>
      </c>
      <c r="B76" s="66" t="s">
        <v>98</v>
      </c>
      <c r="C76" s="62">
        <f>[11]С2.3!E13</f>
        <v>300</v>
      </c>
    </row>
    <row r="77" spans="1:3" ht="25.5">
      <c r="A77" s="59" t="s">
        <v>110</v>
      </c>
      <c r="B77" s="69" t="s">
        <v>111</v>
      </c>
      <c r="C77" s="68">
        <f>IF([11]С2.3!E26&gt;0,[11]С2.3!E26,[11]С2.3!E16)</f>
        <v>65637</v>
      </c>
    </row>
    <row r="78" spans="1:3" ht="38.25">
      <c r="A78" s="59" t="s">
        <v>112</v>
      </c>
      <c r="B78" s="69" t="s">
        <v>113</v>
      </c>
      <c r="C78" s="68">
        <f>IF([11]С2.3!E27&gt;0,[11]С2.3!E27,[11]С2.3!E17)</f>
        <v>31684</v>
      </c>
    </row>
    <row r="79" spans="1:3" ht="17.25">
      <c r="A79" s="59" t="s">
        <v>114</v>
      </c>
      <c r="B79" s="33" t="s">
        <v>115</v>
      </c>
      <c r="C79" s="35">
        <f>[11]С2!F29</f>
        <v>0.128978033685065</v>
      </c>
    </row>
    <row r="80" spans="1:3" ht="30">
      <c r="A80" s="59" t="s">
        <v>116</v>
      </c>
      <c r="B80" s="53" t="s">
        <v>117</v>
      </c>
      <c r="C80" s="70">
        <f>[11]С2!F30</f>
        <v>0.11668498168498169</v>
      </c>
    </row>
    <row r="81" spans="1:3" ht="17.25">
      <c r="A81" s="59" t="s">
        <v>118</v>
      </c>
      <c r="B81" s="71" t="s">
        <v>119</v>
      </c>
      <c r="C81" s="35">
        <f>[11]С2!F31</f>
        <v>0.13880000000000001</v>
      </c>
    </row>
    <row r="82" spans="1:3" s="63" customFormat="1" ht="18" thickBot="1">
      <c r="A82" s="72" t="s">
        <v>120</v>
      </c>
      <c r="B82" s="73" t="s">
        <v>121</v>
      </c>
      <c r="C82" s="74">
        <f>[11]С2!F32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[11]С3!F14</f>
        <v>6976.0888978803041</v>
      </c>
    </row>
    <row r="86" spans="1:3" s="63" customFormat="1" ht="42.75">
      <c r="A86" s="77" t="s">
        <v>126</v>
      </c>
      <c r="B86" s="53" t="s">
        <v>127</v>
      </c>
      <c r="C86" s="78">
        <f>[11]С3!F15</f>
        <v>0.2</v>
      </c>
    </row>
    <row r="87" spans="1:3" s="63" customFormat="1" ht="14.25">
      <c r="A87" s="77" t="s">
        <v>128</v>
      </c>
      <c r="B87" s="79" t="s">
        <v>129</v>
      </c>
      <c r="C87" s="62">
        <f>[11]С3!F18</f>
        <v>15</v>
      </c>
    </row>
    <row r="88" spans="1:3" s="63" customFormat="1" ht="17.25">
      <c r="A88" s="77" t="s">
        <v>130</v>
      </c>
      <c r="B88" s="33" t="s">
        <v>131</v>
      </c>
      <c r="C88" s="34">
        <f>[11]С3!F19</f>
        <v>3487.1555421534131</v>
      </c>
    </row>
    <row r="89" spans="1:3" s="63" customFormat="1" ht="55.5">
      <c r="A89" s="77" t="s">
        <v>132</v>
      </c>
      <c r="B89" s="53" t="s">
        <v>133</v>
      </c>
      <c r="C89" s="80">
        <f>[11]С3!F20</f>
        <v>2.1999999999999999E-2</v>
      </c>
    </row>
    <row r="90" spans="1:3" s="63" customFormat="1" ht="14.25">
      <c r="A90" s="77" t="s">
        <v>134</v>
      </c>
      <c r="B90" s="58" t="s">
        <v>80</v>
      </c>
      <c r="C90" s="62">
        <f>[11]С3!F21</f>
        <v>10</v>
      </c>
    </row>
    <row r="91" spans="1:3" s="63" customFormat="1" ht="17.25">
      <c r="A91" s="77" t="s">
        <v>135</v>
      </c>
      <c r="B91" s="33" t="s">
        <v>136</v>
      </c>
      <c r="C91" s="34">
        <f>[11]С3!F22</f>
        <v>1.9138049586875561</v>
      </c>
    </row>
    <row r="92" spans="1:3" s="63" customFormat="1" ht="55.5">
      <c r="A92" s="77" t="s">
        <v>137</v>
      </c>
      <c r="B92" s="53" t="s">
        <v>138</v>
      </c>
      <c r="C92" s="80">
        <f>[11]С3!F23</f>
        <v>3.0000000000000001E-3</v>
      </c>
    </row>
    <row r="93" spans="1:3" s="63" customFormat="1" ht="27.75" thickBot="1">
      <c r="A93" s="81" t="s">
        <v>139</v>
      </c>
      <c r="B93" s="82" t="s">
        <v>140</v>
      </c>
      <c r="C93" s="83">
        <f>[11]С3!F24</f>
        <v>637.93498622918537</v>
      </c>
    </row>
    <row r="94" spans="1:3" ht="13.5" thickBot="1">
      <c r="A94" s="47"/>
      <c r="B94" s="75"/>
      <c r="C94" s="15"/>
    </row>
    <row r="95" spans="1:3" ht="30" customHeight="1">
      <c r="A95" s="84" t="s">
        <v>141</v>
      </c>
      <c r="B95" s="118" t="s">
        <v>142</v>
      </c>
      <c r="C95" s="118"/>
    </row>
    <row r="96" spans="1:3" ht="30">
      <c r="A96" s="59" t="s">
        <v>143</v>
      </c>
      <c r="B96" s="33" t="s">
        <v>144</v>
      </c>
      <c r="C96" s="34">
        <f>[11]С4!F16</f>
        <v>1652.5</v>
      </c>
    </row>
    <row r="97" spans="1:3" ht="30">
      <c r="A97" s="59" t="s">
        <v>145</v>
      </c>
      <c r="B97" s="58" t="s">
        <v>146</v>
      </c>
      <c r="C97" s="34">
        <f>[11]С4!F17</f>
        <v>73547</v>
      </c>
    </row>
    <row r="98" spans="1:3" ht="17.25">
      <c r="A98" s="59" t="s">
        <v>147</v>
      </c>
      <c r="B98" s="58" t="s">
        <v>148</v>
      </c>
      <c r="C98" s="40">
        <f>[11]С4!F18</f>
        <v>0.02</v>
      </c>
    </row>
    <row r="99" spans="1:3" ht="30">
      <c r="A99" s="59" t="s">
        <v>149</v>
      </c>
      <c r="B99" s="58" t="s">
        <v>150</v>
      </c>
      <c r="C99" s="34">
        <f>[11]С4!F19</f>
        <v>12104</v>
      </c>
    </row>
    <row r="100" spans="1:3" ht="31.5">
      <c r="A100" s="59" t="s">
        <v>151</v>
      </c>
      <c r="B100" s="58" t="s">
        <v>152</v>
      </c>
      <c r="C100" s="40">
        <f>[11]С4!F20</f>
        <v>1.4999999999999999E-2</v>
      </c>
    </row>
    <row r="101" spans="1:3" ht="30">
      <c r="A101" s="59" t="s">
        <v>153</v>
      </c>
      <c r="B101" s="33" t="s">
        <v>154</v>
      </c>
      <c r="C101" s="34">
        <f>[11]С4!F21</f>
        <v>1933.1949342509995</v>
      </c>
    </row>
    <row r="102" spans="1:3" ht="24" customHeight="1">
      <c r="A102" s="59" t="s">
        <v>155</v>
      </c>
      <c r="B102" s="53" t="s">
        <v>156</v>
      </c>
      <c r="C102" s="85">
        <f>IF([11]С4.2!F8="да",[11]С4.2!D21,[11]С4.2!D15)</f>
        <v>0</v>
      </c>
    </row>
    <row r="103" spans="1:3" ht="68.25">
      <c r="A103" s="59" t="s">
        <v>157</v>
      </c>
      <c r="B103" s="53" t="s">
        <v>158</v>
      </c>
      <c r="C103" s="34">
        <f>[11]С4!F22</f>
        <v>3.6112641666666665</v>
      </c>
    </row>
    <row r="104" spans="1:3" ht="30">
      <c r="A104" s="59" t="s">
        <v>159</v>
      </c>
      <c r="B104" s="58" t="s">
        <v>160</v>
      </c>
      <c r="C104" s="34">
        <f>[11]С4!F23</f>
        <v>180</v>
      </c>
    </row>
    <row r="105" spans="1:3" ht="14.25">
      <c r="A105" s="59" t="s">
        <v>161</v>
      </c>
      <c r="B105" s="53" t="s">
        <v>162</v>
      </c>
      <c r="C105" s="34">
        <f>[11]С4!F24</f>
        <v>8497.1999999999989</v>
      </c>
    </row>
    <row r="106" spans="1:3" ht="14.25">
      <c r="A106" s="59" t="s">
        <v>163</v>
      </c>
      <c r="B106" s="58" t="s">
        <v>164</v>
      </c>
      <c r="C106" s="40">
        <f>[11]С4!F25</f>
        <v>0.35</v>
      </c>
    </row>
    <row r="107" spans="1:3" ht="17.25">
      <c r="A107" s="59" t="s">
        <v>165</v>
      </c>
      <c r="B107" s="33" t="s">
        <v>166</v>
      </c>
      <c r="C107" s="34">
        <f>[11]С4!F26</f>
        <v>60.699539999999999</v>
      </c>
    </row>
    <row r="108" spans="1:3" ht="25.5">
      <c r="A108" s="59" t="s">
        <v>167</v>
      </c>
      <c r="B108" s="53" t="s">
        <v>94</v>
      </c>
      <c r="C108" s="85">
        <f>[11]С4.3!E16</f>
        <v>0</v>
      </c>
    </row>
    <row r="109" spans="1:3" ht="25.5">
      <c r="A109" s="59" t="s">
        <v>168</v>
      </c>
      <c r="B109" s="53" t="s">
        <v>169</v>
      </c>
      <c r="C109" s="34">
        <f>[11]С4.3!E17</f>
        <v>15.78</v>
      </c>
    </row>
    <row r="110" spans="1:3" ht="38.25">
      <c r="A110" s="59" t="s">
        <v>170</v>
      </c>
      <c r="B110" s="53" t="s">
        <v>106</v>
      </c>
      <c r="C110" s="85">
        <f>[11]С4.3!E18</f>
        <v>0</v>
      </c>
    </row>
    <row r="111" spans="1:3">
      <c r="A111" s="59" t="s">
        <v>171</v>
      </c>
      <c r="B111" s="53" t="s">
        <v>172</v>
      </c>
      <c r="C111" s="34">
        <f>[11]С4.3!E19</f>
        <v>26.27</v>
      </c>
    </row>
    <row r="112" spans="1:3">
      <c r="A112" s="59" t="s">
        <v>173</v>
      </c>
      <c r="B112" s="58" t="s">
        <v>174</v>
      </c>
      <c r="C112" s="34">
        <f>[11]С4.3!E11</f>
        <v>1871</v>
      </c>
    </row>
    <row r="113" spans="1:3">
      <c r="A113" s="59" t="s">
        <v>175</v>
      </c>
      <c r="B113" s="58" t="s">
        <v>176</v>
      </c>
      <c r="C113" s="52">
        <f>[11]С4.3!E12</f>
        <v>1636</v>
      </c>
    </row>
    <row r="114" spans="1:3">
      <c r="A114" s="59" t="s">
        <v>177</v>
      </c>
      <c r="B114" s="58" t="s">
        <v>178</v>
      </c>
      <c r="C114" s="52">
        <f>[11]С4.3!E13</f>
        <v>204</v>
      </c>
    </row>
    <row r="115" spans="1:3" ht="30">
      <c r="A115" s="59" t="s">
        <v>179</v>
      </c>
      <c r="B115" s="33" t="s">
        <v>180</v>
      </c>
      <c r="C115" s="34">
        <f>[11]С4!F27</f>
        <v>1038.565361974559</v>
      </c>
    </row>
    <row r="116" spans="1:3" ht="25.5">
      <c r="A116" s="59" t="s">
        <v>181</v>
      </c>
      <c r="B116" s="53" t="s">
        <v>182</v>
      </c>
      <c r="C116" s="34">
        <f>[11]С4!F28</f>
        <v>797.66924882838634</v>
      </c>
    </row>
    <row r="117" spans="1:3" ht="42.75">
      <c r="A117" s="59" t="s">
        <v>183</v>
      </c>
      <c r="B117" s="53" t="s">
        <v>184</v>
      </c>
      <c r="C117" s="34">
        <f>[11]С4!F29</f>
        <v>240.89611314617269</v>
      </c>
    </row>
    <row r="118" spans="1:3" ht="30">
      <c r="A118" s="59" t="s">
        <v>185</v>
      </c>
      <c r="B118" s="39" t="s">
        <v>186</v>
      </c>
      <c r="C118" s="34">
        <f>[11]С4!F30</f>
        <v>2244.6603616228813</v>
      </c>
    </row>
    <row r="119" spans="1:3" ht="42.75">
      <c r="A119" s="59" t="s">
        <v>187</v>
      </c>
      <c r="B119" s="86" t="s">
        <v>188</v>
      </c>
      <c r="C119" s="34">
        <f>[11]С4!F33</f>
        <v>1531.2176962802957</v>
      </c>
    </row>
    <row r="120" spans="1:3" ht="30">
      <c r="A120" s="59" t="s">
        <v>189</v>
      </c>
      <c r="B120" s="87" t="s">
        <v>190</v>
      </c>
      <c r="C120" s="34">
        <f>[11]С4!F35</f>
        <v>17.040680999999999</v>
      </c>
    </row>
    <row r="121" spans="1:3" ht="14.25">
      <c r="A121" s="59" t="s">
        <v>191</v>
      </c>
      <c r="B121" s="56" t="s">
        <v>192</v>
      </c>
      <c r="C121" s="34">
        <f>[11]С4!F36</f>
        <v>14319.9</v>
      </c>
    </row>
    <row r="122" spans="1:3" ht="28.5" thickBot="1">
      <c r="A122" s="72" t="s">
        <v>193</v>
      </c>
      <c r="B122" s="88" t="s">
        <v>194</v>
      </c>
      <c r="C122" s="83">
        <f>[11]С4!F37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[11]С5!F17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[11]С2!F37</f>
        <v>20.818139999999996</v>
      </c>
    </row>
    <row r="136" spans="1:4" ht="14.25">
      <c r="A136" s="59" t="s">
        <v>216</v>
      </c>
      <c r="B136" s="101" t="s">
        <v>217</v>
      </c>
      <c r="C136" s="34">
        <f>[11]С2!F38</f>
        <v>7</v>
      </c>
    </row>
    <row r="137" spans="1:4" ht="17.25">
      <c r="A137" s="59" t="s">
        <v>218</v>
      </c>
      <c r="B137" s="101" t="s">
        <v>219</v>
      </c>
      <c r="C137" s="34">
        <f>[11]С2!F40</f>
        <v>0.97</v>
      </c>
    </row>
    <row r="138" spans="1:4" ht="15" thickBot="1">
      <c r="A138" s="72" t="s">
        <v>220</v>
      </c>
      <c r="B138" s="102" t="s">
        <v>221</v>
      </c>
      <c r="C138" s="46">
        <f>[11]С2!F42</f>
        <v>0.35</v>
      </c>
    </row>
    <row r="139" spans="1:4" s="89" customFormat="1" ht="13.5" thickBot="1">
      <c r="A139" s="47"/>
      <c r="B139" s="75"/>
      <c r="C139" s="15"/>
    </row>
    <row r="140" spans="1:4" ht="30">
      <c r="A140" s="84" t="s">
        <v>222</v>
      </c>
      <c r="B140" s="103" t="s">
        <v>223</v>
      </c>
      <c r="C140" s="104">
        <f>[11]С2!F35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[11]С2.5!$E$11</f>
        <v>-2.9000000000000026E-2</v>
      </c>
      <c r="D143" s="89"/>
    </row>
    <row r="144" spans="1:4">
      <c r="A144" s="105"/>
      <c r="B144" s="110">
        <f>B143+1</f>
        <v>2021</v>
      </c>
      <c r="C144" s="111">
        <f>[11]С2.5!$F$11</f>
        <v>0.245</v>
      </c>
      <c r="D144" s="89"/>
    </row>
    <row r="145" spans="1:4">
      <c r="A145" s="105"/>
      <c r="B145" s="110">
        <f t="shared" ref="B145:B208" si="0">B144+1</f>
        <v>2022</v>
      </c>
      <c r="C145" s="111">
        <f>[11]С2.5!$G$11</f>
        <v>0.121</v>
      </c>
      <c r="D145" s="89"/>
    </row>
    <row r="146" spans="1:4" ht="13.5" thickBot="1">
      <c r="A146" s="105"/>
      <c r="B146" s="112">
        <f t="shared" si="0"/>
        <v>2023</v>
      </c>
      <c r="C146" s="113">
        <f>[11]С2.5!$H$11</f>
        <v>0.02</v>
      </c>
      <c r="D146" s="89"/>
    </row>
    <row r="147" spans="1:4" hidden="1">
      <c r="A147" s="105"/>
      <c r="B147" s="114">
        <f t="shared" si="0"/>
        <v>2024</v>
      </c>
      <c r="C147" s="115">
        <f>[11]С2.5!$I$11</f>
        <v>-2.93E-2</v>
      </c>
      <c r="D147" s="89"/>
    </row>
    <row r="148" spans="1:4" hidden="1">
      <c r="A148" s="105"/>
      <c r="B148" s="110">
        <f t="shared" si="0"/>
        <v>2025</v>
      </c>
      <c r="C148" s="111">
        <f>[11]С2.5!$J$11</f>
        <v>0.21215960863291</v>
      </c>
      <c r="D148" s="89"/>
    </row>
    <row r="149" spans="1:4" hidden="1">
      <c r="A149" s="105"/>
      <c r="B149" s="110">
        <f t="shared" si="0"/>
        <v>2026</v>
      </c>
      <c r="C149" s="111">
        <f>[11]С2.5!$K$11</f>
        <v>3.5813361771260002E-2</v>
      </c>
      <c r="D149" s="89"/>
    </row>
    <row r="150" spans="1:4" hidden="1">
      <c r="A150" s="105"/>
      <c r="B150" s="110">
        <f t="shared" si="0"/>
        <v>2027</v>
      </c>
      <c r="C150" s="111">
        <f>[11]С2.5!$L$11</f>
        <v>3.2682303599220003E-2</v>
      </c>
      <c r="D150" s="89"/>
    </row>
    <row r="151" spans="1:4" hidden="1">
      <c r="A151" s="105"/>
      <c r="B151" s="110">
        <f t="shared" si="0"/>
        <v>2028</v>
      </c>
      <c r="C151" s="111">
        <f>[11]С2.5!$M$11</f>
        <v>0</v>
      </c>
      <c r="D151" s="89"/>
    </row>
    <row r="152" spans="1:4" hidden="1">
      <c r="A152" s="105"/>
      <c r="B152" s="110">
        <f t="shared" si="0"/>
        <v>2029</v>
      </c>
      <c r="C152" s="111">
        <f>[11]С2.5!$N$11</f>
        <v>0</v>
      </c>
      <c r="D152" s="89"/>
    </row>
    <row r="153" spans="1:4" hidden="1">
      <c r="A153" s="105"/>
      <c r="B153" s="110">
        <f t="shared" si="0"/>
        <v>2030</v>
      </c>
      <c r="C153" s="111">
        <f>[11]С2.5!$O$11</f>
        <v>0</v>
      </c>
      <c r="D153" s="89"/>
    </row>
    <row r="154" spans="1:4" hidden="1">
      <c r="A154" s="105"/>
      <c r="B154" s="110">
        <f t="shared" si="0"/>
        <v>2031</v>
      </c>
      <c r="C154" s="111">
        <f>[11]С2.5!$P$11</f>
        <v>0</v>
      </c>
      <c r="D154" s="89"/>
    </row>
    <row r="155" spans="1:4" hidden="1">
      <c r="A155" s="89"/>
      <c r="B155" s="110">
        <f t="shared" si="0"/>
        <v>2032</v>
      </c>
      <c r="C155" s="111">
        <f>[11]С2.5!$Q$11</f>
        <v>0</v>
      </c>
      <c r="D155" s="89"/>
    </row>
    <row r="156" spans="1:4" hidden="1">
      <c r="A156" s="89"/>
      <c r="B156" s="110">
        <f t="shared" si="0"/>
        <v>2033</v>
      </c>
      <c r="C156" s="111">
        <f>[11]С2.5!$R$11</f>
        <v>0</v>
      </c>
      <c r="D156" s="89"/>
    </row>
    <row r="157" spans="1:4" hidden="1">
      <c r="B157" s="110">
        <f t="shared" si="0"/>
        <v>2034</v>
      </c>
      <c r="C157" s="111">
        <f>[11]С2.5!$S$11</f>
        <v>0</v>
      </c>
    </row>
    <row r="158" spans="1:4" hidden="1">
      <c r="B158" s="110">
        <f t="shared" si="0"/>
        <v>2035</v>
      </c>
      <c r="C158" s="111">
        <f>[11]С2.5!$T$11</f>
        <v>0</v>
      </c>
    </row>
    <row r="159" spans="1:4" hidden="1">
      <c r="B159" s="110">
        <f t="shared" si="0"/>
        <v>2036</v>
      </c>
      <c r="C159" s="111">
        <f>[11]С2.5!$U$11</f>
        <v>0</v>
      </c>
    </row>
    <row r="160" spans="1:4" hidden="1">
      <c r="B160" s="110">
        <f t="shared" si="0"/>
        <v>2037</v>
      </c>
      <c r="C160" s="111">
        <f>[11]С2.5!$V$11</f>
        <v>0</v>
      </c>
    </row>
    <row r="161" spans="2:3" hidden="1">
      <c r="B161" s="110">
        <f t="shared" si="0"/>
        <v>2038</v>
      </c>
      <c r="C161" s="111">
        <f>[11]С2.5!$W$11</f>
        <v>0</v>
      </c>
    </row>
    <row r="162" spans="2:3" hidden="1">
      <c r="B162" s="110">
        <f t="shared" si="0"/>
        <v>2039</v>
      </c>
      <c r="C162" s="111">
        <f>[11]С2.5!$X$11</f>
        <v>0</v>
      </c>
    </row>
    <row r="163" spans="2:3" hidden="1">
      <c r="B163" s="110">
        <f t="shared" si="0"/>
        <v>2040</v>
      </c>
      <c r="C163" s="111">
        <f>[11]С2.5!$Y$11</f>
        <v>0</v>
      </c>
    </row>
    <row r="164" spans="2:3" hidden="1">
      <c r="B164" s="110">
        <f t="shared" si="0"/>
        <v>2041</v>
      </c>
      <c r="C164" s="111">
        <f>[11]С2.5!$Z$11</f>
        <v>0</v>
      </c>
    </row>
    <row r="165" spans="2:3" hidden="1">
      <c r="B165" s="110">
        <f t="shared" si="0"/>
        <v>2042</v>
      </c>
      <c r="C165" s="111">
        <f>[11]С2.5!$AA$11</f>
        <v>0</v>
      </c>
    </row>
    <row r="166" spans="2:3" hidden="1">
      <c r="B166" s="110">
        <f t="shared" si="0"/>
        <v>2043</v>
      </c>
      <c r="C166" s="111">
        <f>[11]С2.5!$AB$11</f>
        <v>0</v>
      </c>
    </row>
    <row r="167" spans="2:3" hidden="1">
      <c r="B167" s="110">
        <f t="shared" si="0"/>
        <v>2044</v>
      </c>
      <c r="C167" s="111">
        <f>[11]С2.5!$AC$11</f>
        <v>0</v>
      </c>
    </row>
    <row r="168" spans="2:3" hidden="1">
      <c r="B168" s="110">
        <f t="shared" si="0"/>
        <v>2045</v>
      </c>
      <c r="C168" s="111">
        <f>[11]С2.5!$AD$11</f>
        <v>0</v>
      </c>
    </row>
    <row r="169" spans="2:3" hidden="1">
      <c r="B169" s="110">
        <f t="shared" si="0"/>
        <v>2046</v>
      </c>
      <c r="C169" s="111">
        <f>[11]С2.5!$AE$11</f>
        <v>0</v>
      </c>
    </row>
    <row r="170" spans="2:3" hidden="1">
      <c r="B170" s="110">
        <f t="shared" si="0"/>
        <v>2047</v>
      </c>
      <c r="C170" s="111">
        <f>[11]С2.5!$AF$11</f>
        <v>0</v>
      </c>
    </row>
    <row r="171" spans="2:3" hidden="1">
      <c r="B171" s="110">
        <f t="shared" si="0"/>
        <v>2048</v>
      </c>
      <c r="C171" s="111">
        <f>[11]С2.5!$AG$11</f>
        <v>0</v>
      </c>
    </row>
    <row r="172" spans="2:3" hidden="1">
      <c r="B172" s="110">
        <f t="shared" si="0"/>
        <v>2049</v>
      </c>
      <c r="C172" s="111">
        <f>[11]С2.5!$AH$11</f>
        <v>0</v>
      </c>
    </row>
    <row r="173" spans="2:3" hidden="1">
      <c r="B173" s="110">
        <f t="shared" si="0"/>
        <v>2050</v>
      </c>
      <c r="C173" s="111">
        <f>[11]С2.5!$AI$11</f>
        <v>0</v>
      </c>
    </row>
    <row r="174" spans="2:3" hidden="1">
      <c r="B174" s="110">
        <f t="shared" si="0"/>
        <v>2051</v>
      </c>
      <c r="C174" s="111">
        <f>[11]С2.5!$AJ$11</f>
        <v>0</v>
      </c>
    </row>
    <row r="175" spans="2:3" hidden="1">
      <c r="B175" s="110">
        <f t="shared" si="0"/>
        <v>2052</v>
      </c>
      <c r="C175" s="111">
        <f>[11]С2.5!$AK$11</f>
        <v>0</v>
      </c>
    </row>
    <row r="176" spans="2:3" hidden="1">
      <c r="B176" s="110">
        <f t="shared" si="0"/>
        <v>2053</v>
      </c>
      <c r="C176" s="111">
        <f>[11]С2.5!$AL$11</f>
        <v>0</v>
      </c>
    </row>
    <row r="177" spans="2:3" hidden="1">
      <c r="B177" s="110">
        <f t="shared" si="0"/>
        <v>2054</v>
      </c>
      <c r="C177" s="111">
        <f>[11]С2.5!$AM$11</f>
        <v>0</v>
      </c>
    </row>
    <row r="178" spans="2:3" hidden="1">
      <c r="B178" s="110">
        <f t="shared" si="0"/>
        <v>2055</v>
      </c>
      <c r="C178" s="111">
        <f>[11]С2.5!$AN$11</f>
        <v>0</v>
      </c>
    </row>
    <row r="179" spans="2:3" hidden="1">
      <c r="B179" s="110">
        <f t="shared" si="0"/>
        <v>2056</v>
      </c>
      <c r="C179" s="111">
        <f>[11]С2.5!$AO$11</f>
        <v>0</v>
      </c>
    </row>
    <row r="180" spans="2:3" hidden="1">
      <c r="B180" s="110">
        <f t="shared" si="0"/>
        <v>2057</v>
      </c>
      <c r="C180" s="111">
        <f>[11]С2.5!$AP$11</f>
        <v>0</v>
      </c>
    </row>
    <row r="181" spans="2:3" hidden="1">
      <c r="B181" s="110">
        <f t="shared" si="0"/>
        <v>2058</v>
      </c>
      <c r="C181" s="111">
        <f>[11]С2.5!$AQ$11</f>
        <v>0</v>
      </c>
    </row>
    <row r="182" spans="2:3" hidden="1">
      <c r="B182" s="110">
        <f t="shared" si="0"/>
        <v>2059</v>
      </c>
      <c r="C182" s="111">
        <f>[11]С2.5!$AR$11</f>
        <v>0</v>
      </c>
    </row>
    <row r="183" spans="2:3" hidden="1">
      <c r="B183" s="110">
        <f t="shared" si="0"/>
        <v>2060</v>
      </c>
      <c r="C183" s="111">
        <f>[11]С2.5!$AS$11</f>
        <v>0</v>
      </c>
    </row>
    <row r="184" spans="2:3" hidden="1">
      <c r="B184" s="110">
        <f t="shared" si="0"/>
        <v>2061</v>
      </c>
      <c r="C184" s="111">
        <f>[11]С2.5!$AT$11</f>
        <v>0</v>
      </c>
    </row>
    <row r="185" spans="2:3" hidden="1">
      <c r="B185" s="110">
        <f t="shared" si="0"/>
        <v>2062</v>
      </c>
      <c r="C185" s="111">
        <f>[11]С2.5!$AU$11</f>
        <v>0</v>
      </c>
    </row>
    <row r="186" spans="2:3" hidden="1">
      <c r="B186" s="110">
        <f t="shared" si="0"/>
        <v>2063</v>
      </c>
      <c r="C186" s="111">
        <f>[11]С2.5!$AV$11</f>
        <v>0</v>
      </c>
    </row>
    <row r="187" spans="2:3" hidden="1">
      <c r="B187" s="110">
        <f t="shared" si="0"/>
        <v>2064</v>
      </c>
      <c r="C187" s="111">
        <f>[11]С2.5!$AW$11</f>
        <v>0</v>
      </c>
    </row>
    <row r="188" spans="2:3" hidden="1">
      <c r="B188" s="110">
        <f t="shared" si="0"/>
        <v>2065</v>
      </c>
      <c r="C188" s="111">
        <f>[11]С2.5!$AX$11</f>
        <v>0</v>
      </c>
    </row>
    <row r="189" spans="2:3" hidden="1">
      <c r="B189" s="110">
        <f t="shared" si="0"/>
        <v>2066</v>
      </c>
      <c r="C189" s="111">
        <f>[11]С2.5!$AY$11</f>
        <v>0</v>
      </c>
    </row>
    <row r="190" spans="2:3" hidden="1">
      <c r="B190" s="110">
        <f t="shared" si="0"/>
        <v>2067</v>
      </c>
      <c r="C190" s="111">
        <f>[11]С2.5!$AZ$11</f>
        <v>0</v>
      </c>
    </row>
    <row r="191" spans="2:3" hidden="1">
      <c r="B191" s="110">
        <f t="shared" si="0"/>
        <v>2068</v>
      </c>
      <c r="C191" s="111">
        <f>[11]С2.5!$BA$11</f>
        <v>0</v>
      </c>
    </row>
    <row r="192" spans="2:3" hidden="1">
      <c r="B192" s="110">
        <f t="shared" si="0"/>
        <v>2069</v>
      </c>
      <c r="C192" s="111">
        <f>[11]С2.5!$BB$11</f>
        <v>0</v>
      </c>
    </row>
    <row r="193" spans="2:3" hidden="1">
      <c r="B193" s="110">
        <f t="shared" si="0"/>
        <v>2070</v>
      </c>
      <c r="C193" s="111">
        <f>[11]С2.5!$BC$11</f>
        <v>0</v>
      </c>
    </row>
    <row r="194" spans="2:3" hidden="1">
      <c r="B194" s="110">
        <f t="shared" si="0"/>
        <v>2071</v>
      </c>
      <c r="C194" s="111">
        <f>[11]С2.5!$BD$11</f>
        <v>0</v>
      </c>
    </row>
    <row r="195" spans="2:3" hidden="1">
      <c r="B195" s="110">
        <f t="shared" si="0"/>
        <v>2072</v>
      </c>
      <c r="C195" s="111">
        <f>[11]С2.5!$BE$11</f>
        <v>0</v>
      </c>
    </row>
    <row r="196" spans="2:3" hidden="1">
      <c r="B196" s="110">
        <f t="shared" si="0"/>
        <v>2073</v>
      </c>
      <c r="C196" s="111">
        <f>[11]С2.5!$BF$11</f>
        <v>0</v>
      </c>
    </row>
    <row r="197" spans="2:3" hidden="1">
      <c r="B197" s="110">
        <f t="shared" si="0"/>
        <v>2074</v>
      </c>
      <c r="C197" s="111">
        <f>[11]С2.5!$BG$11</f>
        <v>0</v>
      </c>
    </row>
    <row r="198" spans="2:3" hidden="1">
      <c r="B198" s="110">
        <f t="shared" si="0"/>
        <v>2075</v>
      </c>
      <c r="C198" s="111">
        <f>[11]С2.5!$BH$11</f>
        <v>0</v>
      </c>
    </row>
    <row r="199" spans="2:3" hidden="1">
      <c r="B199" s="110">
        <f t="shared" si="0"/>
        <v>2076</v>
      </c>
      <c r="C199" s="111">
        <f>[11]С2.5!$BI$11</f>
        <v>0</v>
      </c>
    </row>
    <row r="200" spans="2:3" hidden="1">
      <c r="B200" s="110">
        <f t="shared" si="0"/>
        <v>2077</v>
      </c>
      <c r="C200" s="111">
        <f>[11]С2.5!$BJ$11</f>
        <v>0</v>
      </c>
    </row>
    <row r="201" spans="2:3" hidden="1">
      <c r="B201" s="110">
        <f t="shared" si="0"/>
        <v>2078</v>
      </c>
      <c r="C201" s="111">
        <f>[11]С2.5!$BK$11</f>
        <v>0</v>
      </c>
    </row>
    <row r="202" spans="2:3" hidden="1">
      <c r="B202" s="110">
        <f t="shared" si="0"/>
        <v>2079</v>
      </c>
      <c r="C202" s="111">
        <f>[11]С2.5!$BL$11</f>
        <v>0</v>
      </c>
    </row>
    <row r="203" spans="2:3" hidden="1">
      <c r="B203" s="110">
        <f t="shared" si="0"/>
        <v>2080</v>
      </c>
      <c r="C203" s="111">
        <f>[11]С2.5!$BM$11</f>
        <v>0</v>
      </c>
    </row>
    <row r="204" spans="2:3" hidden="1">
      <c r="B204" s="110">
        <f t="shared" si="0"/>
        <v>2081</v>
      </c>
      <c r="C204" s="111">
        <f>[11]С2.5!$BN$11</f>
        <v>0</v>
      </c>
    </row>
    <row r="205" spans="2:3" hidden="1">
      <c r="B205" s="110">
        <f t="shared" si="0"/>
        <v>2082</v>
      </c>
      <c r="C205" s="111">
        <f>[11]С2.5!$BO$11</f>
        <v>0</v>
      </c>
    </row>
    <row r="206" spans="2:3" hidden="1">
      <c r="B206" s="110">
        <f t="shared" si="0"/>
        <v>2083</v>
      </c>
      <c r="C206" s="111">
        <f>[11]С2.5!$BP$11</f>
        <v>0</v>
      </c>
    </row>
    <row r="207" spans="2:3" hidden="1">
      <c r="B207" s="110">
        <f t="shared" si="0"/>
        <v>2084</v>
      </c>
      <c r="C207" s="111">
        <f>[11]С2.5!$BQ$11</f>
        <v>0</v>
      </c>
    </row>
    <row r="208" spans="2:3" hidden="1">
      <c r="B208" s="110">
        <f t="shared" si="0"/>
        <v>2085</v>
      </c>
      <c r="C208" s="111">
        <f>[11]С2.5!$BR$11</f>
        <v>0</v>
      </c>
    </row>
    <row r="209" spans="2:3" hidden="1">
      <c r="B209" s="110">
        <f t="shared" ref="B209:B223" si="1">B208+1</f>
        <v>2086</v>
      </c>
      <c r="C209" s="111">
        <f>[11]С2.5!$BS$11</f>
        <v>0</v>
      </c>
    </row>
    <row r="210" spans="2:3" hidden="1">
      <c r="B210" s="110">
        <f t="shared" si="1"/>
        <v>2087</v>
      </c>
      <c r="C210" s="111">
        <f>[11]С2.5!$BT$11</f>
        <v>0</v>
      </c>
    </row>
    <row r="211" spans="2:3" hidden="1">
      <c r="B211" s="110">
        <f t="shared" si="1"/>
        <v>2088</v>
      </c>
      <c r="C211" s="111">
        <f>[11]С2.5!$BU$11</f>
        <v>0</v>
      </c>
    </row>
    <row r="212" spans="2:3" hidden="1">
      <c r="B212" s="110">
        <f t="shared" si="1"/>
        <v>2089</v>
      </c>
      <c r="C212" s="111">
        <f>[11]С2.5!$BV$11</f>
        <v>0</v>
      </c>
    </row>
    <row r="213" spans="2:3" hidden="1">
      <c r="B213" s="110">
        <f t="shared" si="1"/>
        <v>2090</v>
      </c>
      <c r="C213" s="111">
        <f>[11]С2.5!$BW$11</f>
        <v>0</v>
      </c>
    </row>
    <row r="214" spans="2:3" hidden="1">
      <c r="B214" s="110">
        <f t="shared" si="1"/>
        <v>2091</v>
      </c>
      <c r="C214" s="111">
        <f>[11]С2.5!$BX$11</f>
        <v>0</v>
      </c>
    </row>
    <row r="215" spans="2:3" hidden="1">
      <c r="B215" s="110">
        <f t="shared" si="1"/>
        <v>2092</v>
      </c>
      <c r="C215" s="111">
        <f>[11]С2.5!$BY$11</f>
        <v>0</v>
      </c>
    </row>
    <row r="216" spans="2:3" hidden="1">
      <c r="B216" s="110">
        <f t="shared" si="1"/>
        <v>2093</v>
      </c>
      <c r="C216" s="111">
        <f>[11]С2.5!$BZ$11</f>
        <v>0</v>
      </c>
    </row>
    <row r="217" spans="2:3" hidden="1">
      <c r="B217" s="110">
        <f t="shared" si="1"/>
        <v>2094</v>
      </c>
      <c r="C217" s="111">
        <f>[11]С2.5!$CA$11</f>
        <v>0</v>
      </c>
    </row>
    <row r="218" spans="2:3" hidden="1">
      <c r="B218" s="110">
        <f t="shared" si="1"/>
        <v>2095</v>
      </c>
      <c r="C218" s="111">
        <f>[11]С2.5!$CB$11</f>
        <v>0</v>
      </c>
    </row>
    <row r="219" spans="2:3" hidden="1">
      <c r="B219" s="110">
        <f t="shared" si="1"/>
        <v>2096</v>
      </c>
      <c r="C219" s="111">
        <f>[11]С2.5!$CC$11</f>
        <v>0</v>
      </c>
    </row>
    <row r="220" spans="2:3" hidden="1">
      <c r="B220" s="110">
        <f t="shared" si="1"/>
        <v>2097</v>
      </c>
      <c r="C220" s="111">
        <f>[11]С2.5!$CD$11</f>
        <v>0</v>
      </c>
    </row>
    <row r="221" spans="2:3" hidden="1">
      <c r="B221" s="110">
        <f t="shared" si="1"/>
        <v>2098</v>
      </c>
      <c r="C221" s="111">
        <f>[11]С2.5!$CE$11</f>
        <v>0</v>
      </c>
    </row>
    <row r="222" spans="2:3" hidden="1">
      <c r="B222" s="110">
        <f t="shared" si="1"/>
        <v>2099</v>
      </c>
      <c r="C222" s="111">
        <f>[11]С2.5!$CF$11</f>
        <v>0</v>
      </c>
    </row>
    <row r="223" spans="2:3" ht="13.5" hidden="1" thickBot="1">
      <c r="B223" s="112">
        <f t="shared" si="1"/>
        <v>2100</v>
      </c>
      <c r="C223" s="113">
        <f>[11]С2.5!$CG$11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[12]И1!D13</f>
        <v>Субъект Российской Федерации</v>
      </c>
      <c r="C4" s="10" t="str">
        <f>[12]И1!E13</f>
        <v>Новосибирская область</v>
      </c>
    </row>
    <row r="5" spans="1:3" ht="38.25">
      <c r="A5" s="8"/>
      <c r="B5" s="9" t="str">
        <f>[12]И1!D14</f>
        <v>Тип муниципального образования (выберите из списка)</v>
      </c>
      <c r="C5" s="10" t="str">
        <f>[12]И1!E14</f>
        <v>село Нижний Чулым, Здвинский муниципальный район</v>
      </c>
    </row>
    <row r="6" spans="1:3">
      <c r="A6" s="8"/>
      <c r="B6" s="9" t="str">
        <f>IF([12]И1!E15="","",[12]И1!D15)</f>
        <v/>
      </c>
      <c r="C6" s="10" t="str">
        <f>IF([12]И1!E15="","",[12]И1!E15)</f>
        <v/>
      </c>
    </row>
    <row r="7" spans="1:3">
      <c r="A7" s="8"/>
      <c r="B7" s="9" t="str">
        <f>[12]И1!D16</f>
        <v>Код ОКТМО</v>
      </c>
      <c r="C7" s="11" t="str">
        <f>[12]И1!E16</f>
        <v>50613413101</v>
      </c>
    </row>
    <row r="8" spans="1:3">
      <c r="A8" s="8"/>
      <c r="B8" s="12" t="str">
        <f>[12]И1!D17</f>
        <v>Система теплоснабжения</v>
      </c>
      <c r="C8" s="13">
        <f>[12]И1!E17</f>
        <v>0</v>
      </c>
    </row>
    <row r="9" spans="1:3">
      <c r="A9" s="8"/>
      <c r="B9" s="9" t="str">
        <f>[12]И1!D8</f>
        <v>Период регулирования (i)-й</v>
      </c>
      <c r="C9" s="14">
        <f>[12]И1!E8</f>
        <v>2023</v>
      </c>
    </row>
    <row r="10" spans="1:3">
      <c r="A10" s="8"/>
      <c r="B10" s="9" t="str">
        <f>[12]И1!D9</f>
        <v>Период регулирования (i-1)-й</v>
      </c>
      <c r="C10" s="14">
        <f>[12]И1!E9</f>
        <v>2022</v>
      </c>
    </row>
    <row r="11" spans="1:3">
      <c r="A11" s="8"/>
      <c r="B11" s="9" t="str">
        <f>[12]И1!D10</f>
        <v>Период регулирования (i-2)-й</v>
      </c>
      <c r="C11" s="14">
        <f>[12]И1!E10</f>
        <v>2021</v>
      </c>
    </row>
    <row r="12" spans="1:3">
      <c r="A12" s="8"/>
      <c r="B12" s="9" t="str">
        <f>[12]И1!D11</f>
        <v>Базовый год (б)</v>
      </c>
      <c r="C12" s="14">
        <f>[12]И1!E11</f>
        <v>2019</v>
      </c>
    </row>
    <row r="13" spans="1:3" ht="38.25">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4166.9551854917609</v>
      </c>
    </row>
    <row r="18" spans="1:3" ht="42.75">
      <c r="A18" s="22" t="s">
        <v>8</v>
      </c>
      <c r="B18" s="25" t="s">
        <v>9</v>
      </c>
      <c r="C18" s="26">
        <f>[12]С1!F12</f>
        <v>1059.5985179566328</v>
      </c>
    </row>
    <row r="19" spans="1:3" ht="42.75">
      <c r="A19" s="22" t="s">
        <v>10</v>
      </c>
      <c r="B19" s="25" t="s">
        <v>11</v>
      </c>
      <c r="C19" s="26">
        <f>[12]С2!F12</f>
        <v>2101.7757879094611</v>
      </c>
    </row>
    <row r="20" spans="1:3" ht="30">
      <c r="A20" s="22" t="s">
        <v>12</v>
      </c>
      <c r="B20" s="25" t="s">
        <v>13</v>
      </c>
      <c r="C20" s="26">
        <f>[12]С3!F12</f>
        <v>502.69420058623905</v>
      </c>
    </row>
    <row r="21" spans="1:3" ht="42.75">
      <c r="A21" s="22" t="s">
        <v>14</v>
      </c>
      <c r="B21" s="25" t="s">
        <v>15</v>
      </c>
      <c r="C21" s="26">
        <f>[12]С4!F12</f>
        <v>421.18167540233378</v>
      </c>
    </row>
    <row r="22" spans="1:3" ht="30">
      <c r="A22" s="22" t="s">
        <v>16</v>
      </c>
      <c r="B22" s="25" t="s">
        <v>17</v>
      </c>
      <c r="C22" s="26">
        <f>[12]С5!F12</f>
        <v>81.705003637093341</v>
      </c>
    </row>
    <row r="23" spans="1:3" ht="43.5" thickBot="1">
      <c r="A23" s="27" t="s">
        <v>18</v>
      </c>
      <c r="B23" s="117" t="s">
        <v>19</v>
      </c>
      <c r="C23" s="28" t="str">
        <f>[12]С6!F12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[12]С1.1!E16</f>
        <v>5100</v>
      </c>
    </row>
    <row r="29" spans="1:3" ht="42.75">
      <c r="A29" s="22" t="s">
        <v>10</v>
      </c>
      <c r="B29" s="33" t="s">
        <v>22</v>
      </c>
      <c r="C29" s="34">
        <f>[12]С1.1!E27</f>
        <v>2849.0833333333335</v>
      </c>
    </row>
    <row r="30" spans="1:3" ht="17.25">
      <c r="A30" s="22" t="s">
        <v>12</v>
      </c>
      <c r="B30" s="33" t="s">
        <v>23</v>
      </c>
      <c r="C30" s="35">
        <f>[12]С1.1!E19</f>
        <v>0.59499999999999997</v>
      </c>
    </row>
    <row r="31" spans="1:3" ht="17.25">
      <c r="A31" s="22" t="s">
        <v>14</v>
      </c>
      <c r="B31" s="33" t="s">
        <v>24</v>
      </c>
      <c r="C31" s="35">
        <f>[12]С1.1!E20</f>
        <v>-0.113</v>
      </c>
    </row>
    <row r="32" spans="1:3" ht="30">
      <c r="A32" s="22" t="s">
        <v>16</v>
      </c>
      <c r="B32" s="36" t="s">
        <v>25</v>
      </c>
      <c r="C32" s="37">
        <f>[12]С1!F13</f>
        <v>176.4</v>
      </c>
    </row>
    <row r="33" spans="1:3">
      <c r="A33" s="22" t="s">
        <v>18</v>
      </c>
      <c r="B33" s="36" t="s">
        <v>26</v>
      </c>
      <c r="C33" s="38">
        <f>[12]С1!F16</f>
        <v>7000</v>
      </c>
    </row>
    <row r="34" spans="1:3" ht="14.25">
      <c r="A34" s="22" t="s">
        <v>27</v>
      </c>
      <c r="B34" s="39" t="s">
        <v>28</v>
      </c>
      <c r="C34" s="40">
        <f>[12]С1!F17</f>
        <v>0.72857142857142854</v>
      </c>
    </row>
    <row r="35" spans="1:3" ht="15.75">
      <c r="A35" s="41" t="s">
        <v>29</v>
      </c>
      <c r="B35" s="42" t="s">
        <v>30</v>
      </c>
      <c r="C35" s="40">
        <f>[12]С1!F20</f>
        <v>21.588411179999994</v>
      </c>
    </row>
    <row r="36" spans="1:3" ht="15.75">
      <c r="A36" s="41" t="s">
        <v>31</v>
      </c>
      <c r="B36" s="43" t="s">
        <v>32</v>
      </c>
      <c r="C36" s="40">
        <f>[12]С1!F21</f>
        <v>20.818139999999996</v>
      </c>
    </row>
    <row r="37" spans="1:3" ht="14.25">
      <c r="A37" s="41" t="s">
        <v>33</v>
      </c>
      <c r="B37" s="44" t="s">
        <v>34</v>
      </c>
      <c r="C37" s="40">
        <f>[12]С1!F22</f>
        <v>1.0369999999999999</v>
      </c>
    </row>
    <row r="38" spans="1:3" ht="53.25" thickBot="1">
      <c r="A38" s="27" t="s">
        <v>35</v>
      </c>
      <c r="B38" s="45" t="s">
        <v>36</v>
      </c>
      <c r="C38" s="46">
        <f>[12]С1!F23</f>
        <v>1.0469999999999999</v>
      </c>
    </row>
    <row r="39" spans="1:3" ht="13.5" thickBot="1">
      <c r="A39" s="47"/>
      <c r="B39" s="48"/>
      <c r="C39" s="49"/>
    </row>
    <row r="40" spans="1:3" ht="30" customHeight="1">
      <c r="A40" s="50" t="s">
        <v>37</v>
      </c>
      <c r="B40" s="118" t="s">
        <v>38</v>
      </c>
      <c r="C40" s="118"/>
    </row>
    <row r="41" spans="1:3" ht="25.5">
      <c r="A41" s="22" t="s">
        <v>39</v>
      </c>
      <c r="B41" s="36" t="s">
        <v>40</v>
      </c>
      <c r="C41" s="51" t="str">
        <f>[12]С2.1!E12</f>
        <v>V</v>
      </c>
    </row>
    <row r="42" spans="1:3" ht="25.5">
      <c r="A42" s="22" t="s">
        <v>41</v>
      </c>
      <c r="B42" s="33" t="s">
        <v>42</v>
      </c>
      <c r="C42" s="51" t="str">
        <f>[12]С2.1!E13</f>
        <v>6 и менее баллов</v>
      </c>
    </row>
    <row r="43" spans="1:3" ht="25.5">
      <c r="A43" s="22" t="s">
        <v>43</v>
      </c>
      <c r="B43" s="33" t="s">
        <v>44</v>
      </c>
      <c r="C43" s="51" t="str">
        <f>[12]С2.1!E14</f>
        <v>от 200 до 500</v>
      </c>
    </row>
    <row r="44" spans="1:3" ht="25.5">
      <c r="A44" s="22" t="s">
        <v>45</v>
      </c>
      <c r="B44" s="33" t="s">
        <v>46</v>
      </c>
      <c r="C44" s="52" t="str">
        <f>[12]С2.1!E15</f>
        <v>нет</v>
      </c>
    </row>
    <row r="45" spans="1:3" ht="30">
      <c r="A45" s="22" t="s">
        <v>47</v>
      </c>
      <c r="B45" s="33" t="s">
        <v>48</v>
      </c>
      <c r="C45" s="34">
        <f>[12]С2!F18</f>
        <v>32402.627334033532</v>
      </c>
    </row>
    <row r="46" spans="1:3" ht="30">
      <c r="A46" s="22" t="s">
        <v>49</v>
      </c>
      <c r="B46" s="53" t="s">
        <v>50</v>
      </c>
      <c r="C46" s="34">
        <f>IF([12]С2!F19&gt;0,[12]С2!F19,[12]С2!F20)</f>
        <v>23441.524932855718</v>
      </c>
    </row>
    <row r="47" spans="1:3" ht="25.5">
      <c r="A47" s="22" t="s">
        <v>51</v>
      </c>
      <c r="B47" s="54" t="s">
        <v>52</v>
      </c>
      <c r="C47" s="34">
        <f>[12]С2.1!E19</f>
        <v>-38</v>
      </c>
    </row>
    <row r="48" spans="1:3" ht="25.5">
      <c r="A48" s="22" t="s">
        <v>53</v>
      </c>
      <c r="B48" s="54" t="s">
        <v>54</v>
      </c>
      <c r="C48" s="34" t="str">
        <f>[12]С2.1!E22</f>
        <v>нет</v>
      </c>
    </row>
    <row r="49" spans="1:3" ht="38.25">
      <c r="A49" s="22" t="s">
        <v>55</v>
      </c>
      <c r="B49" s="55" t="s">
        <v>56</v>
      </c>
      <c r="C49" s="34">
        <f>[12]С2.2!E10</f>
        <v>1287</v>
      </c>
    </row>
    <row r="50" spans="1:3" ht="25.5">
      <c r="A50" s="22" t="s">
        <v>57</v>
      </c>
      <c r="B50" s="56" t="s">
        <v>58</v>
      </c>
      <c r="C50" s="34">
        <f>[12]С2.2!E12</f>
        <v>5.97</v>
      </c>
    </row>
    <row r="51" spans="1:3" ht="52.5">
      <c r="A51" s="22" t="s">
        <v>59</v>
      </c>
      <c r="B51" s="57" t="s">
        <v>60</v>
      </c>
      <c r="C51" s="34">
        <f>[12]С2.2!E13</f>
        <v>1</v>
      </c>
    </row>
    <row r="52" spans="1:3" ht="27.75">
      <c r="A52" s="22" t="s">
        <v>61</v>
      </c>
      <c r="B52" s="56" t="s">
        <v>62</v>
      </c>
      <c r="C52" s="34">
        <f>[12]С2.2!E14</f>
        <v>12104</v>
      </c>
    </row>
    <row r="53" spans="1:3" ht="25.5">
      <c r="A53" s="22" t="s">
        <v>63</v>
      </c>
      <c r="B53" s="57" t="s">
        <v>64</v>
      </c>
      <c r="C53" s="35">
        <f>[12]С2.2!E15</f>
        <v>4.8000000000000001E-2</v>
      </c>
    </row>
    <row r="54" spans="1:3">
      <c r="A54" s="22" t="s">
        <v>65</v>
      </c>
      <c r="B54" s="57" t="s">
        <v>66</v>
      </c>
      <c r="C54" s="34">
        <f>[12]С2.2!E16</f>
        <v>1</v>
      </c>
    </row>
    <row r="55" spans="1:3" ht="15.75">
      <c r="A55" s="22" t="s">
        <v>67</v>
      </c>
      <c r="B55" s="58" t="s">
        <v>68</v>
      </c>
      <c r="C55" s="34">
        <f>[12]С2!F21</f>
        <v>1</v>
      </c>
    </row>
    <row r="56" spans="1:3" ht="30">
      <c r="A56" s="59" t="s">
        <v>69</v>
      </c>
      <c r="B56" s="33" t="s">
        <v>70</v>
      </c>
      <c r="C56" s="34">
        <f>[12]С2!F13</f>
        <v>169640.22915965237</v>
      </c>
    </row>
    <row r="57" spans="1:3" ht="30">
      <c r="A57" s="59" t="s">
        <v>71</v>
      </c>
      <c r="B57" s="58" t="s">
        <v>72</v>
      </c>
      <c r="C57" s="34">
        <f>[12]С2!F14</f>
        <v>113455</v>
      </c>
    </row>
    <row r="58" spans="1:3" ht="15.75">
      <c r="A58" s="59" t="s">
        <v>73</v>
      </c>
      <c r="B58" s="60" t="s">
        <v>74</v>
      </c>
      <c r="C58" s="40">
        <f>[12]С2!F15</f>
        <v>1.071</v>
      </c>
    </row>
    <row r="59" spans="1:3" ht="15.75">
      <c r="A59" s="59" t="s">
        <v>75</v>
      </c>
      <c r="B59" s="60" t="s">
        <v>76</v>
      </c>
      <c r="C59" s="40">
        <f>[12]С2!F16</f>
        <v>1</v>
      </c>
    </row>
    <row r="60" spans="1:3" ht="17.25">
      <c r="A60" s="59" t="s">
        <v>77</v>
      </c>
      <c r="B60" s="58" t="s">
        <v>78</v>
      </c>
      <c r="C60" s="34">
        <f>[12]С2!F17</f>
        <v>1.01</v>
      </c>
    </row>
    <row r="61" spans="1:3" s="63" customFormat="1" ht="14.25">
      <c r="A61" s="59" t="s">
        <v>79</v>
      </c>
      <c r="B61" s="61" t="s">
        <v>80</v>
      </c>
      <c r="C61" s="62">
        <f>[12]С2!F33</f>
        <v>10</v>
      </c>
    </row>
    <row r="62" spans="1:3" ht="30">
      <c r="A62" s="59" t="s">
        <v>81</v>
      </c>
      <c r="B62" s="64" t="s">
        <v>82</v>
      </c>
      <c r="C62" s="34">
        <f>[12]С2!F26</f>
        <v>637.93498622918537</v>
      </c>
    </row>
    <row r="63" spans="1:3" ht="17.25">
      <c r="A63" s="59" t="s">
        <v>83</v>
      </c>
      <c r="B63" s="53" t="s">
        <v>84</v>
      </c>
      <c r="C63" s="34">
        <f>[12]С2!F27</f>
        <v>0.10988357099999999</v>
      </c>
    </row>
    <row r="64" spans="1:3" ht="17.25">
      <c r="A64" s="59" t="s">
        <v>85</v>
      </c>
      <c r="B64" s="58" t="s">
        <v>86</v>
      </c>
      <c r="C64" s="62">
        <f>[12]С2!F28</f>
        <v>4200</v>
      </c>
    </row>
    <row r="65" spans="1:3" ht="42.75">
      <c r="A65" s="59" t="s">
        <v>87</v>
      </c>
      <c r="B65" s="33" t="s">
        <v>88</v>
      </c>
      <c r="C65" s="34">
        <f>[12]С2!F22</f>
        <v>35717.748653137714</v>
      </c>
    </row>
    <row r="66" spans="1:3" ht="30">
      <c r="A66" s="59" t="s">
        <v>89</v>
      </c>
      <c r="B66" s="60" t="s">
        <v>90</v>
      </c>
      <c r="C66" s="34">
        <f>[12]С2!F23</f>
        <v>1990</v>
      </c>
    </row>
    <row r="67" spans="1:3" ht="30">
      <c r="A67" s="59" t="s">
        <v>91</v>
      </c>
      <c r="B67" s="53" t="s">
        <v>92</v>
      </c>
      <c r="C67" s="34">
        <f>[12]С2.1!E27</f>
        <v>14307.876789999998</v>
      </c>
    </row>
    <row r="68" spans="1:3" ht="38.25">
      <c r="A68" s="59" t="s">
        <v>93</v>
      </c>
      <c r="B68" s="65" t="s">
        <v>94</v>
      </c>
      <c r="C68" s="52">
        <f>[12]С2.3!E21</f>
        <v>0</v>
      </c>
    </row>
    <row r="69" spans="1:3" ht="25.5">
      <c r="A69" s="59" t="s">
        <v>95</v>
      </c>
      <c r="B69" s="66" t="s">
        <v>96</v>
      </c>
      <c r="C69" s="67">
        <f>[12]С2.3!E11</f>
        <v>9.89</v>
      </c>
    </row>
    <row r="70" spans="1:3" ht="25.5">
      <c r="A70" s="59" t="s">
        <v>97</v>
      </c>
      <c r="B70" s="66" t="s">
        <v>98</v>
      </c>
      <c r="C70" s="62">
        <f>[12]С2.3!E13</f>
        <v>300</v>
      </c>
    </row>
    <row r="71" spans="1:3" ht="25.5">
      <c r="A71" s="59" t="s">
        <v>99</v>
      </c>
      <c r="B71" s="65" t="s">
        <v>100</v>
      </c>
      <c r="C71" s="68">
        <f>IF([12]С2.3!E22&gt;0,[12]С2.3!E22,[12]С2.3!E14)</f>
        <v>61211</v>
      </c>
    </row>
    <row r="72" spans="1:3" ht="38.25">
      <c r="A72" s="59" t="s">
        <v>101</v>
      </c>
      <c r="B72" s="65" t="s">
        <v>102</v>
      </c>
      <c r="C72" s="68">
        <f>IF([12]С2.3!E23&gt;0,[12]С2.3!E23,[12]С2.3!E15)</f>
        <v>45675</v>
      </c>
    </row>
    <row r="73" spans="1:3" ht="30">
      <c r="A73" s="59" t="s">
        <v>103</v>
      </c>
      <c r="B73" s="53" t="s">
        <v>104</v>
      </c>
      <c r="C73" s="34">
        <f>[12]С2.1!E28</f>
        <v>9541.9567200000001</v>
      </c>
    </row>
    <row r="74" spans="1:3" ht="38.25">
      <c r="A74" s="59" t="s">
        <v>105</v>
      </c>
      <c r="B74" s="65" t="s">
        <v>106</v>
      </c>
      <c r="C74" s="52">
        <f>[12]С2.3!E25</f>
        <v>0</v>
      </c>
    </row>
    <row r="75" spans="1:3" ht="25.5">
      <c r="A75" s="59" t="s">
        <v>107</v>
      </c>
      <c r="B75" s="66" t="s">
        <v>108</v>
      </c>
      <c r="C75" s="67">
        <f>[12]С2.3!E12</f>
        <v>0.56000000000000005</v>
      </c>
    </row>
    <row r="76" spans="1:3" ht="25.5">
      <c r="A76" s="59" t="s">
        <v>109</v>
      </c>
      <c r="B76" s="66" t="s">
        <v>98</v>
      </c>
      <c r="C76" s="62">
        <f>[12]С2.3!E13</f>
        <v>300</v>
      </c>
    </row>
    <row r="77" spans="1:3" ht="25.5">
      <c r="A77" s="59" t="s">
        <v>110</v>
      </c>
      <c r="B77" s="69" t="s">
        <v>111</v>
      </c>
      <c r="C77" s="68">
        <f>IF([12]С2.3!E26&gt;0,[12]С2.3!E26,[12]С2.3!E16)</f>
        <v>65637</v>
      </c>
    </row>
    <row r="78" spans="1:3" ht="38.25">
      <c r="A78" s="59" t="s">
        <v>112</v>
      </c>
      <c r="B78" s="69" t="s">
        <v>113</v>
      </c>
      <c r="C78" s="68">
        <f>IF([12]С2.3!E27&gt;0,[12]С2.3!E27,[12]С2.3!E17)</f>
        <v>31684</v>
      </c>
    </row>
    <row r="79" spans="1:3" ht="17.25">
      <c r="A79" s="59" t="s">
        <v>114</v>
      </c>
      <c r="B79" s="33" t="s">
        <v>115</v>
      </c>
      <c r="C79" s="35">
        <f>[12]С2!F29</f>
        <v>0.128978033685065</v>
      </c>
    </row>
    <row r="80" spans="1:3" ht="30">
      <c r="A80" s="59" t="s">
        <v>116</v>
      </c>
      <c r="B80" s="53" t="s">
        <v>117</v>
      </c>
      <c r="C80" s="70">
        <f>[12]С2!F30</f>
        <v>0.11668498168498169</v>
      </c>
    </row>
    <row r="81" spans="1:3" ht="17.25">
      <c r="A81" s="59" t="s">
        <v>118</v>
      </c>
      <c r="B81" s="71" t="s">
        <v>119</v>
      </c>
      <c r="C81" s="35">
        <f>[12]С2!F31</f>
        <v>0.13880000000000001</v>
      </c>
    </row>
    <row r="82" spans="1:3" s="63" customFormat="1" ht="18" thickBot="1">
      <c r="A82" s="72" t="s">
        <v>120</v>
      </c>
      <c r="B82" s="73" t="s">
        <v>121</v>
      </c>
      <c r="C82" s="74">
        <f>[12]С2!F32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[12]С3!F14</f>
        <v>6976.0888978803041</v>
      </c>
    </row>
    <row r="86" spans="1:3" s="63" customFormat="1" ht="42.75">
      <c r="A86" s="77" t="s">
        <v>126</v>
      </c>
      <c r="B86" s="53" t="s">
        <v>127</v>
      </c>
      <c r="C86" s="78">
        <f>[12]С3!F15</f>
        <v>0.2</v>
      </c>
    </row>
    <row r="87" spans="1:3" s="63" customFormat="1" ht="14.25">
      <c r="A87" s="77" t="s">
        <v>128</v>
      </c>
      <c r="B87" s="79" t="s">
        <v>129</v>
      </c>
      <c r="C87" s="62">
        <f>[12]С3!F18</f>
        <v>15</v>
      </c>
    </row>
    <row r="88" spans="1:3" s="63" customFormat="1" ht="17.25">
      <c r="A88" s="77" t="s">
        <v>130</v>
      </c>
      <c r="B88" s="33" t="s">
        <v>131</v>
      </c>
      <c r="C88" s="34">
        <f>[12]С3!F19</f>
        <v>3487.1555421534131</v>
      </c>
    </row>
    <row r="89" spans="1:3" s="63" customFormat="1" ht="55.5">
      <c r="A89" s="77" t="s">
        <v>132</v>
      </c>
      <c r="B89" s="53" t="s">
        <v>133</v>
      </c>
      <c r="C89" s="80">
        <f>[12]С3!F20</f>
        <v>2.1999999999999999E-2</v>
      </c>
    </row>
    <row r="90" spans="1:3" s="63" customFormat="1" ht="14.25">
      <c r="A90" s="77" t="s">
        <v>134</v>
      </c>
      <c r="B90" s="58" t="s">
        <v>80</v>
      </c>
      <c r="C90" s="62">
        <f>[12]С3!F21</f>
        <v>10</v>
      </c>
    </row>
    <row r="91" spans="1:3" s="63" customFormat="1" ht="17.25">
      <c r="A91" s="77" t="s">
        <v>135</v>
      </c>
      <c r="B91" s="33" t="s">
        <v>136</v>
      </c>
      <c r="C91" s="34">
        <f>[12]С3!F22</f>
        <v>1.9138049586875561</v>
      </c>
    </row>
    <row r="92" spans="1:3" s="63" customFormat="1" ht="55.5">
      <c r="A92" s="77" t="s">
        <v>137</v>
      </c>
      <c r="B92" s="53" t="s">
        <v>138</v>
      </c>
      <c r="C92" s="80">
        <f>[12]С3!F23</f>
        <v>3.0000000000000001E-3</v>
      </c>
    </row>
    <row r="93" spans="1:3" s="63" customFormat="1" ht="27.75" thickBot="1">
      <c r="A93" s="81" t="s">
        <v>139</v>
      </c>
      <c r="B93" s="82" t="s">
        <v>140</v>
      </c>
      <c r="C93" s="83">
        <f>[12]С3!F24</f>
        <v>637.93498622918537</v>
      </c>
    </row>
    <row r="94" spans="1:3" ht="13.5" thickBot="1">
      <c r="A94" s="47"/>
      <c r="B94" s="75"/>
      <c r="C94" s="15"/>
    </row>
    <row r="95" spans="1:3" ht="30" customHeight="1">
      <c r="A95" s="84" t="s">
        <v>141</v>
      </c>
      <c r="B95" s="118" t="s">
        <v>142</v>
      </c>
      <c r="C95" s="118"/>
    </row>
    <row r="96" spans="1:3" ht="30">
      <c r="A96" s="59" t="s">
        <v>143</v>
      </c>
      <c r="B96" s="33" t="s">
        <v>144</v>
      </c>
      <c r="C96" s="34">
        <f>[12]С4!F16</f>
        <v>1652.5</v>
      </c>
    </row>
    <row r="97" spans="1:3" ht="30">
      <c r="A97" s="59" t="s">
        <v>145</v>
      </c>
      <c r="B97" s="58" t="s">
        <v>146</v>
      </c>
      <c r="C97" s="34">
        <f>[12]С4!F17</f>
        <v>73547</v>
      </c>
    </row>
    <row r="98" spans="1:3" ht="17.25">
      <c r="A98" s="59" t="s">
        <v>147</v>
      </c>
      <c r="B98" s="58" t="s">
        <v>148</v>
      </c>
      <c r="C98" s="40">
        <f>[12]С4!F18</f>
        <v>0.02</v>
      </c>
    </row>
    <row r="99" spans="1:3" ht="30">
      <c r="A99" s="59" t="s">
        <v>149</v>
      </c>
      <c r="B99" s="58" t="s">
        <v>150</v>
      </c>
      <c r="C99" s="34">
        <f>[12]С4!F19</f>
        <v>12104</v>
      </c>
    </row>
    <row r="100" spans="1:3" ht="31.5">
      <c r="A100" s="59" t="s">
        <v>151</v>
      </c>
      <c r="B100" s="58" t="s">
        <v>152</v>
      </c>
      <c r="C100" s="40">
        <f>[12]С4!F20</f>
        <v>1.4999999999999999E-2</v>
      </c>
    </row>
    <row r="101" spans="1:3" ht="30">
      <c r="A101" s="59" t="s">
        <v>153</v>
      </c>
      <c r="B101" s="33" t="s">
        <v>154</v>
      </c>
      <c r="C101" s="34">
        <f>[12]С4!F21</f>
        <v>1933.1949342509995</v>
      </c>
    </row>
    <row r="102" spans="1:3" ht="24" customHeight="1">
      <c r="A102" s="59" t="s">
        <v>155</v>
      </c>
      <c r="B102" s="53" t="s">
        <v>156</v>
      </c>
      <c r="C102" s="85">
        <f>IF([12]С4.2!F8="да",[12]С4.2!D21,[12]С4.2!D15)</f>
        <v>0</v>
      </c>
    </row>
    <row r="103" spans="1:3" ht="68.25">
      <c r="A103" s="59" t="s">
        <v>157</v>
      </c>
      <c r="B103" s="53" t="s">
        <v>158</v>
      </c>
      <c r="C103" s="34">
        <f>[12]С4!F22</f>
        <v>3.6112641666666665</v>
      </c>
    </row>
    <row r="104" spans="1:3" ht="30">
      <c r="A104" s="59" t="s">
        <v>159</v>
      </c>
      <c r="B104" s="58" t="s">
        <v>160</v>
      </c>
      <c r="C104" s="34">
        <f>[12]С4!F23</f>
        <v>180</v>
      </c>
    </row>
    <row r="105" spans="1:3" ht="14.25">
      <c r="A105" s="59" t="s">
        <v>161</v>
      </c>
      <c r="B105" s="53" t="s">
        <v>162</v>
      </c>
      <c r="C105" s="34">
        <f>[12]С4!F24</f>
        <v>8497.1999999999989</v>
      </c>
    </row>
    <row r="106" spans="1:3" ht="14.25">
      <c r="A106" s="59" t="s">
        <v>163</v>
      </c>
      <c r="B106" s="58" t="s">
        <v>164</v>
      </c>
      <c r="C106" s="40">
        <f>[12]С4!F25</f>
        <v>0.35</v>
      </c>
    </row>
    <row r="107" spans="1:3" ht="17.25">
      <c r="A107" s="59" t="s">
        <v>165</v>
      </c>
      <c r="B107" s="33" t="s">
        <v>166</v>
      </c>
      <c r="C107" s="34">
        <f>[12]С4!F26</f>
        <v>72.903900000000007</v>
      </c>
    </row>
    <row r="108" spans="1:3" ht="25.5">
      <c r="A108" s="59" t="s">
        <v>167</v>
      </c>
      <c r="B108" s="53" t="s">
        <v>94</v>
      </c>
      <c r="C108" s="85">
        <f>[12]С4.3!E16</f>
        <v>0</v>
      </c>
    </row>
    <row r="109" spans="1:3" ht="25.5">
      <c r="A109" s="59" t="s">
        <v>168</v>
      </c>
      <c r="B109" s="53" t="s">
        <v>169</v>
      </c>
      <c r="C109" s="34">
        <f>[12]С4.3!E17</f>
        <v>19.260000000000002</v>
      </c>
    </row>
    <row r="110" spans="1:3" ht="38.25">
      <c r="A110" s="59" t="s">
        <v>170</v>
      </c>
      <c r="B110" s="53" t="s">
        <v>106</v>
      </c>
      <c r="C110" s="85">
        <f>[12]С4.3!E18</f>
        <v>0</v>
      </c>
    </row>
    <row r="111" spans="1:3">
      <c r="A111" s="59" t="s">
        <v>171</v>
      </c>
      <c r="B111" s="53" t="s">
        <v>172</v>
      </c>
      <c r="C111" s="34">
        <f>[12]С4.3!E19</f>
        <v>26.27</v>
      </c>
    </row>
    <row r="112" spans="1:3">
      <c r="A112" s="59" t="s">
        <v>173</v>
      </c>
      <c r="B112" s="58" t="s">
        <v>174</v>
      </c>
      <c r="C112" s="34">
        <f>[12]С4.3!E11</f>
        <v>1871</v>
      </c>
    </row>
    <row r="113" spans="1:3">
      <c r="A113" s="59" t="s">
        <v>175</v>
      </c>
      <c r="B113" s="58" t="s">
        <v>176</v>
      </c>
      <c r="C113" s="52">
        <f>[12]С4.3!E12</f>
        <v>1636</v>
      </c>
    </row>
    <row r="114" spans="1:3">
      <c r="A114" s="59" t="s">
        <v>177</v>
      </c>
      <c r="B114" s="58" t="s">
        <v>178</v>
      </c>
      <c r="C114" s="52">
        <f>[12]С4.3!E13</f>
        <v>204</v>
      </c>
    </row>
    <row r="115" spans="1:3" ht="30">
      <c r="A115" s="59" t="s">
        <v>179</v>
      </c>
      <c r="B115" s="33" t="s">
        <v>180</v>
      </c>
      <c r="C115" s="34">
        <f>[12]С4!F27</f>
        <v>1038.565361974559</v>
      </c>
    </row>
    <row r="116" spans="1:3" ht="25.5">
      <c r="A116" s="59" t="s">
        <v>181</v>
      </c>
      <c r="B116" s="53" t="s">
        <v>182</v>
      </c>
      <c r="C116" s="34">
        <f>[12]С4!F28</f>
        <v>797.66924882838634</v>
      </c>
    </row>
    <row r="117" spans="1:3" ht="42.75">
      <c r="A117" s="59" t="s">
        <v>183</v>
      </c>
      <c r="B117" s="53" t="s">
        <v>184</v>
      </c>
      <c r="C117" s="34">
        <f>[12]С4!F29</f>
        <v>240.89611314617269</v>
      </c>
    </row>
    <row r="118" spans="1:3" ht="30">
      <c r="A118" s="59" t="s">
        <v>185</v>
      </c>
      <c r="B118" s="39" t="s">
        <v>186</v>
      </c>
      <c r="C118" s="34">
        <f>[12]С4!F30</f>
        <v>2275.4477556011816</v>
      </c>
    </row>
    <row r="119" spans="1:3" ht="42.75">
      <c r="A119" s="59" t="s">
        <v>187</v>
      </c>
      <c r="B119" s="86" t="s">
        <v>188</v>
      </c>
      <c r="C119" s="34">
        <f>[12]С4!F33</f>
        <v>1561.1616013429584</v>
      </c>
    </row>
    <row r="120" spans="1:3" ht="30">
      <c r="A120" s="59" t="s">
        <v>189</v>
      </c>
      <c r="B120" s="87" t="s">
        <v>190</v>
      </c>
      <c r="C120" s="34">
        <f>[12]С4!F35</f>
        <v>17.040680999999999</v>
      </c>
    </row>
    <row r="121" spans="1:3" ht="14.25">
      <c r="A121" s="59" t="s">
        <v>191</v>
      </c>
      <c r="B121" s="56" t="s">
        <v>192</v>
      </c>
      <c r="C121" s="34">
        <f>[12]С4!F36</f>
        <v>14319.9</v>
      </c>
    </row>
    <row r="122" spans="1:3" ht="28.5" thickBot="1">
      <c r="A122" s="72" t="s">
        <v>193</v>
      </c>
      <c r="B122" s="88" t="s">
        <v>194</v>
      </c>
      <c r="C122" s="83">
        <f>[12]С4!F37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[12]С5!F17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[12]С2!F37</f>
        <v>20.818139999999996</v>
      </c>
    </row>
    <row r="136" spans="1:4" ht="14.25">
      <c r="A136" s="59" t="s">
        <v>216</v>
      </c>
      <c r="B136" s="101" t="s">
        <v>217</v>
      </c>
      <c r="C136" s="34">
        <f>[12]С2!F38</f>
        <v>7</v>
      </c>
    </row>
    <row r="137" spans="1:4" ht="17.25">
      <c r="A137" s="59" t="s">
        <v>218</v>
      </c>
      <c r="B137" s="101" t="s">
        <v>219</v>
      </c>
      <c r="C137" s="34">
        <f>[12]С2!F40</f>
        <v>0.97</v>
      </c>
    </row>
    <row r="138" spans="1:4" ht="15" thickBot="1">
      <c r="A138" s="72" t="s">
        <v>220</v>
      </c>
      <c r="B138" s="102" t="s">
        <v>221</v>
      </c>
      <c r="C138" s="46">
        <f>[12]С2!F42</f>
        <v>0.35</v>
      </c>
    </row>
    <row r="139" spans="1:4" s="89" customFormat="1" ht="13.5" thickBot="1">
      <c r="A139" s="47"/>
      <c r="B139" s="75"/>
      <c r="C139" s="15"/>
    </row>
    <row r="140" spans="1:4" ht="30">
      <c r="A140" s="84" t="s">
        <v>222</v>
      </c>
      <c r="B140" s="103" t="s">
        <v>223</v>
      </c>
      <c r="C140" s="104">
        <f>[12]С2!F35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[12]С2.5!$E$11</f>
        <v>-2.9000000000000026E-2</v>
      </c>
      <c r="D143" s="89"/>
    </row>
    <row r="144" spans="1:4">
      <c r="A144" s="105"/>
      <c r="B144" s="110">
        <f>B143+1</f>
        <v>2021</v>
      </c>
      <c r="C144" s="111">
        <f>[12]С2.5!$F$11</f>
        <v>0.245</v>
      </c>
      <c r="D144" s="89"/>
    </row>
    <row r="145" spans="1:4">
      <c r="A145" s="105"/>
      <c r="B145" s="110">
        <f t="shared" ref="B145:B208" si="0">B144+1</f>
        <v>2022</v>
      </c>
      <c r="C145" s="111">
        <f>[12]С2.5!$G$11</f>
        <v>0.121</v>
      </c>
      <c r="D145" s="89"/>
    </row>
    <row r="146" spans="1:4" ht="13.5" thickBot="1">
      <c r="A146" s="105"/>
      <c r="B146" s="112">
        <f t="shared" si="0"/>
        <v>2023</v>
      </c>
      <c r="C146" s="113">
        <f>[12]С2.5!$H$11</f>
        <v>0.02</v>
      </c>
      <c r="D146" s="89"/>
    </row>
    <row r="147" spans="1:4" hidden="1">
      <c r="A147" s="105"/>
      <c r="B147" s="114">
        <f t="shared" si="0"/>
        <v>2024</v>
      </c>
      <c r="C147" s="115">
        <f>[12]С2.5!$I$11</f>
        <v>-2.93E-2</v>
      </c>
      <c r="D147" s="89"/>
    </row>
    <row r="148" spans="1:4" hidden="1">
      <c r="A148" s="105"/>
      <c r="B148" s="110">
        <f t="shared" si="0"/>
        <v>2025</v>
      </c>
      <c r="C148" s="111">
        <f>[12]С2.5!$J$11</f>
        <v>0.21215960863291</v>
      </c>
      <c r="D148" s="89"/>
    </row>
    <row r="149" spans="1:4" hidden="1">
      <c r="A149" s="105"/>
      <c r="B149" s="110">
        <f t="shared" si="0"/>
        <v>2026</v>
      </c>
      <c r="C149" s="111">
        <f>[12]С2.5!$K$11</f>
        <v>3.5813361771260002E-2</v>
      </c>
      <c r="D149" s="89"/>
    </row>
    <row r="150" spans="1:4" hidden="1">
      <c r="A150" s="105"/>
      <c r="B150" s="110">
        <f t="shared" si="0"/>
        <v>2027</v>
      </c>
      <c r="C150" s="111">
        <f>[12]С2.5!$L$11</f>
        <v>3.2682303599220003E-2</v>
      </c>
      <c r="D150" s="89"/>
    </row>
    <row r="151" spans="1:4" hidden="1">
      <c r="A151" s="105"/>
      <c r="B151" s="110">
        <f t="shared" si="0"/>
        <v>2028</v>
      </c>
      <c r="C151" s="111">
        <f>[12]С2.5!$M$11</f>
        <v>0</v>
      </c>
      <c r="D151" s="89"/>
    </row>
    <row r="152" spans="1:4" hidden="1">
      <c r="A152" s="105"/>
      <c r="B152" s="110">
        <f t="shared" si="0"/>
        <v>2029</v>
      </c>
      <c r="C152" s="111">
        <f>[12]С2.5!$N$11</f>
        <v>0</v>
      </c>
      <c r="D152" s="89"/>
    </row>
    <row r="153" spans="1:4" hidden="1">
      <c r="A153" s="105"/>
      <c r="B153" s="110">
        <f t="shared" si="0"/>
        <v>2030</v>
      </c>
      <c r="C153" s="111">
        <f>[12]С2.5!$O$11</f>
        <v>0</v>
      </c>
      <c r="D153" s="89"/>
    </row>
    <row r="154" spans="1:4" hidden="1">
      <c r="A154" s="105"/>
      <c r="B154" s="110">
        <f t="shared" si="0"/>
        <v>2031</v>
      </c>
      <c r="C154" s="111">
        <f>[12]С2.5!$P$11</f>
        <v>0</v>
      </c>
      <c r="D154" s="89"/>
    </row>
    <row r="155" spans="1:4" hidden="1">
      <c r="A155" s="89"/>
      <c r="B155" s="110">
        <f t="shared" si="0"/>
        <v>2032</v>
      </c>
      <c r="C155" s="111">
        <f>[12]С2.5!$Q$11</f>
        <v>0</v>
      </c>
      <c r="D155" s="89"/>
    </row>
    <row r="156" spans="1:4" hidden="1">
      <c r="A156" s="89"/>
      <c r="B156" s="110">
        <f t="shared" si="0"/>
        <v>2033</v>
      </c>
      <c r="C156" s="111">
        <f>[12]С2.5!$R$11</f>
        <v>0</v>
      </c>
      <c r="D156" s="89"/>
    </row>
    <row r="157" spans="1:4" hidden="1">
      <c r="B157" s="110">
        <f t="shared" si="0"/>
        <v>2034</v>
      </c>
      <c r="C157" s="111">
        <f>[12]С2.5!$S$11</f>
        <v>0</v>
      </c>
    </row>
    <row r="158" spans="1:4" hidden="1">
      <c r="B158" s="110">
        <f t="shared" si="0"/>
        <v>2035</v>
      </c>
      <c r="C158" s="111">
        <f>[12]С2.5!$T$11</f>
        <v>0</v>
      </c>
    </row>
    <row r="159" spans="1:4" hidden="1">
      <c r="B159" s="110">
        <f t="shared" si="0"/>
        <v>2036</v>
      </c>
      <c r="C159" s="111">
        <f>[12]С2.5!$U$11</f>
        <v>0</v>
      </c>
    </row>
    <row r="160" spans="1:4" hidden="1">
      <c r="B160" s="110">
        <f t="shared" si="0"/>
        <v>2037</v>
      </c>
      <c r="C160" s="111">
        <f>[12]С2.5!$V$11</f>
        <v>0</v>
      </c>
    </row>
    <row r="161" spans="2:3" hidden="1">
      <c r="B161" s="110">
        <f t="shared" si="0"/>
        <v>2038</v>
      </c>
      <c r="C161" s="111">
        <f>[12]С2.5!$W$11</f>
        <v>0</v>
      </c>
    </row>
    <row r="162" spans="2:3" hidden="1">
      <c r="B162" s="110">
        <f t="shared" si="0"/>
        <v>2039</v>
      </c>
      <c r="C162" s="111">
        <f>[12]С2.5!$X$11</f>
        <v>0</v>
      </c>
    </row>
    <row r="163" spans="2:3" hidden="1">
      <c r="B163" s="110">
        <f t="shared" si="0"/>
        <v>2040</v>
      </c>
      <c r="C163" s="111">
        <f>[12]С2.5!$Y$11</f>
        <v>0</v>
      </c>
    </row>
    <row r="164" spans="2:3" hidden="1">
      <c r="B164" s="110">
        <f t="shared" si="0"/>
        <v>2041</v>
      </c>
      <c r="C164" s="111">
        <f>[12]С2.5!$Z$11</f>
        <v>0</v>
      </c>
    </row>
    <row r="165" spans="2:3" hidden="1">
      <c r="B165" s="110">
        <f t="shared" si="0"/>
        <v>2042</v>
      </c>
      <c r="C165" s="111">
        <f>[12]С2.5!$AA$11</f>
        <v>0</v>
      </c>
    </row>
    <row r="166" spans="2:3" hidden="1">
      <c r="B166" s="110">
        <f t="shared" si="0"/>
        <v>2043</v>
      </c>
      <c r="C166" s="111">
        <f>[12]С2.5!$AB$11</f>
        <v>0</v>
      </c>
    </row>
    <row r="167" spans="2:3" hidden="1">
      <c r="B167" s="110">
        <f t="shared" si="0"/>
        <v>2044</v>
      </c>
      <c r="C167" s="111">
        <f>[12]С2.5!$AC$11</f>
        <v>0</v>
      </c>
    </row>
    <row r="168" spans="2:3" hidden="1">
      <c r="B168" s="110">
        <f t="shared" si="0"/>
        <v>2045</v>
      </c>
      <c r="C168" s="111">
        <f>[12]С2.5!$AD$11</f>
        <v>0</v>
      </c>
    </row>
    <row r="169" spans="2:3" hidden="1">
      <c r="B169" s="110">
        <f t="shared" si="0"/>
        <v>2046</v>
      </c>
      <c r="C169" s="111">
        <f>[12]С2.5!$AE$11</f>
        <v>0</v>
      </c>
    </row>
    <row r="170" spans="2:3" hidden="1">
      <c r="B170" s="110">
        <f t="shared" si="0"/>
        <v>2047</v>
      </c>
      <c r="C170" s="111">
        <f>[12]С2.5!$AF$11</f>
        <v>0</v>
      </c>
    </row>
    <row r="171" spans="2:3" hidden="1">
      <c r="B171" s="110">
        <f t="shared" si="0"/>
        <v>2048</v>
      </c>
      <c r="C171" s="111">
        <f>[12]С2.5!$AG$11</f>
        <v>0</v>
      </c>
    </row>
    <row r="172" spans="2:3" hidden="1">
      <c r="B172" s="110">
        <f t="shared" si="0"/>
        <v>2049</v>
      </c>
      <c r="C172" s="111">
        <f>[12]С2.5!$AH$11</f>
        <v>0</v>
      </c>
    </row>
    <row r="173" spans="2:3" hidden="1">
      <c r="B173" s="110">
        <f t="shared" si="0"/>
        <v>2050</v>
      </c>
      <c r="C173" s="111">
        <f>[12]С2.5!$AI$11</f>
        <v>0</v>
      </c>
    </row>
    <row r="174" spans="2:3" hidden="1">
      <c r="B174" s="110">
        <f t="shared" si="0"/>
        <v>2051</v>
      </c>
      <c r="C174" s="111">
        <f>[12]С2.5!$AJ$11</f>
        <v>0</v>
      </c>
    </row>
    <row r="175" spans="2:3" hidden="1">
      <c r="B175" s="110">
        <f t="shared" si="0"/>
        <v>2052</v>
      </c>
      <c r="C175" s="111">
        <f>[12]С2.5!$AK$11</f>
        <v>0</v>
      </c>
    </row>
    <row r="176" spans="2:3" hidden="1">
      <c r="B176" s="110">
        <f t="shared" si="0"/>
        <v>2053</v>
      </c>
      <c r="C176" s="111">
        <f>[12]С2.5!$AL$11</f>
        <v>0</v>
      </c>
    </row>
    <row r="177" spans="2:3" hidden="1">
      <c r="B177" s="110">
        <f t="shared" si="0"/>
        <v>2054</v>
      </c>
      <c r="C177" s="111">
        <f>[12]С2.5!$AM$11</f>
        <v>0</v>
      </c>
    </row>
    <row r="178" spans="2:3" hidden="1">
      <c r="B178" s="110">
        <f t="shared" si="0"/>
        <v>2055</v>
      </c>
      <c r="C178" s="111">
        <f>[12]С2.5!$AN$11</f>
        <v>0</v>
      </c>
    </row>
    <row r="179" spans="2:3" hidden="1">
      <c r="B179" s="110">
        <f t="shared" si="0"/>
        <v>2056</v>
      </c>
      <c r="C179" s="111">
        <f>[12]С2.5!$AO$11</f>
        <v>0</v>
      </c>
    </row>
    <row r="180" spans="2:3" hidden="1">
      <c r="B180" s="110">
        <f t="shared" si="0"/>
        <v>2057</v>
      </c>
      <c r="C180" s="111">
        <f>[12]С2.5!$AP$11</f>
        <v>0</v>
      </c>
    </row>
    <row r="181" spans="2:3" hidden="1">
      <c r="B181" s="110">
        <f t="shared" si="0"/>
        <v>2058</v>
      </c>
      <c r="C181" s="111">
        <f>[12]С2.5!$AQ$11</f>
        <v>0</v>
      </c>
    </row>
    <row r="182" spans="2:3" hidden="1">
      <c r="B182" s="110">
        <f t="shared" si="0"/>
        <v>2059</v>
      </c>
      <c r="C182" s="111">
        <f>[12]С2.5!$AR$11</f>
        <v>0</v>
      </c>
    </row>
    <row r="183" spans="2:3" hidden="1">
      <c r="B183" s="110">
        <f t="shared" si="0"/>
        <v>2060</v>
      </c>
      <c r="C183" s="111">
        <f>[12]С2.5!$AS$11</f>
        <v>0</v>
      </c>
    </row>
    <row r="184" spans="2:3" hidden="1">
      <c r="B184" s="110">
        <f t="shared" si="0"/>
        <v>2061</v>
      </c>
      <c r="C184" s="111">
        <f>[12]С2.5!$AT$11</f>
        <v>0</v>
      </c>
    </row>
    <row r="185" spans="2:3" hidden="1">
      <c r="B185" s="110">
        <f t="shared" si="0"/>
        <v>2062</v>
      </c>
      <c r="C185" s="111">
        <f>[12]С2.5!$AU$11</f>
        <v>0</v>
      </c>
    </row>
    <row r="186" spans="2:3" hidden="1">
      <c r="B186" s="110">
        <f t="shared" si="0"/>
        <v>2063</v>
      </c>
      <c r="C186" s="111">
        <f>[12]С2.5!$AV$11</f>
        <v>0</v>
      </c>
    </row>
    <row r="187" spans="2:3" hidden="1">
      <c r="B187" s="110">
        <f t="shared" si="0"/>
        <v>2064</v>
      </c>
      <c r="C187" s="111">
        <f>[12]С2.5!$AW$11</f>
        <v>0</v>
      </c>
    </row>
    <row r="188" spans="2:3" hidden="1">
      <c r="B188" s="110">
        <f t="shared" si="0"/>
        <v>2065</v>
      </c>
      <c r="C188" s="111">
        <f>[12]С2.5!$AX$11</f>
        <v>0</v>
      </c>
    </row>
    <row r="189" spans="2:3" hidden="1">
      <c r="B189" s="110">
        <f t="shared" si="0"/>
        <v>2066</v>
      </c>
      <c r="C189" s="111">
        <f>[12]С2.5!$AY$11</f>
        <v>0</v>
      </c>
    </row>
    <row r="190" spans="2:3" hidden="1">
      <c r="B190" s="110">
        <f t="shared" si="0"/>
        <v>2067</v>
      </c>
      <c r="C190" s="111">
        <f>[12]С2.5!$AZ$11</f>
        <v>0</v>
      </c>
    </row>
    <row r="191" spans="2:3" hidden="1">
      <c r="B191" s="110">
        <f t="shared" si="0"/>
        <v>2068</v>
      </c>
      <c r="C191" s="111">
        <f>[12]С2.5!$BA$11</f>
        <v>0</v>
      </c>
    </row>
    <row r="192" spans="2:3" hidden="1">
      <c r="B192" s="110">
        <f t="shared" si="0"/>
        <v>2069</v>
      </c>
      <c r="C192" s="111">
        <f>[12]С2.5!$BB$11</f>
        <v>0</v>
      </c>
    </row>
    <row r="193" spans="2:3" hidden="1">
      <c r="B193" s="110">
        <f t="shared" si="0"/>
        <v>2070</v>
      </c>
      <c r="C193" s="111">
        <f>[12]С2.5!$BC$11</f>
        <v>0</v>
      </c>
    </row>
    <row r="194" spans="2:3" hidden="1">
      <c r="B194" s="110">
        <f t="shared" si="0"/>
        <v>2071</v>
      </c>
      <c r="C194" s="111">
        <f>[12]С2.5!$BD$11</f>
        <v>0</v>
      </c>
    </row>
    <row r="195" spans="2:3" hidden="1">
      <c r="B195" s="110">
        <f t="shared" si="0"/>
        <v>2072</v>
      </c>
      <c r="C195" s="111">
        <f>[12]С2.5!$BE$11</f>
        <v>0</v>
      </c>
    </row>
    <row r="196" spans="2:3" hidden="1">
      <c r="B196" s="110">
        <f t="shared" si="0"/>
        <v>2073</v>
      </c>
      <c r="C196" s="111">
        <f>[12]С2.5!$BF$11</f>
        <v>0</v>
      </c>
    </row>
    <row r="197" spans="2:3" hidden="1">
      <c r="B197" s="110">
        <f t="shared" si="0"/>
        <v>2074</v>
      </c>
      <c r="C197" s="111">
        <f>[12]С2.5!$BG$11</f>
        <v>0</v>
      </c>
    </row>
    <row r="198" spans="2:3" hidden="1">
      <c r="B198" s="110">
        <f t="shared" si="0"/>
        <v>2075</v>
      </c>
      <c r="C198" s="111">
        <f>[12]С2.5!$BH$11</f>
        <v>0</v>
      </c>
    </row>
    <row r="199" spans="2:3" hidden="1">
      <c r="B199" s="110">
        <f t="shared" si="0"/>
        <v>2076</v>
      </c>
      <c r="C199" s="111">
        <f>[12]С2.5!$BI$11</f>
        <v>0</v>
      </c>
    </row>
    <row r="200" spans="2:3" hidden="1">
      <c r="B200" s="110">
        <f t="shared" si="0"/>
        <v>2077</v>
      </c>
      <c r="C200" s="111">
        <f>[12]С2.5!$BJ$11</f>
        <v>0</v>
      </c>
    </row>
    <row r="201" spans="2:3" hidden="1">
      <c r="B201" s="110">
        <f t="shared" si="0"/>
        <v>2078</v>
      </c>
      <c r="C201" s="111">
        <f>[12]С2.5!$BK$11</f>
        <v>0</v>
      </c>
    </row>
    <row r="202" spans="2:3" hidden="1">
      <c r="B202" s="110">
        <f t="shared" si="0"/>
        <v>2079</v>
      </c>
      <c r="C202" s="111">
        <f>[12]С2.5!$BL$11</f>
        <v>0</v>
      </c>
    </row>
    <row r="203" spans="2:3" hidden="1">
      <c r="B203" s="110">
        <f t="shared" si="0"/>
        <v>2080</v>
      </c>
      <c r="C203" s="111">
        <f>[12]С2.5!$BM$11</f>
        <v>0</v>
      </c>
    </row>
    <row r="204" spans="2:3" hidden="1">
      <c r="B204" s="110">
        <f t="shared" si="0"/>
        <v>2081</v>
      </c>
      <c r="C204" s="111">
        <f>[12]С2.5!$BN$11</f>
        <v>0</v>
      </c>
    </row>
    <row r="205" spans="2:3" hidden="1">
      <c r="B205" s="110">
        <f t="shared" si="0"/>
        <v>2082</v>
      </c>
      <c r="C205" s="111">
        <f>[12]С2.5!$BO$11</f>
        <v>0</v>
      </c>
    </row>
    <row r="206" spans="2:3" hidden="1">
      <c r="B206" s="110">
        <f t="shared" si="0"/>
        <v>2083</v>
      </c>
      <c r="C206" s="111">
        <f>[12]С2.5!$BP$11</f>
        <v>0</v>
      </c>
    </row>
    <row r="207" spans="2:3" hidden="1">
      <c r="B207" s="110">
        <f t="shared" si="0"/>
        <v>2084</v>
      </c>
      <c r="C207" s="111">
        <f>[12]С2.5!$BQ$11</f>
        <v>0</v>
      </c>
    </row>
    <row r="208" spans="2:3" hidden="1">
      <c r="B208" s="110">
        <f t="shared" si="0"/>
        <v>2085</v>
      </c>
      <c r="C208" s="111">
        <f>[12]С2.5!$BR$11</f>
        <v>0</v>
      </c>
    </row>
    <row r="209" spans="2:3" hidden="1">
      <c r="B209" s="110">
        <f t="shared" ref="B209:B223" si="1">B208+1</f>
        <v>2086</v>
      </c>
      <c r="C209" s="111">
        <f>[12]С2.5!$BS$11</f>
        <v>0</v>
      </c>
    </row>
    <row r="210" spans="2:3" hidden="1">
      <c r="B210" s="110">
        <f t="shared" si="1"/>
        <v>2087</v>
      </c>
      <c r="C210" s="111">
        <f>[12]С2.5!$BT$11</f>
        <v>0</v>
      </c>
    </row>
    <row r="211" spans="2:3" hidden="1">
      <c r="B211" s="110">
        <f t="shared" si="1"/>
        <v>2088</v>
      </c>
      <c r="C211" s="111">
        <f>[12]С2.5!$BU$11</f>
        <v>0</v>
      </c>
    </row>
    <row r="212" spans="2:3" hidden="1">
      <c r="B212" s="110">
        <f t="shared" si="1"/>
        <v>2089</v>
      </c>
      <c r="C212" s="111">
        <f>[12]С2.5!$BV$11</f>
        <v>0</v>
      </c>
    </row>
    <row r="213" spans="2:3" hidden="1">
      <c r="B213" s="110">
        <f t="shared" si="1"/>
        <v>2090</v>
      </c>
      <c r="C213" s="111">
        <f>[12]С2.5!$BW$11</f>
        <v>0</v>
      </c>
    </row>
    <row r="214" spans="2:3" hidden="1">
      <c r="B214" s="110">
        <f t="shared" si="1"/>
        <v>2091</v>
      </c>
      <c r="C214" s="111">
        <f>[12]С2.5!$BX$11</f>
        <v>0</v>
      </c>
    </row>
    <row r="215" spans="2:3" hidden="1">
      <c r="B215" s="110">
        <f t="shared" si="1"/>
        <v>2092</v>
      </c>
      <c r="C215" s="111">
        <f>[12]С2.5!$BY$11</f>
        <v>0</v>
      </c>
    </row>
    <row r="216" spans="2:3" hidden="1">
      <c r="B216" s="110">
        <f t="shared" si="1"/>
        <v>2093</v>
      </c>
      <c r="C216" s="111">
        <f>[12]С2.5!$BZ$11</f>
        <v>0</v>
      </c>
    </row>
    <row r="217" spans="2:3" hidden="1">
      <c r="B217" s="110">
        <f t="shared" si="1"/>
        <v>2094</v>
      </c>
      <c r="C217" s="111">
        <f>[12]С2.5!$CA$11</f>
        <v>0</v>
      </c>
    </row>
    <row r="218" spans="2:3" hidden="1">
      <c r="B218" s="110">
        <f t="shared" si="1"/>
        <v>2095</v>
      </c>
      <c r="C218" s="111">
        <f>[12]С2.5!$CB$11</f>
        <v>0</v>
      </c>
    </row>
    <row r="219" spans="2:3" hidden="1">
      <c r="B219" s="110">
        <f t="shared" si="1"/>
        <v>2096</v>
      </c>
      <c r="C219" s="111">
        <f>[12]С2.5!$CC$11</f>
        <v>0</v>
      </c>
    </row>
    <row r="220" spans="2:3" hidden="1">
      <c r="B220" s="110">
        <f t="shared" si="1"/>
        <v>2097</v>
      </c>
      <c r="C220" s="111">
        <f>[12]С2.5!$CD$11</f>
        <v>0</v>
      </c>
    </row>
    <row r="221" spans="2:3" hidden="1">
      <c r="B221" s="110">
        <f t="shared" si="1"/>
        <v>2098</v>
      </c>
      <c r="C221" s="111">
        <f>[12]С2.5!$CE$11</f>
        <v>0</v>
      </c>
    </row>
    <row r="222" spans="2:3" hidden="1">
      <c r="B222" s="110">
        <f t="shared" si="1"/>
        <v>2099</v>
      </c>
      <c r="C222" s="111">
        <f>[12]С2.5!$CF$11</f>
        <v>0</v>
      </c>
    </row>
    <row r="223" spans="2:3" ht="13.5" hidden="1" thickBot="1">
      <c r="B223" s="112">
        <f t="shared" si="1"/>
        <v>2100</v>
      </c>
      <c r="C223" s="113">
        <f>[12]С2.5!$CG$11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[13]И1!D13</f>
        <v>Субъект Российской Федерации</v>
      </c>
      <c r="C4" s="10" t="str">
        <f>[13]И1!E13</f>
        <v>Новосибирская область</v>
      </c>
    </row>
    <row r="5" spans="1:3" ht="38.25">
      <c r="A5" s="8"/>
      <c r="B5" s="9" t="str">
        <f>[13]И1!D14</f>
        <v>Тип муниципального образования (выберите из списка)</v>
      </c>
      <c r="C5" s="10" t="str">
        <f>[13]И1!E14</f>
        <v>село Новороссийское, Здвинский муниципальный район</v>
      </c>
    </row>
    <row r="6" spans="1:3">
      <c r="A6" s="8"/>
      <c r="B6" s="9" t="str">
        <f>IF([13]И1!E15="","",[13]И1!D15)</f>
        <v/>
      </c>
      <c r="C6" s="10" t="str">
        <f>IF([13]И1!E15="","",[13]И1!E15)</f>
        <v/>
      </c>
    </row>
    <row r="7" spans="1:3">
      <c r="A7" s="8"/>
      <c r="B7" s="9" t="str">
        <f>[13]И1!D16</f>
        <v>Код ОКТМО</v>
      </c>
      <c r="C7" s="11" t="str">
        <f>[13]И1!E16</f>
        <v>50613416101</v>
      </c>
    </row>
    <row r="8" spans="1:3">
      <c r="A8" s="8"/>
      <c r="B8" s="12" t="str">
        <f>[13]И1!D17</f>
        <v>Система теплоснабжения</v>
      </c>
      <c r="C8" s="13">
        <f>[13]И1!E17</f>
        <v>0</v>
      </c>
    </row>
    <row r="9" spans="1:3">
      <c r="A9" s="8"/>
      <c r="B9" s="9" t="str">
        <f>[13]И1!D8</f>
        <v>Период регулирования (i)-й</v>
      </c>
      <c r="C9" s="14">
        <f>[13]И1!E8</f>
        <v>2023</v>
      </c>
    </row>
    <row r="10" spans="1:3">
      <c r="A10" s="8"/>
      <c r="B10" s="9" t="str">
        <f>[13]И1!D9</f>
        <v>Период регулирования (i-1)-й</v>
      </c>
      <c r="C10" s="14">
        <f>[13]И1!E9</f>
        <v>2022</v>
      </c>
    </row>
    <row r="11" spans="1:3">
      <c r="A11" s="8"/>
      <c r="B11" s="9" t="str">
        <f>[13]И1!D10</f>
        <v>Период регулирования (i-2)-й</v>
      </c>
      <c r="C11" s="14">
        <f>[13]И1!E10</f>
        <v>2021</v>
      </c>
    </row>
    <row r="12" spans="1:3">
      <c r="A12" s="8"/>
      <c r="B12" s="9" t="str">
        <f>[13]И1!D11</f>
        <v>Базовый год (б)</v>
      </c>
      <c r="C12" s="14">
        <f>[13]И1!E11</f>
        <v>2019</v>
      </c>
    </row>
    <row r="13" spans="1:3" ht="38.25">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4194.6580389778983</v>
      </c>
    </row>
    <row r="18" spans="1:3" ht="42.75">
      <c r="A18" s="22" t="s">
        <v>8</v>
      </c>
      <c r="B18" s="25" t="s">
        <v>9</v>
      </c>
      <c r="C18" s="26">
        <f>[13]С1!F12</f>
        <v>1086.4255230501792</v>
      </c>
    </row>
    <row r="19" spans="1:3" ht="42.75">
      <c r="A19" s="22" t="s">
        <v>10</v>
      </c>
      <c r="B19" s="25" t="s">
        <v>11</v>
      </c>
      <c r="C19" s="26">
        <f>[13]С2!F12</f>
        <v>2101.7757879094611</v>
      </c>
    </row>
    <row r="20" spans="1:3" ht="30">
      <c r="A20" s="22" t="s">
        <v>12</v>
      </c>
      <c r="B20" s="25" t="s">
        <v>13</v>
      </c>
      <c r="C20" s="26">
        <f>[13]С3!F12</f>
        <v>502.69420058623905</v>
      </c>
    </row>
    <row r="21" spans="1:3" ht="42.75">
      <c r="A21" s="22" t="s">
        <v>14</v>
      </c>
      <c r="B21" s="25" t="s">
        <v>15</v>
      </c>
      <c r="C21" s="26">
        <f>[13]С4!F12</f>
        <v>421.51433058931559</v>
      </c>
    </row>
    <row r="22" spans="1:3" ht="30">
      <c r="A22" s="22" t="s">
        <v>16</v>
      </c>
      <c r="B22" s="25" t="s">
        <v>17</v>
      </c>
      <c r="C22" s="26">
        <f>[13]С5!F12</f>
        <v>82.248196842703891</v>
      </c>
    </row>
    <row r="23" spans="1:3" ht="43.5" thickBot="1">
      <c r="A23" s="27" t="s">
        <v>18</v>
      </c>
      <c r="B23" s="117" t="s">
        <v>19</v>
      </c>
      <c r="C23" s="28" t="str">
        <f>[13]С6!F12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[13]С1.1!E16</f>
        <v>5100</v>
      </c>
    </row>
    <row r="29" spans="1:3" ht="42.75">
      <c r="A29" s="22" t="s">
        <v>10</v>
      </c>
      <c r="B29" s="33" t="s">
        <v>22</v>
      </c>
      <c r="C29" s="34">
        <f>[13]С1.1!E27</f>
        <v>2921.2166666666667</v>
      </c>
    </row>
    <row r="30" spans="1:3" ht="17.25">
      <c r="A30" s="22" t="s">
        <v>12</v>
      </c>
      <c r="B30" s="33" t="s">
        <v>23</v>
      </c>
      <c r="C30" s="35">
        <f>[13]С1.1!E19</f>
        <v>0.59499999999999997</v>
      </c>
    </row>
    <row r="31" spans="1:3" ht="17.25">
      <c r="A31" s="22" t="s">
        <v>14</v>
      </c>
      <c r="B31" s="33" t="s">
        <v>24</v>
      </c>
      <c r="C31" s="35">
        <f>[13]С1.1!E20</f>
        <v>-0.113</v>
      </c>
    </row>
    <row r="32" spans="1:3" ht="30">
      <c r="A32" s="22" t="s">
        <v>16</v>
      </c>
      <c r="B32" s="36" t="s">
        <v>25</v>
      </c>
      <c r="C32" s="37">
        <f>[13]С1!F13</f>
        <v>176.4</v>
      </c>
    </row>
    <row r="33" spans="1:3">
      <c r="A33" s="22" t="s">
        <v>18</v>
      </c>
      <c r="B33" s="36" t="s">
        <v>26</v>
      </c>
      <c r="C33" s="38">
        <f>[13]С1!F16</f>
        <v>7000</v>
      </c>
    </row>
    <row r="34" spans="1:3" ht="14.25">
      <c r="A34" s="22" t="s">
        <v>27</v>
      </c>
      <c r="B34" s="39" t="s">
        <v>28</v>
      </c>
      <c r="C34" s="40">
        <f>[13]С1!F17</f>
        <v>0.72857142857142854</v>
      </c>
    </row>
    <row r="35" spans="1:3" ht="15.75">
      <c r="A35" s="41" t="s">
        <v>29</v>
      </c>
      <c r="B35" s="42" t="s">
        <v>30</v>
      </c>
      <c r="C35" s="40">
        <f>[13]С1!F20</f>
        <v>21.588411179999994</v>
      </c>
    </row>
    <row r="36" spans="1:3" ht="15.75">
      <c r="A36" s="41" t="s">
        <v>31</v>
      </c>
      <c r="B36" s="43" t="s">
        <v>32</v>
      </c>
      <c r="C36" s="40">
        <f>[13]С1!F21</f>
        <v>20.818139999999996</v>
      </c>
    </row>
    <row r="37" spans="1:3" ht="14.25">
      <c r="A37" s="41" t="s">
        <v>33</v>
      </c>
      <c r="B37" s="44" t="s">
        <v>34</v>
      </c>
      <c r="C37" s="40">
        <f>[13]С1!F22</f>
        <v>1.0369999999999999</v>
      </c>
    </row>
    <row r="38" spans="1:3" ht="53.25" thickBot="1">
      <c r="A38" s="27" t="s">
        <v>35</v>
      </c>
      <c r="B38" s="45" t="s">
        <v>36</v>
      </c>
      <c r="C38" s="46">
        <f>[13]С1!F23</f>
        <v>1.0469999999999999</v>
      </c>
    </row>
    <row r="39" spans="1:3" ht="13.5" thickBot="1">
      <c r="A39" s="47"/>
      <c r="B39" s="48"/>
      <c r="C39" s="49"/>
    </row>
    <row r="40" spans="1:3" ht="30" customHeight="1">
      <c r="A40" s="50" t="s">
        <v>37</v>
      </c>
      <c r="B40" s="118" t="s">
        <v>38</v>
      </c>
      <c r="C40" s="118"/>
    </row>
    <row r="41" spans="1:3" ht="25.5">
      <c r="A41" s="22" t="s">
        <v>39</v>
      </c>
      <c r="B41" s="36" t="s">
        <v>40</v>
      </c>
      <c r="C41" s="51" t="str">
        <f>[13]С2.1!E12</f>
        <v>V</v>
      </c>
    </row>
    <row r="42" spans="1:3" ht="25.5">
      <c r="A42" s="22" t="s">
        <v>41</v>
      </c>
      <c r="B42" s="33" t="s">
        <v>42</v>
      </c>
      <c r="C42" s="51" t="str">
        <f>[13]С2.1!E13</f>
        <v>6 и менее баллов</v>
      </c>
    </row>
    <row r="43" spans="1:3" ht="25.5">
      <c r="A43" s="22" t="s">
        <v>43</v>
      </c>
      <c r="B43" s="33" t="s">
        <v>44</v>
      </c>
      <c r="C43" s="51" t="str">
        <f>[13]С2.1!E14</f>
        <v>от 200 до 500</v>
      </c>
    </row>
    <row r="44" spans="1:3" ht="25.5">
      <c r="A44" s="22" t="s">
        <v>45</v>
      </c>
      <c r="B44" s="33" t="s">
        <v>46</v>
      </c>
      <c r="C44" s="52" t="str">
        <f>[13]С2.1!E15</f>
        <v>нет</v>
      </c>
    </row>
    <row r="45" spans="1:3" ht="30">
      <c r="A45" s="22" t="s">
        <v>47</v>
      </c>
      <c r="B45" s="33" t="s">
        <v>48</v>
      </c>
      <c r="C45" s="34">
        <f>[13]С2!F18</f>
        <v>32402.627334033532</v>
      </c>
    </row>
    <row r="46" spans="1:3" ht="30">
      <c r="A46" s="22" t="s">
        <v>49</v>
      </c>
      <c r="B46" s="53" t="s">
        <v>50</v>
      </c>
      <c r="C46" s="34">
        <f>IF([13]С2!F19&gt;0,[13]С2!F19,[13]С2!F20)</f>
        <v>23441.524932855718</v>
      </c>
    </row>
    <row r="47" spans="1:3" ht="25.5">
      <c r="A47" s="22" t="s">
        <v>51</v>
      </c>
      <c r="B47" s="54" t="s">
        <v>52</v>
      </c>
      <c r="C47" s="34">
        <f>[13]С2.1!E19</f>
        <v>-38</v>
      </c>
    </row>
    <row r="48" spans="1:3" ht="25.5">
      <c r="A48" s="22" t="s">
        <v>53</v>
      </c>
      <c r="B48" s="54" t="s">
        <v>54</v>
      </c>
      <c r="C48" s="34" t="str">
        <f>[13]С2.1!E22</f>
        <v>нет</v>
      </c>
    </row>
    <row r="49" spans="1:3" ht="38.25">
      <c r="A49" s="22" t="s">
        <v>55</v>
      </c>
      <c r="B49" s="55" t="s">
        <v>56</v>
      </c>
      <c r="C49" s="34">
        <f>[13]С2.2!E10</f>
        <v>1287</v>
      </c>
    </row>
    <row r="50" spans="1:3" ht="25.5">
      <c r="A50" s="22" t="s">
        <v>57</v>
      </c>
      <c r="B50" s="56" t="s">
        <v>58</v>
      </c>
      <c r="C50" s="34">
        <f>[13]С2.2!E12</f>
        <v>5.97</v>
      </c>
    </row>
    <row r="51" spans="1:3" ht="52.5">
      <c r="A51" s="22" t="s">
        <v>59</v>
      </c>
      <c r="B51" s="57" t="s">
        <v>60</v>
      </c>
      <c r="C51" s="34">
        <f>[13]С2.2!E13</f>
        <v>1</v>
      </c>
    </row>
    <row r="52" spans="1:3" ht="27.75">
      <c r="A52" s="22" t="s">
        <v>61</v>
      </c>
      <c r="B52" s="56" t="s">
        <v>62</v>
      </c>
      <c r="C52" s="34">
        <f>[13]С2.2!E14</f>
        <v>12104</v>
      </c>
    </row>
    <row r="53" spans="1:3" ht="25.5">
      <c r="A53" s="22" t="s">
        <v>63</v>
      </c>
      <c r="B53" s="57" t="s">
        <v>64</v>
      </c>
      <c r="C53" s="35">
        <f>[13]С2.2!E15</f>
        <v>4.8000000000000001E-2</v>
      </c>
    </row>
    <row r="54" spans="1:3">
      <c r="A54" s="22" t="s">
        <v>65</v>
      </c>
      <c r="B54" s="57" t="s">
        <v>66</v>
      </c>
      <c r="C54" s="34">
        <f>[13]С2.2!E16</f>
        <v>1</v>
      </c>
    </row>
    <row r="55" spans="1:3" ht="15.75">
      <c r="A55" s="22" t="s">
        <v>67</v>
      </c>
      <c r="B55" s="58" t="s">
        <v>68</v>
      </c>
      <c r="C55" s="34">
        <f>[13]С2!F21</f>
        <v>1</v>
      </c>
    </row>
    <row r="56" spans="1:3" ht="30">
      <c r="A56" s="59" t="s">
        <v>69</v>
      </c>
      <c r="B56" s="33" t="s">
        <v>70</v>
      </c>
      <c r="C56" s="34">
        <f>[13]С2!F13</f>
        <v>169640.22915965237</v>
      </c>
    </row>
    <row r="57" spans="1:3" ht="30">
      <c r="A57" s="59" t="s">
        <v>71</v>
      </c>
      <c r="B57" s="58" t="s">
        <v>72</v>
      </c>
      <c r="C57" s="34">
        <f>[13]С2!F14</f>
        <v>113455</v>
      </c>
    </row>
    <row r="58" spans="1:3" ht="15.75">
      <c r="A58" s="59" t="s">
        <v>73</v>
      </c>
      <c r="B58" s="60" t="s">
        <v>74</v>
      </c>
      <c r="C58" s="40">
        <f>[13]С2!F15</f>
        <v>1.071</v>
      </c>
    </row>
    <row r="59" spans="1:3" ht="15.75">
      <c r="A59" s="59" t="s">
        <v>75</v>
      </c>
      <c r="B59" s="60" t="s">
        <v>76</v>
      </c>
      <c r="C59" s="40">
        <f>[13]С2!F16</f>
        <v>1</v>
      </c>
    </row>
    <row r="60" spans="1:3" ht="17.25">
      <c r="A60" s="59" t="s">
        <v>77</v>
      </c>
      <c r="B60" s="58" t="s">
        <v>78</v>
      </c>
      <c r="C60" s="34">
        <f>[13]С2!F17</f>
        <v>1.01</v>
      </c>
    </row>
    <row r="61" spans="1:3" s="63" customFormat="1" ht="14.25">
      <c r="A61" s="59" t="s">
        <v>79</v>
      </c>
      <c r="B61" s="61" t="s">
        <v>80</v>
      </c>
      <c r="C61" s="62">
        <f>[13]С2!F33</f>
        <v>10</v>
      </c>
    </row>
    <row r="62" spans="1:3" ht="30">
      <c r="A62" s="59" t="s">
        <v>81</v>
      </c>
      <c r="B62" s="64" t="s">
        <v>82</v>
      </c>
      <c r="C62" s="34">
        <f>[13]С2!F26</f>
        <v>637.93498622918537</v>
      </c>
    </row>
    <row r="63" spans="1:3" ht="17.25">
      <c r="A63" s="59" t="s">
        <v>83</v>
      </c>
      <c r="B63" s="53" t="s">
        <v>84</v>
      </c>
      <c r="C63" s="34">
        <f>[13]С2!F27</f>
        <v>0.10988357099999999</v>
      </c>
    </row>
    <row r="64" spans="1:3" ht="17.25">
      <c r="A64" s="59" t="s">
        <v>85</v>
      </c>
      <c r="B64" s="58" t="s">
        <v>86</v>
      </c>
      <c r="C64" s="62">
        <f>[13]С2!F28</f>
        <v>4200</v>
      </c>
    </row>
    <row r="65" spans="1:3" ht="42.75">
      <c r="A65" s="59" t="s">
        <v>87</v>
      </c>
      <c r="B65" s="33" t="s">
        <v>88</v>
      </c>
      <c r="C65" s="34">
        <f>[13]С2!F22</f>
        <v>35717.748653137714</v>
      </c>
    </row>
    <row r="66" spans="1:3" ht="30">
      <c r="A66" s="59" t="s">
        <v>89</v>
      </c>
      <c r="B66" s="60" t="s">
        <v>90</v>
      </c>
      <c r="C66" s="34">
        <f>[13]С2!F23</f>
        <v>1990</v>
      </c>
    </row>
    <row r="67" spans="1:3" ht="30">
      <c r="A67" s="59" t="s">
        <v>91</v>
      </c>
      <c r="B67" s="53" t="s">
        <v>92</v>
      </c>
      <c r="C67" s="34">
        <f>[13]С2.1!E27</f>
        <v>14307.876789999998</v>
      </c>
    </row>
    <row r="68" spans="1:3" ht="38.25">
      <c r="A68" s="59" t="s">
        <v>93</v>
      </c>
      <c r="B68" s="65" t="s">
        <v>94</v>
      </c>
      <c r="C68" s="52">
        <f>[13]С2.3!E21</f>
        <v>0</v>
      </c>
    </row>
    <row r="69" spans="1:3" ht="25.5">
      <c r="A69" s="59" t="s">
        <v>95</v>
      </c>
      <c r="B69" s="66" t="s">
        <v>96</v>
      </c>
      <c r="C69" s="67">
        <f>[13]С2.3!E11</f>
        <v>9.89</v>
      </c>
    </row>
    <row r="70" spans="1:3" ht="25.5">
      <c r="A70" s="59" t="s">
        <v>97</v>
      </c>
      <c r="B70" s="66" t="s">
        <v>98</v>
      </c>
      <c r="C70" s="62">
        <f>[13]С2.3!E13</f>
        <v>300</v>
      </c>
    </row>
    <row r="71" spans="1:3" ht="25.5">
      <c r="A71" s="59" t="s">
        <v>99</v>
      </c>
      <c r="B71" s="65" t="s">
        <v>100</v>
      </c>
      <c r="C71" s="68">
        <f>IF([13]С2.3!E22&gt;0,[13]С2.3!E22,[13]С2.3!E14)</f>
        <v>61211</v>
      </c>
    </row>
    <row r="72" spans="1:3" ht="38.25">
      <c r="A72" s="59" t="s">
        <v>101</v>
      </c>
      <c r="B72" s="65" t="s">
        <v>102</v>
      </c>
      <c r="C72" s="68">
        <f>IF([13]С2.3!E23&gt;0,[13]С2.3!E23,[13]С2.3!E15)</f>
        <v>45675</v>
      </c>
    </row>
    <row r="73" spans="1:3" ht="30">
      <c r="A73" s="59" t="s">
        <v>103</v>
      </c>
      <c r="B73" s="53" t="s">
        <v>104</v>
      </c>
      <c r="C73" s="34">
        <f>[13]С2.1!E28</f>
        <v>9541.9567200000001</v>
      </c>
    </row>
    <row r="74" spans="1:3" ht="38.25">
      <c r="A74" s="59" t="s">
        <v>105</v>
      </c>
      <c r="B74" s="65" t="s">
        <v>106</v>
      </c>
      <c r="C74" s="52">
        <f>[13]С2.3!E25</f>
        <v>0</v>
      </c>
    </row>
    <row r="75" spans="1:3" ht="25.5">
      <c r="A75" s="59" t="s">
        <v>107</v>
      </c>
      <c r="B75" s="66" t="s">
        <v>108</v>
      </c>
      <c r="C75" s="67">
        <f>[13]С2.3!E12</f>
        <v>0.56000000000000005</v>
      </c>
    </row>
    <row r="76" spans="1:3" ht="25.5">
      <c r="A76" s="59" t="s">
        <v>109</v>
      </c>
      <c r="B76" s="66" t="s">
        <v>98</v>
      </c>
      <c r="C76" s="62">
        <f>[13]С2.3!E13</f>
        <v>300</v>
      </c>
    </row>
    <row r="77" spans="1:3" ht="25.5">
      <c r="A77" s="59" t="s">
        <v>110</v>
      </c>
      <c r="B77" s="69" t="s">
        <v>111</v>
      </c>
      <c r="C77" s="68">
        <f>IF([13]С2.3!E26&gt;0,[13]С2.3!E26,[13]С2.3!E16)</f>
        <v>65637</v>
      </c>
    </row>
    <row r="78" spans="1:3" ht="38.25">
      <c r="A78" s="59" t="s">
        <v>112</v>
      </c>
      <c r="B78" s="69" t="s">
        <v>113</v>
      </c>
      <c r="C78" s="68">
        <f>IF([13]С2.3!E27&gt;0,[13]С2.3!E27,[13]С2.3!E17)</f>
        <v>31684</v>
      </c>
    </row>
    <row r="79" spans="1:3" ht="17.25">
      <c r="A79" s="59" t="s">
        <v>114</v>
      </c>
      <c r="B79" s="33" t="s">
        <v>115</v>
      </c>
      <c r="C79" s="35">
        <f>[13]С2!F29</f>
        <v>0.128978033685065</v>
      </c>
    </row>
    <row r="80" spans="1:3" ht="30">
      <c r="A80" s="59" t="s">
        <v>116</v>
      </c>
      <c r="B80" s="53" t="s">
        <v>117</v>
      </c>
      <c r="C80" s="70">
        <f>[13]С2!F30</f>
        <v>0.11668498168498169</v>
      </c>
    </row>
    <row r="81" spans="1:3" ht="17.25">
      <c r="A81" s="59" t="s">
        <v>118</v>
      </c>
      <c r="B81" s="71" t="s">
        <v>119</v>
      </c>
      <c r="C81" s="35">
        <f>[13]С2!F31</f>
        <v>0.13880000000000001</v>
      </c>
    </row>
    <row r="82" spans="1:3" s="63" customFormat="1" ht="18" thickBot="1">
      <c r="A82" s="72" t="s">
        <v>120</v>
      </c>
      <c r="B82" s="73" t="s">
        <v>121</v>
      </c>
      <c r="C82" s="74">
        <f>[13]С2!F32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[13]С3!F14</f>
        <v>6976.0888978803041</v>
      </c>
    </row>
    <row r="86" spans="1:3" s="63" customFormat="1" ht="42.75">
      <c r="A86" s="77" t="s">
        <v>126</v>
      </c>
      <c r="B86" s="53" t="s">
        <v>127</v>
      </c>
      <c r="C86" s="78">
        <f>[13]С3!F15</f>
        <v>0.2</v>
      </c>
    </row>
    <row r="87" spans="1:3" s="63" customFormat="1" ht="14.25">
      <c r="A87" s="77" t="s">
        <v>128</v>
      </c>
      <c r="B87" s="79" t="s">
        <v>129</v>
      </c>
      <c r="C87" s="62">
        <f>[13]С3!F18</f>
        <v>15</v>
      </c>
    </row>
    <row r="88" spans="1:3" s="63" customFormat="1" ht="17.25">
      <c r="A88" s="77" t="s">
        <v>130</v>
      </c>
      <c r="B88" s="33" t="s">
        <v>131</v>
      </c>
      <c r="C88" s="34">
        <f>[13]С3!F19</f>
        <v>3487.1555421534131</v>
      </c>
    </row>
    <row r="89" spans="1:3" s="63" customFormat="1" ht="55.5">
      <c r="A89" s="77" t="s">
        <v>132</v>
      </c>
      <c r="B89" s="53" t="s">
        <v>133</v>
      </c>
      <c r="C89" s="80">
        <f>[13]С3!F20</f>
        <v>2.1999999999999999E-2</v>
      </c>
    </row>
    <row r="90" spans="1:3" s="63" customFormat="1" ht="14.25">
      <c r="A90" s="77" t="s">
        <v>134</v>
      </c>
      <c r="B90" s="58" t="s">
        <v>80</v>
      </c>
      <c r="C90" s="62">
        <f>[13]С3!F21</f>
        <v>10</v>
      </c>
    </row>
    <row r="91" spans="1:3" s="63" customFormat="1" ht="17.25">
      <c r="A91" s="77" t="s">
        <v>135</v>
      </c>
      <c r="B91" s="33" t="s">
        <v>136</v>
      </c>
      <c r="C91" s="34">
        <f>[13]С3!F22</f>
        <v>1.9138049586875561</v>
      </c>
    </row>
    <row r="92" spans="1:3" s="63" customFormat="1" ht="55.5">
      <c r="A92" s="77" t="s">
        <v>137</v>
      </c>
      <c r="B92" s="53" t="s">
        <v>138</v>
      </c>
      <c r="C92" s="80">
        <f>[13]С3!F23</f>
        <v>3.0000000000000001E-3</v>
      </c>
    </row>
    <row r="93" spans="1:3" s="63" customFormat="1" ht="27.75" thickBot="1">
      <c r="A93" s="81" t="s">
        <v>139</v>
      </c>
      <c r="B93" s="82" t="s">
        <v>140</v>
      </c>
      <c r="C93" s="83">
        <f>[13]С3!F24</f>
        <v>637.93498622918537</v>
      </c>
    </row>
    <row r="94" spans="1:3" ht="13.5" thickBot="1">
      <c r="A94" s="47"/>
      <c r="B94" s="75"/>
      <c r="C94" s="15"/>
    </row>
    <row r="95" spans="1:3" ht="30" customHeight="1">
      <c r="A95" s="84" t="s">
        <v>141</v>
      </c>
      <c r="B95" s="118" t="s">
        <v>142</v>
      </c>
      <c r="C95" s="118"/>
    </row>
    <row r="96" spans="1:3" ht="30">
      <c r="A96" s="59" t="s">
        <v>143</v>
      </c>
      <c r="B96" s="33" t="s">
        <v>144</v>
      </c>
      <c r="C96" s="34">
        <f>[13]С4!F16</f>
        <v>1652.5</v>
      </c>
    </row>
    <row r="97" spans="1:3" ht="30">
      <c r="A97" s="59" t="s">
        <v>145</v>
      </c>
      <c r="B97" s="58" t="s">
        <v>146</v>
      </c>
      <c r="C97" s="34">
        <f>[13]С4!F17</f>
        <v>73547</v>
      </c>
    </row>
    <row r="98" spans="1:3" ht="17.25">
      <c r="A98" s="59" t="s">
        <v>147</v>
      </c>
      <c r="B98" s="58" t="s">
        <v>148</v>
      </c>
      <c r="C98" s="40">
        <f>[13]С4!F18</f>
        <v>0.02</v>
      </c>
    </row>
    <row r="99" spans="1:3" ht="30">
      <c r="A99" s="59" t="s">
        <v>149</v>
      </c>
      <c r="B99" s="58" t="s">
        <v>150</v>
      </c>
      <c r="C99" s="34">
        <f>[13]С4!F19</f>
        <v>12104</v>
      </c>
    </row>
    <row r="100" spans="1:3" ht="31.5">
      <c r="A100" s="59" t="s">
        <v>151</v>
      </c>
      <c r="B100" s="58" t="s">
        <v>152</v>
      </c>
      <c r="C100" s="40">
        <f>[13]С4!F20</f>
        <v>1.4999999999999999E-2</v>
      </c>
    </row>
    <row r="101" spans="1:3" ht="30">
      <c r="A101" s="59" t="s">
        <v>153</v>
      </c>
      <c r="B101" s="33" t="s">
        <v>154</v>
      </c>
      <c r="C101" s="34">
        <f>[13]С4!F21</f>
        <v>1933.1949342509995</v>
      </c>
    </row>
    <row r="102" spans="1:3" ht="24" customHeight="1">
      <c r="A102" s="59" t="s">
        <v>155</v>
      </c>
      <c r="B102" s="53" t="s">
        <v>156</v>
      </c>
      <c r="C102" s="85">
        <f>IF([13]С4.2!F8="да",[13]С4.2!D21,[13]С4.2!D15)</f>
        <v>0</v>
      </c>
    </row>
    <row r="103" spans="1:3" ht="68.25">
      <c r="A103" s="59" t="s">
        <v>157</v>
      </c>
      <c r="B103" s="53" t="s">
        <v>158</v>
      </c>
      <c r="C103" s="34">
        <f>[13]С4!F22</f>
        <v>3.6112641666666665</v>
      </c>
    </row>
    <row r="104" spans="1:3" ht="30">
      <c r="A104" s="59" t="s">
        <v>159</v>
      </c>
      <c r="B104" s="58" t="s">
        <v>160</v>
      </c>
      <c r="C104" s="34">
        <f>[13]С4!F23</f>
        <v>180</v>
      </c>
    </row>
    <row r="105" spans="1:3" ht="14.25">
      <c r="A105" s="59" t="s">
        <v>161</v>
      </c>
      <c r="B105" s="53" t="s">
        <v>162</v>
      </c>
      <c r="C105" s="34">
        <f>[13]С4!F24</f>
        <v>8497.1999999999989</v>
      </c>
    </row>
    <row r="106" spans="1:3" ht="14.25">
      <c r="A106" s="59" t="s">
        <v>163</v>
      </c>
      <c r="B106" s="58" t="s">
        <v>164</v>
      </c>
      <c r="C106" s="40">
        <f>[13]С4!F25</f>
        <v>0.35</v>
      </c>
    </row>
    <row r="107" spans="1:3" ht="17.25">
      <c r="A107" s="59" t="s">
        <v>165</v>
      </c>
      <c r="B107" s="33" t="s">
        <v>166</v>
      </c>
      <c r="C107" s="34">
        <f>[13]С4!F26</f>
        <v>50.739660000000001</v>
      </c>
    </row>
    <row r="108" spans="1:3" ht="25.5">
      <c r="A108" s="59" t="s">
        <v>167</v>
      </c>
      <c r="B108" s="53" t="s">
        <v>94</v>
      </c>
      <c r="C108" s="85">
        <f>[13]С4.3!E16</f>
        <v>0</v>
      </c>
    </row>
    <row r="109" spans="1:3" ht="25.5">
      <c r="A109" s="59" t="s">
        <v>168</v>
      </c>
      <c r="B109" s="53" t="s">
        <v>169</v>
      </c>
      <c r="C109" s="34">
        <f>[13]С4.3!E17</f>
        <v>12.94</v>
      </c>
    </row>
    <row r="110" spans="1:3" ht="38.25">
      <c r="A110" s="59" t="s">
        <v>170</v>
      </c>
      <c r="B110" s="53" t="s">
        <v>106</v>
      </c>
      <c r="C110" s="85">
        <f>[13]С4.3!E18</f>
        <v>0</v>
      </c>
    </row>
    <row r="111" spans="1:3">
      <c r="A111" s="59" t="s">
        <v>171</v>
      </c>
      <c r="B111" s="53" t="s">
        <v>172</v>
      </c>
      <c r="C111" s="34">
        <f>[13]С4.3!E19</f>
        <v>26.27</v>
      </c>
    </row>
    <row r="112" spans="1:3">
      <c r="A112" s="59" t="s">
        <v>173</v>
      </c>
      <c r="B112" s="58" t="s">
        <v>174</v>
      </c>
      <c r="C112" s="34">
        <f>[13]С4.3!E11</f>
        <v>1871</v>
      </c>
    </row>
    <row r="113" spans="1:3">
      <c r="A113" s="59" t="s">
        <v>175</v>
      </c>
      <c r="B113" s="58" t="s">
        <v>176</v>
      </c>
      <c r="C113" s="52">
        <f>[13]С4.3!E12</f>
        <v>1636</v>
      </c>
    </row>
    <row r="114" spans="1:3">
      <c r="A114" s="59" t="s">
        <v>177</v>
      </c>
      <c r="B114" s="58" t="s">
        <v>178</v>
      </c>
      <c r="C114" s="52">
        <f>[13]С4.3!E13</f>
        <v>204</v>
      </c>
    </row>
    <row r="115" spans="1:3" ht="30">
      <c r="A115" s="59" t="s">
        <v>179</v>
      </c>
      <c r="B115" s="33" t="s">
        <v>180</v>
      </c>
      <c r="C115" s="34">
        <f>[13]С4!F27</f>
        <v>1038.565361974559</v>
      </c>
    </row>
    <row r="116" spans="1:3" ht="25.5">
      <c r="A116" s="59" t="s">
        <v>181</v>
      </c>
      <c r="B116" s="53" t="s">
        <v>182</v>
      </c>
      <c r="C116" s="34">
        <f>[13]С4!F28</f>
        <v>797.66924882838634</v>
      </c>
    </row>
    <row r="117" spans="1:3" ht="42.75">
      <c r="A117" s="59" t="s">
        <v>183</v>
      </c>
      <c r="B117" s="53" t="s">
        <v>184</v>
      </c>
      <c r="C117" s="34">
        <f>[13]С4!F29</f>
        <v>240.89611314617269</v>
      </c>
    </row>
    <row r="118" spans="1:3" ht="30">
      <c r="A118" s="59" t="s">
        <v>185</v>
      </c>
      <c r="B118" s="39" t="s">
        <v>186</v>
      </c>
      <c r="C118" s="34">
        <f>[13]С4!F30</f>
        <v>2313.0100865154554</v>
      </c>
    </row>
    <row r="119" spans="1:3" ht="42.75">
      <c r="A119" s="59" t="s">
        <v>187</v>
      </c>
      <c r="B119" s="86" t="s">
        <v>188</v>
      </c>
      <c r="C119" s="34">
        <f>[13]С4!F33</f>
        <v>1600.2557856902299</v>
      </c>
    </row>
    <row r="120" spans="1:3" ht="30">
      <c r="A120" s="59" t="s">
        <v>189</v>
      </c>
      <c r="B120" s="87" t="s">
        <v>190</v>
      </c>
      <c r="C120" s="34">
        <f>[13]С4!F35</f>
        <v>17.040680999999999</v>
      </c>
    </row>
    <row r="121" spans="1:3" ht="14.25">
      <c r="A121" s="59" t="s">
        <v>191</v>
      </c>
      <c r="B121" s="56" t="s">
        <v>192</v>
      </c>
      <c r="C121" s="34">
        <f>[13]С4!F36</f>
        <v>14319.9</v>
      </c>
    </row>
    <row r="122" spans="1:3" ht="28.5" thickBot="1">
      <c r="A122" s="72" t="s">
        <v>193</v>
      </c>
      <c r="B122" s="88" t="s">
        <v>194</v>
      </c>
      <c r="C122" s="83">
        <f>[13]С4!F37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[13]С5!F17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[13]С2!F37</f>
        <v>20.818139999999996</v>
      </c>
    </row>
    <row r="136" spans="1:4" ht="14.25">
      <c r="A136" s="59" t="s">
        <v>216</v>
      </c>
      <c r="B136" s="101" t="s">
        <v>217</v>
      </c>
      <c r="C136" s="34">
        <f>[13]С2!F38</f>
        <v>7</v>
      </c>
    </row>
    <row r="137" spans="1:4" ht="17.25">
      <c r="A137" s="59" t="s">
        <v>218</v>
      </c>
      <c r="B137" s="101" t="s">
        <v>219</v>
      </c>
      <c r="C137" s="34">
        <f>[13]С2!F40</f>
        <v>0.97</v>
      </c>
    </row>
    <row r="138" spans="1:4" ht="15" thickBot="1">
      <c r="A138" s="72" t="s">
        <v>220</v>
      </c>
      <c r="B138" s="102" t="s">
        <v>221</v>
      </c>
      <c r="C138" s="46">
        <f>[13]С2!F42</f>
        <v>0.35</v>
      </c>
    </row>
    <row r="139" spans="1:4" s="89" customFormat="1" ht="13.5" thickBot="1">
      <c r="A139" s="47"/>
      <c r="B139" s="75"/>
      <c r="C139" s="15"/>
    </row>
    <row r="140" spans="1:4" ht="30">
      <c r="A140" s="84" t="s">
        <v>222</v>
      </c>
      <c r="B140" s="103" t="s">
        <v>223</v>
      </c>
      <c r="C140" s="104">
        <f>[13]С2!F35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[13]С2.5!$E$11</f>
        <v>-2.9000000000000026E-2</v>
      </c>
      <c r="D143" s="89"/>
    </row>
    <row r="144" spans="1:4">
      <c r="A144" s="105"/>
      <c r="B144" s="110">
        <f>B143+1</f>
        <v>2021</v>
      </c>
      <c r="C144" s="111">
        <f>[13]С2.5!$F$11</f>
        <v>0.245</v>
      </c>
      <c r="D144" s="89"/>
    </row>
    <row r="145" spans="1:4">
      <c r="A145" s="105"/>
      <c r="B145" s="110">
        <f t="shared" ref="B145:B208" si="0">B144+1</f>
        <v>2022</v>
      </c>
      <c r="C145" s="111">
        <f>[13]С2.5!$G$11</f>
        <v>0.121</v>
      </c>
      <c r="D145" s="89"/>
    </row>
    <row r="146" spans="1:4" ht="13.5" thickBot="1">
      <c r="A146" s="105"/>
      <c r="B146" s="112">
        <f t="shared" si="0"/>
        <v>2023</v>
      </c>
      <c r="C146" s="113">
        <f>[13]С2.5!$H$11</f>
        <v>0.02</v>
      </c>
      <c r="D146" s="89"/>
    </row>
    <row r="147" spans="1:4" hidden="1">
      <c r="A147" s="105"/>
      <c r="B147" s="114">
        <f t="shared" si="0"/>
        <v>2024</v>
      </c>
      <c r="C147" s="115">
        <f>[13]С2.5!$I$11</f>
        <v>-2.93E-2</v>
      </c>
      <c r="D147" s="89"/>
    </row>
    <row r="148" spans="1:4" hidden="1">
      <c r="A148" s="105"/>
      <c r="B148" s="110">
        <f t="shared" si="0"/>
        <v>2025</v>
      </c>
      <c r="C148" s="111">
        <f>[13]С2.5!$J$11</f>
        <v>0.21215960863291</v>
      </c>
      <c r="D148" s="89"/>
    </row>
    <row r="149" spans="1:4" hidden="1">
      <c r="A149" s="105"/>
      <c r="B149" s="110">
        <f t="shared" si="0"/>
        <v>2026</v>
      </c>
      <c r="C149" s="111">
        <f>[13]С2.5!$K$11</f>
        <v>3.5813361771260002E-2</v>
      </c>
      <c r="D149" s="89"/>
    </row>
    <row r="150" spans="1:4" hidden="1">
      <c r="A150" s="105"/>
      <c r="B150" s="110">
        <f t="shared" si="0"/>
        <v>2027</v>
      </c>
      <c r="C150" s="111">
        <f>[13]С2.5!$L$11</f>
        <v>3.2682303599220003E-2</v>
      </c>
      <c r="D150" s="89"/>
    </row>
    <row r="151" spans="1:4" hidden="1">
      <c r="A151" s="105"/>
      <c r="B151" s="110">
        <f t="shared" si="0"/>
        <v>2028</v>
      </c>
      <c r="C151" s="111">
        <f>[13]С2.5!$M$11</f>
        <v>0</v>
      </c>
      <c r="D151" s="89"/>
    </row>
    <row r="152" spans="1:4" hidden="1">
      <c r="A152" s="105"/>
      <c r="B152" s="110">
        <f t="shared" si="0"/>
        <v>2029</v>
      </c>
      <c r="C152" s="111">
        <f>[13]С2.5!$N$11</f>
        <v>0</v>
      </c>
      <c r="D152" s="89"/>
    </row>
    <row r="153" spans="1:4" hidden="1">
      <c r="A153" s="105"/>
      <c r="B153" s="110">
        <f t="shared" si="0"/>
        <v>2030</v>
      </c>
      <c r="C153" s="111">
        <f>[13]С2.5!$O$11</f>
        <v>0</v>
      </c>
      <c r="D153" s="89"/>
    </row>
    <row r="154" spans="1:4" hidden="1">
      <c r="A154" s="105"/>
      <c r="B154" s="110">
        <f t="shared" si="0"/>
        <v>2031</v>
      </c>
      <c r="C154" s="111">
        <f>[13]С2.5!$P$11</f>
        <v>0</v>
      </c>
      <c r="D154" s="89"/>
    </row>
    <row r="155" spans="1:4" hidden="1">
      <c r="A155" s="89"/>
      <c r="B155" s="110">
        <f t="shared" si="0"/>
        <v>2032</v>
      </c>
      <c r="C155" s="111">
        <f>[13]С2.5!$Q$11</f>
        <v>0</v>
      </c>
      <c r="D155" s="89"/>
    </row>
    <row r="156" spans="1:4" hidden="1">
      <c r="A156" s="89"/>
      <c r="B156" s="110">
        <f t="shared" si="0"/>
        <v>2033</v>
      </c>
      <c r="C156" s="111">
        <f>[13]С2.5!$R$11</f>
        <v>0</v>
      </c>
      <c r="D156" s="89"/>
    </row>
    <row r="157" spans="1:4" hidden="1">
      <c r="B157" s="110">
        <f t="shared" si="0"/>
        <v>2034</v>
      </c>
      <c r="C157" s="111">
        <f>[13]С2.5!$S$11</f>
        <v>0</v>
      </c>
    </row>
    <row r="158" spans="1:4" hidden="1">
      <c r="B158" s="110">
        <f t="shared" si="0"/>
        <v>2035</v>
      </c>
      <c r="C158" s="111">
        <f>[13]С2.5!$T$11</f>
        <v>0</v>
      </c>
    </row>
    <row r="159" spans="1:4" hidden="1">
      <c r="B159" s="110">
        <f t="shared" si="0"/>
        <v>2036</v>
      </c>
      <c r="C159" s="111">
        <f>[13]С2.5!$U$11</f>
        <v>0</v>
      </c>
    </row>
    <row r="160" spans="1:4" hidden="1">
      <c r="B160" s="110">
        <f t="shared" si="0"/>
        <v>2037</v>
      </c>
      <c r="C160" s="111">
        <f>[13]С2.5!$V$11</f>
        <v>0</v>
      </c>
    </row>
    <row r="161" spans="2:3" hidden="1">
      <c r="B161" s="110">
        <f t="shared" si="0"/>
        <v>2038</v>
      </c>
      <c r="C161" s="111">
        <f>[13]С2.5!$W$11</f>
        <v>0</v>
      </c>
    </row>
    <row r="162" spans="2:3" hidden="1">
      <c r="B162" s="110">
        <f t="shared" si="0"/>
        <v>2039</v>
      </c>
      <c r="C162" s="111">
        <f>[13]С2.5!$X$11</f>
        <v>0</v>
      </c>
    </row>
    <row r="163" spans="2:3" hidden="1">
      <c r="B163" s="110">
        <f t="shared" si="0"/>
        <v>2040</v>
      </c>
      <c r="C163" s="111">
        <f>[13]С2.5!$Y$11</f>
        <v>0</v>
      </c>
    </row>
    <row r="164" spans="2:3" hidden="1">
      <c r="B164" s="110">
        <f t="shared" si="0"/>
        <v>2041</v>
      </c>
      <c r="C164" s="111">
        <f>[13]С2.5!$Z$11</f>
        <v>0</v>
      </c>
    </row>
    <row r="165" spans="2:3" hidden="1">
      <c r="B165" s="110">
        <f t="shared" si="0"/>
        <v>2042</v>
      </c>
      <c r="C165" s="111">
        <f>[13]С2.5!$AA$11</f>
        <v>0</v>
      </c>
    </row>
    <row r="166" spans="2:3" hidden="1">
      <c r="B166" s="110">
        <f t="shared" si="0"/>
        <v>2043</v>
      </c>
      <c r="C166" s="111">
        <f>[13]С2.5!$AB$11</f>
        <v>0</v>
      </c>
    </row>
    <row r="167" spans="2:3" hidden="1">
      <c r="B167" s="110">
        <f t="shared" si="0"/>
        <v>2044</v>
      </c>
      <c r="C167" s="111">
        <f>[13]С2.5!$AC$11</f>
        <v>0</v>
      </c>
    </row>
    <row r="168" spans="2:3" hidden="1">
      <c r="B168" s="110">
        <f t="shared" si="0"/>
        <v>2045</v>
      </c>
      <c r="C168" s="111">
        <f>[13]С2.5!$AD$11</f>
        <v>0</v>
      </c>
    </row>
    <row r="169" spans="2:3" hidden="1">
      <c r="B169" s="110">
        <f t="shared" si="0"/>
        <v>2046</v>
      </c>
      <c r="C169" s="111">
        <f>[13]С2.5!$AE$11</f>
        <v>0</v>
      </c>
    </row>
    <row r="170" spans="2:3" hidden="1">
      <c r="B170" s="110">
        <f t="shared" si="0"/>
        <v>2047</v>
      </c>
      <c r="C170" s="111">
        <f>[13]С2.5!$AF$11</f>
        <v>0</v>
      </c>
    </row>
    <row r="171" spans="2:3" hidden="1">
      <c r="B171" s="110">
        <f t="shared" si="0"/>
        <v>2048</v>
      </c>
      <c r="C171" s="111">
        <f>[13]С2.5!$AG$11</f>
        <v>0</v>
      </c>
    </row>
    <row r="172" spans="2:3" hidden="1">
      <c r="B172" s="110">
        <f t="shared" si="0"/>
        <v>2049</v>
      </c>
      <c r="C172" s="111">
        <f>[13]С2.5!$AH$11</f>
        <v>0</v>
      </c>
    </row>
    <row r="173" spans="2:3" hidden="1">
      <c r="B173" s="110">
        <f t="shared" si="0"/>
        <v>2050</v>
      </c>
      <c r="C173" s="111">
        <f>[13]С2.5!$AI$11</f>
        <v>0</v>
      </c>
    </row>
    <row r="174" spans="2:3" hidden="1">
      <c r="B174" s="110">
        <f t="shared" si="0"/>
        <v>2051</v>
      </c>
      <c r="C174" s="111">
        <f>[13]С2.5!$AJ$11</f>
        <v>0</v>
      </c>
    </row>
    <row r="175" spans="2:3" hidden="1">
      <c r="B175" s="110">
        <f t="shared" si="0"/>
        <v>2052</v>
      </c>
      <c r="C175" s="111">
        <f>[13]С2.5!$AK$11</f>
        <v>0</v>
      </c>
    </row>
    <row r="176" spans="2:3" hidden="1">
      <c r="B176" s="110">
        <f t="shared" si="0"/>
        <v>2053</v>
      </c>
      <c r="C176" s="111">
        <f>[13]С2.5!$AL$11</f>
        <v>0</v>
      </c>
    </row>
    <row r="177" spans="2:3" hidden="1">
      <c r="B177" s="110">
        <f t="shared" si="0"/>
        <v>2054</v>
      </c>
      <c r="C177" s="111">
        <f>[13]С2.5!$AM$11</f>
        <v>0</v>
      </c>
    </row>
    <row r="178" spans="2:3" hidden="1">
      <c r="B178" s="110">
        <f t="shared" si="0"/>
        <v>2055</v>
      </c>
      <c r="C178" s="111">
        <f>[13]С2.5!$AN$11</f>
        <v>0</v>
      </c>
    </row>
    <row r="179" spans="2:3" hidden="1">
      <c r="B179" s="110">
        <f t="shared" si="0"/>
        <v>2056</v>
      </c>
      <c r="C179" s="111">
        <f>[13]С2.5!$AO$11</f>
        <v>0</v>
      </c>
    </row>
    <row r="180" spans="2:3" hidden="1">
      <c r="B180" s="110">
        <f t="shared" si="0"/>
        <v>2057</v>
      </c>
      <c r="C180" s="111">
        <f>[13]С2.5!$AP$11</f>
        <v>0</v>
      </c>
    </row>
    <row r="181" spans="2:3" hidden="1">
      <c r="B181" s="110">
        <f t="shared" si="0"/>
        <v>2058</v>
      </c>
      <c r="C181" s="111">
        <f>[13]С2.5!$AQ$11</f>
        <v>0</v>
      </c>
    </row>
    <row r="182" spans="2:3" hidden="1">
      <c r="B182" s="110">
        <f t="shared" si="0"/>
        <v>2059</v>
      </c>
      <c r="C182" s="111">
        <f>[13]С2.5!$AR$11</f>
        <v>0</v>
      </c>
    </row>
    <row r="183" spans="2:3" hidden="1">
      <c r="B183" s="110">
        <f t="shared" si="0"/>
        <v>2060</v>
      </c>
      <c r="C183" s="111">
        <f>[13]С2.5!$AS$11</f>
        <v>0</v>
      </c>
    </row>
    <row r="184" spans="2:3" hidden="1">
      <c r="B184" s="110">
        <f t="shared" si="0"/>
        <v>2061</v>
      </c>
      <c r="C184" s="111">
        <f>[13]С2.5!$AT$11</f>
        <v>0</v>
      </c>
    </row>
    <row r="185" spans="2:3" hidden="1">
      <c r="B185" s="110">
        <f t="shared" si="0"/>
        <v>2062</v>
      </c>
      <c r="C185" s="111">
        <f>[13]С2.5!$AU$11</f>
        <v>0</v>
      </c>
    </row>
    <row r="186" spans="2:3" hidden="1">
      <c r="B186" s="110">
        <f t="shared" si="0"/>
        <v>2063</v>
      </c>
      <c r="C186" s="111">
        <f>[13]С2.5!$AV$11</f>
        <v>0</v>
      </c>
    </row>
    <row r="187" spans="2:3" hidden="1">
      <c r="B187" s="110">
        <f t="shared" si="0"/>
        <v>2064</v>
      </c>
      <c r="C187" s="111">
        <f>[13]С2.5!$AW$11</f>
        <v>0</v>
      </c>
    </row>
    <row r="188" spans="2:3" hidden="1">
      <c r="B188" s="110">
        <f t="shared" si="0"/>
        <v>2065</v>
      </c>
      <c r="C188" s="111">
        <f>[13]С2.5!$AX$11</f>
        <v>0</v>
      </c>
    </row>
    <row r="189" spans="2:3" hidden="1">
      <c r="B189" s="110">
        <f t="shared" si="0"/>
        <v>2066</v>
      </c>
      <c r="C189" s="111">
        <f>[13]С2.5!$AY$11</f>
        <v>0</v>
      </c>
    </row>
    <row r="190" spans="2:3" hidden="1">
      <c r="B190" s="110">
        <f t="shared" si="0"/>
        <v>2067</v>
      </c>
      <c r="C190" s="111">
        <f>[13]С2.5!$AZ$11</f>
        <v>0</v>
      </c>
    </row>
    <row r="191" spans="2:3" hidden="1">
      <c r="B191" s="110">
        <f t="shared" si="0"/>
        <v>2068</v>
      </c>
      <c r="C191" s="111">
        <f>[13]С2.5!$BA$11</f>
        <v>0</v>
      </c>
    </row>
    <row r="192" spans="2:3" hidden="1">
      <c r="B192" s="110">
        <f t="shared" si="0"/>
        <v>2069</v>
      </c>
      <c r="C192" s="111">
        <f>[13]С2.5!$BB$11</f>
        <v>0</v>
      </c>
    </row>
    <row r="193" spans="2:3" hidden="1">
      <c r="B193" s="110">
        <f t="shared" si="0"/>
        <v>2070</v>
      </c>
      <c r="C193" s="111">
        <f>[13]С2.5!$BC$11</f>
        <v>0</v>
      </c>
    </row>
    <row r="194" spans="2:3" hidden="1">
      <c r="B194" s="110">
        <f t="shared" si="0"/>
        <v>2071</v>
      </c>
      <c r="C194" s="111">
        <f>[13]С2.5!$BD$11</f>
        <v>0</v>
      </c>
    </row>
    <row r="195" spans="2:3" hidden="1">
      <c r="B195" s="110">
        <f t="shared" si="0"/>
        <v>2072</v>
      </c>
      <c r="C195" s="111">
        <f>[13]С2.5!$BE$11</f>
        <v>0</v>
      </c>
    </row>
    <row r="196" spans="2:3" hidden="1">
      <c r="B196" s="110">
        <f t="shared" si="0"/>
        <v>2073</v>
      </c>
      <c r="C196" s="111">
        <f>[13]С2.5!$BF$11</f>
        <v>0</v>
      </c>
    </row>
    <row r="197" spans="2:3" hidden="1">
      <c r="B197" s="110">
        <f t="shared" si="0"/>
        <v>2074</v>
      </c>
      <c r="C197" s="111">
        <f>[13]С2.5!$BG$11</f>
        <v>0</v>
      </c>
    </row>
    <row r="198" spans="2:3" hidden="1">
      <c r="B198" s="110">
        <f t="shared" si="0"/>
        <v>2075</v>
      </c>
      <c r="C198" s="111">
        <f>[13]С2.5!$BH$11</f>
        <v>0</v>
      </c>
    </row>
    <row r="199" spans="2:3" hidden="1">
      <c r="B199" s="110">
        <f t="shared" si="0"/>
        <v>2076</v>
      </c>
      <c r="C199" s="111">
        <f>[13]С2.5!$BI$11</f>
        <v>0</v>
      </c>
    </row>
    <row r="200" spans="2:3" hidden="1">
      <c r="B200" s="110">
        <f t="shared" si="0"/>
        <v>2077</v>
      </c>
      <c r="C200" s="111">
        <f>[13]С2.5!$BJ$11</f>
        <v>0</v>
      </c>
    </row>
    <row r="201" spans="2:3" hidden="1">
      <c r="B201" s="110">
        <f t="shared" si="0"/>
        <v>2078</v>
      </c>
      <c r="C201" s="111">
        <f>[13]С2.5!$BK$11</f>
        <v>0</v>
      </c>
    </row>
    <row r="202" spans="2:3" hidden="1">
      <c r="B202" s="110">
        <f t="shared" si="0"/>
        <v>2079</v>
      </c>
      <c r="C202" s="111">
        <f>[13]С2.5!$BL$11</f>
        <v>0</v>
      </c>
    </row>
    <row r="203" spans="2:3" hidden="1">
      <c r="B203" s="110">
        <f t="shared" si="0"/>
        <v>2080</v>
      </c>
      <c r="C203" s="111">
        <f>[13]С2.5!$BM$11</f>
        <v>0</v>
      </c>
    </row>
    <row r="204" spans="2:3" hidden="1">
      <c r="B204" s="110">
        <f t="shared" si="0"/>
        <v>2081</v>
      </c>
      <c r="C204" s="111">
        <f>[13]С2.5!$BN$11</f>
        <v>0</v>
      </c>
    </row>
    <row r="205" spans="2:3" hidden="1">
      <c r="B205" s="110">
        <f t="shared" si="0"/>
        <v>2082</v>
      </c>
      <c r="C205" s="111">
        <f>[13]С2.5!$BO$11</f>
        <v>0</v>
      </c>
    </row>
    <row r="206" spans="2:3" hidden="1">
      <c r="B206" s="110">
        <f t="shared" si="0"/>
        <v>2083</v>
      </c>
      <c r="C206" s="111">
        <f>[13]С2.5!$BP$11</f>
        <v>0</v>
      </c>
    </row>
    <row r="207" spans="2:3" hidden="1">
      <c r="B207" s="110">
        <f t="shared" si="0"/>
        <v>2084</v>
      </c>
      <c r="C207" s="111">
        <f>[13]С2.5!$BQ$11</f>
        <v>0</v>
      </c>
    </row>
    <row r="208" spans="2:3" hidden="1">
      <c r="B208" s="110">
        <f t="shared" si="0"/>
        <v>2085</v>
      </c>
      <c r="C208" s="111">
        <f>[13]С2.5!$BR$11</f>
        <v>0</v>
      </c>
    </row>
    <row r="209" spans="2:3" hidden="1">
      <c r="B209" s="110">
        <f t="shared" ref="B209:B223" si="1">B208+1</f>
        <v>2086</v>
      </c>
      <c r="C209" s="111">
        <f>[13]С2.5!$BS$11</f>
        <v>0</v>
      </c>
    </row>
    <row r="210" spans="2:3" hidden="1">
      <c r="B210" s="110">
        <f t="shared" si="1"/>
        <v>2087</v>
      </c>
      <c r="C210" s="111">
        <f>[13]С2.5!$BT$11</f>
        <v>0</v>
      </c>
    </row>
    <row r="211" spans="2:3" hidden="1">
      <c r="B211" s="110">
        <f t="shared" si="1"/>
        <v>2088</v>
      </c>
      <c r="C211" s="111">
        <f>[13]С2.5!$BU$11</f>
        <v>0</v>
      </c>
    </row>
    <row r="212" spans="2:3" hidden="1">
      <c r="B212" s="110">
        <f t="shared" si="1"/>
        <v>2089</v>
      </c>
      <c r="C212" s="111">
        <f>[13]С2.5!$BV$11</f>
        <v>0</v>
      </c>
    </row>
    <row r="213" spans="2:3" hidden="1">
      <c r="B213" s="110">
        <f t="shared" si="1"/>
        <v>2090</v>
      </c>
      <c r="C213" s="111">
        <f>[13]С2.5!$BW$11</f>
        <v>0</v>
      </c>
    </row>
    <row r="214" spans="2:3" hidden="1">
      <c r="B214" s="110">
        <f t="shared" si="1"/>
        <v>2091</v>
      </c>
      <c r="C214" s="111">
        <f>[13]С2.5!$BX$11</f>
        <v>0</v>
      </c>
    </row>
    <row r="215" spans="2:3" hidden="1">
      <c r="B215" s="110">
        <f t="shared" si="1"/>
        <v>2092</v>
      </c>
      <c r="C215" s="111">
        <f>[13]С2.5!$BY$11</f>
        <v>0</v>
      </c>
    </row>
    <row r="216" spans="2:3" hidden="1">
      <c r="B216" s="110">
        <f t="shared" si="1"/>
        <v>2093</v>
      </c>
      <c r="C216" s="111">
        <f>[13]С2.5!$BZ$11</f>
        <v>0</v>
      </c>
    </row>
    <row r="217" spans="2:3" hidden="1">
      <c r="B217" s="110">
        <f t="shared" si="1"/>
        <v>2094</v>
      </c>
      <c r="C217" s="111">
        <f>[13]С2.5!$CA$11</f>
        <v>0</v>
      </c>
    </row>
    <row r="218" spans="2:3" hidden="1">
      <c r="B218" s="110">
        <f t="shared" si="1"/>
        <v>2095</v>
      </c>
      <c r="C218" s="111">
        <f>[13]С2.5!$CB$11</f>
        <v>0</v>
      </c>
    </row>
    <row r="219" spans="2:3" hidden="1">
      <c r="B219" s="110">
        <f t="shared" si="1"/>
        <v>2096</v>
      </c>
      <c r="C219" s="111">
        <f>[13]С2.5!$CC$11</f>
        <v>0</v>
      </c>
    </row>
    <row r="220" spans="2:3" hidden="1">
      <c r="B220" s="110">
        <f t="shared" si="1"/>
        <v>2097</v>
      </c>
      <c r="C220" s="111">
        <f>[13]С2.5!$CD$11</f>
        <v>0</v>
      </c>
    </row>
    <row r="221" spans="2:3" hidden="1">
      <c r="B221" s="110">
        <f t="shared" si="1"/>
        <v>2098</v>
      </c>
      <c r="C221" s="111">
        <f>[13]С2.5!$CE$11</f>
        <v>0</v>
      </c>
    </row>
    <row r="222" spans="2:3" hidden="1">
      <c r="B222" s="110">
        <f t="shared" si="1"/>
        <v>2099</v>
      </c>
      <c r="C222" s="111">
        <f>[13]С2.5!$CF$11</f>
        <v>0</v>
      </c>
    </row>
    <row r="223" spans="2:3" ht="13.5" hidden="1" thickBot="1">
      <c r="B223" s="112">
        <f t="shared" si="1"/>
        <v>2100</v>
      </c>
      <c r="C223" s="113">
        <f>[13]С2.5!$CG$11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[14]И1!D13</f>
        <v>Субъект Российской Федерации</v>
      </c>
      <c r="C4" s="10" t="str">
        <f>[14]И1!E13</f>
        <v>Новосибирская область</v>
      </c>
    </row>
    <row r="5" spans="1:3" ht="38.25">
      <c r="A5" s="8"/>
      <c r="B5" s="9" t="str">
        <f>[14]И1!D14</f>
        <v>Тип муниципального образования (выберите из списка)</v>
      </c>
      <c r="C5" s="10" t="str">
        <f>[14]И1!E14</f>
        <v>село Петраки, Здвинский муниципальный район</v>
      </c>
    </row>
    <row r="6" spans="1:3">
      <c r="A6" s="8"/>
      <c r="B6" s="9" t="str">
        <f>IF([14]И1!E15="","",[14]И1!D15)</f>
        <v/>
      </c>
      <c r="C6" s="10" t="str">
        <f>IF([14]И1!E15="","",[14]И1!E15)</f>
        <v/>
      </c>
    </row>
    <row r="7" spans="1:3">
      <c r="A7" s="8"/>
      <c r="B7" s="9" t="str">
        <f>[14]И1!D16</f>
        <v>Код ОКТМО</v>
      </c>
      <c r="C7" s="11" t="str">
        <f>[14]И1!E16</f>
        <v>50613419101</v>
      </c>
    </row>
    <row r="8" spans="1:3">
      <c r="A8" s="8"/>
      <c r="B8" s="12" t="str">
        <f>[14]И1!D17</f>
        <v>Система теплоснабжения</v>
      </c>
      <c r="C8" s="13">
        <f>[14]И1!E17</f>
        <v>0</v>
      </c>
    </row>
    <row r="9" spans="1:3">
      <c r="A9" s="8"/>
      <c r="B9" s="9" t="str">
        <f>[14]И1!D8</f>
        <v>Период регулирования (i)-й</v>
      </c>
      <c r="C9" s="14">
        <f>[14]И1!E8</f>
        <v>2023</v>
      </c>
    </row>
    <row r="10" spans="1:3">
      <c r="A10" s="8"/>
      <c r="B10" s="9" t="str">
        <f>[14]И1!D9</f>
        <v>Период регулирования (i-1)-й</v>
      </c>
      <c r="C10" s="14">
        <f>[14]И1!E9</f>
        <v>2022</v>
      </c>
    </row>
    <row r="11" spans="1:3">
      <c r="A11" s="8"/>
      <c r="B11" s="9" t="str">
        <f>[14]И1!D10</f>
        <v>Период регулирования (i-2)-й</v>
      </c>
      <c r="C11" s="14">
        <f>[14]И1!E10</f>
        <v>2021</v>
      </c>
    </row>
    <row r="12" spans="1:3">
      <c r="A12" s="8"/>
      <c r="B12" s="9" t="str">
        <f>[14]И1!D11</f>
        <v>Базовый год (б)</v>
      </c>
      <c r="C12" s="14">
        <f>[14]И1!E11</f>
        <v>2019</v>
      </c>
    </row>
    <row r="13" spans="1:3" ht="38.25">
      <c r="A13" s="8"/>
      <c r="B13" s="9" t="str">
        <f>[14]И1!D18</f>
        <v>Вид топлива, использование которого преобладает в системе теплоснабжения</v>
      </c>
      <c r="C13" s="15" t="str">
        <f>[14]С1.1!E13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4120.7241139725884</v>
      </c>
    </row>
    <row r="18" spans="1:3" ht="42.75">
      <c r="A18" s="22" t="s">
        <v>8</v>
      </c>
      <c r="B18" s="25" t="s">
        <v>9</v>
      </c>
      <c r="C18" s="26">
        <f>[14]С1!F12</f>
        <v>1018.8683306946884</v>
      </c>
    </row>
    <row r="19" spans="1:3" ht="42.75">
      <c r="A19" s="22" t="s">
        <v>10</v>
      </c>
      <c r="B19" s="25" t="s">
        <v>11</v>
      </c>
      <c r="C19" s="26">
        <f>[14]С2!F12</f>
        <v>2101.7757879094611</v>
      </c>
    </row>
    <row r="20" spans="1:3" ht="30">
      <c r="A20" s="22" t="s">
        <v>12</v>
      </c>
      <c r="B20" s="25" t="s">
        <v>13</v>
      </c>
      <c r="C20" s="26">
        <f>[14]С3!F12</f>
        <v>502.69420058623905</v>
      </c>
    </row>
    <row r="21" spans="1:3" ht="42.75">
      <c r="A21" s="22" t="s">
        <v>14</v>
      </c>
      <c r="B21" s="25" t="s">
        <v>15</v>
      </c>
      <c r="C21" s="26">
        <f>[14]С4!F12</f>
        <v>416.5872827435216</v>
      </c>
    </row>
    <row r="22" spans="1:3" ht="30">
      <c r="A22" s="22" t="s">
        <v>16</v>
      </c>
      <c r="B22" s="25" t="s">
        <v>17</v>
      </c>
      <c r="C22" s="26">
        <f>[14]С5!F12</f>
        <v>80.798512038678197</v>
      </c>
    </row>
    <row r="23" spans="1:3" ht="43.5" thickBot="1">
      <c r="A23" s="27" t="s">
        <v>18</v>
      </c>
      <c r="B23" s="117" t="s">
        <v>19</v>
      </c>
      <c r="C23" s="28" t="str">
        <f>[14]С6!F12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[14]С1.1!E16</f>
        <v>5100</v>
      </c>
    </row>
    <row r="29" spans="1:3" ht="42.75">
      <c r="A29" s="22" t="s">
        <v>10</v>
      </c>
      <c r="B29" s="33" t="s">
        <v>22</v>
      </c>
      <c r="C29" s="34">
        <f>[14]С1.1!E27</f>
        <v>2739.5666666666666</v>
      </c>
    </row>
    <row r="30" spans="1:3" ht="17.25">
      <c r="A30" s="22" t="s">
        <v>12</v>
      </c>
      <c r="B30" s="33" t="s">
        <v>23</v>
      </c>
      <c r="C30" s="35">
        <f>[14]С1.1!E19</f>
        <v>0.59499999999999997</v>
      </c>
    </row>
    <row r="31" spans="1:3" ht="17.25">
      <c r="A31" s="22" t="s">
        <v>14</v>
      </c>
      <c r="B31" s="33" t="s">
        <v>24</v>
      </c>
      <c r="C31" s="35">
        <f>[14]С1.1!E20</f>
        <v>-0.113</v>
      </c>
    </row>
    <row r="32" spans="1:3" ht="30">
      <c r="A32" s="22" t="s">
        <v>16</v>
      </c>
      <c r="B32" s="36" t="s">
        <v>25</v>
      </c>
      <c r="C32" s="37">
        <f>[14]С1!F13</f>
        <v>176.4</v>
      </c>
    </row>
    <row r="33" spans="1:3">
      <c r="A33" s="22" t="s">
        <v>18</v>
      </c>
      <c r="B33" s="36" t="s">
        <v>26</v>
      </c>
      <c r="C33" s="38">
        <f>[14]С1!F16</f>
        <v>7000</v>
      </c>
    </row>
    <row r="34" spans="1:3" ht="14.25">
      <c r="A34" s="22" t="s">
        <v>27</v>
      </c>
      <c r="B34" s="39" t="s">
        <v>28</v>
      </c>
      <c r="C34" s="40">
        <f>[14]С1!F17</f>
        <v>0.72857142857142854</v>
      </c>
    </row>
    <row r="35" spans="1:3" ht="15.75">
      <c r="A35" s="41" t="s">
        <v>29</v>
      </c>
      <c r="B35" s="42" t="s">
        <v>30</v>
      </c>
      <c r="C35" s="40">
        <f>[14]С1!F20</f>
        <v>21.588411179999994</v>
      </c>
    </row>
    <row r="36" spans="1:3" ht="15.75">
      <c r="A36" s="41" t="s">
        <v>31</v>
      </c>
      <c r="B36" s="43" t="s">
        <v>32</v>
      </c>
      <c r="C36" s="40">
        <f>[14]С1!F21</f>
        <v>20.818139999999996</v>
      </c>
    </row>
    <row r="37" spans="1:3" ht="14.25">
      <c r="A37" s="41" t="s">
        <v>33</v>
      </c>
      <c r="B37" s="44" t="s">
        <v>34</v>
      </c>
      <c r="C37" s="40">
        <f>[14]С1!F22</f>
        <v>1.0369999999999999</v>
      </c>
    </row>
    <row r="38" spans="1:3" ht="53.25" thickBot="1">
      <c r="A38" s="27" t="s">
        <v>35</v>
      </c>
      <c r="B38" s="45" t="s">
        <v>36</v>
      </c>
      <c r="C38" s="46">
        <f>[14]С1!F23</f>
        <v>1.0469999999999999</v>
      </c>
    </row>
    <row r="39" spans="1:3" ht="13.5" thickBot="1">
      <c r="A39" s="47"/>
      <c r="B39" s="48"/>
      <c r="C39" s="49"/>
    </row>
    <row r="40" spans="1:3" ht="30" customHeight="1">
      <c r="A40" s="50" t="s">
        <v>37</v>
      </c>
      <c r="B40" s="118" t="s">
        <v>38</v>
      </c>
      <c r="C40" s="118"/>
    </row>
    <row r="41" spans="1:3" ht="25.5">
      <c r="A41" s="22" t="s">
        <v>39</v>
      </c>
      <c r="B41" s="36" t="s">
        <v>40</v>
      </c>
      <c r="C41" s="51" t="str">
        <f>[14]С2.1!E12</f>
        <v>V</v>
      </c>
    </row>
    <row r="42" spans="1:3" ht="25.5">
      <c r="A42" s="22" t="s">
        <v>41</v>
      </c>
      <c r="B42" s="33" t="s">
        <v>42</v>
      </c>
      <c r="C42" s="51" t="str">
        <f>[14]С2.1!E13</f>
        <v>6 и менее баллов</v>
      </c>
    </row>
    <row r="43" spans="1:3" ht="25.5">
      <c r="A43" s="22" t="s">
        <v>43</v>
      </c>
      <c r="B43" s="33" t="s">
        <v>44</v>
      </c>
      <c r="C43" s="51" t="str">
        <f>[14]С2.1!E14</f>
        <v>от 200 до 500</v>
      </c>
    </row>
    <row r="44" spans="1:3" ht="25.5">
      <c r="A44" s="22" t="s">
        <v>45</v>
      </c>
      <c r="B44" s="33" t="s">
        <v>46</v>
      </c>
      <c r="C44" s="52" t="str">
        <f>[14]С2.1!E15</f>
        <v>нет</v>
      </c>
    </row>
    <row r="45" spans="1:3" ht="30">
      <c r="A45" s="22" t="s">
        <v>47</v>
      </c>
      <c r="B45" s="33" t="s">
        <v>48</v>
      </c>
      <c r="C45" s="34">
        <f>[14]С2!F18</f>
        <v>32402.627334033532</v>
      </c>
    </row>
    <row r="46" spans="1:3" ht="30">
      <c r="A46" s="22" t="s">
        <v>49</v>
      </c>
      <c r="B46" s="53" t="s">
        <v>50</v>
      </c>
      <c r="C46" s="34">
        <f>IF([14]С2!F19&gt;0,[14]С2!F19,[14]С2!F20)</f>
        <v>23441.524932855718</v>
      </c>
    </row>
    <row r="47" spans="1:3" ht="25.5">
      <c r="A47" s="22" t="s">
        <v>51</v>
      </c>
      <c r="B47" s="54" t="s">
        <v>52</v>
      </c>
      <c r="C47" s="34">
        <f>[14]С2.1!E19</f>
        <v>-38</v>
      </c>
    </row>
    <row r="48" spans="1:3" ht="25.5">
      <c r="A48" s="22" t="s">
        <v>53</v>
      </c>
      <c r="B48" s="54" t="s">
        <v>54</v>
      </c>
      <c r="C48" s="34" t="str">
        <f>[14]С2.1!E22</f>
        <v>нет</v>
      </c>
    </row>
    <row r="49" spans="1:3" ht="38.25">
      <c r="A49" s="22" t="s">
        <v>55</v>
      </c>
      <c r="B49" s="55" t="s">
        <v>56</v>
      </c>
      <c r="C49" s="34">
        <f>[14]С2.2!E10</f>
        <v>1287</v>
      </c>
    </row>
    <row r="50" spans="1:3" ht="25.5">
      <c r="A50" s="22" t="s">
        <v>57</v>
      </c>
      <c r="B50" s="56" t="s">
        <v>58</v>
      </c>
      <c r="C50" s="34">
        <f>[14]С2.2!E12</f>
        <v>5.97</v>
      </c>
    </row>
    <row r="51" spans="1:3" ht="52.5">
      <c r="A51" s="22" t="s">
        <v>59</v>
      </c>
      <c r="B51" s="57" t="s">
        <v>60</v>
      </c>
      <c r="C51" s="34">
        <f>[14]С2.2!E13</f>
        <v>1</v>
      </c>
    </row>
    <row r="52" spans="1:3" ht="27.75">
      <c r="A52" s="22" t="s">
        <v>61</v>
      </c>
      <c r="B52" s="56" t="s">
        <v>62</v>
      </c>
      <c r="C52" s="34">
        <f>[14]С2.2!E14</f>
        <v>12104</v>
      </c>
    </row>
    <row r="53" spans="1:3" ht="25.5">
      <c r="A53" s="22" t="s">
        <v>63</v>
      </c>
      <c r="B53" s="57" t="s">
        <v>64</v>
      </c>
      <c r="C53" s="35">
        <f>[14]С2.2!E15</f>
        <v>4.8000000000000001E-2</v>
      </c>
    </row>
    <row r="54" spans="1:3">
      <c r="A54" s="22" t="s">
        <v>65</v>
      </c>
      <c r="B54" s="57" t="s">
        <v>66</v>
      </c>
      <c r="C54" s="34">
        <f>[14]С2.2!E16</f>
        <v>1</v>
      </c>
    </row>
    <row r="55" spans="1:3" ht="15.75">
      <c r="A55" s="22" t="s">
        <v>67</v>
      </c>
      <c r="B55" s="58" t="s">
        <v>68</v>
      </c>
      <c r="C55" s="34">
        <f>[14]С2!F21</f>
        <v>1</v>
      </c>
    </row>
    <row r="56" spans="1:3" ht="30">
      <c r="A56" s="59" t="s">
        <v>69</v>
      </c>
      <c r="B56" s="33" t="s">
        <v>70</v>
      </c>
      <c r="C56" s="34">
        <f>[14]С2!F13</f>
        <v>169640.22915965237</v>
      </c>
    </row>
    <row r="57" spans="1:3" ht="30">
      <c r="A57" s="59" t="s">
        <v>71</v>
      </c>
      <c r="B57" s="58" t="s">
        <v>72</v>
      </c>
      <c r="C57" s="34">
        <f>[14]С2!F14</f>
        <v>113455</v>
      </c>
    </row>
    <row r="58" spans="1:3" ht="15.75">
      <c r="A58" s="59" t="s">
        <v>73</v>
      </c>
      <c r="B58" s="60" t="s">
        <v>74</v>
      </c>
      <c r="C58" s="40">
        <f>[14]С2!F15</f>
        <v>1.071</v>
      </c>
    </row>
    <row r="59" spans="1:3" ht="15.75">
      <c r="A59" s="59" t="s">
        <v>75</v>
      </c>
      <c r="B59" s="60" t="s">
        <v>76</v>
      </c>
      <c r="C59" s="40">
        <f>[14]С2!F16</f>
        <v>1</v>
      </c>
    </row>
    <row r="60" spans="1:3" ht="17.25">
      <c r="A60" s="59" t="s">
        <v>77</v>
      </c>
      <c r="B60" s="58" t="s">
        <v>78</v>
      </c>
      <c r="C60" s="34">
        <f>[14]С2!F17</f>
        <v>1.01</v>
      </c>
    </row>
    <row r="61" spans="1:3" s="63" customFormat="1" ht="14.25">
      <c r="A61" s="59" t="s">
        <v>79</v>
      </c>
      <c r="B61" s="61" t="s">
        <v>80</v>
      </c>
      <c r="C61" s="62">
        <f>[14]С2!F33</f>
        <v>10</v>
      </c>
    </row>
    <row r="62" spans="1:3" ht="30">
      <c r="A62" s="59" t="s">
        <v>81</v>
      </c>
      <c r="B62" s="64" t="s">
        <v>82</v>
      </c>
      <c r="C62" s="34">
        <f>[14]С2!F26</f>
        <v>637.93498622918537</v>
      </c>
    </row>
    <row r="63" spans="1:3" ht="17.25">
      <c r="A63" s="59" t="s">
        <v>83</v>
      </c>
      <c r="B63" s="53" t="s">
        <v>84</v>
      </c>
      <c r="C63" s="34">
        <f>[14]С2!F27</f>
        <v>0.10988357099999999</v>
      </c>
    </row>
    <row r="64" spans="1:3" ht="17.25">
      <c r="A64" s="59" t="s">
        <v>85</v>
      </c>
      <c r="B64" s="58" t="s">
        <v>86</v>
      </c>
      <c r="C64" s="62">
        <f>[14]С2!F28</f>
        <v>4200</v>
      </c>
    </row>
    <row r="65" spans="1:3" ht="42.75">
      <c r="A65" s="59" t="s">
        <v>87</v>
      </c>
      <c r="B65" s="33" t="s">
        <v>88</v>
      </c>
      <c r="C65" s="34">
        <f>[14]С2!F22</f>
        <v>35717.748653137714</v>
      </c>
    </row>
    <row r="66" spans="1:3" ht="30">
      <c r="A66" s="59" t="s">
        <v>89</v>
      </c>
      <c r="B66" s="60" t="s">
        <v>90</v>
      </c>
      <c r="C66" s="34">
        <f>[14]С2!F23</f>
        <v>1990</v>
      </c>
    </row>
    <row r="67" spans="1:3" ht="30">
      <c r="A67" s="59" t="s">
        <v>91</v>
      </c>
      <c r="B67" s="53" t="s">
        <v>92</v>
      </c>
      <c r="C67" s="34">
        <f>[14]С2.1!E27</f>
        <v>14307.876789999998</v>
      </c>
    </row>
    <row r="68" spans="1:3" ht="38.25">
      <c r="A68" s="59" t="s">
        <v>93</v>
      </c>
      <c r="B68" s="65" t="s">
        <v>94</v>
      </c>
      <c r="C68" s="52">
        <f>[14]С2.3!E21</f>
        <v>0</v>
      </c>
    </row>
    <row r="69" spans="1:3" ht="25.5">
      <c r="A69" s="59" t="s">
        <v>95</v>
      </c>
      <c r="B69" s="66" t="s">
        <v>96</v>
      </c>
      <c r="C69" s="67">
        <f>[14]С2.3!E11</f>
        <v>9.89</v>
      </c>
    </row>
    <row r="70" spans="1:3" ht="25.5">
      <c r="A70" s="59" t="s">
        <v>97</v>
      </c>
      <c r="B70" s="66" t="s">
        <v>98</v>
      </c>
      <c r="C70" s="62">
        <f>[14]С2.3!E13</f>
        <v>300</v>
      </c>
    </row>
    <row r="71" spans="1:3" ht="25.5">
      <c r="A71" s="59" t="s">
        <v>99</v>
      </c>
      <c r="B71" s="65" t="s">
        <v>100</v>
      </c>
      <c r="C71" s="68">
        <f>IF([14]С2.3!E22&gt;0,[14]С2.3!E22,[14]С2.3!E14)</f>
        <v>61211</v>
      </c>
    </row>
    <row r="72" spans="1:3" ht="38.25">
      <c r="A72" s="59" t="s">
        <v>101</v>
      </c>
      <c r="B72" s="65" t="s">
        <v>102</v>
      </c>
      <c r="C72" s="68">
        <f>IF([14]С2.3!E23&gt;0,[14]С2.3!E23,[14]С2.3!E15)</f>
        <v>45675</v>
      </c>
    </row>
    <row r="73" spans="1:3" ht="30">
      <c r="A73" s="59" t="s">
        <v>103</v>
      </c>
      <c r="B73" s="53" t="s">
        <v>104</v>
      </c>
      <c r="C73" s="34">
        <f>[14]С2.1!E28</f>
        <v>9541.9567200000001</v>
      </c>
    </row>
    <row r="74" spans="1:3" ht="38.25">
      <c r="A74" s="59" t="s">
        <v>105</v>
      </c>
      <c r="B74" s="65" t="s">
        <v>106</v>
      </c>
      <c r="C74" s="52">
        <f>[14]С2.3!E25</f>
        <v>0</v>
      </c>
    </row>
    <row r="75" spans="1:3" ht="25.5">
      <c r="A75" s="59" t="s">
        <v>107</v>
      </c>
      <c r="B75" s="66" t="s">
        <v>108</v>
      </c>
      <c r="C75" s="67">
        <f>[14]С2.3!E12</f>
        <v>0.56000000000000005</v>
      </c>
    </row>
    <row r="76" spans="1:3" ht="25.5">
      <c r="A76" s="59" t="s">
        <v>109</v>
      </c>
      <c r="B76" s="66" t="s">
        <v>98</v>
      </c>
      <c r="C76" s="62">
        <f>[14]С2.3!E13</f>
        <v>300</v>
      </c>
    </row>
    <row r="77" spans="1:3" ht="25.5">
      <c r="A77" s="59" t="s">
        <v>110</v>
      </c>
      <c r="B77" s="69" t="s">
        <v>111</v>
      </c>
      <c r="C77" s="68">
        <f>IF([14]С2.3!E26&gt;0,[14]С2.3!E26,[14]С2.3!E16)</f>
        <v>65637</v>
      </c>
    </row>
    <row r="78" spans="1:3" ht="38.25">
      <c r="A78" s="59" t="s">
        <v>112</v>
      </c>
      <c r="B78" s="69" t="s">
        <v>113</v>
      </c>
      <c r="C78" s="68">
        <f>IF([14]С2.3!E27&gt;0,[14]С2.3!E27,[14]С2.3!E17)</f>
        <v>31684</v>
      </c>
    </row>
    <row r="79" spans="1:3" ht="17.25">
      <c r="A79" s="59" t="s">
        <v>114</v>
      </c>
      <c r="B79" s="33" t="s">
        <v>115</v>
      </c>
      <c r="C79" s="35">
        <f>[14]С2!F29</f>
        <v>0.128978033685065</v>
      </c>
    </row>
    <row r="80" spans="1:3" ht="30">
      <c r="A80" s="59" t="s">
        <v>116</v>
      </c>
      <c r="B80" s="53" t="s">
        <v>117</v>
      </c>
      <c r="C80" s="70">
        <f>[14]С2!F30</f>
        <v>0.11668498168498169</v>
      </c>
    </row>
    <row r="81" spans="1:3" ht="17.25">
      <c r="A81" s="59" t="s">
        <v>118</v>
      </c>
      <c r="B81" s="71" t="s">
        <v>119</v>
      </c>
      <c r="C81" s="35">
        <f>[14]С2!F31</f>
        <v>0.13880000000000001</v>
      </c>
    </row>
    <row r="82" spans="1:3" s="63" customFormat="1" ht="18" thickBot="1">
      <c r="A82" s="72" t="s">
        <v>120</v>
      </c>
      <c r="B82" s="73" t="s">
        <v>121</v>
      </c>
      <c r="C82" s="74">
        <f>[14]С2!F32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[14]С3!F14</f>
        <v>6976.0888978803041</v>
      </c>
    </row>
    <row r="86" spans="1:3" s="63" customFormat="1" ht="42.75">
      <c r="A86" s="77" t="s">
        <v>126</v>
      </c>
      <c r="B86" s="53" t="s">
        <v>127</v>
      </c>
      <c r="C86" s="78">
        <f>[14]С3!F15</f>
        <v>0.2</v>
      </c>
    </row>
    <row r="87" spans="1:3" s="63" customFormat="1" ht="14.25">
      <c r="A87" s="77" t="s">
        <v>128</v>
      </c>
      <c r="B87" s="79" t="s">
        <v>129</v>
      </c>
      <c r="C87" s="62">
        <f>[14]С3!F18</f>
        <v>15</v>
      </c>
    </row>
    <row r="88" spans="1:3" s="63" customFormat="1" ht="17.25">
      <c r="A88" s="77" t="s">
        <v>130</v>
      </c>
      <c r="B88" s="33" t="s">
        <v>131</v>
      </c>
      <c r="C88" s="34">
        <f>[14]С3!F19</f>
        <v>3487.1555421534131</v>
      </c>
    </row>
    <row r="89" spans="1:3" s="63" customFormat="1" ht="55.5">
      <c r="A89" s="77" t="s">
        <v>132</v>
      </c>
      <c r="B89" s="53" t="s">
        <v>133</v>
      </c>
      <c r="C89" s="80">
        <f>[14]С3!F20</f>
        <v>2.1999999999999999E-2</v>
      </c>
    </row>
    <row r="90" spans="1:3" s="63" customFormat="1" ht="14.25">
      <c r="A90" s="77" t="s">
        <v>134</v>
      </c>
      <c r="B90" s="58" t="s">
        <v>80</v>
      </c>
      <c r="C90" s="62">
        <f>[14]С3!F21</f>
        <v>10</v>
      </c>
    </row>
    <row r="91" spans="1:3" s="63" customFormat="1" ht="17.25">
      <c r="A91" s="77" t="s">
        <v>135</v>
      </c>
      <c r="B91" s="33" t="s">
        <v>136</v>
      </c>
      <c r="C91" s="34">
        <f>[14]С3!F22</f>
        <v>1.9138049586875561</v>
      </c>
    </row>
    <row r="92" spans="1:3" s="63" customFormat="1" ht="55.5">
      <c r="A92" s="77" t="s">
        <v>137</v>
      </c>
      <c r="B92" s="53" t="s">
        <v>138</v>
      </c>
      <c r="C92" s="80">
        <f>[14]С3!F23</f>
        <v>3.0000000000000001E-3</v>
      </c>
    </row>
    <row r="93" spans="1:3" s="63" customFormat="1" ht="27.75" thickBot="1">
      <c r="A93" s="81" t="s">
        <v>139</v>
      </c>
      <c r="B93" s="82" t="s">
        <v>140</v>
      </c>
      <c r="C93" s="83">
        <f>[14]С3!F24</f>
        <v>637.93498622918537</v>
      </c>
    </row>
    <row r="94" spans="1:3" ht="13.5" thickBot="1">
      <c r="A94" s="47"/>
      <c r="B94" s="75"/>
      <c r="C94" s="15"/>
    </row>
    <row r="95" spans="1:3" ht="30" customHeight="1">
      <c r="A95" s="84" t="s">
        <v>141</v>
      </c>
      <c r="B95" s="118" t="s">
        <v>142</v>
      </c>
      <c r="C95" s="118"/>
    </row>
    <row r="96" spans="1:3" ht="30">
      <c r="A96" s="59" t="s">
        <v>143</v>
      </c>
      <c r="B96" s="33" t="s">
        <v>144</v>
      </c>
      <c r="C96" s="34">
        <f>[14]С4!F16</f>
        <v>1652.5</v>
      </c>
    </row>
    <row r="97" spans="1:3" ht="30">
      <c r="A97" s="59" t="s">
        <v>145</v>
      </c>
      <c r="B97" s="58" t="s">
        <v>146</v>
      </c>
      <c r="C97" s="34">
        <f>[14]С4!F17</f>
        <v>73547</v>
      </c>
    </row>
    <row r="98" spans="1:3" ht="17.25">
      <c r="A98" s="59" t="s">
        <v>147</v>
      </c>
      <c r="B98" s="58" t="s">
        <v>148</v>
      </c>
      <c r="C98" s="40">
        <f>[14]С4!F18</f>
        <v>0.02</v>
      </c>
    </row>
    <row r="99" spans="1:3" ht="30">
      <c r="A99" s="59" t="s">
        <v>149</v>
      </c>
      <c r="B99" s="58" t="s">
        <v>150</v>
      </c>
      <c r="C99" s="34">
        <f>[14]С4!F19</f>
        <v>12104</v>
      </c>
    </row>
    <row r="100" spans="1:3" ht="31.5">
      <c r="A100" s="59" t="s">
        <v>151</v>
      </c>
      <c r="B100" s="58" t="s">
        <v>152</v>
      </c>
      <c r="C100" s="40">
        <f>[14]С4!F20</f>
        <v>1.4999999999999999E-2</v>
      </c>
    </row>
    <row r="101" spans="1:3" ht="30">
      <c r="A101" s="59" t="s">
        <v>153</v>
      </c>
      <c r="B101" s="33" t="s">
        <v>154</v>
      </c>
      <c r="C101" s="34">
        <f>[14]С4!F21</f>
        <v>1933.1949342509995</v>
      </c>
    </row>
    <row r="102" spans="1:3" ht="24" customHeight="1">
      <c r="A102" s="59" t="s">
        <v>155</v>
      </c>
      <c r="B102" s="53" t="s">
        <v>156</v>
      </c>
      <c r="C102" s="85">
        <f>IF([14]С4.2!F8="да",[14]С4.2!D21,[14]С4.2!D15)</f>
        <v>0</v>
      </c>
    </row>
    <row r="103" spans="1:3" ht="68.25">
      <c r="A103" s="59" t="s">
        <v>157</v>
      </c>
      <c r="B103" s="53" t="s">
        <v>158</v>
      </c>
      <c r="C103" s="34">
        <f>[14]С4!F22</f>
        <v>3.6112641666666665</v>
      </c>
    </row>
    <row r="104" spans="1:3" ht="30">
      <c r="A104" s="59" t="s">
        <v>159</v>
      </c>
      <c r="B104" s="58" t="s">
        <v>160</v>
      </c>
      <c r="C104" s="34">
        <f>[14]С4!F23</f>
        <v>180</v>
      </c>
    </row>
    <row r="105" spans="1:3" ht="14.25">
      <c r="A105" s="59" t="s">
        <v>161</v>
      </c>
      <c r="B105" s="53" t="s">
        <v>162</v>
      </c>
      <c r="C105" s="34">
        <f>[14]С4!F24</f>
        <v>8497.1999999999989</v>
      </c>
    </row>
    <row r="106" spans="1:3" ht="14.25">
      <c r="A106" s="59" t="s">
        <v>163</v>
      </c>
      <c r="B106" s="58" t="s">
        <v>164</v>
      </c>
      <c r="C106" s="40">
        <f>[14]С4!F25</f>
        <v>0.35</v>
      </c>
    </row>
    <row r="107" spans="1:3" ht="17.25">
      <c r="A107" s="59" t="s">
        <v>165</v>
      </c>
      <c r="B107" s="33" t="s">
        <v>166</v>
      </c>
      <c r="C107" s="34">
        <f>[14]С4!F26</f>
        <v>47.898990000000005</v>
      </c>
    </row>
    <row r="108" spans="1:3" ht="25.5">
      <c r="A108" s="59" t="s">
        <v>167</v>
      </c>
      <c r="B108" s="53" t="s">
        <v>94</v>
      </c>
      <c r="C108" s="85">
        <f>[14]С4.3!E16</f>
        <v>0</v>
      </c>
    </row>
    <row r="109" spans="1:3" ht="25.5">
      <c r="A109" s="59" t="s">
        <v>168</v>
      </c>
      <c r="B109" s="53" t="s">
        <v>169</v>
      </c>
      <c r="C109" s="34">
        <f>[14]С4.3!E17</f>
        <v>12.13</v>
      </c>
    </row>
    <row r="110" spans="1:3" ht="38.25">
      <c r="A110" s="59" t="s">
        <v>170</v>
      </c>
      <c r="B110" s="53" t="s">
        <v>106</v>
      </c>
      <c r="C110" s="85">
        <f>[14]С4.3!E18</f>
        <v>0</v>
      </c>
    </row>
    <row r="111" spans="1:3">
      <c r="A111" s="59" t="s">
        <v>171</v>
      </c>
      <c r="B111" s="53" t="s">
        <v>172</v>
      </c>
      <c r="C111" s="34">
        <f>[14]С4.3!E19</f>
        <v>26.27</v>
      </c>
    </row>
    <row r="112" spans="1:3">
      <c r="A112" s="59" t="s">
        <v>173</v>
      </c>
      <c r="B112" s="58" t="s">
        <v>174</v>
      </c>
      <c r="C112" s="34">
        <f>[14]С4.3!E11</f>
        <v>1871</v>
      </c>
    </row>
    <row r="113" spans="1:3">
      <c r="A113" s="59" t="s">
        <v>175</v>
      </c>
      <c r="B113" s="58" t="s">
        <v>176</v>
      </c>
      <c r="C113" s="52">
        <f>[14]С4.3!E12</f>
        <v>1636</v>
      </c>
    </row>
    <row r="114" spans="1:3">
      <c r="A114" s="59" t="s">
        <v>177</v>
      </c>
      <c r="B114" s="58" t="s">
        <v>178</v>
      </c>
      <c r="C114" s="52">
        <f>[14]С4.3!E13</f>
        <v>204</v>
      </c>
    </row>
    <row r="115" spans="1:3" ht="30">
      <c r="A115" s="59" t="s">
        <v>179</v>
      </c>
      <c r="B115" s="33" t="s">
        <v>180</v>
      </c>
      <c r="C115" s="34">
        <f>[14]С4!F27</f>
        <v>1038.565361974559</v>
      </c>
    </row>
    <row r="116" spans="1:3" ht="25.5">
      <c r="A116" s="59" t="s">
        <v>181</v>
      </c>
      <c r="B116" s="53" t="s">
        <v>182</v>
      </c>
      <c r="C116" s="34">
        <f>[14]С4!F28</f>
        <v>797.66924882838634</v>
      </c>
    </row>
    <row r="117" spans="1:3" ht="42.75">
      <c r="A117" s="59" t="s">
        <v>183</v>
      </c>
      <c r="B117" s="53" t="s">
        <v>184</v>
      </c>
      <c r="C117" s="34">
        <f>[14]С4!F29</f>
        <v>240.89611314617269</v>
      </c>
    </row>
    <row r="118" spans="1:3" ht="30">
      <c r="A118" s="59" t="s">
        <v>185</v>
      </c>
      <c r="B118" s="39" t="s">
        <v>186</v>
      </c>
      <c r="C118" s="34">
        <f>[14]С4!F30</f>
        <v>2214.3647010064369</v>
      </c>
    </row>
    <row r="119" spans="1:3" ht="42.75">
      <c r="A119" s="59" t="s">
        <v>187</v>
      </c>
      <c r="B119" s="86" t="s">
        <v>188</v>
      </c>
      <c r="C119" s="34">
        <f>[14]С4!F33</f>
        <v>1501.8067294977823</v>
      </c>
    </row>
    <row r="120" spans="1:3" ht="30">
      <c r="A120" s="59" t="s">
        <v>189</v>
      </c>
      <c r="B120" s="87" t="s">
        <v>190</v>
      </c>
      <c r="C120" s="34">
        <f>[14]С4!F35</f>
        <v>17.040680999999999</v>
      </c>
    </row>
    <row r="121" spans="1:3" ht="14.25">
      <c r="A121" s="59" t="s">
        <v>191</v>
      </c>
      <c r="B121" s="56" t="s">
        <v>192</v>
      </c>
      <c r="C121" s="34">
        <f>[14]С4!F36</f>
        <v>14319.9</v>
      </c>
    </row>
    <row r="122" spans="1:3" ht="28.5" thickBot="1">
      <c r="A122" s="72" t="s">
        <v>193</v>
      </c>
      <c r="B122" s="88" t="s">
        <v>194</v>
      </c>
      <c r="C122" s="83">
        <f>[14]С4!F37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[14]С5!F17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[14]С2!F37</f>
        <v>20.818139999999996</v>
      </c>
    </row>
    <row r="136" spans="1:4" ht="14.25">
      <c r="A136" s="59" t="s">
        <v>216</v>
      </c>
      <c r="B136" s="101" t="s">
        <v>217</v>
      </c>
      <c r="C136" s="34">
        <f>[14]С2!F38</f>
        <v>7</v>
      </c>
    </row>
    <row r="137" spans="1:4" ht="17.25">
      <c r="A137" s="59" t="s">
        <v>218</v>
      </c>
      <c r="B137" s="101" t="s">
        <v>219</v>
      </c>
      <c r="C137" s="34">
        <f>[14]С2!F40</f>
        <v>0.97</v>
      </c>
    </row>
    <row r="138" spans="1:4" ht="15" thickBot="1">
      <c r="A138" s="72" t="s">
        <v>220</v>
      </c>
      <c r="B138" s="102" t="s">
        <v>221</v>
      </c>
      <c r="C138" s="46">
        <f>[14]С2!F42</f>
        <v>0.35</v>
      </c>
    </row>
    <row r="139" spans="1:4" s="89" customFormat="1" ht="13.5" thickBot="1">
      <c r="A139" s="47"/>
      <c r="B139" s="75"/>
      <c r="C139" s="15"/>
    </row>
    <row r="140" spans="1:4" ht="30">
      <c r="A140" s="84" t="s">
        <v>222</v>
      </c>
      <c r="B140" s="103" t="s">
        <v>223</v>
      </c>
      <c r="C140" s="104">
        <f>[14]С2!F35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[14]С2.5!$E$11</f>
        <v>-2.9000000000000026E-2</v>
      </c>
      <c r="D143" s="89"/>
    </row>
    <row r="144" spans="1:4">
      <c r="A144" s="105"/>
      <c r="B144" s="110">
        <f>B143+1</f>
        <v>2021</v>
      </c>
      <c r="C144" s="111">
        <f>[14]С2.5!$F$11</f>
        <v>0.245</v>
      </c>
      <c r="D144" s="89"/>
    </row>
    <row r="145" spans="1:4">
      <c r="A145" s="105"/>
      <c r="B145" s="110">
        <f t="shared" ref="B145:B208" si="0">B144+1</f>
        <v>2022</v>
      </c>
      <c r="C145" s="111">
        <f>[14]С2.5!$G$11</f>
        <v>0.121</v>
      </c>
      <c r="D145" s="89"/>
    </row>
    <row r="146" spans="1:4" ht="13.5" thickBot="1">
      <c r="A146" s="105"/>
      <c r="B146" s="112">
        <f t="shared" si="0"/>
        <v>2023</v>
      </c>
      <c r="C146" s="113">
        <f>[14]С2.5!$H$11</f>
        <v>0.02</v>
      </c>
      <c r="D146" s="89"/>
    </row>
    <row r="147" spans="1:4" hidden="1">
      <c r="A147" s="105"/>
      <c r="B147" s="114">
        <f t="shared" si="0"/>
        <v>2024</v>
      </c>
      <c r="C147" s="115">
        <f>[14]С2.5!$I$11</f>
        <v>-2.93E-2</v>
      </c>
      <c r="D147" s="89"/>
    </row>
    <row r="148" spans="1:4" hidden="1">
      <c r="A148" s="105"/>
      <c r="B148" s="110">
        <f t="shared" si="0"/>
        <v>2025</v>
      </c>
      <c r="C148" s="111">
        <f>[14]С2.5!$J$11</f>
        <v>0.21215960863291</v>
      </c>
      <c r="D148" s="89"/>
    </row>
    <row r="149" spans="1:4" hidden="1">
      <c r="A149" s="105"/>
      <c r="B149" s="110">
        <f t="shared" si="0"/>
        <v>2026</v>
      </c>
      <c r="C149" s="111">
        <f>[14]С2.5!$K$11</f>
        <v>3.5813361771260002E-2</v>
      </c>
      <c r="D149" s="89"/>
    </row>
    <row r="150" spans="1:4" hidden="1">
      <c r="A150" s="105"/>
      <c r="B150" s="110">
        <f t="shared" si="0"/>
        <v>2027</v>
      </c>
      <c r="C150" s="111">
        <f>[14]С2.5!$L$11</f>
        <v>3.2682303599220003E-2</v>
      </c>
      <c r="D150" s="89"/>
    </row>
    <row r="151" spans="1:4" hidden="1">
      <c r="A151" s="105"/>
      <c r="B151" s="110">
        <f t="shared" si="0"/>
        <v>2028</v>
      </c>
      <c r="C151" s="111">
        <f>[14]С2.5!$M$11</f>
        <v>0</v>
      </c>
      <c r="D151" s="89"/>
    </row>
    <row r="152" spans="1:4" hidden="1">
      <c r="A152" s="105"/>
      <c r="B152" s="110">
        <f t="shared" si="0"/>
        <v>2029</v>
      </c>
      <c r="C152" s="111">
        <f>[14]С2.5!$N$11</f>
        <v>0</v>
      </c>
      <c r="D152" s="89"/>
    </row>
    <row r="153" spans="1:4" hidden="1">
      <c r="A153" s="105"/>
      <c r="B153" s="110">
        <f t="shared" si="0"/>
        <v>2030</v>
      </c>
      <c r="C153" s="111">
        <f>[14]С2.5!$O$11</f>
        <v>0</v>
      </c>
      <c r="D153" s="89"/>
    </row>
    <row r="154" spans="1:4" hidden="1">
      <c r="A154" s="105"/>
      <c r="B154" s="110">
        <f t="shared" si="0"/>
        <v>2031</v>
      </c>
      <c r="C154" s="111">
        <f>[14]С2.5!$P$11</f>
        <v>0</v>
      </c>
      <c r="D154" s="89"/>
    </row>
    <row r="155" spans="1:4" hidden="1">
      <c r="A155" s="89"/>
      <c r="B155" s="110">
        <f t="shared" si="0"/>
        <v>2032</v>
      </c>
      <c r="C155" s="111">
        <f>[14]С2.5!$Q$11</f>
        <v>0</v>
      </c>
      <c r="D155" s="89"/>
    </row>
    <row r="156" spans="1:4" hidden="1">
      <c r="A156" s="89"/>
      <c r="B156" s="110">
        <f t="shared" si="0"/>
        <v>2033</v>
      </c>
      <c r="C156" s="111">
        <f>[14]С2.5!$R$11</f>
        <v>0</v>
      </c>
      <c r="D156" s="89"/>
    </row>
    <row r="157" spans="1:4" hidden="1">
      <c r="B157" s="110">
        <f t="shared" si="0"/>
        <v>2034</v>
      </c>
      <c r="C157" s="111">
        <f>[14]С2.5!$S$11</f>
        <v>0</v>
      </c>
    </row>
    <row r="158" spans="1:4" hidden="1">
      <c r="B158" s="110">
        <f t="shared" si="0"/>
        <v>2035</v>
      </c>
      <c r="C158" s="111">
        <f>[14]С2.5!$T$11</f>
        <v>0</v>
      </c>
    </row>
    <row r="159" spans="1:4" hidden="1">
      <c r="B159" s="110">
        <f t="shared" si="0"/>
        <v>2036</v>
      </c>
      <c r="C159" s="111">
        <f>[14]С2.5!$U$11</f>
        <v>0</v>
      </c>
    </row>
    <row r="160" spans="1:4" hidden="1">
      <c r="B160" s="110">
        <f t="shared" si="0"/>
        <v>2037</v>
      </c>
      <c r="C160" s="111">
        <f>[14]С2.5!$V$11</f>
        <v>0</v>
      </c>
    </row>
    <row r="161" spans="2:3" hidden="1">
      <c r="B161" s="110">
        <f t="shared" si="0"/>
        <v>2038</v>
      </c>
      <c r="C161" s="111">
        <f>[14]С2.5!$W$11</f>
        <v>0</v>
      </c>
    </row>
    <row r="162" spans="2:3" hidden="1">
      <c r="B162" s="110">
        <f t="shared" si="0"/>
        <v>2039</v>
      </c>
      <c r="C162" s="111">
        <f>[14]С2.5!$X$11</f>
        <v>0</v>
      </c>
    </row>
    <row r="163" spans="2:3" hidden="1">
      <c r="B163" s="110">
        <f t="shared" si="0"/>
        <v>2040</v>
      </c>
      <c r="C163" s="111">
        <f>[14]С2.5!$Y$11</f>
        <v>0</v>
      </c>
    </row>
    <row r="164" spans="2:3" hidden="1">
      <c r="B164" s="110">
        <f t="shared" si="0"/>
        <v>2041</v>
      </c>
      <c r="C164" s="111">
        <f>[14]С2.5!$Z$11</f>
        <v>0</v>
      </c>
    </row>
    <row r="165" spans="2:3" hidden="1">
      <c r="B165" s="110">
        <f t="shared" si="0"/>
        <v>2042</v>
      </c>
      <c r="C165" s="111">
        <f>[14]С2.5!$AA$11</f>
        <v>0</v>
      </c>
    </row>
    <row r="166" spans="2:3" hidden="1">
      <c r="B166" s="110">
        <f t="shared" si="0"/>
        <v>2043</v>
      </c>
      <c r="C166" s="111">
        <f>[14]С2.5!$AB$11</f>
        <v>0</v>
      </c>
    </row>
    <row r="167" spans="2:3" hidden="1">
      <c r="B167" s="110">
        <f t="shared" si="0"/>
        <v>2044</v>
      </c>
      <c r="C167" s="111">
        <f>[14]С2.5!$AC$11</f>
        <v>0</v>
      </c>
    </row>
    <row r="168" spans="2:3" hidden="1">
      <c r="B168" s="110">
        <f t="shared" si="0"/>
        <v>2045</v>
      </c>
      <c r="C168" s="111">
        <f>[14]С2.5!$AD$11</f>
        <v>0</v>
      </c>
    </row>
    <row r="169" spans="2:3" hidden="1">
      <c r="B169" s="110">
        <f t="shared" si="0"/>
        <v>2046</v>
      </c>
      <c r="C169" s="111">
        <f>[14]С2.5!$AE$11</f>
        <v>0</v>
      </c>
    </row>
    <row r="170" spans="2:3" hidden="1">
      <c r="B170" s="110">
        <f t="shared" si="0"/>
        <v>2047</v>
      </c>
      <c r="C170" s="111">
        <f>[14]С2.5!$AF$11</f>
        <v>0</v>
      </c>
    </row>
    <row r="171" spans="2:3" hidden="1">
      <c r="B171" s="110">
        <f t="shared" si="0"/>
        <v>2048</v>
      </c>
      <c r="C171" s="111">
        <f>[14]С2.5!$AG$11</f>
        <v>0</v>
      </c>
    </row>
    <row r="172" spans="2:3" hidden="1">
      <c r="B172" s="110">
        <f t="shared" si="0"/>
        <v>2049</v>
      </c>
      <c r="C172" s="111">
        <f>[14]С2.5!$AH$11</f>
        <v>0</v>
      </c>
    </row>
    <row r="173" spans="2:3" hidden="1">
      <c r="B173" s="110">
        <f t="shared" si="0"/>
        <v>2050</v>
      </c>
      <c r="C173" s="111">
        <f>[14]С2.5!$AI$11</f>
        <v>0</v>
      </c>
    </row>
    <row r="174" spans="2:3" hidden="1">
      <c r="B174" s="110">
        <f t="shared" si="0"/>
        <v>2051</v>
      </c>
      <c r="C174" s="111">
        <f>[14]С2.5!$AJ$11</f>
        <v>0</v>
      </c>
    </row>
    <row r="175" spans="2:3" hidden="1">
      <c r="B175" s="110">
        <f t="shared" si="0"/>
        <v>2052</v>
      </c>
      <c r="C175" s="111">
        <f>[14]С2.5!$AK$11</f>
        <v>0</v>
      </c>
    </row>
    <row r="176" spans="2:3" hidden="1">
      <c r="B176" s="110">
        <f t="shared" si="0"/>
        <v>2053</v>
      </c>
      <c r="C176" s="111">
        <f>[14]С2.5!$AL$11</f>
        <v>0</v>
      </c>
    </row>
    <row r="177" spans="2:3" hidden="1">
      <c r="B177" s="110">
        <f t="shared" si="0"/>
        <v>2054</v>
      </c>
      <c r="C177" s="111">
        <f>[14]С2.5!$AM$11</f>
        <v>0</v>
      </c>
    </row>
    <row r="178" spans="2:3" hidden="1">
      <c r="B178" s="110">
        <f t="shared" si="0"/>
        <v>2055</v>
      </c>
      <c r="C178" s="111">
        <f>[14]С2.5!$AN$11</f>
        <v>0</v>
      </c>
    </row>
    <row r="179" spans="2:3" hidden="1">
      <c r="B179" s="110">
        <f t="shared" si="0"/>
        <v>2056</v>
      </c>
      <c r="C179" s="111">
        <f>[14]С2.5!$AO$11</f>
        <v>0</v>
      </c>
    </row>
    <row r="180" spans="2:3" hidden="1">
      <c r="B180" s="110">
        <f t="shared" si="0"/>
        <v>2057</v>
      </c>
      <c r="C180" s="111">
        <f>[14]С2.5!$AP$11</f>
        <v>0</v>
      </c>
    </row>
    <row r="181" spans="2:3" hidden="1">
      <c r="B181" s="110">
        <f t="shared" si="0"/>
        <v>2058</v>
      </c>
      <c r="C181" s="111">
        <f>[14]С2.5!$AQ$11</f>
        <v>0</v>
      </c>
    </row>
    <row r="182" spans="2:3" hidden="1">
      <c r="B182" s="110">
        <f t="shared" si="0"/>
        <v>2059</v>
      </c>
      <c r="C182" s="111">
        <f>[14]С2.5!$AR$11</f>
        <v>0</v>
      </c>
    </row>
    <row r="183" spans="2:3" hidden="1">
      <c r="B183" s="110">
        <f t="shared" si="0"/>
        <v>2060</v>
      </c>
      <c r="C183" s="111">
        <f>[14]С2.5!$AS$11</f>
        <v>0</v>
      </c>
    </row>
    <row r="184" spans="2:3" hidden="1">
      <c r="B184" s="110">
        <f t="shared" si="0"/>
        <v>2061</v>
      </c>
      <c r="C184" s="111">
        <f>[14]С2.5!$AT$11</f>
        <v>0</v>
      </c>
    </row>
    <row r="185" spans="2:3" hidden="1">
      <c r="B185" s="110">
        <f t="shared" si="0"/>
        <v>2062</v>
      </c>
      <c r="C185" s="111">
        <f>[14]С2.5!$AU$11</f>
        <v>0</v>
      </c>
    </row>
    <row r="186" spans="2:3" hidden="1">
      <c r="B186" s="110">
        <f t="shared" si="0"/>
        <v>2063</v>
      </c>
      <c r="C186" s="111">
        <f>[14]С2.5!$AV$11</f>
        <v>0</v>
      </c>
    </row>
    <row r="187" spans="2:3" hidden="1">
      <c r="B187" s="110">
        <f t="shared" si="0"/>
        <v>2064</v>
      </c>
      <c r="C187" s="111">
        <f>[14]С2.5!$AW$11</f>
        <v>0</v>
      </c>
    </row>
    <row r="188" spans="2:3" hidden="1">
      <c r="B188" s="110">
        <f t="shared" si="0"/>
        <v>2065</v>
      </c>
      <c r="C188" s="111">
        <f>[14]С2.5!$AX$11</f>
        <v>0</v>
      </c>
    </row>
    <row r="189" spans="2:3" hidden="1">
      <c r="B189" s="110">
        <f t="shared" si="0"/>
        <v>2066</v>
      </c>
      <c r="C189" s="111">
        <f>[14]С2.5!$AY$11</f>
        <v>0</v>
      </c>
    </row>
    <row r="190" spans="2:3" hidden="1">
      <c r="B190" s="110">
        <f t="shared" si="0"/>
        <v>2067</v>
      </c>
      <c r="C190" s="111">
        <f>[14]С2.5!$AZ$11</f>
        <v>0</v>
      </c>
    </row>
    <row r="191" spans="2:3" hidden="1">
      <c r="B191" s="110">
        <f t="shared" si="0"/>
        <v>2068</v>
      </c>
      <c r="C191" s="111">
        <f>[14]С2.5!$BA$11</f>
        <v>0</v>
      </c>
    </row>
    <row r="192" spans="2:3" hidden="1">
      <c r="B192" s="110">
        <f t="shared" si="0"/>
        <v>2069</v>
      </c>
      <c r="C192" s="111">
        <f>[14]С2.5!$BB$11</f>
        <v>0</v>
      </c>
    </row>
    <row r="193" spans="2:3" hidden="1">
      <c r="B193" s="110">
        <f t="shared" si="0"/>
        <v>2070</v>
      </c>
      <c r="C193" s="111">
        <f>[14]С2.5!$BC$11</f>
        <v>0</v>
      </c>
    </row>
    <row r="194" spans="2:3" hidden="1">
      <c r="B194" s="110">
        <f t="shared" si="0"/>
        <v>2071</v>
      </c>
      <c r="C194" s="111">
        <f>[14]С2.5!$BD$11</f>
        <v>0</v>
      </c>
    </row>
    <row r="195" spans="2:3" hidden="1">
      <c r="B195" s="110">
        <f t="shared" si="0"/>
        <v>2072</v>
      </c>
      <c r="C195" s="111">
        <f>[14]С2.5!$BE$11</f>
        <v>0</v>
      </c>
    </row>
    <row r="196" spans="2:3" hidden="1">
      <c r="B196" s="110">
        <f t="shared" si="0"/>
        <v>2073</v>
      </c>
      <c r="C196" s="111">
        <f>[14]С2.5!$BF$11</f>
        <v>0</v>
      </c>
    </row>
    <row r="197" spans="2:3" hidden="1">
      <c r="B197" s="110">
        <f t="shared" si="0"/>
        <v>2074</v>
      </c>
      <c r="C197" s="111">
        <f>[14]С2.5!$BG$11</f>
        <v>0</v>
      </c>
    </row>
    <row r="198" spans="2:3" hidden="1">
      <c r="B198" s="110">
        <f t="shared" si="0"/>
        <v>2075</v>
      </c>
      <c r="C198" s="111">
        <f>[14]С2.5!$BH$11</f>
        <v>0</v>
      </c>
    </row>
    <row r="199" spans="2:3" hidden="1">
      <c r="B199" s="110">
        <f t="shared" si="0"/>
        <v>2076</v>
      </c>
      <c r="C199" s="111">
        <f>[14]С2.5!$BI$11</f>
        <v>0</v>
      </c>
    </row>
    <row r="200" spans="2:3" hidden="1">
      <c r="B200" s="110">
        <f t="shared" si="0"/>
        <v>2077</v>
      </c>
      <c r="C200" s="111">
        <f>[14]С2.5!$BJ$11</f>
        <v>0</v>
      </c>
    </row>
    <row r="201" spans="2:3" hidden="1">
      <c r="B201" s="110">
        <f t="shared" si="0"/>
        <v>2078</v>
      </c>
      <c r="C201" s="111">
        <f>[14]С2.5!$BK$11</f>
        <v>0</v>
      </c>
    </row>
    <row r="202" spans="2:3" hidden="1">
      <c r="B202" s="110">
        <f t="shared" si="0"/>
        <v>2079</v>
      </c>
      <c r="C202" s="111">
        <f>[14]С2.5!$BL$11</f>
        <v>0</v>
      </c>
    </row>
    <row r="203" spans="2:3" hidden="1">
      <c r="B203" s="110">
        <f t="shared" si="0"/>
        <v>2080</v>
      </c>
      <c r="C203" s="111">
        <f>[14]С2.5!$BM$11</f>
        <v>0</v>
      </c>
    </row>
    <row r="204" spans="2:3" hidden="1">
      <c r="B204" s="110">
        <f t="shared" si="0"/>
        <v>2081</v>
      </c>
      <c r="C204" s="111">
        <f>[14]С2.5!$BN$11</f>
        <v>0</v>
      </c>
    </row>
    <row r="205" spans="2:3" hidden="1">
      <c r="B205" s="110">
        <f t="shared" si="0"/>
        <v>2082</v>
      </c>
      <c r="C205" s="111">
        <f>[14]С2.5!$BO$11</f>
        <v>0</v>
      </c>
    </row>
    <row r="206" spans="2:3" hidden="1">
      <c r="B206" s="110">
        <f t="shared" si="0"/>
        <v>2083</v>
      </c>
      <c r="C206" s="111">
        <f>[14]С2.5!$BP$11</f>
        <v>0</v>
      </c>
    </row>
    <row r="207" spans="2:3" hidden="1">
      <c r="B207" s="110">
        <f t="shared" si="0"/>
        <v>2084</v>
      </c>
      <c r="C207" s="111">
        <f>[14]С2.5!$BQ$11</f>
        <v>0</v>
      </c>
    </row>
    <row r="208" spans="2:3" hidden="1">
      <c r="B208" s="110">
        <f t="shared" si="0"/>
        <v>2085</v>
      </c>
      <c r="C208" s="111">
        <f>[14]С2.5!$BR$11</f>
        <v>0</v>
      </c>
    </row>
    <row r="209" spans="2:3" hidden="1">
      <c r="B209" s="110">
        <f t="shared" ref="B209:B223" si="1">B208+1</f>
        <v>2086</v>
      </c>
      <c r="C209" s="111">
        <f>[14]С2.5!$BS$11</f>
        <v>0</v>
      </c>
    </row>
    <row r="210" spans="2:3" hidden="1">
      <c r="B210" s="110">
        <f t="shared" si="1"/>
        <v>2087</v>
      </c>
      <c r="C210" s="111">
        <f>[14]С2.5!$BT$11</f>
        <v>0</v>
      </c>
    </row>
    <row r="211" spans="2:3" hidden="1">
      <c r="B211" s="110">
        <f t="shared" si="1"/>
        <v>2088</v>
      </c>
      <c r="C211" s="111">
        <f>[14]С2.5!$BU$11</f>
        <v>0</v>
      </c>
    </row>
    <row r="212" spans="2:3" hidden="1">
      <c r="B212" s="110">
        <f t="shared" si="1"/>
        <v>2089</v>
      </c>
      <c r="C212" s="111">
        <f>[14]С2.5!$BV$11</f>
        <v>0</v>
      </c>
    </row>
    <row r="213" spans="2:3" hidden="1">
      <c r="B213" s="110">
        <f t="shared" si="1"/>
        <v>2090</v>
      </c>
      <c r="C213" s="111">
        <f>[14]С2.5!$BW$11</f>
        <v>0</v>
      </c>
    </row>
    <row r="214" spans="2:3" hidden="1">
      <c r="B214" s="110">
        <f t="shared" si="1"/>
        <v>2091</v>
      </c>
      <c r="C214" s="111">
        <f>[14]С2.5!$BX$11</f>
        <v>0</v>
      </c>
    </row>
    <row r="215" spans="2:3" hidden="1">
      <c r="B215" s="110">
        <f t="shared" si="1"/>
        <v>2092</v>
      </c>
      <c r="C215" s="111">
        <f>[14]С2.5!$BY$11</f>
        <v>0</v>
      </c>
    </row>
    <row r="216" spans="2:3" hidden="1">
      <c r="B216" s="110">
        <f t="shared" si="1"/>
        <v>2093</v>
      </c>
      <c r="C216" s="111">
        <f>[14]С2.5!$BZ$11</f>
        <v>0</v>
      </c>
    </row>
    <row r="217" spans="2:3" hidden="1">
      <c r="B217" s="110">
        <f t="shared" si="1"/>
        <v>2094</v>
      </c>
      <c r="C217" s="111">
        <f>[14]С2.5!$CA$11</f>
        <v>0</v>
      </c>
    </row>
    <row r="218" spans="2:3" hidden="1">
      <c r="B218" s="110">
        <f t="shared" si="1"/>
        <v>2095</v>
      </c>
      <c r="C218" s="111">
        <f>[14]С2.5!$CB$11</f>
        <v>0</v>
      </c>
    </row>
    <row r="219" spans="2:3" hidden="1">
      <c r="B219" s="110">
        <f t="shared" si="1"/>
        <v>2096</v>
      </c>
      <c r="C219" s="111">
        <f>[14]С2.5!$CC$11</f>
        <v>0</v>
      </c>
    </row>
    <row r="220" spans="2:3" hidden="1">
      <c r="B220" s="110">
        <f t="shared" si="1"/>
        <v>2097</v>
      </c>
      <c r="C220" s="111">
        <f>[14]С2.5!$CD$11</f>
        <v>0</v>
      </c>
    </row>
    <row r="221" spans="2:3" hidden="1">
      <c r="B221" s="110">
        <f t="shared" si="1"/>
        <v>2098</v>
      </c>
      <c r="C221" s="111">
        <f>[14]С2.5!$CE$11</f>
        <v>0</v>
      </c>
    </row>
    <row r="222" spans="2:3" hidden="1">
      <c r="B222" s="110">
        <f t="shared" si="1"/>
        <v>2099</v>
      </c>
      <c r="C222" s="111">
        <f>[14]С2.5!$CF$11</f>
        <v>0</v>
      </c>
    </row>
    <row r="223" spans="2:3" ht="13.5" hidden="1" thickBot="1">
      <c r="B223" s="112">
        <f t="shared" si="1"/>
        <v>2100</v>
      </c>
      <c r="C223" s="113">
        <f>[14]С2.5!$CG$11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1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[15]И1!D13</f>
        <v>Субъект Российской Федерации</v>
      </c>
      <c r="C4" s="10" t="str">
        <f>[15]И1!E13</f>
        <v>Новосибирская область</v>
      </c>
    </row>
    <row r="5" spans="1:3" ht="38.25">
      <c r="A5" s="8"/>
      <c r="B5" s="9" t="str">
        <f>[15]И1!D14</f>
        <v>Тип муниципального образования (выберите из списка)</v>
      </c>
      <c r="C5" s="10" t="str">
        <f>[15]И1!E14</f>
        <v>поселок Березовка, Здвинский муниципальный район</v>
      </c>
    </row>
    <row r="6" spans="1:3">
      <c r="A6" s="8"/>
      <c r="B6" s="9" t="str">
        <f>IF([15]И1!E15="","",[15]И1!D15)</f>
        <v/>
      </c>
      <c r="C6" s="10" t="str">
        <f>IF([15]И1!E15="","",[15]И1!E15)</f>
        <v/>
      </c>
    </row>
    <row r="7" spans="1:3">
      <c r="A7" s="8"/>
      <c r="B7" s="9" t="str">
        <f>[15]И1!D16</f>
        <v>Код ОКТМО</v>
      </c>
      <c r="C7" s="11" t="str">
        <f>[15]И1!E16</f>
        <v>50613422101</v>
      </c>
    </row>
    <row r="8" spans="1:3">
      <c r="A8" s="8"/>
      <c r="B8" s="12" t="str">
        <f>[15]И1!D17</f>
        <v>Система теплоснабжения</v>
      </c>
      <c r="C8" s="13">
        <f>[15]И1!E17</f>
        <v>0</v>
      </c>
    </row>
    <row r="9" spans="1:3">
      <c r="A9" s="8"/>
      <c r="B9" s="9" t="str">
        <f>[15]И1!D8</f>
        <v>Период регулирования (i)-й</v>
      </c>
      <c r="C9" s="14">
        <f>[15]И1!E8</f>
        <v>2023</v>
      </c>
    </row>
    <row r="10" spans="1:3">
      <c r="A10" s="8"/>
      <c r="B10" s="9" t="str">
        <f>[15]И1!D9</f>
        <v>Период регулирования (i-1)-й</v>
      </c>
      <c r="C10" s="14">
        <f>[15]И1!E9</f>
        <v>2022</v>
      </c>
    </row>
    <row r="11" spans="1:3">
      <c r="A11" s="8"/>
      <c r="B11" s="9" t="str">
        <f>[15]И1!D10</f>
        <v>Период регулирования (i-2)-й</v>
      </c>
      <c r="C11" s="14">
        <f>[15]И1!E10</f>
        <v>2021</v>
      </c>
    </row>
    <row r="12" spans="1:3">
      <c r="A12" s="8"/>
      <c r="B12" s="9" t="str">
        <f>[15]И1!D11</f>
        <v>Базовый год (б)</v>
      </c>
      <c r="C12" s="14">
        <f>[15]И1!E11</f>
        <v>2019</v>
      </c>
    </row>
    <row r="13" spans="1:3" ht="38.25">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4147.3854360634123</v>
      </c>
    </row>
    <row r="18" spans="1:3" ht="42.75">
      <c r="A18" s="22" t="s">
        <v>8</v>
      </c>
      <c r="B18" s="25" t="s">
        <v>9</v>
      </c>
      <c r="C18" s="26">
        <f>[15]С1!F12</f>
        <v>1042.4411357711112</v>
      </c>
    </row>
    <row r="19" spans="1:3" ht="42.75">
      <c r="A19" s="22" t="s">
        <v>10</v>
      </c>
      <c r="B19" s="25" t="s">
        <v>11</v>
      </c>
      <c r="C19" s="26">
        <f>[15]С2!F12</f>
        <v>2101.7757879094611</v>
      </c>
    </row>
    <row r="20" spans="1:3" ht="30">
      <c r="A20" s="22" t="s">
        <v>12</v>
      </c>
      <c r="B20" s="25" t="s">
        <v>13</v>
      </c>
      <c r="C20" s="26">
        <f>[15]С3!F12</f>
        <v>502.69420058623905</v>
      </c>
    </row>
    <row r="21" spans="1:3" ht="42.75">
      <c r="A21" s="22" t="s">
        <v>14</v>
      </c>
      <c r="B21" s="25" t="s">
        <v>15</v>
      </c>
      <c r="C21" s="26">
        <f>[15]С4!F12</f>
        <v>419.15302873653354</v>
      </c>
    </row>
    <row r="22" spans="1:3" ht="30">
      <c r="A22" s="22" t="s">
        <v>16</v>
      </c>
      <c r="B22" s="25" t="s">
        <v>17</v>
      </c>
      <c r="C22" s="26">
        <f>[15]С5!F12</f>
        <v>81.321283060066904</v>
      </c>
    </row>
    <row r="23" spans="1:3" ht="43.5" thickBot="1">
      <c r="A23" s="27" t="s">
        <v>18</v>
      </c>
      <c r="B23" s="117" t="s">
        <v>19</v>
      </c>
      <c r="C23" s="28" t="str">
        <f>[15]С6!F12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[15]С1.1!E16</f>
        <v>5100</v>
      </c>
    </row>
    <row r="29" spans="1:3" ht="42.75">
      <c r="A29" s="22" t="s">
        <v>10</v>
      </c>
      <c r="B29" s="33" t="s">
        <v>22</v>
      </c>
      <c r="C29" s="34">
        <f>[15]С1.1!E27</f>
        <v>2802.9500000000003</v>
      </c>
    </row>
    <row r="30" spans="1:3" ht="17.25">
      <c r="A30" s="22" t="s">
        <v>12</v>
      </c>
      <c r="B30" s="33" t="s">
        <v>23</v>
      </c>
      <c r="C30" s="35">
        <f>[15]С1.1!E19</f>
        <v>0.59499999999999997</v>
      </c>
    </row>
    <row r="31" spans="1:3" ht="17.25">
      <c r="A31" s="22" t="s">
        <v>14</v>
      </c>
      <c r="B31" s="33" t="s">
        <v>24</v>
      </c>
      <c r="C31" s="35">
        <f>[15]С1.1!E20</f>
        <v>-0.113</v>
      </c>
    </row>
    <row r="32" spans="1:3" ht="30">
      <c r="A32" s="22" t="s">
        <v>16</v>
      </c>
      <c r="B32" s="36" t="s">
        <v>25</v>
      </c>
      <c r="C32" s="37">
        <f>[15]С1!F13</f>
        <v>176.4</v>
      </c>
    </row>
    <row r="33" spans="1:3">
      <c r="A33" s="22" t="s">
        <v>18</v>
      </c>
      <c r="B33" s="36" t="s">
        <v>26</v>
      </c>
      <c r="C33" s="38">
        <f>[15]С1!F16</f>
        <v>7000</v>
      </c>
    </row>
    <row r="34" spans="1:3" ht="14.25">
      <c r="A34" s="22" t="s">
        <v>27</v>
      </c>
      <c r="B34" s="39" t="s">
        <v>28</v>
      </c>
      <c r="C34" s="40">
        <f>[15]С1!F17</f>
        <v>0.72857142857142854</v>
      </c>
    </row>
    <row r="35" spans="1:3" ht="15.75">
      <c r="A35" s="41" t="s">
        <v>29</v>
      </c>
      <c r="B35" s="42" t="s">
        <v>30</v>
      </c>
      <c r="C35" s="40">
        <f>[15]С1!F20</f>
        <v>21.588411179999994</v>
      </c>
    </row>
    <row r="36" spans="1:3" ht="15.75">
      <c r="A36" s="41" t="s">
        <v>31</v>
      </c>
      <c r="B36" s="43" t="s">
        <v>32</v>
      </c>
      <c r="C36" s="40">
        <f>[15]С1!F21</f>
        <v>20.818139999999996</v>
      </c>
    </row>
    <row r="37" spans="1:3" ht="14.25">
      <c r="A37" s="41" t="s">
        <v>33</v>
      </c>
      <c r="B37" s="44" t="s">
        <v>34</v>
      </c>
      <c r="C37" s="40">
        <f>[15]С1!F22</f>
        <v>1.0369999999999999</v>
      </c>
    </row>
    <row r="38" spans="1:3" ht="53.25" thickBot="1">
      <c r="A38" s="27" t="s">
        <v>35</v>
      </c>
      <c r="B38" s="45" t="s">
        <v>36</v>
      </c>
      <c r="C38" s="46">
        <f>[15]С1!F23</f>
        <v>1.0469999999999999</v>
      </c>
    </row>
    <row r="39" spans="1:3" ht="13.5" thickBot="1">
      <c r="A39" s="47"/>
      <c r="B39" s="48"/>
      <c r="C39" s="49"/>
    </row>
    <row r="40" spans="1:3" ht="30" customHeight="1">
      <c r="A40" s="50" t="s">
        <v>37</v>
      </c>
      <c r="B40" s="118" t="s">
        <v>38</v>
      </c>
      <c r="C40" s="118"/>
    </row>
    <row r="41" spans="1:3" ht="25.5">
      <c r="A41" s="22" t="s">
        <v>39</v>
      </c>
      <c r="B41" s="36" t="s">
        <v>40</v>
      </c>
      <c r="C41" s="51" t="str">
        <f>[15]С2.1!E12</f>
        <v>V</v>
      </c>
    </row>
    <row r="42" spans="1:3" ht="25.5">
      <c r="A42" s="22" t="s">
        <v>41</v>
      </c>
      <c r="B42" s="33" t="s">
        <v>42</v>
      </c>
      <c r="C42" s="51" t="str">
        <f>[15]С2.1!E13</f>
        <v>6 и менее баллов</v>
      </c>
    </row>
    <row r="43" spans="1:3" ht="25.5">
      <c r="A43" s="22" t="s">
        <v>43</v>
      </c>
      <c r="B43" s="33" t="s">
        <v>44</v>
      </c>
      <c r="C43" s="51" t="str">
        <f>[15]С2.1!E14</f>
        <v>от 200 до 500</v>
      </c>
    </row>
    <row r="44" spans="1:3" ht="25.5">
      <c r="A44" s="22" t="s">
        <v>45</v>
      </c>
      <c r="B44" s="33" t="s">
        <v>46</v>
      </c>
      <c r="C44" s="52" t="str">
        <f>[15]С2.1!E15</f>
        <v>нет</v>
      </c>
    </row>
    <row r="45" spans="1:3" ht="30">
      <c r="A45" s="22" t="s">
        <v>47</v>
      </c>
      <c r="B45" s="33" t="s">
        <v>48</v>
      </c>
      <c r="C45" s="34">
        <f>[15]С2!F18</f>
        <v>32402.627334033532</v>
      </c>
    </row>
    <row r="46" spans="1:3" ht="30">
      <c r="A46" s="22" t="s">
        <v>49</v>
      </c>
      <c r="B46" s="53" t="s">
        <v>50</v>
      </c>
      <c r="C46" s="34">
        <f>IF([15]С2!F19&gt;0,[15]С2!F19,[15]С2!F20)</f>
        <v>23441.524932855718</v>
      </c>
    </row>
    <row r="47" spans="1:3" ht="25.5">
      <c r="A47" s="22" t="s">
        <v>51</v>
      </c>
      <c r="B47" s="54" t="s">
        <v>52</v>
      </c>
      <c r="C47" s="34">
        <f>[15]С2.1!E19</f>
        <v>-38</v>
      </c>
    </row>
    <row r="48" spans="1:3" ht="25.5">
      <c r="A48" s="22" t="s">
        <v>53</v>
      </c>
      <c r="B48" s="54" t="s">
        <v>54</v>
      </c>
      <c r="C48" s="34" t="str">
        <f>[15]С2.1!E22</f>
        <v>нет</v>
      </c>
    </row>
    <row r="49" spans="1:3" ht="38.25">
      <c r="A49" s="22" t="s">
        <v>55</v>
      </c>
      <c r="B49" s="55" t="s">
        <v>56</v>
      </c>
      <c r="C49" s="34">
        <f>[15]С2.2!E10</f>
        <v>1287</v>
      </c>
    </row>
    <row r="50" spans="1:3" ht="25.5">
      <c r="A50" s="22" t="s">
        <v>57</v>
      </c>
      <c r="B50" s="56" t="s">
        <v>58</v>
      </c>
      <c r="C50" s="34">
        <f>[15]С2.2!E12</f>
        <v>5.97</v>
      </c>
    </row>
    <row r="51" spans="1:3" ht="52.5">
      <c r="A51" s="22" t="s">
        <v>59</v>
      </c>
      <c r="B51" s="57" t="s">
        <v>60</v>
      </c>
      <c r="C51" s="34">
        <f>[15]С2.2!E13</f>
        <v>1</v>
      </c>
    </row>
    <row r="52" spans="1:3" ht="27.75">
      <c r="A52" s="22" t="s">
        <v>61</v>
      </c>
      <c r="B52" s="56" t="s">
        <v>62</v>
      </c>
      <c r="C52" s="34">
        <f>[15]С2.2!E14</f>
        <v>12104</v>
      </c>
    </row>
    <row r="53" spans="1:3" ht="25.5">
      <c r="A53" s="22" t="s">
        <v>63</v>
      </c>
      <c r="B53" s="57" t="s">
        <v>64</v>
      </c>
      <c r="C53" s="35">
        <f>[15]С2.2!E15</f>
        <v>4.8000000000000001E-2</v>
      </c>
    </row>
    <row r="54" spans="1:3">
      <c r="A54" s="22" t="s">
        <v>65</v>
      </c>
      <c r="B54" s="57" t="s">
        <v>66</v>
      </c>
      <c r="C54" s="34">
        <f>[15]С2.2!E16</f>
        <v>1</v>
      </c>
    </row>
    <row r="55" spans="1:3" ht="15.75">
      <c r="A55" s="22" t="s">
        <v>67</v>
      </c>
      <c r="B55" s="58" t="s">
        <v>68</v>
      </c>
      <c r="C55" s="34">
        <f>[15]С2!F21</f>
        <v>1</v>
      </c>
    </row>
    <row r="56" spans="1:3" ht="30">
      <c r="A56" s="59" t="s">
        <v>69</v>
      </c>
      <c r="B56" s="33" t="s">
        <v>70</v>
      </c>
      <c r="C56" s="34">
        <f>[15]С2!F13</f>
        <v>169640.22915965237</v>
      </c>
    </row>
    <row r="57" spans="1:3" ht="30">
      <c r="A57" s="59" t="s">
        <v>71</v>
      </c>
      <c r="B57" s="58" t="s">
        <v>72</v>
      </c>
      <c r="C57" s="34">
        <f>[15]С2!F14</f>
        <v>113455</v>
      </c>
    </row>
    <row r="58" spans="1:3" ht="15.75">
      <c r="A58" s="59" t="s">
        <v>73</v>
      </c>
      <c r="B58" s="60" t="s">
        <v>74</v>
      </c>
      <c r="C58" s="40">
        <f>[15]С2!F15</f>
        <v>1.071</v>
      </c>
    </row>
    <row r="59" spans="1:3" ht="15.75">
      <c r="A59" s="59" t="s">
        <v>75</v>
      </c>
      <c r="B59" s="60" t="s">
        <v>76</v>
      </c>
      <c r="C59" s="40">
        <f>[15]С2!F16</f>
        <v>1</v>
      </c>
    </row>
    <row r="60" spans="1:3" ht="17.25">
      <c r="A60" s="59" t="s">
        <v>77</v>
      </c>
      <c r="B60" s="58" t="s">
        <v>78</v>
      </c>
      <c r="C60" s="34">
        <f>[15]С2!F17</f>
        <v>1.01</v>
      </c>
    </row>
    <row r="61" spans="1:3" s="63" customFormat="1" ht="14.25">
      <c r="A61" s="59" t="s">
        <v>79</v>
      </c>
      <c r="B61" s="61" t="s">
        <v>80</v>
      </c>
      <c r="C61" s="62">
        <f>[15]С2!F33</f>
        <v>10</v>
      </c>
    </row>
    <row r="62" spans="1:3" ht="30">
      <c r="A62" s="59" t="s">
        <v>81</v>
      </c>
      <c r="B62" s="64" t="s">
        <v>82</v>
      </c>
      <c r="C62" s="34">
        <f>[15]С2!F26</f>
        <v>637.93498622918537</v>
      </c>
    </row>
    <row r="63" spans="1:3" ht="17.25">
      <c r="A63" s="59" t="s">
        <v>83</v>
      </c>
      <c r="B63" s="53" t="s">
        <v>84</v>
      </c>
      <c r="C63" s="34">
        <f>[15]С2!F27</f>
        <v>0.10988357099999999</v>
      </c>
    </row>
    <row r="64" spans="1:3" ht="17.25">
      <c r="A64" s="59" t="s">
        <v>85</v>
      </c>
      <c r="B64" s="58" t="s">
        <v>86</v>
      </c>
      <c r="C64" s="62">
        <f>[15]С2!F28</f>
        <v>4200</v>
      </c>
    </row>
    <row r="65" spans="1:3" ht="42.75">
      <c r="A65" s="59" t="s">
        <v>87</v>
      </c>
      <c r="B65" s="33" t="s">
        <v>88</v>
      </c>
      <c r="C65" s="34">
        <f>[15]С2!F22</f>
        <v>35717.748653137714</v>
      </c>
    </row>
    <row r="66" spans="1:3" ht="30">
      <c r="A66" s="59" t="s">
        <v>89</v>
      </c>
      <c r="B66" s="60" t="s">
        <v>90</v>
      </c>
      <c r="C66" s="34">
        <f>[15]С2!F23</f>
        <v>1990</v>
      </c>
    </row>
    <row r="67" spans="1:3" ht="30">
      <c r="A67" s="59" t="s">
        <v>91</v>
      </c>
      <c r="B67" s="53" t="s">
        <v>92</v>
      </c>
      <c r="C67" s="34">
        <f>[15]С2.1!E27</f>
        <v>14307.876789999998</v>
      </c>
    </row>
    <row r="68" spans="1:3" ht="38.25">
      <c r="A68" s="59" t="s">
        <v>93</v>
      </c>
      <c r="B68" s="65" t="s">
        <v>94</v>
      </c>
      <c r="C68" s="52">
        <f>[15]С2.3!E21</f>
        <v>0</v>
      </c>
    </row>
    <row r="69" spans="1:3" ht="25.5">
      <c r="A69" s="59" t="s">
        <v>95</v>
      </c>
      <c r="B69" s="66" t="s">
        <v>96</v>
      </c>
      <c r="C69" s="67">
        <f>[15]С2.3!E11</f>
        <v>9.89</v>
      </c>
    </row>
    <row r="70" spans="1:3" ht="25.5">
      <c r="A70" s="59" t="s">
        <v>97</v>
      </c>
      <c r="B70" s="66" t="s">
        <v>98</v>
      </c>
      <c r="C70" s="62">
        <f>[15]С2.3!E13</f>
        <v>300</v>
      </c>
    </row>
    <row r="71" spans="1:3" ht="25.5">
      <c r="A71" s="59" t="s">
        <v>99</v>
      </c>
      <c r="B71" s="65" t="s">
        <v>100</v>
      </c>
      <c r="C71" s="68">
        <f>IF([15]С2.3!E22&gt;0,[15]С2.3!E22,[15]С2.3!E14)</f>
        <v>61211</v>
      </c>
    </row>
    <row r="72" spans="1:3" ht="38.25">
      <c r="A72" s="59" t="s">
        <v>101</v>
      </c>
      <c r="B72" s="65" t="s">
        <v>102</v>
      </c>
      <c r="C72" s="68">
        <f>IF([15]С2.3!E23&gt;0,[15]С2.3!E23,[15]С2.3!E15)</f>
        <v>45675</v>
      </c>
    </row>
    <row r="73" spans="1:3" ht="30">
      <c r="A73" s="59" t="s">
        <v>103</v>
      </c>
      <c r="B73" s="53" t="s">
        <v>104</v>
      </c>
      <c r="C73" s="34">
        <f>[15]С2.1!E28</f>
        <v>9541.9567200000001</v>
      </c>
    </row>
    <row r="74" spans="1:3" ht="38.25">
      <c r="A74" s="59" t="s">
        <v>105</v>
      </c>
      <c r="B74" s="65" t="s">
        <v>106</v>
      </c>
      <c r="C74" s="52">
        <f>[15]С2.3!E25</f>
        <v>0</v>
      </c>
    </row>
    <row r="75" spans="1:3" ht="25.5">
      <c r="A75" s="59" t="s">
        <v>107</v>
      </c>
      <c r="B75" s="66" t="s">
        <v>108</v>
      </c>
      <c r="C75" s="67">
        <f>[15]С2.3!E12</f>
        <v>0.56000000000000005</v>
      </c>
    </row>
    <row r="76" spans="1:3" ht="25.5">
      <c r="A76" s="59" t="s">
        <v>109</v>
      </c>
      <c r="B76" s="66" t="s">
        <v>98</v>
      </c>
      <c r="C76" s="62">
        <f>[15]С2.3!E13</f>
        <v>300</v>
      </c>
    </row>
    <row r="77" spans="1:3" ht="25.5">
      <c r="A77" s="59" t="s">
        <v>110</v>
      </c>
      <c r="B77" s="69" t="s">
        <v>111</v>
      </c>
      <c r="C77" s="68">
        <f>IF([15]С2.3!E26&gt;0,[15]С2.3!E26,[15]С2.3!E16)</f>
        <v>65637</v>
      </c>
    </row>
    <row r="78" spans="1:3" ht="38.25">
      <c r="A78" s="59" t="s">
        <v>112</v>
      </c>
      <c r="B78" s="69" t="s">
        <v>113</v>
      </c>
      <c r="C78" s="68">
        <f>IF([15]С2.3!E27&gt;0,[15]С2.3!E27,[15]С2.3!E17)</f>
        <v>31684</v>
      </c>
    </row>
    <row r="79" spans="1:3" ht="17.25">
      <c r="A79" s="59" t="s">
        <v>114</v>
      </c>
      <c r="B79" s="33" t="s">
        <v>115</v>
      </c>
      <c r="C79" s="35">
        <f>[15]С2!F29</f>
        <v>0.128978033685065</v>
      </c>
    </row>
    <row r="80" spans="1:3" ht="30">
      <c r="A80" s="59" t="s">
        <v>116</v>
      </c>
      <c r="B80" s="53" t="s">
        <v>117</v>
      </c>
      <c r="C80" s="70">
        <f>[15]С2!F30</f>
        <v>0.11668498168498169</v>
      </c>
    </row>
    <row r="81" spans="1:3" ht="17.25">
      <c r="A81" s="59" t="s">
        <v>118</v>
      </c>
      <c r="B81" s="71" t="s">
        <v>119</v>
      </c>
      <c r="C81" s="35">
        <f>[15]С2!F31</f>
        <v>0.13880000000000001</v>
      </c>
    </row>
    <row r="82" spans="1:3" s="63" customFormat="1" ht="18" thickBot="1">
      <c r="A82" s="72" t="s">
        <v>120</v>
      </c>
      <c r="B82" s="73" t="s">
        <v>121</v>
      </c>
      <c r="C82" s="74">
        <f>[15]С2!F32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[15]С3!F14</f>
        <v>6976.0888978803041</v>
      </c>
    </row>
    <row r="86" spans="1:3" s="63" customFormat="1" ht="42.75">
      <c r="A86" s="77" t="s">
        <v>126</v>
      </c>
      <c r="B86" s="53" t="s">
        <v>127</v>
      </c>
      <c r="C86" s="78">
        <f>[15]С3!F15</f>
        <v>0.2</v>
      </c>
    </row>
    <row r="87" spans="1:3" s="63" customFormat="1" ht="14.25">
      <c r="A87" s="77" t="s">
        <v>128</v>
      </c>
      <c r="B87" s="79" t="s">
        <v>129</v>
      </c>
      <c r="C87" s="62">
        <f>[15]С3!F18</f>
        <v>15</v>
      </c>
    </row>
    <row r="88" spans="1:3" s="63" customFormat="1" ht="17.25">
      <c r="A88" s="77" t="s">
        <v>130</v>
      </c>
      <c r="B88" s="33" t="s">
        <v>131</v>
      </c>
      <c r="C88" s="34">
        <f>[15]С3!F19</f>
        <v>3487.1555421534131</v>
      </c>
    </row>
    <row r="89" spans="1:3" s="63" customFormat="1" ht="55.5">
      <c r="A89" s="77" t="s">
        <v>132</v>
      </c>
      <c r="B89" s="53" t="s">
        <v>133</v>
      </c>
      <c r="C89" s="80">
        <f>[15]С3!F20</f>
        <v>2.1999999999999999E-2</v>
      </c>
    </row>
    <row r="90" spans="1:3" s="63" customFormat="1" ht="14.25">
      <c r="A90" s="77" t="s">
        <v>134</v>
      </c>
      <c r="B90" s="58" t="s">
        <v>80</v>
      </c>
      <c r="C90" s="62">
        <f>[15]С3!F21</f>
        <v>10</v>
      </c>
    </row>
    <row r="91" spans="1:3" s="63" customFormat="1" ht="17.25">
      <c r="A91" s="77" t="s">
        <v>135</v>
      </c>
      <c r="B91" s="33" t="s">
        <v>136</v>
      </c>
      <c r="C91" s="34">
        <f>[15]С3!F22</f>
        <v>1.9138049586875561</v>
      </c>
    </row>
    <row r="92" spans="1:3" s="63" customFormat="1" ht="55.5">
      <c r="A92" s="77" t="s">
        <v>137</v>
      </c>
      <c r="B92" s="53" t="s">
        <v>138</v>
      </c>
      <c r="C92" s="80">
        <f>[15]С3!F23</f>
        <v>3.0000000000000001E-3</v>
      </c>
    </row>
    <row r="93" spans="1:3" s="63" customFormat="1" ht="27.75" thickBot="1">
      <c r="A93" s="81" t="s">
        <v>139</v>
      </c>
      <c r="B93" s="82" t="s">
        <v>140</v>
      </c>
      <c r="C93" s="83">
        <f>[15]С3!F24</f>
        <v>637.93498622918537</v>
      </c>
    </row>
    <row r="94" spans="1:3" ht="13.5" thickBot="1">
      <c r="A94" s="47"/>
      <c r="B94" s="75"/>
      <c r="C94" s="15"/>
    </row>
    <row r="95" spans="1:3" ht="30" customHeight="1">
      <c r="A95" s="84" t="s">
        <v>141</v>
      </c>
      <c r="B95" s="118" t="s">
        <v>142</v>
      </c>
      <c r="C95" s="118"/>
    </row>
    <row r="96" spans="1:3" ht="30">
      <c r="A96" s="59" t="s">
        <v>143</v>
      </c>
      <c r="B96" s="33" t="s">
        <v>144</v>
      </c>
      <c r="C96" s="34">
        <f>[15]С4!F16</f>
        <v>1652.5</v>
      </c>
    </row>
    <row r="97" spans="1:3" ht="30">
      <c r="A97" s="59" t="s">
        <v>145</v>
      </c>
      <c r="B97" s="58" t="s">
        <v>146</v>
      </c>
      <c r="C97" s="34">
        <f>[15]С4!F17</f>
        <v>73547</v>
      </c>
    </row>
    <row r="98" spans="1:3" ht="17.25">
      <c r="A98" s="59" t="s">
        <v>147</v>
      </c>
      <c r="B98" s="58" t="s">
        <v>148</v>
      </c>
      <c r="C98" s="40">
        <f>[15]С4!F18</f>
        <v>0.02</v>
      </c>
    </row>
    <row r="99" spans="1:3" ht="30">
      <c r="A99" s="59" t="s">
        <v>149</v>
      </c>
      <c r="B99" s="58" t="s">
        <v>150</v>
      </c>
      <c r="C99" s="34">
        <f>[15]С4!F19</f>
        <v>12104</v>
      </c>
    </row>
    <row r="100" spans="1:3" ht="31.5">
      <c r="A100" s="59" t="s">
        <v>151</v>
      </c>
      <c r="B100" s="58" t="s">
        <v>152</v>
      </c>
      <c r="C100" s="40">
        <f>[15]С4!F20</f>
        <v>1.4999999999999999E-2</v>
      </c>
    </row>
    <row r="101" spans="1:3" ht="30">
      <c r="A101" s="59" t="s">
        <v>153</v>
      </c>
      <c r="B101" s="33" t="s">
        <v>154</v>
      </c>
      <c r="C101" s="34">
        <f>[15]С4!F21</f>
        <v>1933.1949342509995</v>
      </c>
    </row>
    <row r="102" spans="1:3" ht="24" customHeight="1">
      <c r="A102" s="59" t="s">
        <v>155</v>
      </c>
      <c r="B102" s="53" t="s">
        <v>156</v>
      </c>
      <c r="C102" s="85">
        <f>IF([15]С4.2!F8="да",[15]С4.2!D21,[15]С4.2!D15)</f>
        <v>0</v>
      </c>
    </row>
    <row r="103" spans="1:3" ht="68.25">
      <c r="A103" s="59" t="s">
        <v>157</v>
      </c>
      <c r="B103" s="53" t="s">
        <v>158</v>
      </c>
      <c r="C103" s="34">
        <f>[15]С4!F22</f>
        <v>3.6112641666666665</v>
      </c>
    </row>
    <row r="104" spans="1:3" ht="30">
      <c r="A104" s="59" t="s">
        <v>159</v>
      </c>
      <c r="B104" s="58" t="s">
        <v>160</v>
      </c>
      <c r="C104" s="34">
        <f>[15]С4!F23</f>
        <v>180</v>
      </c>
    </row>
    <row r="105" spans="1:3" ht="14.25">
      <c r="A105" s="59" t="s">
        <v>161</v>
      </c>
      <c r="B105" s="53" t="s">
        <v>162</v>
      </c>
      <c r="C105" s="34">
        <f>[15]С4!F24</f>
        <v>8497.1999999999989</v>
      </c>
    </row>
    <row r="106" spans="1:3" ht="14.25">
      <c r="A106" s="59" t="s">
        <v>163</v>
      </c>
      <c r="B106" s="58" t="s">
        <v>164</v>
      </c>
      <c r="C106" s="40">
        <f>[15]С4!F25</f>
        <v>0.35</v>
      </c>
    </row>
    <row r="107" spans="1:3" ht="17.25">
      <c r="A107" s="59" t="s">
        <v>165</v>
      </c>
      <c r="B107" s="33" t="s">
        <v>166</v>
      </c>
      <c r="C107" s="34">
        <f>[15]С4!F26</f>
        <v>61.032705000000007</v>
      </c>
    </row>
    <row r="108" spans="1:3" ht="25.5">
      <c r="A108" s="59" t="s">
        <v>167</v>
      </c>
      <c r="B108" s="53" t="s">
        <v>94</v>
      </c>
      <c r="C108" s="85">
        <f>[15]С4.3!E16</f>
        <v>0</v>
      </c>
    </row>
    <row r="109" spans="1:3" ht="25.5">
      <c r="A109" s="59" t="s">
        <v>168</v>
      </c>
      <c r="B109" s="53" t="s">
        <v>169</v>
      </c>
      <c r="C109" s="34">
        <f>[15]С4.3!E17</f>
        <v>15.875000000000002</v>
      </c>
    </row>
    <row r="110" spans="1:3" ht="38.25">
      <c r="A110" s="59" t="s">
        <v>170</v>
      </c>
      <c r="B110" s="53" t="s">
        <v>106</v>
      </c>
      <c r="C110" s="85">
        <f>[15]С4.3!E18</f>
        <v>0</v>
      </c>
    </row>
    <row r="111" spans="1:3">
      <c r="A111" s="59" t="s">
        <v>171</v>
      </c>
      <c r="B111" s="53" t="s">
        <v>172</v>
      </c>
      <c r="C111" s="34">
        <f>[15]С4.3!E19</f>
        <v>26.27</v>
      </c>
    </row>
    <row r="112" spans="1:3">
      <c r="A112" s="59" t="s">
        <v>173</v>
      </c>
      <c r="B112" s="58" t="s">
        <v>174</v>
      </c>
      <c r="C112" s="34">
        <f>[15]С4.3!E11</f>
        <v>1871</v>
      </c>
    </row>
    <row r="113" spans="1:3">
      <c r="A113" s="59" t="s">
        <v>175</v>
      </c>
      <c r="B113" s="58" t="s">
        <v>176</v>
      </c>
      <c r="C113" s="52">
        <f>[15]С4.3!E12</f>
        <v>1636</v>
      </c>
    </row>
    <row r="114" spans="1:3">
      <c r="A114" s="59" t="s">
        <v>177</v>
      </c>
      <c r="B114" s="58" t="s">
        <v>178</v>
      </c>
      <c r="C114" s="52">
        <f>[15]С4.3!E13</f>
        <v>204</v>
      </c>
    </row>
    <row r="115" spans="1:3" ht="30">
      <c r="A115" s="59" t="s">
        <v>179</v>
      </c>
      <c r="B115" s="33" t="s">
        <v>180</v>
      </c>
      <c r="C115" s="34">
        <f>[15]С4!F27</f>
        <v>1038.565361974559</v>
      </c>
    </row>
    <row r="116" spans="1:3" ht="25.5">
      <c r="A116" s="59" t="s">
        <v>181</v>
      </c>
      <c r="B116" s="53" t="s">
        <v>182</v>
      </c>
      <c r="C116" s="34">
        <f>[15]С4!F28</f>
        <v>797.66924882838634</v>
      </c>
    </row>
    <row r="117" spans="1:3" ht="42.75">
      <c r="A117" s="59" t="s">
        <v>183</v>
      </c>
      <c r="B117" s="53" t="s">
        <v>184</v>
      </c>
      <c r="C117" s="34">
        <f>[15]С4!F29</f>
        <v>240.89611314617269</v>
      </c>
    </row>
    <row r="118" spans="1:3" ht="30">
      <c r="A118" s="59" t="s">
        <v>185</v>
      </c>
      <c r="B118" s="39" t="s">
        <v>186</v>
      </c>
      <c r="C118" s="34">
        <f>[15]С4!F30</f>
        <v>2249.6243580573946</v>
      </c>
    </row>
    <row r="119" spans="1:3" ht="42.75">
      <c r="A119" s="59" t="s">
        <v>187</v>
      </c>
      <c r="B119" s="86" t="s">
        <v>188</v>
      </c>
      <c r="C119" s="34">
        <f>[15]С4!F33</f>
        <v>1536.1586664369399</v>
      </c>
    </row>
    <row r="120" spans="1:3" ht="30">
      <c r="A120" s="59" t="s">
        <v>189</v>
      </c>
      <c r="B120" s="87" t="s">
        <v>190</v>
      </c>
      <c r="C120" s="34">
        <f>[15]С4!F35</f>
        <v>17.040680999999999</v>
      </c>
    </row>
    <row r="121" spans="1:3" ht="14.25">
      <c r="A121" s="59" t="s">
        <v>191</v>
      </c>
      <c r="B121" s="56" t="s">
        <v>192</v>
      </c>
      <c r="C121" s="34">
        <f>[15]С4!F36</f>
        <v>14319.9</v>
      </c>
    </row>
    <row r="122" spans="1:3" ht="28.5" thickBot="1">
      <c r="A122" s="72" t="s">
        <v>193</v>
      </c>
      <c r="B122" s="88" t="s">
        <v>194</v>
      </c>
      <c r="C122" s="83">
        <f>[15]С4!F37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[15]С5!F17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[15]С2!F37</f>
        <v>20.818139999999996</v>
      </c>
    </row>
    <row r="136" spans="1:4" ht="14.25">
      <c r="A136" s="59" t="s">
        <v>216</v>
      </c>
      <c r="B136" s="101" t="s">
        <v>217</v>
      </c>
      <c r="C136" s="34">
        <f>[15]С2!F38</f>
        <v>7</v>
      </c>
    </row>
    <row r="137" spans="1:4" ht="17.25">
      <c r="A137" s="59" t="s">
        <v>218</v>
      </c>
      <c r="B137" s="101" t="s">
        <v>219</v>
      </c>
      <c r="C137" s="34">
        <f>[15]С2!F40</f>
        <v>0.97</v>
      </c>
    </row>
    <row r="138" spans="1:4" ht="15" thickBot="1">
      <c r="A138" s="72" t="s">
        <v>220</v>
      </c>
      <c r="B138" s="102" t="s">
        <v>221</v>
      </c>
      <c r="C138" s="46">
        <f>[15]С2!F42</f>
        <v>0.35</v>
      </c>
    </row>
    <row r="139" spans="1:4" s="89" customFormat="1" ht="13.5" thickBot="1">
      <c r="A139" s="47"/>
      <c r="B139" s="75"/>
      <c r="C139" s="15"/>
    </row>
    <row r="140" spans="1:4" ht="30">
      <c r="A140" s="84" t="s">
        <v>222</v>
      </c>
      <c r="B140" s="103" t="s">
        <v>223</v>
      </c>
      <c r="C140" s="104">
        <f>[15]С2!F35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[15]С2.5!$E$11</f>
        <v>-2.9000000000000026E-2</v>
      </c>
      <c r="D143" s="89"/>
    </row>
    <row r="144" spans="1:4">
      <c r="A144" s="105"/>
      <c r="B144" s="110">
        <f>B143+1</f>
        <v>2021</v>
      </c>
      <c r="C144" s="111">
        <f>[15]С2.5!$F$11</f>
        <v>0.245</v>
      </c>
      <c r="D144" s="89"/>
    </row>
    <row r="145" spans="1:4">
      <c r="A145" s="105"/>
      <c r="B145" s="110">
        <f t="shared" ref="B145:B208" si="0">B144+1</f>
        <v>2022</v>
      </c>
      <c r="C145" s="111">
        <f>[15]С2.5!$G$11</f>
        <v>0.121</v>
      </c>
      <c r="D145" s="89"/>
    </row>
    <row r="146" spans="1:4" ht="13.5" thickBot="1">
      <c r="A146" s="105"/>
      <c r="B146" s="112">
        <f t="shared" si="0"/>
        <v>2023</v>
      </c>
      <c r="C146" s="113">
        <f>[15]С2.5!$H$11</f>
        <v>0.02</v>
      </c>
      <c r="D146" s="89"/>
    </row>
    <row r="147" spans="1:4" hidden="1">
      <c r="A147" s="105"/>
      <c r="B147" s="114">
        <f t="shared" si="0"/>
        <v>2024</v>
      </c>
      <c r="C147" s="115">
        <f>[15]С2.5!$I$11</f>
        <v>-2.93E-2</v>
      </c>
      <c r="D147" s="89"/>
    </row>
    <row r="148" spans="1:4" hidden="1">
      <c r="A148" s="105"/>
      <c r="B148" s="110">
        <f t="shared" si="0"/>
        <v>2025</v>
      </c>
      <c r="C148" s="111">
        <f>[15]С2.5!$J$11</f>
        <v>0.21215960863291</v>
      </c>
      <c r="D148" s="89"/>
    </row>
    <row r="149" spans="1:4" hidden="1">
      <c r="A149" s="105"/>
      <c r="B149" s="110">
        <f t="shared" si="0"/>
        <v>2026</v>
      </c>
      <c r="C149" s="111">
        <f>[15]С2.5!$K$11</f>
        <v>3.5813361771260002E-2</v>
      </c>
      <c r="D149" s="89"/>
    </row>
    <row r="150" spans="1:4" hidden="1">
      <c r="A150" s="105"/>
      <c r="B150" s="110">
        <f t="shared" si="0"/>
        <v>2027</v>
      </c>
      <c r="C150" s="111">
        <f>[15]С2.5!$L$11</f>
        <v>3.2682303599220003E-2</v>
      </c>
      <c r="D150" s="89"/>
    </row>
    <row r="151" spans="1:4" hidden="1">
      <c r="A151" s="105"/>
      <c r="B151" s="110">
        <f t="shared" si="0"/>
        <v>2028</v>
      </c>
      <c r="C151" s="111">
        <f>[15]С2.5!$M$11</f>
        <v>0</v>
      </c>
      <c r="D151" s="89"/>
    </row>
    <row r="152" spans="1:4" hidden="1">
      <c r="A152" s="105"/>
      <c r="B152" s="110">
        <f t="shared" si="0"/>
        <v>2029</v>
      </c>
      <c r="C152" s="111">
        <f>[15]С2.5!$N$11</f>
        <v>0</v>
      </c>
      <c r="D152" s="89"/>
    </row>
    <row r="153" spans="1:4" hidden="1">
      <c r="A153" s="105"/>
      <c r="B153" s="110">
        <f t="shared" si="0"/>
        <v>2030</v>
      </c>
      <c r="C153" s="111">
        <f>[15]С2.5!$O$11</f>
        <v>0</v>
      </c>
      <c r="D153" s="89"/>
    </row>
    <row r="154" spans="1:4" hidden="1">
      <c r="A154" s="105"/>
      <c r="B154" s="110">
        <f t="shared" si="0"/>
        <v>2031</v>
      </c>
      <c r="C154" s="111">
        <f>[15]С2.5!$P$11</f>
        <v>0</v>
      </c>
      <c r="D154" s="89"/>
    </row>
    <row r="155" spans="1:4" hidden="1">
      <c r="A155" s="89"/>
      <c r="B155" s="110">
        <f t="shared" si="0"/>
        <v>2032</v>
      </c>
      <c r="C155" s="111">
        <f>[15]С2.5!$Q$11</f>
        <v>0</v>
      </c>
      <c r="D155" s="89"/>
    </row>
    <row r="156" spans="1:4" hidden="1">
      <c r="A156" s="89"/>
      <c r="B156" s="110">
        <f t="shared" si="0"/>
        <v>2033</v>
      </c>
      <c r="C156" s="111">
        <f>[15]С2.5!$R$11</f>
        <v>0</v>
      </c>
      <c r="D156" s="89"/>
    </row>
    <row r="157" spans="1:4" hidden="1">
      <c r="B157" s="110">
        <f t="shared" si="0"/>
        <v>2034</v>
      </c>
      <c r="C157" s="111">
        <f>[15]С2.5!$S$11</f>
        <v>0</v>
      </c>
    </row>
    <row r="158" spans="1:4" hidden="1">
      <c r="B158" s="110">
        <f t="shared" si="0"/>
        <v>2035</v>
      </c>
      <c r="C158" s="111">
        <f>[15]С2.5!$T$11</f>
        <v>0</v>
      </c>
    </row>
    <row r="159" spans="1:4" hidden="1">
      <c r="B159" s="110">
        <f t="shared" si="0"/>
        <v>2036</v>
      </c>
      <c r="C159" s="111">
        <f>[15]С2.5!$U$11</f>
        <v>0</v>
      </c>
    </row>
    <row r="160" spans="1:4" hidden="1">
      <c r="B160" s="110">
        <f t="shared" si="0"/>
        <v>2037</v>
      </c>
      <c r="C160" s="111">
        <f>[15]С2.5!$V$11</f>
        <v>0</v>
      </c>
    </row>
    <row r="161" spans="2:3" hidden="1">
      <c r="B161" s="110">
        <f t="shared" si="0"/>
        <v>2038</v>
      </c>
      <c r="C161" s="111">
        <f>[15]С2.5!$W$11</f>
        <v>0</v>
      </c>
    </row>
    <row r="162" spans="2:3" hidden="1">
      <c r="B162" s="110">
        <f t="shared" si="0"/>
        <v>2039</v>
      </c>
      <c r="C162" s="111">
        <f>[15]С2.5!$X$11</f>
        <v>0</v>
      </c>
    </row>
    <row r="163" spans="2:3" hidden="1">
      <c r="B163" s="110">
        <f t="shared" si="0"/>
        <v>2040</v>
      </c>
      <c r="C163" s="111">
        <f>[15]С2.5!$Y$11</f>
        <v>0</v>
      </c>
    </row>
    <row r="164" spans="2:3" hidden="1">
      <c r="B164" s="110">
        <f t="shared" si="0"/>
        <v>2041</v>
      </c>
      <c r="C164" s="111">
        <f>[15]С2.5!$Z$11</f>
        <v>0</v>
      </c>
    </row>
    <row r="165" spans="2:3" hidden="1">
      <c r="B165" s="110">
        <f t="shared" si="0"/>
        <v>2042</v>
      </c>
      <c r="C165" s="111">
        <f>[15]С2.5!$AA$11</f>
        <v>0</v>
      </c>
    </row>
    <row r="166" spans="2:3" hidden="1">
      <c r="B166" s="110">
        <f t="shared" si="0"/>
        <v>2043</v>
      </c>
      <c r="C166" s="111">
        <f>[15]С2.5!$AB$11</f>
        <v>0</v>
      </c>
    </row>
    <row r="167" spans="2:3" hidden="1">
      <c r="B167" s="110">
        <f t="shared" si="0"/>
        <v>2044</v>
      </c>
      <c r="C167" s="111">
        <f>[15]С2.5!$AC$11</f>
        <v>0</v>
      </c>
    </row>
    <row r="168" spans="2:3" hidden="1">
      <c r="B168" s="110">
        <f t="shared" si="0"/>
        <v>2045</v>
      </c>
      <c r="C168" s="111">
        <f>[15]С2.5!$AD$11</f>
        <v>0</v>
      </c>
    </row>
    <row r="169" spans="2:3" hidden="1">
      <c r="B169" s="110">
        <f t="shared" si="0"/>
        <v>2046</v>
      </c>
      <c r="C169" s="111">
        <f>[15]С2.5!$AE$11</f>
        <v>0</v>
      </c>
    </row>
    <row r="170" spans="2:3" hidden="1">
      <c r="B170" s="110">
        <f t="shared" si="0"/>
        <v>2047</v>
      </c>
      <c r="C170" s="111">
        <f>[15]С2.5!$AF$11</f>
        <v>0</v>
      </c>
    </row>
    <row r="171" spans="2:3" hidden="1">
      <c r="B171" s="110">
        <f t="shared" si="0"/>
        <v>2048</v>
      </c>
      <c r="C171" s="111">
        <f>[15]С2.5!$AG$11</f>
        <v>0</v>
      </c>
    </row>
    <row r="172" spans="2:3" hidden="1">
      <c r="B172" s="110">
        <f t="shared" si="0"/>
        <v>2049</v>
      </c>
      <c r="C172" s="111">
        <f>[15]С2.5!$AH$11</f>
        <v>0</v>
      </c>
    </row>
    <row r="173" spans="2:3" hidden="1">
      <c r="B173" s="110">
        <f t="shared" si="0"/>
        <v>2050</v>
      </c>
      <c r="C173" s="111">
        <f>[15]С2.5!$AI$11</f>
        <v>0</v>
      </c>
    </row>
    <row r="174" spans="2:3" hidden="1">
      <c r="B174" s="110">
        <f t="shared" si="0"/>
        <v>2051</v>
      </c>
      <c r="C174" s="111">
        <f>[15]С2.5!$AJ$11</f>
        <v>0</v>
      </c>
    </row>
    <row r="175" spans="2:3" hidden="1">
      <c r="B175" s="110">
        <f t="shared" si="0"/>
        <v>2052</v>
      </c>
      <c r="C175" s="111">
        <f>[15]С2.5!$AK$11</f>
        <v>0</v>
      </c>
    </row>
    <row r="176" spans="2:3" hidden="1">
      <c r="B176" s="110">
        <f t="shared" si="0"/>
        <v>2053</v>
      </c>
      <c r="C176" s="111">
        <f>[15]С2.5!$AL$11</f>
        <v>0</v>
      </c>
    </row>
    <row r="177" spans="2:3" hidden="1">
      <c r="B177" s="110">
        <f t="shared" si="0"/>
        <v>2054</v>
      </c>
      <c r="C177" s="111">
        <f>[15]С2.5!$AM$11</f>
        <v>0</v>
      </c>
    </row>
    <row r="178" spans="2:3" hidden="1">
      <c r="B178" s="110">
        <f t="shared" si="0"/>
        <v>2055</v>
      </c>
      <c r="C178" s="111">
        <f>[15]С2.5!$AN$11</f>
        <v>0</v>
      </c>
    </row>
    <row r="179" spans="2:3" hidden="1">
      <c r="B179" s="110">
        <f t="shared" si="0"/>
        <v>2056</v>
      </c>
      <c r="C179" s="111">
        <f>[15]С2.5!$AO$11</f>
        <v>0</v>
      </c>
    </row>
    <row r="180" spans="2:3" hidden="1">
      <c r="B180" s="110">
        <f t="shared" si="0"/>
        <v>2057</v>
      </c>
      <c r="C180" s="111">
        <f>[15]С2.5!$AP$11</f>
        <v>0</v>
      </c>
    </row>
    <row r="181" spans="2:3" hidden="1">
      <c r="B181" s="110">
        <f t="shared" si="0"/>
        <v>2058</v>
      </c>
      <c r="C181" s="111">
        <f>[15]С2.5!$AQ$11</f>
        <v>0</v>
      </c>
    </row>
    <row r="182" spans="2:3" hidden="1">
      <c r="B182" s="110">
        <f t="shared" si="0"/>
        <v>2059</v>
      </c>
      <c r="C182" s="111">
        <f>[15]С2.5!$AR$11</f>
        <v>0</v>
      </c>
    </row>
    <row r="183" spans="2:3" hidden="1">
      <c r="B183" s="110">
        <f t="shared" si="0"/>
        <v>2060</v>
      </c>
      <c r="C183" s="111">
        <f>[15]С2.5!$AS$11</f>
        <v>0</v>
      </c>
    </row>
    <row r="184" spans="2:3" hidden="1">
      <c r="B184" s="110">
        <f t="shared" si="0"/>
        <v>2061</v>
      </c>
      <c r="C184" s="111">
        <f>[15]С2.5!$AT$11</f>
        <v>0</v>
      </c>
    </row>
    <row r="185" spans="2:3" hidden="1">
      <c r="B185" s="110">
        <f t="shared" si="0"/>
        <v>2062</v>
      </c>
      <c r="C185" s="111">
        <f>[15]С2.5!$AU$11</f>
        <v>0</v>
      </c>
    </row>
    <row r="186" spans="2:3" hidden="1">
      <c r="B186" s="110">
        <f t="shared" si="0"/>
        <v>2063</v>
      </c>
      <c r="C186" s="111">
        <f>[15]С2.5!$AV$11</f>
        <v>0</v>
      </c>
    </row>
    <row r="187" spans="2:3" hidden="1">
      <c r="B187" s="110">
        <f t="shared" si="0"/>
        <v>2064</v>
      </c>
      <c r="C187" s="111">
        <f>[15]С2.5!$AW$11</f>
        <v>0</v>
      </c>
    </row>
    <row r="188" spans="2:3" hidden="1">
      <c r="B188" s="110">
        <f t="shared" si="0"/>
        <v>2065</v>
      </c>
      <c r="C188" s="111">
        <f>[15]С2.5!$AX$11</f>
        <v>0</v>
      </c>
    </row>
    <row r="189" spans="2:3" hidden="1">
      <c r="B189" s="110">
        <f t="shared" si="0"/>
        <v>2066</v>
      </c>
      <c r="C189" s="111">
        <f>[15]С2.5!$AY$11</f>
        <v>0</v>
      </c>
    </row>
    <row r="190" spans="2:3" hidden="1">
      <c r="B190" s="110">
        <f t="shared" si="0"/>
        <v>2067</v>
      </c>
      <c r="C190" s="111">
        <f>[15]С2.5!$AZ$11</f>
        <v>0</v>
      </c>
    </row>
    <row r="191" spans="2:3" hidden="1">
      <c r="B191" s="110">
        <f t="shared" si="0"/>
        <v>2068</v>
      </c>
      <c r="C191" s="111">
        <f>[15]С2.5!$BA$11</f>
        <v>0</v>
      </c>
    </row>
    <row r="192" spans="2:3" hidden="1">
      <c r="B192" s="110">
        <f t="shared" si="0"/>
        <v>2069</v>
      </c>
      <c r="C192" s="111">
        <f>[15]С2.5!$BB$11</f>
        <v>0</v>
      </c>
    </row>
    <row r="193" spans="2:3" hidden="1">
      <c r="B193" s="110">
        <f t="shared" si="0"/>
        <v>2070</v>
      </c>
      <c r="C193" s="111">
        <f>[15]С2.5!$BC$11</f>
        <v>0</v>
      </c>
    </row>
    <row r="194" spans="2:3" hidden="1">
      <c r="B194" s="110">
        <f t="shared" si="0"/>
        <v>2071</v>
      </c>
      <c r="C194" s="111">
        <f>[15]С2.5!$BD$11</f>
        <v>0</v>
      </c>
    </row>
    <row r="195" spans="2:3" hidden="1">
      <c r="B195" s="110">
        <f t="shared" si="0"/>
        <v>2072</v>
      </c>
      <c r="C195" s="111">
        <f>[15]С2.5!$BE$11</f>
        <v>0</v>
      </c>
    </row>
    <row r="196" spans="2:3" hidden="1">
      <c r="B196" s="110">
        <f t="shared" si="0"/>
        <v>2073</v>
      </c>
      <c r="C196" s="111">
        <f>[15]С2.5!$BF$11</f>
        <v>0</v>
      </c>
    </row>
    <row r="197" spans="2:3" hidden="1">
      <c r="B197" s="110">
        <f t="shared" si="0"/>
        <v>2074</v>
      </c>
      <c r="C197" s="111">
        <f>[15]С2.5!$BG$11</f>
        <v>0</v>
      </c>
    </row>
    <row r="198" spans="2:3" hidden="1">
      <c r="B198" s="110">
        <f t="shared" si="0"/>
        <v>2075</v>
      </c>
      <c r="C198" s="111">
        <f>[15]С2.5!$BH$11</f>
        <v>0</v>
      </c>
    </row>
    <row r="199" spans="2:3" hidden="1">
      <c r="B199" s="110">
        <f t="shared" si="0"/>
        <v>2076</v>
      </c>
      <c r="C199" s="111">
        <f>[15]С2.5!$BI$11</f>
        <v>0</v>
      </c>
    </row>
    <row r="200" spans="2:3" hidden="1">
      <c r="B200" s="110">
        <f t="shared" si="0"/>
        <v>2077</v>
      </c>
      <c r="C200" s="111">
        <f>[15]С2.5!$BJ$11</f>
        <v>0</v>
      </c>
    </row>
    <row r="201" spans="2:3" hidden="1">
      <c r="B201" s="110">
        <f t="shared" si="0"/>
        <v>2078</v>
      </c>
      <c r="C201" s="111">
        <f>[15]С2.5!$BK$11</f>
        <v>0</v>
      </c>
    </row>
    <row r="202" spans="2:3" hidden="1">
      <c r="B202" s="110">
        <f t="shared" si="0"/>
        <v>2079</v>
      </c>
      <c r="C202" s="111">
        <f>[15]С2.5!$BL$11</f>
        <v>0</v>
      </c>
    </row>
    <row r="203" spans="2:3" hidden="1">
      <c r="B203" s="110">
        <f t="shared" si="0"/>
        <v>2080</v>
      </c>
      <c r="C203" s="111">
        <f>[15]С2.5!$BM$11</f>
        <v>0</v>
      </c>
    </row>
    <row r="204" spans="2:3" hidden="1">
      <c r="B204" s="110">
        <f t="shared" si="0"/>
        <v>2081</v>
      </c>
      <c r="C204" s="111">
        <f>[15]С2.5!$BN$11</f>
        <v>0</v>
      </c>
    </row>
    <row r="205" spans="2:3" hidden="1">
      <c r="B205" s="110">
        <f t="shared" si="0"/>
        <v>2082</v>
      </c>
      <c r="C205" s="111">
        <f>[15]С2.5!$BO$11</f>
        <v>0</v>
      </c>
    </row>
    <row r="206" spans="2:3" hidden="1">
      <c r="B206" s="110">
        <f t="shared" si="0"/>
        <v>2083</v>
      </c>
      <c r="C206" s="111">
        <f>[15]С2.5!$BP$11</f>
        <v>0</v>
      </c>
    </row>
    <row r="207" spans="2:3" hidden="1">
      <c r="B207" s="110">
        <f t="shared" si="0"/>
        <v>2084</v>
      </c>
      <c r="C207" s="111">
        <f>[15]С2.5!$BQ$11</f>
        <v>0</v>
      </c>
    </row>
    <row r="208" spans="2:3" hidden="1">
      <c r="B208" s="110">
        <f t="shared" si="0"/>
        <v>2085</v>
      </c>
      <c r="C208" s="111">
        <f>[15]С2.5!$BR$11</f>
        <v>0</v>
      </c>
    </row>
    <row r="209" spans="2:3" hidden="1">
      <c r="B209" s="110">
        <f t="shared" ref="B209:B223" si="1">B208+1</f>
        <v>2086</v>
      </c>
      <c r="C209" s="111">
        <f>[15]С2.5!$BS$11</f>
        <v>0</v>
      </c>
    </row>
    <row r="210" spans="2:3" hidden="1">
      <c r="B210" s="110">
        <f t="shared" si="1"/>
        <v>2087</v>
      </c>
      <c r="C210" s="111">
        <f>[15]С2.5!$BT$11</f>
        <v>0</v>
      </c>
    </row>
    <row r="211" spans="2:3" hidden="1">
      <c r="B211" s="110">
        <f t="shared" si="1"/>
        <v>2088</v>
      </c>
      <c r="C211" s="111">
        <f>[15]С2.5!$BU$11</f>
        <v>0</v>
      </c>
    </row>
    <row r="212" spans="2:3" hidden="1">
      <c r="B212" s="110">
        <f t="shared" si="1"/>
        <v>2089</v>
      </c>
      <c r="C212" s="111">
        <f>[15]С2.5!$BV$11</f>
        <v>0</v>
      </c>
    </row>
    <row r="213" spans="2:3" hidden="1">
      <c r="B213" s="110">
        <f t="shared" si="1"/>
        <v>2090</v>
      </c>
      <c r="C213" s="111">
        <f>[15]С2.5!$BW$11</f>
        <v>0</v>
      </c>
    </row>
    <row r="214" spans="2:3" hidden="1">
      <c r="B214" s="110">
        <f t="shared" si="1"/>
        <v>2091</v>
      </c>
      <c r="C214" s="111">
        <f>[15]С2.5!$BX$11</f>
        <v>0</v>
      </c>
    </row>
    <row r="215" spans="2:3" hidden="1">
      <c r="B215" s="110">
        <f t="shared" si="1"/>
        <v>2092</v>
      </c>
      <c r="C215" s="111">
        <f>[15]С2.5!$BY$11</f>
        <v>0</v>
      </c>
    </row>
    <row r="216" spans="2:3" hidden="1">
      <c r="B216" s="110">
        <f t="shared" si="1"/>
        <v>2093</v>
      </c>
      <c r="C216" s="111">
        <f>[15]С2.5!$BZ$11</f>
        <v>0</v>
      </c>
    </row>
    <row r="217" spans="2:3" hidden="1">
      <c r="B217" s="110">
        <f t="shared" si="1"/>
        <v>2094</v>
      </c>
      <c r="C217" s="111">
        <f>[15]С2.5!$CA$11</f>
        <v>0</v>
      </c>
    </row>
    <row r="218" spans="2:3" hidden="1">
      <c r="B218" s="110">
        <f t="shared" si="1"/>
        <v>2095</v>
      </c>
      <c r="C218" s="111">
        <f>[15]С2.5!$CB$11</f>
        <v>0</v>
      </c>
    </row>
    <row r="219" spans="2:3" hidden="1">
      <c r="B219" s="110">
        <f t="shared" si="1"/>
        <v>2096</v>
      </c>
      <c r="C219" s="111">
        <f>[15]С2.5!$CC$11</f>
        <v>0</v>
      </c>
    </row>
    <row r="220" spans="2:3" hidden="1">
      <c r="B220" s="110">
        <f t="shared" si="1"/>
        <v>2097</v>
      </c>
      <c r="C220" s="111">
        <f>[15]С2.5!$CD$11</f>
        <v>0</v>
      </c>
    </row>
    <row r="221" spans="2:3" hidden="1">
      <c r="B221" s="110">
        <f t="shared" si="1"/>
        <v>2098</v>
      </c>
      <c r="C221" s="111">
        <f>[15]С2.5!$CE$11</f>
        <v>0</v>
      </c>
    </row>
    <row r="222" spans="2:3" hidden="1">
      <c r="B222" s="110">
        <f t="shared" si="1"/>
        <v>2099</v>
      </c>
      <c r="C222" s="111">
        <f>[15]С2.5!$CF$11</f>
        <v>0</v>
      </c>
    </row>
    <row r="223" spans="2:3" ht="13.5" hidden="1" thickBot="1">
      <c r="B223" s="112">
        <f t="shared" si="1"/>
        <v>2100</v>
      </c>
      <c r="C223" s="113">
        <f>[15]С2.5!$CG$11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[16]И1!D13</f>
        <v>Субъект Российской Федерации</v>
      </c>
      <c r="C4" s="10" t="str">
        <f>[16]И1!E13</f>
        <v>Новосибирская область</v>
      </c>
    </row>
    <row r="5" spans="1:3" ht="38.25">
      <c r="A5" s="8"/>
      <c r="B5" s="9" t="str">
        <f>[16]И1!D14</f>
        <v>Тип муниципального образования (выберите из списка)</v>
      </c>
      <c r="C5" s="10" t="str">
        <f>[16]И1!E14</f>
        <v>село Сарыбалык, Здвинский муниципальный район</v>
      </c>
    </row>
    <row r="6" spans="1:3">
      <c r="A6" s="8"/>
      <c r="B6" s="9" t="str">
        <f>IF([16]И1!E15="","",[16]И1!D15)</f>
        <v/>
      </c>
      <c r="C6" s="10" t="str">
        <f>IF([16]И1!E15="","",[16]И1!E15)</f>
        <v/>
      </c>
    </row>
    <row r="7" spans="1:3">
      <c r="A7" s="8"/>
      <c r="B7" s="9" t="str">
        <f>[16]И1!D16</f>
        <v>Код ОКТМО</v>
      </c>
      <c r="C7" s="11" t="str">
        <f>[16]И1!E16</f>
        <v>50613425101</v>
      </c>
    </row>
    <row r="8" spans="1:3">
      <c r="A8" s="8"/>
      <c r="B8" s="12" t="str">
        <f>[16]И1!D17</f>
        <v>Система теплоснабжения</v>
      </c>
      <c r="C8" s="13">
        <f>[16]И1!E17</f>
        <v>0</v>
      </c>
    </row>
    <row r="9" spans="1:3">
      <c r="A9" s="8"/>
      <c r="B9" s="9" t="str">
        <f>[16]И1!D8</f>
        <v>Период регулирования (i)-й</v>
      </c>
      <c r="C9" s="14">
        <f>[16]И1!E8</f>
        <v>2023</v>
      </c>
    </row>
    <row r="10" spans="1:3">
      <c r="A10" s="8"/>
      <c r="B10" s="9" t="str">
        <f>[16]И1!D9</f>
        <v>Период регулирования (i-1)-й</v>
      </c>
      <c r="C10" s="14">
        <f>[16]И1!E9</f>
        <v>2022</v>
      </c>
    </row>
    <row r="11" spans="1:3">
      <c r="A11" s="8"/>
      <c r="B11" s="9" t="str">
        <f>[16]И1!D10</f>
        <v>Период регулирования (i-2)-й</v>
      </c>
      <c r="C11" s="14">
        <f>[16]И1!E10</f>
        <v>2021</v>
      </c>
    </row>
    <row r="12" spans="1:3">
      <c r="A12" s="8"/>
      <c r="B12" s="9" t="str">
        <f>[16]И1!D11</f>
        <v>Базовый год (б)</v>
      </c>
      <c r="C12" s="14">
        <f>[16]И1!E11</f>
        <v>2019</v>
      </c>
    </row>
    <row r="13" spans="1:3" ht="38.25">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4138.7729228241014</v>
      </c>
    </row>
    <row r="18" spans="1:3" ht="42.75">
      <c r="A18" s="22" t="s">
        <v>8</v>
      </c>
      <c r="B18" s="25" t="s">
        <v>9</v>
      </c>
      <c r="C18" s="26">
        <f>[16]С1!F12</f>
        <v>1034.987468112842</v>
      </c>
    </row>
    <row r="19" spans="1:3" ht="42.75">
      <c r="A19" s="22" t="s">
        <v>10</v>
      </c>
      <c r="B19" s="25" t="s">
        <v>11</v>
      </c>
      <c r="C19" s="26">
        <f>[16]С2!F12</f>
        <v>2101.7757879094611</v>
      </c>
    </row>
    <row r="20" spans="1:3" ht="30">
      <c r="A20" s="22" t="s">
        <v>12</v>
      </c>
      <c r="B20" s="25" t="s">
        <v>13</v>
      </c>
      <c r="C20" s="26">
        <f>[16]С3!F12</f>
        <v>502.69420058623905</v>
      </c>
    </row>
    <row r="21" spans="1:3" ht="42.75">
      <c r="A21" s="22" t="s">
        <v>14</v>
      </c>
      <c r="B21" s="25" t="s">
        <v>15</v>
      </c>
      <c r="C21" s="26">
        <f>[16]С4!F12</f>
        <v>418.16305596410672</v>
      </c>
    </row>
    <row r="22" spans="1:3" ht="30">
      <c r="A22" s="22" t="s">
        <v>16</v>
      </c>
      <c r="B22" s="25" t="s">
        <v>17</v>
      </c>
      <c r="C22" s="26">
        <f>[16]С5!F12</f>
        <v>81.152410251452977</v>
      </c>
    </row>
    <row r="23" spans="1:3" ht="43.5" thickBot="1">
      <c r="A23" s="27" t="s">
        <v>18</v>
      </c>
      <c r="B23" s="117" t="s">
        <v>19</v>
      </c>
      <c r="C23" s="28" t="str">
        <f>[16]С6!F12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[16]С1.1!E16</f>
        <v>5100</v>
      </c>
    </row>
    <row r="29" spans="1:3" ht="42.75">
      <c r="A29" s="22" t="s">
        <v>10</v>
      </c>
      <c r="B29" s="33" t="s">
        <v>22</v>
      </c>
      <c r="C29" s="34">
        <f>[16]С1.1!E27</f>
        <v>2782.9083333333333</v>
      </c>
    </row>
    <row r="30" spans="1:3" ht="17.25">
      <c r="A30" s="22" t="s">
        <v>12</v>
      </c>
      <c r="B30" s="33" t="s">
        <v>23</v>
      </c>
      <c r="C30" s="35">
        <f>[16]С1.1!E19</f>
        <v>0.59499999999999997</v>
      </c>
    </row>
    <row r="31" spans="1:3" ht="17.25">
      <c r="A31" s="22" t="s">
        <v>14</v>
      </c>
      <c r="B31" s="33" t="s">
        <v>24</v>
      </c>
      <c r="C31" s="35">
        <f>[16]С1.1!E20</f>
        <v>-0.113</v>
      </c>
    </row>
    <row r="32" spans="1:3" ht="30">
      <c r="A32" s="22" t="s">
        <v>16</v>
      </c>
      <c r="B32" s="36" t="s">
        <v>25</v>
      </c>
      <c r="C32" s="37">
        <f>[16]С1!F13</f>
        <v>176.4</v>
      </c>
    </row>
    <row r="33" spans="1:3">
      <c r="A33" s="22" t="s">
        <v>18</v>
      </c>
      <c r="B33" s="36" t="s">
        <v>26</v>
      </c>
      <c r="C33" s="38">
        <f>[16]С1!F16</f>
        <v>7000</v>
      </c>
    </row>
    <row r="34" spans="1:3" ht="14.25">
      <c r="A34" s="22" t="s">
        <v>27</v>
      </c>
      <c r="B34" s="39" t="s">
        <v>28</v>
      </c>
      <c r="C34" s="40">
        <f>[16]С1!F17</f>
        <v>0.72857142857142854</v>
      </c>
    </row>
    <row r="35" spans="1:3" ht="15.75">
      <c r="A35" s="41" t="s">
        <v>29</v>
      </c>
      <c r="B35" s="42" t="s">
        <v>30</v>
      </c>
      <c r="C35" s="40">
        <f>[16]С1!F20</f>
        <v>21.588411179999994</v>
      </c>
    </row>
    <row r="36" spans="1:3" ht="15.75">
      <c r="A36" s="41" t="s">
        <v>31</v>
      </c>
      <c r="B36" s="43" t="s">
        <v>32</v>
      </c>
      <c r="C36" s="40">
        <f>[16]С1!F21</f>
        <v>20.818139999999996</v>
      </c>
    </row>
    <row r="37" spans="1:3" ht="14.25">
      <c r="A37" s="41" t="s">
        <v>33</v>
      </c>
      <c r="B37" s="44" t="s">
        <v>34</v>
      </c>
      <c r="C37" s="40">
        <f>[16]С1!F22</f>
        <v>1.0369999999999999</v>
      </c>
    </row>
    <row r="38" spans="1:3" ht="53.25" thickBot="1">
      <c r="A38" s="27" t="s">
        <v>35</v>
      </c>
      <c r="B38" s="45" t="s">
        <v>36</v>
      </c>
      <c r="C38" s="46">
        <f>[16]С1!F23</f>
        <v>1.0469999999999999</v>
      </c>
    </row>
    <row r="39" spans="1:3" ht="13.5" thickBot="1">
      <c r="A39" s="47"/>
      <c r="B39" s="48"/>
      <c r="C39" s="49"/>
    </row>
    <row r="40" spans="1:3" ht="30" customHeight="1">
      <c r="A40" s="50" t="s">
        <v>37</v>
      </c>
      <c r="B40" s="118" t="s">
        <v>38</v>
      </c>
      <c r="C40" s="118"/>
    </row>
    <row r="41" spans="1:3" ht="25.5">
      <c r="A41" s="22" t="s">
        <v>39</v>
      </c>
      <c r="B41" s="36" t="s">
        <v>40</v>
      </c>
      <c r="C41" s="51" t="str">
        <f>[16]С2.1!E12</f>
        <v>V</v>
      </c>
    </row>
    <row r="42" spans="1:3" ht="25.5">
      <c r="A42" s="22" t="s">
        <v>41</v>
      </c>
      <c r="B42" s="33" t="s">
        <v>42</v>
      </c>
      <c r="C42" s="51" t="str">
        <f>[16]С2.1!E13</f>
        <v>6 и менее баллов</v>
      </c>
    </row>
    <row r="43" spans="1:3" ht="25.5">
      <c r="A43" s="22" t="s">
        <v>43</v>
      </c>
      <c r="B43" s="33" t="s">
        <v>44</v>
      </c>
      <c r="C43" s="51" t="str">
        <f>[16]С2.1!E14</f>
        <v>от 200 до 500</v>
      </c>
    </row>
    <row r="44" spans="1:3" ht="25.5">
      <c r="A44" s="22" t="s">
        <v>45</v>
      </c>
      <c r="B44" s="33" t="s">
        <v>46</v>
      </c>
      <c r="C44" s="52" t="str">
        <f>[16]С2.1!E15</f>
        <v>нет</v>
      </c>
    </row>
    <row r="45" spans="1:3" ht="30">
      <c r="A45" s="22" t="s">
        <v>47</v>
      </c>
      <c r="B45" s="33" t="s">
        <v>48</v>
      </c>
      <c r="C45" s="34">
        <f>[16]С2!F18</f>
        <v>32402.627334033532</v>
      </c>
    </row>
    <row r="46" spans="1:3" ht="30">
      <c r="A46" s="22" t="s">
        <v>49</v>
      </c>
      <c r="B46" s="53" t="s">
        <v>50</v>
      </c>
      <c r="C46" s="34">
        <f>IF([16]С2!F19&gt;0,[16]С2!F19,[16]С2!F20)</f>
        <v>23441.524932855718</v>
      </c>
    </row>
    <row r="47" spans="1:3" ht="25.5">
      <c r="A47" s="22" t="s">
        <v>51</v>
      </c>
      <c r="B47" s="54" t="s">
        <v>52</v>
      </c>
      <c r="C47" s="34">
        <f>[16]С2.1!E19</f>
        <v>-38</v>
      </c>
    </row>
    <row r="48" spans="1:3" ht="25.5">
      <c r="A48" s="22" t="s">
        <v>53</v>
      </c>
      <c r="B48" s="54" t="s">
        <v>54</v>
      </c>
      <c r="C48" s="34" t="str">
        <f>[16]С2.1!E22</f>
        <v>нет</v>
      </c>
    </row>
    <row r="49" spans="1:3" ht="38.25">
      <c r="A49" s="22" t="s">
        <v>55</v>
      </c>
      <c r="B49" s="55" t="s">
        <v>56</v>
      </c>
      <c r="C49" s="34">
        <f>[16]С2.2!E10</f>
        <v>1287</v>
      </c>
    </row>
    <row r="50" spans="1:3" ht="25.5">
      <c r="A50" s="22" t="s">
        <v>57</v>
      </c>
      <c r="B50" s="56" t="s">
        <v>58</v>
      </c>
      <c r="C50" s="34">
        <f>[16]С2.2!E12</f>
        <v>5.97</v>
      </c>
    </row>
    <row r="51" spans="1:3" ht="52.5">
      <c r="A51" s="22" t="s">
        <v>59</v>
      </c>
      <c r="B51" s="57" t="s">
        <v>60</v>
      </c>
      <c r="C51" s="34">
        <f>[16]С2.2!E13</f>
        <v>1</v>
      </c>
    </row>
    <row r="52" spans="1:3" ht="27.75">
      <c r="A52" s="22" t="s">
        <v>61</v>
      </c>
      <c r="B52" s="56" t="s">
        <v>62</v>
      </c>
      <c r="C52" s="34">
        <f>[16]С2.2!E14</f>
        <v>12104</v>
      </c>
    </row>
    <row r="53" spans="1:3" ht="25.5">
      <c r="A53" s="22" t="s">
        <v>63</v>
      </c>
      <c r="B53" s="57" t="s">
        <v>64</v>
      </c>
      <c r="C53" s="35">
        <f>[16]С2.2!E15</f>
        <v>4.8000000000000001E-2</v>
      </c>
    </row>
    <row r="54" spans="1:3">
      <c r="A54" s="22" t="s">
        <v>65</v>
      </c>
      <c r="B54" s="57" t="s">
        <v>66</v>
      </c>
      <c r="C54" s="34">
        <f>[16]С2.2!E16</f>
        <v>1</v>
      </c>
    </row>
    <row r="55" spans="1:3" ht="15.75">
      <c r="A55" s="22" t="s">
        <v>67</v>
      </c>
      <c r="B55" s="58" t="s">
        <v>68</v>
      </c>
      <c r="C55" s="34">
        <f>[16]С2!F21</f>
        <v>1</v>
      </c>
    </row>
    <row r="56" spans="1:3" ht="30">
      <c r="A56" s="59" t="s">
        <v>69</v>
      </c>
      <c r="B56" s="33" t="s">
        <v>70</v>
      </c>
      <c r="C56" s="34">
        <f>[16]С2!F13</f>
        <v>169640.22915965237</v>
      </c>
    </row>
    <row r="57" spans="1:3" ht="30">
      <c r="A57" s="59" t="s">
        <v>71</v>
      </c>
      <c r="B57" s="58" t="s">
        <v>72</v>
      </c>
      <c r="C57" s="34">
        <f>[16]С2!F14</f>
        <v>113455</v>
      </c>
    </row>
    <row r="58" spans="1:3" ht="15.75">
      <c r="A58" s="59" t="s">
        <v>73</v>
      </c>
      <c r="B58" s="60" t="s">
        <v>74</v>
      </c>
      <c r="C58" s="40">
        <f>[16]С2!F15</f>
        <v>1.071</v>
      </c>
    </row>
    <row r="59" spans="1:3" ht="15.75">
      <c r="A59" s="59" t="s">
        <v>75</v>
      </c>
      <c r="B59" s="60" t="s">
        <v>76</v>
      </c>
      <c r="C59" s="40">
        <f>[16]С2!F16</f>
        <v>1</v>
      </c>
    </row>
    <row r="60" spans="1:3" ht="17.25">
      <c r="A60" s="59" t="s">
        <v>77</v>
      </c>
      <c r="B60" s="58" t="s">
        <v>78</v>
      </c>
      <c r="C60" s="34">
        <f>[16]С2!F17</f>
        <v>1.01</v>
      </c>
    </row>
    <row r="61" spans="1:3" s="63" customFormat="1" ht="14.25">
      <c r="A61" s="59" t="s">
        <v>79</v>
      </c>
      <c r="B61" s="61" t="s">
        <v>80</v>
      </c>
      <c r="C61" s="62">
        <f>[16]С2!F33</f>
        <v>10</v>
      </c>
    </row>
    <row r="62" spans="1:3" ht="30">
      <c r="A62" s="59" t="s">
        <v>81</v>
      </c>
      <c r="B62" s="64" t="s">
        <v>82</v>
      </c>
      <c r="C62" s="34">
        <f>[16]С2!F26</f>
        <v>637.93498622918537</v>
      </c>
    </row>
    <row r="63" spans="1:3" ht="17.25">
      <c r="A63" s="59" t="s">
        <v>83</v>
      </c>
      <c r="B63" s="53" t="s">
        <v>84</v>
      </c>
      <c r="C63" s="34">
        <f>[16]С2!F27</f>
        <v>0.10988357099999999</v>
      </c>
    </row>
    <row r="64" spans="1:3" ht="17.25">
      <c r="A64" s="59" t="s">
        <v>85</v>
      </c>
      <c r="B64" s="58" t="s">
        <v>86</v>
      </c>
      <c r="C64" s="62">
        <f>[16]С2!F28</f>
        <v>4200</v>
      </c>
    </row>
    <row r="65" spans="1:3" ht="42.75">
      <c r="A65" s="59" t="s">
        <v>87</v>
      </c>
      <c r="B65" s="33" t="s">
        <v>88</v>
      </c>
      <c r="C65" s="34">
        <f>[16]С2!F22</f>
        <v>35717.748653137714</v>
      </c>
    </row>
    <row r="66" spans="1:3" ht="30">
      <c r="A66" s="59" t="s">
        <v>89</v>
      </c>
      <c r="B66" s="60" t="s">
        <v>90</v>
      </c>
      <c r="C66" s="34">
        <f>[16]С2!F23</f>
        <v>1990</v>
      </c>
    </row>
    <row r="67" spans="1:3" ht="30">
      <c r="A67" s="59" t="s">
        <v>91</v>
      </c>
      <c r="B67" s="53" t="s">
        <v>92</v>
      </c>
      <c r="C67" s="34">
        <f>[16]С2.1!E27</f>
        <v>14307.876789999998</v>
      </c>
    </row>
    <row r="68" spans="1:3" ht="38.25">
      <c r="A68" s="59" t="s">
        <v>93</v>
      </c>
      <c r="B68" s="65" t="s">
        <v>94</v>
      </c>
      <c r="C68" s="52">
        <f>[16]С2.3!E21</f>
        <v>0</v>
      </c>
    </row>
    <row r="69" spans="1:3" ht="25.5">
      <c r="A69" s="59" t="s">
        <v>95</v>
      </c>
      <c r="B69" s="66" t="s">
        <v>96</v>
      </c>
      <c r="C69" s="67">
        <f>[16]С2.3!E11</f>
        <v>9.89</v>
      </c>
    </row>
    <row r="70" spans="1:3" ht="25.5">
      <c r="A70" s="59" t="s">
        <v>97</v>
      </c>
      <c r="B70" s="66" t="s">
        <v>98</v>
      </c>
      <c r="C70" s="62">
        <f>[16]С2.3!E13</f>
        <v>300</v>
      </c>
    </row>
    <row r="71" spans="1:3" ht="25.5">
      <c r="A71" s="59" t="s">
        <v>99</v>
      </c>
      <c r="B71" s="65" t="s">
        <v>100</v>
      </c>
      <c r="C71" s="68">
        <f>IF([16]С2.3!E22&gt;0,[16]С2.3!E22,[16]С2.3!E14)</f>
        <v>61211</v>
      </c>
    </row>
    <row r="72" spans="1:3" ht="38.25">
      <c r="A72" s="59" t="s">
        <v>101</v>
      </c>
      <c r="B72" s="65" t="s">
        <v>102</v>
      </c>
      <c r="C72" s="68">
        <f>IF([16]С2.3!E23&gt;0,[16]С2.3!E23,[16]С2.3!E15)</f>
        <v>45675</v>
      </c>
    </row>
    <row r="73" spans="1:3" ht="30">
      <c r="A73" s="59" t="s">
        <v>103</v>
      </c>
      <c r="B73" s="53" t="s">
        <v>104</v>
      </c>
      <c r="C73" s="34">
        <f>[16]С2.1!E28</f>
        <v>9541.9567200000001</v>
      </c>
    </row>
    <row r="74" spans="1:3" ht="38.25">
      <c r="A74" s="59" t="s">
        <v>105</v>
      </c>
      <c r="B74" s="65" t="s">
        <v>106</v>
      </c>
      <c r="C74" s="52">
        <f>[16]С2.3!E25</f>
        <v>0</v>
      </c>
    </row>
    <row r="75" spans="1:3" ht="25.5">
      <c r="A75" s="59" t="s">
        <v>107</v>
      </c>
      <c r="B75" s="66" t="s">
        <v>108</v>
      </c>
      <c r="C75" s="67">
        <f>[16]С2.3!E12</f>
        <v>0.56000000000000005</v>
      </c>
    </row>
    <row r="76" spans="1:3" ht="25.5">
      <c r="A76" s="59" t="s">
        <v>109</v>
      </c>
      <c r="B76" s="66" t="s">
        <v>98</v>
      </c>
      <c r="C76" s="62">
        <f>[16]С2.3!E13</f>
        <v>300</v>
      </c>
    </row>
    <row r="77" spans="1:3" ht="25.5">
      <c r="A77" s="59" t="s">
        <v>110</v>
      </c>
      <c r="B77" s="69" t="s">
        <v>111</v>
      </c>
      <c r="C77" s="68">
        <f>IF([16]С2.3!E26&gt;0,[16]С2.3!E26,[16]С2.3!E16)</f>
        <v>65637</v>
      </c>
    </row>
    <row r="78" spans="1:3" ht="38.25">
      <c r="A78" s="59" t="s">
        <v>112</v>
      </c>
      <c r="B78" s="69" t="s">
        <v>113</v>
      </c>
      <c r="C78" s="68">
        <f>IF([16]С2.3!E27&gt;0,[16]С2.3!E27,[16]С2.3!E17)</f>
        <v>31684</v>
      </c>
    </row>
    <row r="79" spans="1:3" ht="17.25">
      <c r="A79" s="59" t="s">
        <v>114</v>
      </c>
      <c r="B79" s="33" t="s">
        <v>115</v>
      </c>
      <c r="C79" s="35">
        <f>[16]С2!F29</f>
        <v>0.128978033685065</v>
      </c>
    </row>
    <row r="80" spans="1:3" ht="30">
      <c r="A80" s="59" t="s">
        <v>116</v>
      </c>
      <c r="B80" s="53" t="s">
        <v>117</v>
      </c>
      <c r="C80" s="70">
        <f>[16]С2!F30</f>
        <v>0.11668498168498169</v>
      </c>
    </row>
    <row r="81" spans="1:3" ht="17.25">
      <c r="A81" s="59" t="s">
        <v>118</v>
      </c>
      <c r="B81" s="71" t="s">
        <v>119</v>
      </c>
      <c r="C81" s="35">
        <f>[16]С2!F31</f>
        <v>0.13880000000000001</v>
      </c>
    </row>
    <row r="82" spans="1:3" s="63" customFormat="1" ht="18" thickBot="1">
      <c r="A82" s="72" t="s">
        <v>120</v>
      </c>
      <c r="B82" s="73" t="s">
        <v>121</v>
      </c>
      <c r="C82" s="74">
        <f>[16]С2!F32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[16]С3!F14</f>
        <v>6976.0888978803041</v>
      </c>
    </row>
    <row r="86" spans="1:3" s="63" customFormat="1" ht="42.75">
      <c r="A86" s="77" t="s">
        <v>126</v>
      </c>
      <c r="B86" s="53" t="s">
        <v>127</v>
      </c>
      <c r="C86" s="78">
        <f>[16]С3!F15</f>
        <v>0.2</v>
      </c>
    </row>
    <row r="87" spans="1:3" s="63" customFormat="1" ht="14.25">
      <c r="A87" s="77" t="s">
        <v>128</v>
      </c>
      <c r="B87" s="79" t="s">
        <v>129</v>
      </c>
      <c r="C87" s="62">
        <f>[16]С3!F18</f>
        <v>15</v>
      </c>
    </row>
    <row r="88" spans="1:3" s="63" customFormat="1" ht="17.25">
      <c r="A88" s="77" t="s">
        <v>130</v>
      </c>
      <c r="B88" s="33" t="s">
        <v>131</v>
      </c>
      <c r="C88" s="34">
        <f>[16]С3!F19</f>
        <v>3487.1555421534131</v>
      </c>
    </row>
    <row r="89" spans="1:3" s="63" customFormat="1" ht="55.5">
      <c r="A89" s="77" t="s">
        <v>132</v>
      </c>
      <c r="B89" s="53" t="s">
        <v>133</v>
      </c>
      <c r="C89" s="80">
        <f>[16]С3!F20</f>
        <v>2.1999999999999999E-2</v>
      </c>
    </row>
    <row r="90" spans="1:3" s="63" customFormat="1" ht="14.25">
      <c r="A90" s="77" t="s">
        <v>134</v>
      </c>
      <c r="B90" s="58" t="s">
        <v>80</v>
      </c>
      <c r="C90" s="62">
        <f>[16]С3!F21</f>
        <v>10</v>
      </c>
    </row>
    <row r="91" spans="1:3" s="63" customFormat="1" ht="17.25">
      <c r="A91" s="77" t="s">
        <v>135</v>
      </c>
      <c r="B91" s="33" t="s">
        <v>136</v>
      </c>
      <c r="C91" s="34">
        <f>[16]С3!F22</f>
        <v>1.9138049586875561</v>
      </c>
    </row>
    <row r="92" spans="1:3" s="63" customFormat="1" ht="55.5">
      <c r="A92" s="77" t="s">
        <v>137</v>
      </c>
      <c r="B92" s="53" t="s">
        <v>138</v>
      </c>
      <c r="C92" s="80">
        <f>[16]С3!F23</f>
        <v>3.0000000000000001E-3</v>
      </c>
    </row>
    <row r="93" spans="1:3" s="63" customFormat="1" ht="27.75" thickBot="1">
      <c r="A93" s="81" t="s">
        <v>139</v>
      </c>
      <c r="B93" s="82" t="s">
        <v>140</v>
      </c>
      <c r="C93" s="83">
        <f>[16]С3!F24</f>
        <v>637.93498622918537</v>
      </c>
    </row>
    <row r="94" spans="1:3" ht="13.5" thickBot="1">
      <c r="A94" s="47"/>
      <c r="B94" s="75"/>
      <c r="C94" s="15"/>
    </row>
    <row r="95" spans="1:3" ht="30" customHeight="1">
      <c r="A95" s="84" t="s">
        <v>141</v>
      </c>
      <c r="B95" s="118" t="s">
        <v>142</v>
      </c>
      <c r="C95" s="118"/>
    </row>
    <row r="96" spans="1:3" ht="30">
      <c r="A96" s="59" t="s">
        <v>143</v>
      </c>
      <c r="B96" s="33" t="s">
        <v>144</v>
      </c>
      <c r="C96" s="34">
        <f>[16]С4!F16</f>
        <v>1652.5</v>
      </c>
    </row>
    <row r="97" spans="1:3" ht="30">
      <c r="A97" s="59" t="s">
        <v>145</v>
      </c>
      <c r="B97" s="58" t="s">
        <v>146</v>
      </c>
      <c r="C97" s="34">
        <f>[16]С4!F17</f>
        <v>73547</v>
      </c>
    </row>
    <row r="98" spans="1:3" ht="17.25">
      <c r="A98" s="59" t="s">
        <v>147</v>
      </c>
      <c r="B98" s="58" t="s">
        <v>148</v>
      </c>
      <c r="C98" s="40">
        <f>[16]С4!F18</f>
        <v>0.02</v>
      </c>
    </row>
    <row r="99" spans="1:3" ht="30">
      <c r="A99" s="59" t="s">
        <v>149</v>
      </c>
      <c r="B99" s="58" t="s">
        <v>150</v>
      </c>
      <c r="C99" s="34">
        <f>[16]С4!F19</f>
        <v>12104</v>
      </c>
    </row>
    <row r="100" spans="1:3" ht="31.5">
      <c r="A100" s="59" t="s">
        <v>151</v>
      </c>
      <c r="B100" s="58" t="s">
        <v>152</v>
      </c>
      <c r="C100" s="40">
        <f>[16]С4!F20</f>
        <v>1.4999999999999999E-2</v>
      </c>
    </row>
    <row r="101" spans="1:3" ht="30">
      <c r="A101" s="59" t="s">
        <v>153</v>
      </c>
      <c r="B101" s="33" t="s">
        <v>154</v>
      </c>
      <c r="C101" s="34">
        <f>[16]С4!F21</f>
        <v>1933.1949342509995</v>
      </c>
    </row>
    <row r="102" spans="1:3" ht="24" customHeight="1">
      <c r="A102" s="59" t="s">
        <v>155</v>
      </c>
      <c r="B102" s="53" t="s">
        <v>156</v>
      </c>
      <c r="C102" s="85">
        <f>IF([16]С4.2!F8="да",[16]С4.2!D21,[16]С4.2!D15)</f>
        <v>0</v>
      </c>
    </row>
    <row r="103" spans="1:3" ht="68.25">
      <c r="A103" s="59" t="s">
        <v>157</v>
      </c>
      <c r="B103" s="53" t="s">
        <v>158</v>
      </c>
      <c r="C103" s="34">
        <f>[16]С4!F22</f>
        <v>3.6112641666666665</v>
      </c>
    </row>
    <row r="104" spans="1:3" ht="30">
      <c r="A104" s="59" t="s">
        <v>159</v>
      </c>
      <c r="B104" s="58" t="s">
        <v>160</v>
      </c>
      <c r="C104" s="34">
        <f>[16]С4!F23</f>
        <v>180</v>
      </c>
    </row>
    <row r="105" spans="1:3" ht="14.25">
      <c r="A105" s="59" t="s">
        <v>161</v>
      </c>
      <c r="B105" s="53" t="s">
        <v>162</v>
      </c>
      <c r="C105" s="34">
        <f>[16]С4!F24</f>
        <v>8497.1999999999989</v>
      </c>
    </row>
    <row r="106" spans="1:3" ht="14.25">
      <c r="A106" s="59" t="s">
        <v>163</v>
      </c>
      <c r="B106" s="58" t="s">
        <v>164</v>
      </c>
      <c r="C106" s="40">
        <f>[16]С4!F25</f>
        <v>0.35</v>
      </c>
    </row>
    <row r="107" spans="1:3" ht="17.25">
      <c r="A107" s="59" t="s">
        <v>165</v>
      </c>
      <c r="B107" s="33" t="s">
        <v>166</v>
      </c>
      <c r="C107" s="34">
        <f>[16]С4!F26</f>
        <v>54.316800000000001</v>
      </c>
    </row>
    <row r="108" spans="1:3" ht="25.5">
      <c r="A108" s="59" t="s">
        <v>167</v>
      </c>
      <c r="B108" s="53" t="s">
        <v>94</v>
      </c>
      <c r="C108" s="85">
        <f>[16]С4.3!E16</f>
        <v>0</v>
      </c>
    </row>
    <row r="109" spans="1:3" ht="25.5">
      <c r="A109" s="59" t="s">
        <v>168</v>
      </c>
      <c r="B109" s="53" t="s">
        <v>169</v>
      </c>
      <c r="C109" s="34">
        <f>[16]С4.3!E17</f>
        <v>13.96</v>
      </c>
    </row>
    <row r="110" spans="1:3" ht="38.25">
      <c r="A110" s="59" t="s">
        <v>170</v>
      </c>
      <c r="B110" s="53" t="s">
        <v>106</v>
      </c>
      <c r="C110" s="85">
        <f>[16]С4.3!E18</f>
        <v>0</v>
      </c>
    </row>
    <row r="111" spans="1:3">
      <c r="A111" s="59" t="s">
        <v>171</v>
      </c>
      <c r="B111" s="53" t="s">
        <v>172</v>
      </c>
      <c r="C111" s="34">
        <f>[16]С4.3!E19</f>
        <v>26.27</v>
      </c>
    </row>
    <row r="112" spans="1:3">
      <c r="A112" s="59" t="s">
        <v>173</v>
      </c>
      <c r="B112" s="58" t="s">
        <v>174</v>
      </c>
      <c r="C112" s="34">
        <f>[16]С4.3!E11</f>
        <v>1871</v>
      </c>
    </row>
    <row r="113" spans="1:3">
      <c r="A113" s="59" t="s">
        <v>175</v>
      </c>
      <c r="B113" s="58" t="s">
        <v>176</v>
      </c>
      <c r="C113" s="52">
        <f>[16]С4.3!E12</f>
        <v>1636</v>
      </c>
    </row>
    <row r="114" spans="1:3">
      <c r="A114" s="59" t="s">
        <v>177</v>
      </c>
      <c r="B114" s="58" t="s">
        <v>178</v>
      </c>
      <c r="C114" s="52">
        <f>[16]С4.3!E13</f>
        <v>204</v>
      </c>
    </row>
    <row r="115" spans="1:3" ht="30">
      <c r="A115" s="59" t="s">
        <v>179</v>
      </c>
      <c r="B115" s="33" t="s">
        <v>180</v>
      </c>
      <c r="C115" s="34">
        <f>[16]С4!F27</f>
        <v>1038.565361974559</v>
      </c>
    </row>
    <row r="116" spans="1:3" ht="25.5">
      <c r="A116" s="59" t="s">
        <v>181</v>
      </c>
      <c r="B116" s="53" t="s">
        <v>182</v>
      </c>
      <c r="C116" s="34">
        <f>[16]С4!F28</f>
        <v>797.66924882838634</v>
      </c>
    </row>
    <row r="117" spans="1:3" ht="42.75">
      <c r="A117" s="59" t="s">
        <v>183</v>
      </c>
      <c r="B117" s="53" t="s">
        <v>184</v>
      </c>
      <c r="C117" s="34">
        <f>[16]С4!F29</f>
        <v>240.89611314617269</v>
      </c>
    </row>
    <row r="118" spans="1:3" ht="30">
      <c r="A118" s="59" t="s">
        <v>185</v>
      </c>
      <c r="B118" s="39" t="s">
        <v>186</v>
      </c>
      <c r="C118" s="34">
        <f>[16]С4!F30</f>
        <v>2238.2981919942886</v>
      </c>
    </row>
    <row r="119" spans="1:3" ht="42.75">
      <c r="A119" s="59" t="s">
        <v>187</v>
      </c>
      <c r="B119" s="86" t="s">
        <v>188</v>
      </c>
      <c r="C119" s="34">
        <f>[16]С4!F33</f>
        <v>1525.2966616593073</v>
      </c>
    </row>
    <row r="120" spans="1:3" ht="30">
      <c r="A120" s="59" t="s">
        <v>189</v>
      </c>
      <c r="B120" s="87" t="s">
        <v>190</v>
      </c>
      <c r="C120" s="34">
        <f>[16]С4!F35</f>
        <v>17.040680999999999</v>
      </c>
    </row>
    <row r="121" spans="1:3" ht="14.25">
      <c r="A121" s="59" t="s">
        <v>191</v>
      </c>
      <c r="B121" s="56" t="s">
        <v>192</v>
      </c>
      <c r="C121" s="34">
        <f>[16]С4!F36</f>
        <v>14319.9</v>
      </c>
    </row>
    <row r="122" spans="1:3" ht="28.5" thickBot="1">
      <c r="A122" s="72" t="s">
        <v>193</v>
      </c>
      <c r="B122" s="88" t="s">
        <v>194</v>
      </c>
      <c r="C122" s="83">
        <f>[16]С4!F37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[16]С5!F17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[16]С2!F37</f>
        <v>20.818139999999996</v>
      </c>
    </row>
    <row r="136" spans="1:4" ht="14.25">
      <c r="A136" s="59" t="s">
        <v>216</v>
      </c>
      <c r="B136" s="101" t="s">
        <v>217</v>
      </c>
      <c r="C136" s="34">
        <f>[16]С2!F38</f>
        <v>7</v>
      </c>
    </row>
    <row r="137" spans="1:4" ht="17.25">
      <c r="A137" s="59" t="s">
        <v>218</v>
      </c>
      <c r="B137" s="101" t="s">
        <v>219</v>
      </c>
      <c r="C137" s="34">
        <f>[16]С2!F40</f>
        <v>0.97</v>
      </c>
    </row>
    <row r="138" spans="1:4" ht="15" thickBot="1">
      <c r="A138" s="72" t="s">
        <v>220</v>
      </c>
      <c r="B138" s="102" t="s">
        <v>221</v>
      </c>
      <c r="C138" s="46">
        <f>[16]С2!F42</f>
        <v>0.35</v>
      </c>
    </row>
    <row r="139" spans="1:4" s="89" customFormat="1" ht="13.5" thickBot="1">
      <c r="A139" s="47"/>
      <c r="B139" s="75"/>
      <c r="C139" s="15"/>
    </row>
    <row r="140" spans="1:4" ht="30">
      <c r="A140" s="84" t="s">
        <v>222</v>
      </c>
      <c r="B140" s="103" t="s">
        <v>223</v>
      </c>
      <c r="C140" s="104">
        <f>[16]С2!F35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[16]С2.5!$E$11</f>
        <v>-2.9000000000000026E-2</v>
      </c>
      <c r="D143" s="89"/>
    </row>
    <row r="144" spans="1:4">
      <c r="A144" s="105"/>
      <c r="B144" s="110">
        <f>B143+1</f>
        <v>2021</v>
      </c>
      <c r="C144" s="111">
        <f>[16]С2.5!$F$11</f>
        <v>0.245</v>
      </c>
      <c r="D144" s="89"/>
    </row>
    <row r="145" spans="1:4">
      <c r="A145" s="105"/>
      <c r="B145" s="110">
        <f t="shared" ref="B145:B208" si="0">B144+1</f>
        <v>2022</v>
      </c>
      <c r="C145" s="111">
        <f>[16]С2.5!$G$11</f>
        <v>0.121</v>
      </c>
      <c r="D145" s="89"/>
    </row>
    <row r="146" spans="1:4" ht="13.5" thickBot="1">
      <c r="A146" s="105"/>
      <c r="B146" s="112">
        <f t="shared" si="0"/>
        <v>2023</v>
      </c>
      <c r="C146" s="113">
        <f>[16]С2.5!$H$11</f>
        <v>0.02</v>
      </c>
      <c r="D146" s="89"/>
    </row>
    <row r="147" spans="1:4" hidden="1">
      <c r="A147" s="105"/>
      <c r="B147" s="114">
        <f t="shared" si="0"/>
        <v>2024</v>
      </c>
      <c r="C147" s="115">
        <f>[16]С2.5!$I$11</f>
        <v>-2.93E-2</v>
      </c>
      <c r="D147" s="89"/>
    </row>
    <row r="148" spans="1:4" hidden="1">
      <c r="A148" s="105"/>
      <c r="B148" s="110">
        <f t="shared" si="0"/>
        <v>2025</v>
      </c>
      <c r="C148" s="111">
        <f>[16]С2.5!$J$11</f>
        <v>0.21215960863291</v>
      </c>
      <c r="D148" s="89"/>
    </row>
    <row r="149" spans="1:4" hidden="1">
      <c r="A149" s="105"/>
      <c r="B149" s="110">
        <f t="shared" si="0"/>
        <v>2026</v>
      </c>
      <c r="C149" s="111">
        <f>[16]С2.5!$K$11</f>
        <v>3.5813361771260002E-2</v>
      </c>
      <c r="D149" s="89"/>
    </row>
    <row r="150" spans="1:4" hidden="1">
      <c r="A150" s="105"/>
      <c r="B150" s="110">
        <f t="shared" si="0"/>
        <v>2027</v>
      </c>
      <c r="C150" s="111">
        <f>[16]С2.5!$L$11</f>
        <v>3.2682303599220003E-2</v>
      </c>
      <c r="D150" s="89"/>
    </row>
    <row r="151" spans="1:4" hidden="1">
      <c r="A151" s="105"/>
      <c r="B151" s="110">
        <f t="shared" si="0"/>
        <v>2028</v>
      </c>
      <c r="C151" s="111">
        <f>[16]С2.5!$M$11</f>
        <v>0</v>
      </c>
      <c r="D151" s="89"/>
    </row>
    <row r="152" spans="1:4" hidden="1">
      <c r="A152" s="105"/>
      <c r="B152" s="110">
        <f t="shared" si="0"/>
        <v>2029</v>
      </c>
      <c r="C152" s="111">
        <f>[16]С2.5!$N$11</f>
        <v>0</v>
      </c>
      <c r="D152" s="89"/>
    </row>
    <row r="153" spans="1:4" hidden="1">
      <c r="A153" s="105"/>
      <c r="B153" s="110">
        <f t="shared" si="0"/>
        <v>2030</v>
      </c>
      <c r="C153" s="111">
        <f>[16]С2.5!$O$11</f>
        <v>0</v>
      </c>
      <c r="D153" s="89"/>
    </row>
    <row r="154" spans="1:4" hidden="1">
      <c r="A154" s="105"/>
      <c r="B154" s="110">
        <f t="shared" si="0"/>
        <v>2031</v>
      </c>
      <c r="C154" s="111">
        <f>[16]С2.5!$P$11</f>
        <v>0</v>
      </c>
      <c r="D154" s="89"/>
    </row>
    <row r="155" spans="1:4" hidden="1">
      <c r="A155" s="89"/>
      <c r="B155" s="110">
        <f t="shared" si="0"/>
        <v>2032</v>
      </c>
      <c r="C155" s="111">
        <f>[16]С2.5!$Q$11</f>
        <v>0</v>
      </c>
      <c r="D155" s="89"/>
    </row>
    <row r="156" spans="1:4" hidden="1">
      <c r="A156" s="89"/>
      <c r="B156" s="110">
        <f t="shared" si="0"/>
        <v>2033</v>
      </c>
      <c r="C156" s="111">
        <f>[16]С2.5!$R$11</f>
        <v>0</v>
      </c>
      <c r="D156" s="89"/>
    </row>
    <row r="157" spans="1:4" hidden="1">
      <c r="B157" s="110">
        <f t="shared" si="0"/>
        <v>2034</v>
      </c>
      <c r="C157" s="111">
        <f>[16]С2.5!$S$11</f>
        <v>0</v>
      </c>
    </row>
    <row r="158" spans="1:4" hidden="1">
      <c r="B158" s="110">
        <f t="shared" si="0"/>
        <v>2035</v>
      </c>
      <c r="C158" s="111">
        <f>[16]С2.5!$T$11</f>
        <v>0</v>
      </c>
    </row>
    <row r="159" spans="1:4" hidden="1">
      <c r="B159" s="110">
        <f t="shared" si="0"/>
        <v>2036</v>
      </c>
      <c r="C159" s="111">
        <f>[16]С2.5!$U$11</f>
        <v>0</v>
      </c>
    </row>
    <row r="160" spans="1:4" hidden="1">
      <c r="B160" s="110">
        <f t="shared" si="0"/>
        <v>2037</v>
      </c>
      <c r="C160" s="111">
        <f>[16]С2.5!$V$11</f>
        <v>0</v>
      </c>
    </row>
    <row r="161" spans="2:3" hidden="1">
      <c r="B161" s="110">
        <f t="shared" si="0"/>
        <v>2038</v>
      </c>
      <c r="C161" s="111">
        <f>[16]С2.5!$W$11</f>
        <v>0</v>
      </c>
    </row>
    <row r="162" spans="2:3" hidden="1">
      <c r="B162" s="110">
        <f t="shared" si="0"/>
        <v>2039</v>
      </c>
      <c r="C162" s="111">
        <f>[16]С2.5!$X$11</f>
        <v>0</v>
      </c>
    </row>
    <row r="163" spans="2:3" hidden="1">
      <c r="B163" s="110">
        <f t="shared" si="0"/>
        <v>2040</v>
      </c>
      <c r="C163" s="111">
        <f>[16]С2.5!$Y$11</f>
        <v>0</v>
      </c>
    </row>
    <row r="164" spans="2:3" hidden="1">
      <c r="B164" s="110">
        <f t="shared" si="0"/>
        <v>2041</v>
      </c>
      <c r="C164" s="111">
        <f>[16]С2.5!$Z$11</f>
        <v>0</v>
      </c>
    </row>
    <row r="165" spans="2:3" hidden="1">
      <c r="B165" s="110">
        <f t="shared" si="0"/>
        <v>2042</v>
      </c>
      <c r="C165" s="111">
        <f>[16]С2.5!$AA$11</f>
        <v>0</v>
      </c>
    </row>
    <row r="166" spans="2:3" hidden="1">
      <c r="B166" s="110">
        <f t="shared" si="0"/>
        <v>2043</v>
      </c>
      <c r="C166" s="111">
        <f>[16]С2.5!$AB$11</f>
        <v>0</v>
      </c>
    </row>
    <row r="167" spans="2:3" hidden="1">
      <c r="B167" s="110">
        <f t="shared" si="0"/>
        <v>2044</v>
      </c>
      <c r="C167" s="111">
        <f>[16]С2.5!$AC$11</f>
        <v>0</v>
      </c>
    </row>
    <row r="168" spans="2:3" hidden="1">
      <c r="B168" s="110">
        <f t="shared" si="0"/>
        <v>2045</v>
      </c>
      <c r="C168" s="111">
        <f>[16]С2.5!$AD$11</f>
        <v>0</v>
      </c>
    </row>
    <row r="169" spans="2:3" hidden="1">
      <c r="B169" s="110">
        <f t="shared" si="0"/>
        <v>2046</v>
      </c>
      <c r="C169" s="111">
        <f>[16]С2.5!$AE$11</f>
        <v>0</v>
      </c>
    </row>
    <row r="170" spans="2:3" hidden="1">
      <c r="B170" s="110">
        <f t="shared" si="0"/>
        <v>2047</v>
      </c>
      <c r="C170" s="111">
        <f>[16]С2.5!$AF$11</f>
        <v>0</v>
      </c>
    </row>
    <row r="171" spans="2:3" hidden="1">
      <c r="B171" s="110">
        <f t="shared" si="0"/>
        <v>2048</v>
      </c>
      <c r="C171" s="111">
        <f>[16]С2.5!$AG$11</f>
        <v>0</v>
      </c>
    </row>
    <row r="172" spans="2:3" hidden="1">
      <c r="B172" s="110">
        <f t="shared" si="0"/>
        <v>2049</v>
      </c>
      <c r="C172" s="111">
        <f>[16]С2.5!$AH$11</f>
        <v>0</v>
      </c>
    </row>
    <row r="173" spans="2:3" hidden="1">
      <c r="B173" s="110">
        <f t="shared" si="0"/>
        <v>2050</v>
      </c>
      <c r="C173" s="111">
        <f>[16]С2.5!$AI$11</f>
        <v>0</v>
      </c>
    </row>
    <row r="174" spans="2:3" hidden="1">
      <c r="B174" s="110">
        <f t="shared" si="0"/>
        <v>2051</v>
      </c>
      <c r="C174" s="111">
        <f>[16]С2.5!$AJ$11</f>
        <v>0</v>
      </c>
    </row>
    <row r="175" spans="2:3" hidden="1">
      <c r="B175" s="110">
        <f t="shared" si="0"/>
        <v>2052</v>
      </c>
      <c r="C175" s="111">
        <f>[16]С2.5!$AK$11</f>
        <v>0</v>
      </c>
    </row>
    <row r="176" spans="2:3" hidden="1">
      <c r="B176" s="110">
        <f t="shared" si="0"/>
        <v>2053</v>
      </c>
      <c r="C176" s="111">
        <f>[16]С2.5!$AL$11</f>
        <v>0</v>
      </c>
    </row>
    <row r="177" spans="2:3" hidden="1">
      <c r="B177" s="110">
        <f t="shared" si="0"/>
        <v>2054</v>
      </c>
      <c r="C177" s="111">
        <f>[16]С2.5!$AM$11</f>
        <v>0</v>
      </c>
    </row>
    <row r="178" spans="2:3" hidden="1">
      <c r="B178" s="110">
        <f t="shared" si="0"/>
        <v>2055</v>
      </c>
      <c r="C178" s="111">
        <f>[16]С2.5!$AN$11</f>
        <v>0</v>
      </c>
    </row>
    <row r="179" spans="2:3" hidden="1">
      <c r="B179" s="110">
        <f t="shared" si="0"/>
        <v>2056</v>
      </c>
      <c r="C179" s="111">
        <f>[16]С2.5!$AO$11</f>
        <v>0</v>
      </c>
    </row>
    <row r="180" spans="2:3" hidden="1">
      <c r="B180" s="110">
        <f t="shared" si="0"/>
        <v>2057</v>
      </c>
      <c r="C180" s="111">
        <f>[16]С2.5!$AP$11</f>
        <v>0</v>
      </c>
    </row>
    <row r="181" spans="2:3" hidden="1">
      <c r="B181" s="110">
        <f t="shared" si="0"/>
        <v>2058</v>
      </c>
      <c r="C181" s="111">
        <f>[16]С2.5!$AQ$11</f>
        <v>0</v>
      </c>
    </row>
    <row r="182" spans="2:3" hidden="1">
      <c r="B182" s="110">
        <f t="shared" si="0"/>
        <v>2059</v>
      </c>
      <c r="C182" s="111">
        <f>[16]С2.5!$AR$11</f>
        <v>0</v>
      </c>
    </row>
    <row r="183" spans="2:3" hidden="1">
      <c r="B183" s="110">
        <f t="shared" si="0"/>
        <v>2060</v>
      </c>
      <c r="C183" s="111">
        <f>[16]С2.5!$AS$11</f>
        <v>0</v>
      </c>
    </row>
    <row r="184" spans="2:3" hidden="1">
      <c r="B184" s="110">
        <f t="shared" si="0"/>
        <v>2061</v>
      </c>
      <c r="C184" s="111">
        <f>[16]С2.5!$AT$11</f>
        <v>0</v>
      </c>
    </row>
    <row r="185" spans="2:3" hidden="1">
      <c r="B185" s="110">
        <f t="shared" si="0"/>
        <v>2062</v>
      </c>
      <c r="C185" s="111">
        <f>[16]С2.5!$AU$11</f>
        <v>0</v>
      </c>
    </row>
    <row r="186" spans="2:3" hidden="1">
      <c r="B186" s="110">
        <f t="shared" si="0"/>
        <v>2063</v>
      </c>
      <c r="C186" s="111">
        <f>[16]С2.5!$AV$11</f>
        <v>0</v>
      </c>
    </row>
    <row r="187" spans="2:3" hidden="1">
      <c r="B187" s="110">
        <f t="shared" si="0"/>
        <v>2064</v>
      </c>
      <c r="C187" s="111">
        <f>[16]С2.5!$AW$11</f>
        <v>0</v>
      </c>
    </row>
    <row r="188" spans="2:3" hidden="1">
      <c r="B188" s="110">
        <f t="shared" si="0"/>
        <v>2065</v>
      </c>
      <c r="C188" s="111">
        <f>[16]С2.5!$AX$11</f>
        <v>0</v>
      </c>
    </row>
    <row r="189" spans="2:3" hidden="1">
      <c r="B189" s="110">
        <f t="shared" si="0"/>
        <v>2066</v>
      </c>
      <c r="C189" s="111">
        <f>[16]С2.5!$AY$11</f>
        <v>0</v>
      </c>
    </row>
    <row r="190" spans="2:3" hidden="1">
      <c r="B190" s="110">
        <f t="shared" si="0"/>
        <v>2067</v>
      </c>
      <c r="C190" s="111">
        <f>[16]С2.5!$AZ$11</f>
        <v>0</v>
      </c>
    </row>
    <row r="191" spans="2:3" hidden="1">
      <c r="B191" s="110">
        <f t="shared" si="0"/>
        <v>2068</v>
      </c>
      <c r="C191" s="111">
        <f>[16]С2.5!$BA$11</f>
        <v>0</v>
      </c>
    </row>
    <row r="192" spans="2:3" hidden="1">
      <c r="B192" s="110">
        <f t="shared" si="0"/>
        <v>2069</v>
      </c>
      <c r="C192" s="111">
        <f>[16]С2.5!$BB$11</f>
        <v>0</v>
      </c>
    </row>
    <row r="193" spans="2:3" hidden="1">
      <c r="B193" s="110">
        <f t="shared" si="0"/>
        <v>2070</v>
      </c>
      <c r="C193" s="111">
        <f>[16]С2.5!$BC$11</f>
        <v>0</v>
      </c>
    </row>
    <row r="194" spans="2:3" hidden="1">
      <c r="B194" s="110">
        <f t="shared" si="0"/>
        <v>2071</v>
      </c>
      <c r="C194" s="111">
        <f>[16]С2.5!$BD$11</f>
        <v>0</v>
      </c>
    </row>
    <row r="195" spans="2:3" hidden="1">
      <c r="B195" s="110">
        <f t="shared" si="0"/>
        <v>2072</v>
      </c>
      <c r="C195" s="111">
        <f>[16]С2.5!$BE$11</f>
        <v>0</v>
      </c>
    </row>
    <row r="196" spans="2:3" hidden="1">
      <c r="B196" s="110">
        <f t="shared" si="0"/>
        <v>2073</v>
      </c>
      <c r="C196" s="111">
        <f>[16]С2.5!$BF$11</f>
        <v>0</v>
      </c>
    </row>
    <row r="197" spans="2:3" hidden="1">
      <c r="B197" s="110">
        <f t="shared" si="0"/>
        <v>2074</v>
      </c>
      <c r="C197" s="111">
        <f>[16]С2.5!$BG$11</f>
        <v>0</v>
      </c>
    </row>
    <row r="198" spans="2:3" hidden="1">
      <c r="B198" s="110">
        <f t="shared" si="0"/>
        <v>2075</v>
      </c>
      <c r="C198" s="111">
        <f>[16]С2.5!$BH$11</f>
        <v>0</v>
      </c>
    </row>
    <row r="199" spans="2:3" hidden="1">
      <c r="B199" s="110">
        <f t="shared" si="0"/>
        <v>2076</v>
      </c>
      <c r="C199" s="111">
        <f>[16]С2.5!$BI$11</f>
        <v>0</v>
      </c>
    </row>
    <row r="200" spans="2:3" hidden="1">
      <c r="B200" s="110">
        <f t="shared" si="0"/>
        <v>2077</v>
      </c>
      <c r="C200" s="111">
        <f>[16]С2.5!$BJ$11</f>
        <v>0</v>
      </c>
    </row>
    <row r="201" spans="2:3" hidden="1">
      <c r="B201" s="110">
        <f t="shared" si="0"/>
        <v>2078</v>
      </c>
      <c r="C201" s="111">
        <f>[16]С2.5!$BK$11</f>
        <v>0</v>
      </c>
    </row>
    <row r="202" spans="2:3" hidden="1">
      <c r="B202" s="110">
        <f t="shared" si="0"/>
        <v>2079</v>
      </c>
      <c r="C202" s="111">
        <f>[16]С2.5!$BL$11</f>
        <v>0</v>
      </c>
    </row>
    <row r="203" spans="2:3" hidden="1">
      <c r="B203" s="110">
        <f t="shared" si="0"/>
        <v>2080</v>
      </c>
      <c r="C203" s="111">
        <f>[16]С2.5!$BM$11</f>
        <v>0</v>
      </c>
    </row>
    <row r="204" spans="2:3" hidden="1">
      <c r="B204" s="110">
        <f t="shared" si="0"/>
        <v>2081</v>
      </c>
      <c r="C204" s="111">
        <f>[16]С2.5!$BN$11</f>
        <v>0</v>
      </c>
    </row>
    <row r="205" spans="2:3" hidden="1">
      <c r="B205" s="110">
        <f t="shared" si="0"/>
        <v>2082</v>
      </c>
      <c r="C205" s="111">
        <f>[16]С2.5!$BO$11</f>
        <v>0</v>
      </c>
    </row>
    <row r="206" spans="2:3" hidden="1">
      <c r="B206" s="110">
        <f t="shared" si="0"/>
        <v>2083</v>
      </c>
      <c r="C206" s="111">
        <f>[16]С2.5!$BP$11</f>
        <v>0</v>
      </c>
    </row>
    <row r="207" spans="2:3" hidden="1">
      <c r="B207" s="110">
        <f t="shared" si="0"/>
        <v>2084</v>
      </c>
      <c r="C207" s="111">
        <f>[16]С2.5!$BQ$11</f>
        <v>0</v>
      </c>
    </row>
    <row r="208" spans="2:3" hidden="1">
      <c r="B208" s="110">
        <f t="shared" si="0"/>
        <v>2085</v>
      </c>
      <c r="C208" s="111">
        <f>[16]С2.5!$BR$11</f>
        <v>0</v>
      </c>
    </row>
    <row r="209" spans="2:3" hidden="1">
      <c r="B209" s="110">
        <f t="shared" ref="B209:B223" si="1">B208+1</f>
        <v>2086</v>
      </c>
      <c r="C209" s="111">
        <f>[16]С2.5!$BS$11</f>
        <v>0</v>
      </c>
    </row>
    <row r="210" spans="2:3" hidden="1">
      <c r="B210" s="110">
        <f t="shared" si="1"/>
        <v>2087</v>
      </c>
      <c r="C210" s="111">
        <f>[16]С2.5!$BT$11</f>
        <v>0</v>
      </c>
    </row>
    <row r="211" spans="2:3" hidden="1">
      <c r="B211" s="110">
        <f t="shared" si="1"/>
        <v>2088</v>
      </c>
      <c r="C211" s="111">
        <f>[16]С2.5!$BU$11</f>
        <v>0</v>
      </c>
    </row>
    <row r="212" spans="2:3" hidden="1">
      <c r="B212" s="110">
        <f t="shared" si="1"/>
        <v>2089</v>
      </c>
      <c r="C212" s="111">
        <f>[16]С2.5!$BV$11</f>
        <v>0</v>
      </c>
    </row>
    <row r="213" spans="2:3" hidden="1">
      <c r="B213" s="110">
        <f t="shared" si="1"/>
        <v>2090</v>
      </c>
      <c r="C213" s="111">
        <f>[16]С2.5!$BW$11</f>
        <v>0</v>
      </c>
    </row>
    <row r="214" spans="2:3" hidden="1">
      <c r="B214" s="110">
        <f t="shared" si="1"/>
        <v>2091</v>
      </c>
      <c r="C214" s="111">
        <f>[16]С2.5!$BX$11</f>
        <v>0</v>
      </c>
    </row>
    <row r="215" spans="2:3" hidden="1">
      <c r="B215" s="110">
        <f t="shared" si="1"/>
        <v>2092</v>
      </c>
      <c r="C215" s="111">
        <f>[16]С2.5!$BY$11</f>
        <v>0</v>
      </c>
    </row>
    <row r="216" spans="2:3" hidden="1">
      <c r="B216" s="110">
        <f t="shared" si="1"/>
        <v>2093</v>
      </c>
      <c r="C216" s="111">
        <f>[16]С2.5!$BZ$11</f>
        <v>0</v>
      </c>
    </row>
    <row r="217" spans="2:3" hidden="1">
      <c r="B217" s="110">
        <f t="shared" si="1"/>
        <v>2094</v>
      </c>
      <c r="C217" s="111">
        <f>[16]С2.5!$CA$11</f>
        <v>0</v>
      </c>
    </row>
    <row r="218" spans="2:3" hidden="1">
      <c r="B218" s="110">
        <f t="shared" si="1"/>
        <v>2095</v>
      </c>
      <c r="C218" s="111">
        <f>[16]С2.5!$CB$11</f>
        <v>0</v>
      </c>
    </row>
    <row r="219" spans="2:3" hidden="1">
      <c r="B219" s="110">
        <f t="shared" si="1"/>
        <v>2096</v>
      </c>
      <c r="C219" s="111">
        <f>[16]С2.5!$CC$11</f>
        <v>0</v>
      </c>
    </row>
    <row r="220" spans="2:3" hidden="1">
      <c r="B220" s="110">
        <f t="shared" si="1"/>
        <v>2097</v>
      </c>
      <c r="C220" s="111">
        <f>[16]С2.5!$CD$11</f>
        <v>0</v>
      </c>
    </row>
    <row r="221" spans="2:3" hidden="1">
      <c r="B221" s="110">
        <f t="shared" si="1"/>
        <v>2098</v>
      </c>
      <c r="C221" s="111">
        <f>[16]С2.5!$CE$11</f>
        <v>0</v>
      </c>
    </row>
    <row r="222" spans="2:3" hidden="1">
      <c r="B222" s="110">
        <f t="shared" si="1"/>
        <v>2099</v>
      </c>
      <c r="C222" s="111">
        <f>[16]С2.5!$CF$11</f>
        <v>0</v>
      </c>
    </row>
    <row r="223" spans="2:3" ht="13.5" hidden="1" thickBot="1">
      <c r="B223" s="112">
        <f t="shared" si="1"/>
        <v>2100</v>
      </c>
      <c r="C223" s="113">
        <f>[16]С2.5!$CG$11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1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K15" sqref="K15"/>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[17]И1!D13</f>
        <v>Субъект Российской Федерации</v>
      </c>
      <c r="C4" s="10" t="str">
        <f>[17]И1!E13</f>
        <v>Новосибирская область</v>
      </c>
    </row>
    <row r="5" spans="1:3" ht="38.25">
      <c r="A5" s="8"/>
      <c r="B5" s="9" t="str">
        <f>[17]И1!D14</f>
        <v>Тип муниципального образования (выберите из списка)</v>
      </c>
      <c r="C5" s="10" t="str">
        <f>[17]И1!E14</f>
        <v>село Цветники, Здвинский муниципальный район</v>
      </c>
    </row>
    <row r="6" spans="1:3">
      <c r="A6" s="8"/>
      <c r="B6" s="9" t="str">
        <f>IF([17]И1!E15="","",[17]И1!D15)</f>
        <v/>
      </c>
      <c r="C6" s="10" t="str">
        <f>IF([17]И1!E15="","",[17]И1!E15)</f>
        <v/>
      </c>
    </row>
    <row r="7" spans="1:3">
      <c r="A7" s="8"/>
      <c r="B7" s="9" t="str">
        <f>[17]И1!D16</f>
        <v>Код ОКТМО</v>
      </c>
      <c r="C7" s="11" t="str">
        <f>[17]И1!E16</f>
        <v>50613430101</v>
      </c>
    </row>
    <row r="8" spans="1:3">
      <c r="A8" s="8"/>
      <c r="B8" s="12" t="str">
        <f>[17]И1!D17</f>
        <v>Система теплоснабжения</v>
      </c>
      <c r="C8" s="13">
        <f>[17]И1!E17</f>
        <v>0</v>
      </c>
    </row>
    <row r="9" spans="1:3">
      <c r="A9" s="8"/>
      <c r="B9" s="9" t="str">
        <f>[17]И1!D8</f>
        <v>Период регулирования (i)-й</v>
      </c>
      <c r="C9" s="14">
        <f>[17]И1!E8</f>
        <v>2023</v>
      </c>
    </row>
    <row r="10" spans="1:3">
      <c r="A10" s="8"/>
      <c r="B10" s="9" t="str">
        <f>[17]И1!D9</f>
        <v>Период регулирования (i-1)-й</v>
      </c>
      <c r="C10" s="14">
        <f>[17]И1!E9</f>
        <v>2022</v>
      </c>
    </row>
    <row r="11" spans="1:3">
      <c r="A11" s="8"/>
      <c r="B11" s="9" t="str">
        <f>[17]И1!D10</f>
        <v>Период регулирования (i-2)-й</v>
      </c>
      <c r="C11" s="14">
        <f>[17]И1!E10</f>
        <v>2021</v>
      </c>
    </row>
    <row r="12" spans="1:3">
      <c r="A12" s="8"/>
      <c r="B12" s="9" t="str">
        <f>[17]И1!D11</f>
        <v>Базовый год (б)</v>
      </c>
      <c r="C12" s="14">
        <f>[17]И1!E11</f>
        <v>2019</v>
      </c>
    </row>
    <row r="13" spans="1:3" ht="38.25">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4132.7791198920204</v>
      </c>
    </row>
    <row r="18" spans="1:3" ht="42.75">
      <c r="A18" s="22" t="s">
        <v>8</v>
      </c>
      <c r="B18" s="25" t="s">
        <v>9</v>
      </c>
      <c r="C18" s="26">
        <f>[17]С1!F12</f>
        <v>1028.9563507477728</v>
      </c>
    </row>
    <row r="19" spans="1:3" ht="42.75">
      <c r="A19" s="22" t="s">
        <v>10</v>
      </c>
      <c r="B19" s="25" t="s">
        <v>11</v>
      </c>
      <c r="C19" s="26">
        <f>[17]С2!F12</f>
        <v>2101.7757879094611</v>
      </c>
    </row>
    <row r="20" spans="1:3" ht="30">
      <c r="A20" s="22" t="s">
        <v>12</v>
      </c>
      <c r="B20" s="25" t="s">
        <v>13</v>
      </c>
      <c r="C20" s="26">
        <f>[17]С3!F12</f>
        <v>502.69420058623905</v>
      </c>
    </row>
    <row r="21" spans="1:3" ht="42.75">
      <c r="A21" s="22" t="s">
        <v>14</v>
      </c>
      <c r="B21" s="25" t="s">
        <v>15</v>
      </c>
      <c r="C21" s="26">
        <f>[17]С4!F12</f>
        <v>418.31789594478238</v>
      </c>
    </row>
    <row r="22" spans="1:3" ht="30">
      <c r="A22" s="22" t="s">
        <v>16</v>
      </c>
      <c r="B22" s="25" t="s">
        <v>17</v>
      </c>
      <c r="C22" s="26">
        <f>[17]С5!F12</f>
        <v>81.034884703765115</v>
      </c>
    </row>
    <row r="23" spans="1:3" ht="43.5" thickBot="1">
      <c r="A23" s="27" t="s">
        <v>18</v>
      </c>
      <c r="B23" s="117" t="s">
        <v>19</v>
      </c>
      <c r="C23" s="28" t="str">
        <f>[17]С6!F12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[17]С1.1!E16</f>
        <v>5100</v>
      </c>
    </row>
    <row r="29" spans="1:3" ht="42.75">
      <c r="A29" s="22" t="s">
        <v>10</v>
      </c>
      <c r="B29" s="33" t="s">
        <v>22</v>
      </c>
      <c r="C29" s="34">
        <f>[17]С1.1!E27</f>
        <v>2766.6916666666671</v>
      </c>
    </row>
    <row r="30" spans="1:3" ht="17.25">
      <c r="A30" s="22" t="s">
        <v>12</v>
      </c>
      <c r="B30" s="33" t="s">
        <v>23</v>
      </c>
      <c r="C30" s="35">
        <f>[17]С1.1!E19</f>
        <v>0.59499999999999997</v>
      </c>
    </row>
    <row r="31" spans="1:3" ht="17.25">
      <c r="A31" s="22" t="s">
        <v>14</v>
      </c>
      <c r="B31" s="33" t="s">
        <v>24</v>
      </c>
      <c r="C31" s="35">
        <f>[17]С1.1!E20</f>
        <v>-0.113</v>
      </c>
    </row>
    <row r="32" spans="1:3" ht="30">
      <c r="A32" s="22" t="s">
        <v>16</v>
      </c>
      <c r="B32" s="36" t="s">
        <v>25</v>
      </c>
      <c r="C32" s="37">
        <f>[17]С1!F13</f>
        <v>176.4</v>
      </c>
    </row>
    <row r="33" spans="1:3">
      <c r="A33" s="22" t="s">
        <v>18</v>
      </c>
      <c r="B33" s="36" t="s">
        <v>26</v>
      </c>
      <c r="C33" s="38">
        <f>[17]С1!F16</f>
        <v>7000</v>
      </c>
    </row>
    <row r="34" spans="1:3" ht="14.25">
      <c r="A34" s="22" t="s">
        <v>27</v>
      </c>
      <c r="B34" s="39" t="s">
        <v>28</v>
      </c>
      <c r="C34" s="40">
        <f>[17]С1!F17</f>
        <v>0.72857142857142854</v>
      </c>
    </row>
    <row r="35" spans="1:3" ht="15.75">
      <c r="A35" s="41" t="s">
        <v>29</v>
      </c>
      <c r="B35" s="42" t="s">
        <v>30</v>
      </c>
      <c r="C35" s="40">
        <f>[17]С1!F20</f>
        <v>21.588411179999994</v>
      </c>
    </row>
    <row r="36" spans="1:3" ht="15.75">
      <c r="A36" s="41" t="s">
        <v>31</v>
      </c>
      <c r="B36" s="43" t="s">
        <v>32</v>
      </c>
      <c r="C36" s="40">
        <f>[17]С1!F21</f>
        <v>20.818139999999996</v>
      </c>
    </row>
    <row r="37" spans="1:3" ht="14.25">
      <c r="A37" s="41" t="s">
        <v>33</v>
      </c>
      <c r="B37" s="44" t="s">
        <v>34</v>
      </c>
      <c r="C37" s="40">
        <f>[17]С1!F22</f>
        <v>1.0369999999999999</v>
      </c>
    </row>
    <row r="38" spans="1:3" ht="53.25" thickBot="1">
      <c r="A38" s="27" t="s">
        <v>35</v>
      </c>
      <c r="B38" s="45" t="s">
        <v>36</v>
      </c>
      <c r="C38" s="46">
        <f>[17]С1!F23</f>
        <v>1.0469999999999999</v>
      </c>
    </row>
    <row r="39" spans="1:3" ht="13.5" thickBot="1">
      <c r="A39" s="47"/>
      <c r="B39" s="48"/>
      <c r="C39" s="49"/>
    </row>
    <row r="40" spans="1:3" ht="30" customHeight="1">
      <c r="A40" s="50" t="s">
        <v>37</v>
      </c>
      <c r="B40" s="118" t="s">
        <v>38</v>
      </c>
      <c r="C40" s="118"/>
    </row>
    <row r="41" spans="1:3" ht="25.5">
      <c r="A41" s="22" t="s">
        <v>39</v>
      </c>
      <c r="B41" s="36" t="s">
        <v>40</v>
      </c>
      <c r="C41" s="51" t="str">
        <f>[17]С2.1!E12</f>
        <v>V</v>
      </c>
    </row>
    <row r="42" spans="1:3" ht="25.5">
      <c r="A42" s="22" t="s">
        <v>41</v>
      </c>
      <c r="B42" s="33" t="s">
        <v>42</v>
      </c>
      <c r="C42" s="51" t="str">
        <f>[17]С2.1!E13</f>
        <v>6 и менее баллов</v>
      </c>
    </row>
    <row r="43" spans="1:3" ht="25.5">
      <c r="A43" s="22" t="s">
        <v>43</v>
      </c>
      <c r="B43" s="33" t="s">
        <v>44</v>
      </c>
      <c r="C43" s="51" t="str">
        <f>[17]С2.1!E14</f>
        <v>от 200 до 500</v>
      </c>
    </row>
    <row r="44" spans="1:3" ht="25.5">
      <c r="A44" s="22" t="s">
        <v>45</v>
      </c>
      <c r="B44" s="33" t="s">
        <v>46</v>
      </c>
      <c r="C44" s="52" t="str">
        <f>[17]С2.1!E15</f>
        <v>нет</v>
      </c>
    </row>
    <row r="45" spans="1:3" ht="30">
      <c r="A45" s="22" t="s">
        <v>47</v>
      </c>
      <c r="B45" s="33" t="s">
        <v>48</v>
      </c>
      <c r="C45" s="34">
        <f>[17]С2!F18</f>
        <v>32402.627334033532</v>
      </c>
    </row>
    <row r="46" spans="1:3" ht="30">
      <c r="A46" s="22" t="s">
        <v>49</v>
      </c>
      <c r="B46" s="53" t="s">
        <v>50</v>
      </c>
      <c r="C46" s="34">
        <f>IF([17]С2!F19&gt;0,[17]С2!F19,[17]С2!F20)</f>
        <v>23441.524932855718</v>
      </c>
    </row>
    <row r="47" spans="1:3" ht="25.5">
      <c r="A47" s="22" t="s">
        <v>51</v>
      </c>
      <c r="B47" s="54" t="s">
        <v>52</v>
      </c>
      <c r="C47" s="34">
        <f>[17]С2.1!E19</f>
        <v>-38</v>
      </c>
    </row>
    <row r="48" spans="1:3" ht="25.5">
      <c r="A48" s="22" t="s">
        <v>53</v>
      </c>
      <c r="B48" s="54" t="s">
        <v>54</v>
      </c>
      <c r="C48" s="34" t="str">
        <f>[17]С2.1!E22</f>
        <v>нет</v>
      </c>
    </row>
    <row r="49" spans="1:3" ht="38.25">
      <c r="A49" s="22" t="s">
        <v>55</v>
      </c>
      <c r="B49" s="55" t="s">
        <v>56</v>
      </c>
      <c r="C49" s="34">
        <f>[17]С2.2!E10</f>
        <v>1287</v>
      </c>
    </row>
    <row r="50" spans="1:3" ht="25.5">
      <c r="A50" s="22" t="s">
        <v>57</v>
      </c>
      <c r="B50" s="56" t="s">
        <v>58</v>
      </c>
      <c r="C50" s="34">
        <f>[17]С2.2!E12</f>
        <v>5.97</v>
      </c>
    </row>
    <row r="51" spans="1:3" ht="52.5">
      <c r="A51" s="22" t="s">
        <v>59</v>
      </c>
      <c r="B51" s="57" t="s">
        <v>60</v>
      </c>
      <c r="C51" s="34">
        <f>[17]С2.2!E13</f>
        <v>1</v>
      </c>
    </row>
    <row r="52" spans="1:3" ht="27.75">
      <c r="A52" s="22" t="s">
        <v>61</v>
      </c>
      <c r="B52" s="56" t="s">
        <v>62</v>
      </c>
      <c r="C52" s="34">
        <f>[17]С2.2!E14</f>
        <v>12104</v>
      </c>
    </row>
    <row r="53" spans="1:3" ht="25.5">
      <c r="A53" s="22" t="s">
        <v>63</v>
      </c>
      <c r="B53" s="57" t="s">
        <v>64</v>
      </c>
      <c r="C53" s="35">
        <f>[17]С2.2!E15</f>
        <v>4.8000000000000001E-2</v>
      </c>
    </row>
    <row r="54" spans="1:3">
      <c r="A54" s="22" t="s">
        <v>65</v>
      </c>
      <c r="B54" s="57" t="s">
        <v>66</v>
      </c>
      <c r="C54" s="34">
        <f>[17]С2.2!E16</f>
        <v>1</v>
      </c>
    </row>
    <row r="55" spans="1:3" ht="15.75">
      <c r="A55" s="22" t="s">
        <v>67</v>
      </c>
      <c r="B55" s="58" t="s">
        <v>68</v>
      </c>
      <c r="C55" s="34">
        <f>[17]С2!F21</f>
        <v>1</v>
      </c>
    </row>
    <row r="56" spans="1:3" ht="30">
      <c r="A56" s="59" t="s">
        <v>69</v>
      </c>
      <c r="B56" s="33" t="s">
        <v>70</v>
      </c>
      <c r="C56" s="34">
        <f>[17]С2!F13</f>
        <v>169640.22915965237</v>
      </c>
    </row>
    <row r="57" spans="1:3" ht="30">
      <c r="A57" s="59" t="s">
        <v>71</v>
      </c>
      <c r="B57" s="58" t="s">
        <v>72</v>
      </c>
      <c r="C57" s="34">
        <f>[17]С2!F14</f>
        <v>113455</v>
      </c>
    </row>
    <row r="58" spans="1:3" ht="15.75">
      <c r="A58" s="59" t="s">
        <v>73</v>
      </c>
      <c r="B58" s="60" t="s">
        <v>74</v>
      </c>
      <c r="C58" s="40">
        <f>[17]С2!F15</f>
        <v>1.071</v>
      </c>
    </row>
    <row r="59" spans="1:3" ht="15.75">
      <c r="A59" s="59" t="s">
        <v>75</v>
      </c>
      <c r="B59" s="60" t="s">
        <v>76</v>
      </c>
      <c r="C59" s="40">
        <f>[17]С2!F16</f>
        <v>1</v>
      </c>
    </row>
    <row r="60" spans="1:3" ht="17.25">
      <c r="A60" s="59" t="s">
        <v>77</v>
      </c>
      <c r="B60" s="58" t="s">
        <v>78</v>
      </c>
      <c r="C60" s="34">
        <f>[17]С2!F17</f>
        <v>1.01</v>
      </c>
    </row>
    <row r="61" spans="1:3" s="63" customFormat="1" ht="14.25">
      <c r="A61" s="59" t="s">
        <v>79</v>
      </c>
      <c r="B61" s="61" t="s">
        <v>80</v>
      </c>
      <c r="C61" s="62">
        <f>[17]С2!F33</f>
        <v>10</v>
      </c>
    </row>
    <row r="62" spans="1:3" ht="30">
      <c r="A62" s="59" t="s">
        <v>81</v>
      </c>
      <c r="B62" s="64" t="s">
        <v>82</v>
      </c>
      <c r="C62" s="34">
        <f>[17]С2!F26</f>
        <v>637.93498622918537</v>
      </c>
    </row>
    <row r="63" spans="1:3" ht="17.25">
      <c r="A63" s="59" t="s">
        <v>83</v>
      </c>
      <c r="B63" s="53" t="s">
        <v>84</v>
      </c>
      <c r="C63" s="34">
        <f>[17]С2!F27</f>
        <v>0.10988357099999999</v>
      </c>
    </row>
    <row r="64" spans="1:3" ht="17.25">
      <c r="A64" s="59" t="s">
        <v>85</v>
      </c>
      <c r="B64" s="58" t="s">
        <v>86</v>
      </c>
      <c r="C64" s="62">
        <f>[17]С2!F28</f>
        <v>4200</v>
      </c>
    </row>
    <row r="65" spans="1:3" ht="42.75">
      <c r="A65" s="59" t="s">
        <v>87</v>
      </c>
      <c r="B65" s="33" t="s">
        <v>88</v>
      </c>
      <c r="C65" s="34">
        <f>[17]С2!F22</f>
        <v>35717.748653137714</v>
      </c>
    </row>
    <row r="66" spans="1:3" ht="30">
      <c r="A66" s="59" t="s">
        <v>89</v>
      </c>
      <c r="B66" s="60" t="s">
        <v>90</v>
      </c>
      <c r="C66" s="34">
        <f>[17]С2!F23</f>
        <v>1990</v>
      </c>
    </row>
    <row r="67" spans="1:3" ht="30">
      <c r="A67" s="59" t="s">
        <v>91</v>
      </c>
      <c r="B67" s="53" t="s">
        <v>92</v>
      </c>
      <c r="C67" s="34">
        <f>[17]С2.1!E27</f>
        <v>14307.876789999998</v>
      </c>
    </row>
    <row r="68" spans="1:3" ht="38.25">
      <c r="A68" s="59" t="s">
        <v>93</v>
      </c>
      <c r="B68" s="65" t="s">
        <v>94</v>
      </c>
      <c r="C68" s="52">
        <f>[17]С2.3!E21</f>
        <v>0</v>
      </c>
    </row>
    <row r="69" spans="1:3" ht="25.5">
      <c r="A69" s="59" t="s">
        <v>95</v>
      </c>
      <c r="B69" s="66" t="s">
        <v>96</v>
      </c>
      <c r="C69" s="67">
        <f>[17]С2.3!E11</f>
        <v>9.89</v>
      </c>
    </row>
    <row r="70" spans="1:3" ht="25.5">
      <c r="A70" s="59" t="s">
        <v>97</v>
      </c>
      <c r="B70" s="66" t="s">
        <v>98</v>
      </c>
      <c r="C70" s="62">
        <f>[17]С2.3!E13</f>
        <v>300</v>
      </c>
    </row>
    <row r="71" spans="1:3" ht="25.5">
      <c r="A71" s="59" t="s">
        <v>99</v>
      </c>
      <c r="B71" s="65" t="s">
        <v>100</v>
      </c>
      <c r="C71" s="68">
        <f>IF([17]С2.3!E22&gt;0,[17]С2.3!E22,[17]С2.3!E14)</f>
        <v>61211</v>
      </c>
    </row>
    <row r="72" spans="1:3" ht="38.25">
      <c r="A72" s="59" t="s">
        <v>101</v>
      </c>
      <c r="B72" s="65" t="s">
        <v>102</v>
      </c>
      <c r="C72" s="68">
        <f>IF([17]С2.3!E23&gt;0,[17]С2.3!E23,[17]С2.3!E15)</f>
        <v>45675</v>
      </c>
    </row>
    <row r="73" spans="1:3" ht="30">
      <c r="A73" s="59" t="s">
        <v>103</v>
      </c>
      <c r="B73" s="53" t="s">
        <v>104</v>
      </c>
      <c r="C73" s="34">
        <f>[17]С2.1!E28</f>
        <v>9541.9567200000001</v>
      </c>
    </row>
    <row r="74" spans="1:3" ht="38.25">
      <c r="A74" s="59" t="s">
        <v>105</v>
      </c>
      <c r="B74" s="65" t="s">
        <v>106</v>
      </c>
      <c r="C74" s="52">
        <f>[17]С2.3!E25</f>
        <v>0</v>
      </c>
    </row>
    <row r="75" spans="1:3" ht="25.5">
      <c r="A75" s="59" t="s">
        <v>107</v>
      </c>
      <c r="B75" s="66" t="s">
        <v>108</v>
      </c>
      <c r="C75" s="67">
        <f>[17]С2.3!E12</f>
        <v>0.56000000000000005</v>
      </c>
    </row>
    <row r="76" spans="1:3" ht="25.5">
      <c r="A76" s="59" t="s">
        <v>109</v>
      </c>
      <c r="B76" s="66" t="s">
        <v>98</v>
      </c>
      <c r="C76" s="62">
        <f>[17]С2.3!E13</f>
        <v>300</v>
      </c>
    </row>
    <row r="77" spans="1:3" ht="25.5">
      <c r="A77" s="59" t="s">
        <v>110</v>
      </c>
      <c r="B77" s="69" t="s">
        <v>111</v>
      </c>
      <c r="C77" s="68">
        <f>IF([17]С2.3!E26&gt;0,[17]С2.3!E26,[17]С2.3!E16)</f>
        <v>65637</v>
      </c>
    </row>
    <row r="78" spans="1:3" ht="38.25">
      <c r="A78" s="59" t="s">
        <v>112</v>
      </c>
      <c r="B78" s="69" t="s">
        <v>113</v>
      </c>
      <c r="C78" s="68">
        <f>IF([17]С2.3!E27&gt;0,[17]С2.3!E27,[17]С2.3!E17)</f>
        <v>31684</v>
      </c>
    </row>
    <row r="79" spans="1:3" ht="17.25">
      <c r="A79" s="59" t="s">
        <v>114</v>
      </c>
      <c r="B79" s="33" t="s">
        <v>115</v>
      </c>
      <c r="C79" s="35">
        <f>[17]С2!F29</f>
        <v>0.128978033685065</v>
      </c>
    </row>
    <row r="80" spans="1:3" ht="30">
      <c r="A80" s="59" t="s">
        <v>116</v>
      </c>
      <c r="B80" s="53" t="s">
        <v>117</v>
      </c>
      <c r="C80" s="70">
        <f>[17]С2!F30</f>
        <v>0.11668498168498169</v>
      </c>
    </row>
    <row r="81" spans="1:3" ht="17.25">
      <c r="A81" s="59" t="s">
        <v>118</v>
      </c>
      <c r="B81" s="71" t="s">
        <v>119</v>
      </c>
      <c r="C81" s="35">
        <f>[17]С2!F31</f>
        <v>0.13880000000000001</v>
      </c>
    </row>
    <row r="82" spans="1:3" s="63" customFormat="1" ht="18" thickBot="1">
      <c r="A82" s="72" t="s">
        <v>120</v>
      </c>
      <c r="B82" s="73" t="s">
        <v>121</v>
      </c>
      <c r="C82" s="74">
        <f>[17]С2!F32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[17]С3!F14</f>
        <v>6976.0888978803041</v>
      </c>
    </row>
    <row r="86" spans="1:3" s="63" customFormat="1" ht="42.75">
      <c r="A86" s="77" t="s">
        <v>126</v>
      </c>
      <c r="B86" s="53" t="s">
        <v>127</v>
      </c>
      <c r="C86" s="78">
        <f>[17]С3!F15</f>
        <v>0.2</v>
      </c>
    </row>
    <row r="87" spans="1:3" s="63" customFormat="1" ht="14.25">
      <c r="A87" s="77" t="s">
        <v>128</v>
      </c>
      <c r="B87" s="79" t="s">
        <v>129</v>
      </c>
      <c r="C87" s="62">
        <f>[17]С3!F18</f>
        <v>15</v>
      </c>
    </row>
    <row r="88" spans="1:3" s="63" customFormat="1" ht="17.25">
      <c r="A88" s="77" t="s">
        <v>130</v>
      </c>
      <c r="B88" s="33" t="s">
        <v>131</v>
      </c>
      <c r="C88" s="34">
        <f>[17]С3!F19</f>
        <v>3487.1555421534131</v>
      </c>
    </row>
    <row r="89" spans="1:3" s="63" customFormat="1" ht="55.5">
      <c r="A89" s="77" t="s">
        <v>132</v>
      </c>
      <c r="B89" s="53" t="s">
        <v>133</v>
      </c>
      <c r="C89" s="80">
        <f>[17]С3!F20</f>
        <v>2.1999999999999999E-2</v>
      </c>
    </row>
    <row r="90" spans="1:3" s="63" customFormat="1" ht="14.25">
      <c r="A90" s="77" t="s">
        <v>134</v>
      </c>
      <c r="B90" s="58" t="s">
        <v>80</v>
      </c>
      <c r="C90" s="62">
        <f>[17]С3!F21</f>
        <v>10</v>
      </c>
    </row>
    <row r="91" spans="1:3" s="63" customFormat="1" ht="17.25">
      <c r="A91" s="77" t="s">
        <v>135</v>
      </c>
      <c r="B91" s="33" t="s">
        <v>136</v>
      </c>
      <c r="C91" s="34">
        <f>[17]С3!F22</f>
        <v>1.9138049586875561</v>
      </c>
    </row>
    <row r="92" spans="1:3" s="63" customFormat="1" ht="55.5">
      <c r="A92" s="77" t="s">
        <v>137</v>
      </c>
      <c r="B92" s="53" t="s">
        <v>138</v>
      </c>
      <c r="C92" s="80">
        <f>[17]С3!F23</f>
        <v>3.0000000000000001E-3</v>
      </c>
    </row>
    <row r="93" spans="1:3" s="63" customFormat="1" ht="27.75" thickBot="1">
      <c r="A93" s="81" t="s">
        <v>139</v>
      </c>
      <c r="B93" s="82" t="s">
        <v>140</v>
      </c>
      <c r="C93" s="83">
        <f>[17]С3!F24</f>
        <v>637.93498622918537</v>
      </c>
    </row>
    <row r="94" spans="1:3" ht="13.5" thickBot="1">
      <c r="A94" s="47"/>
      <c r="B94" s="75"/>
      <c r="C94" s="15"/>
    </row>
    <row r="95" spans="1:3" ht="30" customHeight="1">
      <c r="A95" s="84" t="s">
        <v>141</v>
      </c>
      <c r="B95" s="118" t="s">
        <v>142</v>
      </c>
      <c r="C95" s="118"/>
    </row>
    <row r="96" spans="1:3" ht="30">
      <c r="A96" s="59" t="s">
        <v>143</v>
      </c>
      <c r="B96" s="33" t="s">
        <v>144</v>
      </c>
      <c r="C96" s="34">
        <f>[17]С4!F16</f>
        <v>1652.5</v>
      </c>
    </row>
    <row r="97" spans="1:3" ht="30">
      <c r="A97" s="59" t="s">
        <v>145</v>
      </c>
      <c r="B97" s="58" t="s">
        <v>146</v>
      </c>
      <c r="C97" s="34">
        <f>[17]С4!F17</f>
        <v>73547</v>
      </c>
    </row>
    <row r="98" spans="1:3" ht="17.25">
      <c r="A98" s="59" t="s">
        <v>147</v>
      </c>
      <c r="B98" s="58" t="s">
        <v>148</v>
      </c>
      <c r="C98" s="40">
        <f>[17]С4!F18</f>
        <v>0.02</v>
      </c>
    </row>
    <row r="99" spans="1:3" ht="30">
      <c r="A99" s="59" t="s">
        <v>149</v>
      </c>
      <c r="B99" s="58" t="s">
        <v>150</v>
      </c>
      <c r="C99" s="34">
        <f>[17]С4!F19</f>
        <v>12104</v>
      </c>
    </row>
    <row r="100" spans="1:3" ht="31.5">
      <c r="A100" s="59" t="s">
        <v>151</v>
      </c>
      <c r="B100" s="58" t="s">
        <v>152</v>
      </c>
      <c r="C100" s="40">
        <f>[17]С4!F20</f>
        <v>1.4999999999999999E-2</v>
      </c>
    </row>
    <row r="101" spans="1:3" ht="30">
      <c r="A101" s="59" t="s">
        <v>153</v>
      </c>
      <c r="B101" s="33" t="s">
        <v>154</v>
      </c>
      <c r="C101" s="34">
        <f>[17]С4!F21</f>
        <v>1933.1949342509995</v>
      </c>
    </row>
    <row r="102" spans="1:3" ht="24" customHeight="1">
      <c r="A102" s="59" t="s">
        <v>155</v>
      </c>
      <c r="B102" s="53" t="s">
        <v>156</v>
      </c>
      <c r="C102" s="85">
        <f>IF([17]С4.2!F8="да",[17]С4.2!D21,[17]С4.2!D15)</f>
        <v>0</v>
      </c>
    </row>
    <row r="103" spans="1:3" ht="68.25">
      <c r="A103" s="59" t="s">
        <v>157</v>
      </c>
      <c r="B103" s="53" t="s">
        <v>158</v>
      </c>
      <c r="C103" s="34">
        <f>[17]С4!F22</f>
        <v>3.6112641666666665</v>
      </c>
    </row>
    <row r="104" spans="1:3" ht="30">
      <c r="A104" s="59" t="s">
        <v>159</v>
      </c>
      <c r="B104" s="58" t="s">
        <v>160</v>
      </c>
      <c r="C104" s="34">
        <f>[17]С4!F23</f>
        <v>180</v>
      </c>
    </row>
    <row r="105" spans="1:3" ht="14.25">
      <c r="A105" s="59" t="s">
        <v>161</v>
      </c>
      <c r="B105" s="53" t="s">
        <v>162</v>
      </c>
      <c r="C105" s="34">
        <f>[17]С4!F24</f>
        <v>8497.1999999999989</v>
      </c>
    </row>
    <row r="106" spans="1:3" ht="14.25">
      <c r="A106" s="59" t="s">
        <v>163</v>
      </c>
      <c r="B106" s="58" t="s">
        <v>164</v>
      </c>
      <c r="C106" s="40">
        <f>[17]С4!F25</f>
        <v>0.35</v>
      </c>
    </row>
    <row r="107" spans="1:3" ht="17.25">
      <c r="A107" s="59" t="s">
        <v>165</v>
      </c>
      <c r="B107" s="33" t="s">
        <v>166</v>
      </c>
      <c r="C107" s="34">
        <f>[17]С4!F26</f>
        <v>62.593319999999999</v>
      </c>
    </row>
    <row r="108" spans="1:3" ht="25.5">
      <c r="A108" s="59" t="s">
        <v>167</v>
      </c>
      <c r="B108" s="53" t="s">
        <v>94</v>
      </c>
      <c r="C108" s="85">
        <f>[17]С4.3!E16</f>
        <v>0</v>
      </c>
    </row>
    <row r="109" spans="1:3" ht="25.5">
      <c r="A109" s="59" t="s">
        <v>168</v>
      </c>
      <c r="B109" s="53" t="s">
        <v>169</v>
      </c>
      <c r="C109" s="34">
        <f>[17]С4.3!E17</f>
        <v>16.32</v>
      </c>
    </row>
    <row r="110" spans="1:3" ht="38.25">
      <c r="A110" s="59" t="s">
        <v>170</v>
      </c>
      <c r="B110" s="53" t="s">
        <v>106</v>
      </c>
      <c r="C110" s="85">
        <f>[17]С4.3!E18</f>
        <v>0</v>
      </c>
    </row>
    <row r="111" spans="1:3">
      <c r="A111" s="59" t="s">
        <v>171</v>
      </c>
      <c r="B111" s="53" t="s">
        <v>172</v>
      </c>
      <c r="C111" s="34">
        <f>[17]С4.3!E19</f>
        <v>26.27</v>
      </c>
    </row>
    <row r="112" spans="1:3">
      <c r="A112" s="59" t="s">
        <v>173</v>
      </c>
      <c r="B112" s="58" t="s">
        <v>174</v>
      </c>
      <c r="C112" s="34">
        <f>[17]С4.3!E11</f>
        <v>1871</v>
      </c>
    </row>
    <row r="113" spans="1:3">
      <c r="A113" s="59" t="s">
        <v>175</v>
      </c>
      <c r="B113" s="58" t="s">
        <v>176</v>
      </c>
      <c r="C113" s="52">
        <f>[17]С4.3!E12</f>
        <v>1636</v>
      </c>
    </row>
    <row r="114" spans="1:3">
      <c r="A114" s="59" t="s">
        <v>177</v>
      </c>
      <c r="B114" s="58" t="s">
        <v>178</v>
      </c>
      <c r="C114" s="52">
        <f>[17]С4.3!E13</f>
        <v>204</v>
      </c>
    </row>
    <row r="115" spans="1:3" ht="30">
      <c r="A115" s="59" t="s">
        <v>179</v>
      </c>
      <c r="B115" s="33" t="s">
        <v>180</v>
      </c>
      <c r="C115" s="34">
        <f>[17]С4!F27</f>
        <v>1038.565361974559</v>
      </c>
    </row>
    <row r="116" spans="1:3" ht="25.5">
      <c r="A116" s="59" t="s">
        <v>181</v>
      </c>
      <c r="B116" s="53" t="s">
        <v>182</v>
      </c>
      <c r="C116" s="34">
        <f>[17]С4!F28</f>
        <v>797.66924882838634</v>
      </c>
    </row>
    <row r="117" spans="1:3" ht="42.75">
      <c r="A117" s="59" t="s">
        <v>183</v>
      </c>
      <c r="B117" s="53" t="s">
        <v>184</v>
      </c>
      <c r="C117" s="34">
        <f>[17]С4!F29</f>
        <v>240.89611314617269</v>
      </c>
    </row>
    <row r="118" spans="1:3" ht="30">
      <c r="A118" s="59" t="s">
        <v>185</v>
      </c>
      <c r="B118" s="39" t="s">
        <v>186</v>
      </c>
      <c r="C118" s="34">
        <f>[17]С4!F30</f>
        <v>2230.0812480165691</v>
      </c>
    </row>
    <row r="119" spans="1:3" ht="42.75">
      <c r="A119" s="59" t="s">
        <v>187</v>
      </c>
      <c r="B119" s="86" t="s">
        <v>188</v>
      </c>
      <c r="C119" s="34">
        <f>[17]С4!F33</f>
        <v>1516.5076964629366</v>
      </c>
    </row>
    <row r="120" spans="1:3" ht="30">
      <c r="A120" s="59" t="s">
        <v>189</v>
      </c>
      <c r="B120" s="87" t="s">
        <v>190</v>
      </c>
      <c r="C120" s="34">
        <f>[17]С4!F35</f>
        <v>17.040680999999999</v>
      </c>
    </row>
    <row r="121" spans="1:3" ht="14.25">
      <c r="A121" s="59" t="s">
        <v>191</v>
      </c>
      <c r="B121" s="56" t="s">
        <v>192</v>
      </c>
      <c r="C121" s="34">
        <f>[17]С4!F36</f>
        <v>14319.9</v>
      </c>
    </row>
    <row r="122" spans="1:3" ht="28.5" thickBot="1">
      <c r="A122" s="72" t="s">
        <v>193</v>
      </c>
      <c r="B122" s="88" t="s">
        <v>194</v>
      </c>
      <c r="C122" s="83">
        <f>[17]С4!F37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[17]С5!F17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[17]С2!F37</f>
        <v>20.818139999999996</v>
      </c>
    </row>
    <row r="136" spans="1:4" ht="14.25">
      <c r="A136" s="59" t="s">
        <v>216</v>
      </c>
      <c r="B136" s="101" t="s">
        <v>217</v>
      </c>
      <c r="C136" s="34">
        <f>[17]С2!F38</f>
        <v>7</v>
      </c>
    </row>
    <row r="137" spans="1:4" ht="17.25">
      <c r="A137" s="59" t="s">
        <v>218</v>
      </c>
      <c r="B137" s="101" t="s">
        <v>219</v>
      </c>
      <c r="C137" s="34">
        <f>[17]С2!F40</f>
        <v>0.97</v>
      </c>
    </row>
    <row r="138" spans="1:4" ht="15" thickBot="1">
      <c r="A138" s="72" t="s">
        <v>220</v>
      </c>
      <c r="B138" s="102" t="s">
        <v>221</v>
      </c>
      <c r="C138" s="46">
        <f>[17]С2!F42</f>
        <v>0.35</v>
      </c>
    </row>
    <row r="139" spans="1:4" s="89" customFormat="1" ht="13.5" thickBot="1">
      <c r="A139" s="47"/>
      <c r="B139" s="75"/>
      <c r="C139" s="15"/>
    </row>
    <row r="140" spans="1:4" ht="30">
      <c r="A140" s="84" t="s">
        <v>222</v>
      </c>
      <c r="B140" s="103" t="s">
        <v>223</v>
      </c>
      <c r="C140" s="104">
        <f>[17]С2!F35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[17]С2.5!$E$11</f>
        <v>-2.9000000000000026E-2</v>
      </c>
      <c r="D143" s="89"/>
    </row>
    <row r="144" spans="1:4">
      <c r="A144" s="105"/>
      <c r="B144" s="110">
        <f>B143+1</f>
        <v>2021</v>
      </c>
      <c r="C144" s="111">
        <f>[17]С2.5!$F$11</f>
        <v>0.245</v>
      </c>
      <c r="D144" s="89"/>
    </row>
    <row r="145" spans="1:4">
      <c r="A145" s="105"/>
      <c r="B145" s="110">
        <f t="shared" ref="B145:B208" si="0">B144+1</f>
        <v>2022</v>
      </c>
      <c r="C145" s="111">
        <f>[17]С2.5!$G$11</f>
        <v>0.121</v>
      </c>
      <c r="D145" s="89"/>
    </row>
    <row r="146" spans="1:4" ht="13.5" thickBot="1">
      <c r="A146" s="105"/>
      <c r="B146" s="112">
        <f t="shared" si="0"/>
        <v>2023</v>
      </c>
      <c r="C146" s="113">
        <f>[17]С2.5!$H$11</f>
        <v>0.02</v>
      </c>
      <c r="D146" s="89"/>
    </row>
    <row r="147" spans="1:4" hidden="1">
      <c r="A147" s="105"/>
      <c r="B147" s="114">
        <f t="shared" si="0"/>
        <v>2024</v>
      </c>
      <c r="C147" s="115">
        <f>[17]С2.5!$I$11</f>
        <v>-2.93E-2</v>
      </c>
      <c r="D147" s="89"/>
    </row>
    <row r="148" spans="1:4" hidden="1">
      <c r="A148" s="105"/>
      <c r="B148" s="110">
        <f t="shared" si="0"/>
        <v>2025</v>
      </c>
      <c r="C148" s="111">
        <f>[17]С2.5!$J$11</f>
        <v>0.21215960863291</v>
      </c>
      <c r="D148" s="89"/>
    </row>
    <row r="149" spans="1:4" hidden="1">
      <c r="A149" s="105"/>
      <c r="B149" s="110">
        <f t="shared" si="0"/>
        <v>2026</v>
      </c>
      <c r="C149" s="111">
        <f>[17]С2.5!$K$11</f>
        <v>3.5813361771260002E-2</v>
      </c>
      <c r="D149" s="89"/>
    </row>
    <row r="150" spans="1:4" hidden="1">
      <c r="A150" s="105"/>
      <c r="B150" s="110">
        <f t="shared" si="0"/>
        <v>2027</v>
      </c>
      <c r="C150" s="111">
        <f>[17]С2.5!$L$11</f>
        <v>3.2682303599220003E-2</v>
      </c>
      <c r="D150" s="89"/>
    </row>
    <row r="151" spans="1:4" hidden="1">
      <c r="A151" s="105"/>
      <c r="B151" s="110">
        <f t="shared" si="0"/>
        <v>2028</v>
      </c>
      <c r="C151" s="111">
        <f>[17]С2.5!$M$11</f>
        <v>0</v>
      </c>
      <c r="D151" s="89"/>
    </row>
    <row r="152" spans="1:4" hidden="1">
      <c r="A152" s="105"/>
      <c r="B152" s="110">
        <f t="shared" si="0"/>
        <v>2029</v>
      </c>
      <c r="C152" s="111">
        <f>[17]С2.5!$N$11</f>
        <v>0</v>
      </c>
      <c r="D152" s="89"/>
    </row>
    <row r="153" spans="1:4" hidden="1">
      <c r="A153" s="105"/>
      <c r="B153" s="110">
        <f t="shared" si="0"/>
        <v>2030</v>
      </c>
      <c r="C153" s="111">
        <f>[17]С2.5!$O$11</f>
        <v>0</v>
      </c>
      <c r="D153" s="89"/>
    </row>
    <row r="154" spans="1:4" hidden="1">
      <c r="A154" s="105"/>
      <c r="B154" s="110">
        <f t="shared" si="0"/>
        <v>2031</v>
      </c>
      <c r="C154" s="111">
        <f>[17]С2.5!$P$11</f>
        <v>0</v>
      </c>
      <c r="D154" s="89"/>
    </row>
    <row r="155" spans="1:4" hidden="1">
      <c r="A155" s="89"/>
      <c r="B155" s="110">
        <f t="shared" si="0"/>
        <v>2032</v>
      </c>
      <c r="C155" s="111">
        <f>[17]С2.5!$Q$11</f>
        <v>0</v>
      </c>
      <c r="D155" s="89"/>
    </row>
    <row r="156" spans="1:4" hidden="1">
      <c r="A156" s="89"/>
      <c r="B156" s="110">
        <f t="shared" si="0"/>
        <v>2033</v>
      </c>
      <c r="C156" s="111">
        <f>[17]С2.5!$R$11</f>
        <v>0</v>
      </c>
      <c r="D156" s="89"/>
    </row>
    <row r="157" spans="1:4" hidden="1">
      <c r="B157" s="110">
        <f t="shared" si="0"/>
        <v>2034</v>
      </c>
      <c r="C157" s="111">
        <f>[17]С2.5!$S$11</f>
        <v>0</v>
      </c>
    </row>
    <row r="158" spans="1:4" hidden="1">
      <c r="B158" s="110">
        <f t="shared" si="0"/>
        <v>2035</v>
      </c>
      <c r="C158" s="111">
        <f>[17]С2.5!$T$11</f>
        <v>0</v>
      </c>
    </row>
    <row r="159" spans="1:4" hidden="1">
      <c r="B159" s="110">
        <f t="shared" si="0"/>
        <v>2036</v>
      </c>
      <c r="C159" s="111">
        <f>[17]С2.5!$U$11</f>
        <v>0</v>
      </c>
    </row>
    <row r="160" spans="1:4" hidden="1">
      <c r="B160" s="110">
        <f t="shared" si="0"/>
        <v>2037</v>
      </c>
      <c r="C160" s="111">
        <f>[17]С2.5!$V$11</f>
        <v>0</v>
      </c>
    </row>
    <row r="161" spans="2:3" hidden="1">
      <c r="B161" s="110">
        <f t="shared" si="0"/>
        <v>2038</v>
      </c>
      <c r="C161" s="111">
        <f>[17]С2.5!$W$11</f>
        <v>0</v>
      </c>
    </row>
    <row r="162" spans="2:3" hidden="1">
      <c r="B162" s="110">
        <f t="shared" si="0"/>
        <v>2039</v>
      </c>
      <c r="C162" s="111">
        <f>[17]С2.5!$X$11</f>
        <v>0</v>
      </c>
    </row>
    <row r="163" spans="2:3" hidden="1">
      <c r="B163" s="110">
        <f t="shared" si="0"/>
        <v>2040</v>
      </c>
      <c r="C163" s="111">
        <f>[17]С2.5!$Y$11</f>
        <v>0</v>
      </c>
    </row>
    <row r="164" spans="2:3" hidden="1">
      <c r="B164" s="110">
        <f t="shared" si="0"/>
        <v>2041</v>
      </c>
      <c r="C164" s="111">
        <f>[17]С2.5!$Z$11</f>
        <v>0</v>
      </c>
    </row>
    <row r="165" spans="2:3" hidden="1">
      <c r="B165" s="110">
        <f t="shared" si="0"/>
        <v>2042</v>
      </c>
      <c r="C165" s="111">
        <f>[17]С2.5!$AA$11</f>
        <v>0</v>
      </c>
    </row>
    <row r="166" spans="2:3" hidden="1">
      <c r="B166" s="110">
        <f t="shared" si="0"/>
        <v>2043</v>
      </c>
      <c r="C166" s="111">
        <f>[17]С2.5!$AB$11</f>
        <v>0</v>
      </c>
    </row>
    <row r="167" spans="2:3" hidden="1">
      <c r="B167" s="110">
        <f t="shared" si="0"/>
        <v>2044</v>
      </c>
      <c r="C167" s="111">
        <f>[17]С2.5!$AC$11</f>
        <v>0</v>
      </c>
    </row>
    <row r="168" spans="2:3" hidden="1">
      <c r="B168" s="110">
        <f t="shared" si="0"/>
        <v>2045</v>
      </c>
      <c r="C168" s="111">
        <f>[17]С2.5!$AD$11</f>
        <v>0</v>
      </c>
    </row>
    <row r="169" spans="2:3" hidden="1">
      <c r="B169" s="110">
        <f t="shared" si="0"/>
        <v>2046</v>
      </c>
      <c r="C169" s="111">
        <f>[17]С2.5!$AE$11</f>
        <v>0</v>
      </c>
    </row>
    <row r="170" spans="2:3" hidden="1">
      <c r="B170" s="110">
        <f t="shared" si="0"/>
        <v>2047</v>
      </c>
      <c r="C170" s="111">
        <f>[17]С2.5!$AF$11</f>
        <v>0</v>
      </c>
    </row>
    <row r="171" spans="2:3" hidden="1">
      <c r="B171" s="110">
        <f t="shared" si="0"/>
        <v>2048</v>
      </c>
      <c r="C171" s="111">
        <f>[17]С2.5!$AG$11</f>
        <v>0</v>
      </c>
    </row>
    <row r="172" spans="2:3" hidden="1">
      <c r="B172" s="110">
        <f t="shared" si="0"/>
        <v>2049</v>
      </c>
      <c r="C172" s="111">
        <f>[17]С2.5!$AH$11</f>
        <v>0</v>
      </c>
    </row>
    <row r="173" spans="2:3" hidden="1">
      <c r="B173" s="110">
        <f t="shared" si="0"/>
        <v>2050</v>
      </c>
      <c r="C173" s="111">
        <f>[17]С2.5!$AI$11</f>
        <v>0</v>
      </c>
    </row>
    <row r="174" spans="2:3" hidden="1">
      <c r="B174" s="110">
        <f t="shared" si="0"/>
        <v>2051</v>
      </c>
      <c r="C174" s="111">
        <f>[17]С2.5!$AJ$11</f>
        <v>0</v>
      </c>
    </row>
    <row r="175" spans="2:3" hidden="1">
      <c r="B175" s="110">
        <f t="shared" si="0"/>
        <v>2052</v>
      </c>
      <c r="C175" s="111">
        <f>[17]С2.5!$AK$11</f>
        <v>0</v>
      </c>
    </row>
    <row r="176" spans="2:3" hidden="1">
      <c r="B176" s="110">
        <f t="shared" si="0"/>
        <v>2053</v>
      </c>
      <c r="C176" s="111">
        <f>[17]С2.5!$AL$11</f>
        <v>0</v>
      </c>
    </row>
    <row r="177" spans="2:3" hidden="1">
      <c r="B177" s="110">
        <f t="shared" si="0"/>
        <v>2054</v>
      </c>
      <c r="C177" s="111">
        <f>[17]С2.5!$AM$11</f>
        <v>0</v>
      </c>
    </row>
    <row r="178" spans="2:3" hidden="1">
      <c r="B178" s="110">
        <f t="shared" si="0"/>
        <v>2055</v>
      </c>
      <c r="C178" s="111">
        <f>[17]С2.5!$AN$11</f>
        <v>0</v>
      </c>
    </row>
    <row r="179" spans="2:3" hidden="1">
      <c r="B179" s="110">
        <f t="shared" si="0"/>
        <v>2056</v>
      </c>
      <c r="C179" s="111">
        <f>[17]С2.5!$AO$11</f>
        <v>0</v>
      </c>
    </row>
    <row r="180" spans="2:3" hidden="1">
      <c r="B180" s="110">
        <f t="shared" si="0"/>
        <v>2057</v>
      </c>
      <c r="C180" s="111">
        <f>[17]С2.5!$AP$11</f>
        <v>0</v>
      </c>
    </row>
    <row r="181" spans="2:3" hidden="1">
      <c r="B181" s="110">
        <f t="shared" si="0"/>
        <v>2058</v>
      </c>
      <c r="C181" s="111">
        <f>[17]С2.5!$AQ$11</f>
        <v>0</v>
      </c>
    </row>
    <row r="182" spans="2:3" hidden="1">
      <c r="B182" s="110">
        <f t="shared" si="0"/>
        <v>2059</v>
      </c>
      <c r="C182" s="111">
        <f>[17]С2.5!$AR$11</f>
        <v>0</v>
      </c>
    </row>
    <row r="183" spans="2:3" hidden="1">
      <c r="B183" s="110">
        <f t="shared" si="0"/>
        <v>2060</v>
      </c>
      <c r="C183" s="111">
        <f>[17]С2.5!$AS$11</f>
        <v>0</v>
      </c>
    </row>
    <row r="184" spans="2:3" hidden="1">
      <c r="B184" s="110">
        <f t="shared" si="0"/>
        <v>2061</v>
      </c>
      <c r="C184" s="111">
        <f>[17]С2.5!$AT$11</f>
        <v>0</v>
      </c>
    </row>
    <row r="185" spans="2:3" hidden="1">
      <c r="B185" s="110">
        <f t="shared" si="0"/>
        <v>2062</v>
      </c>
      <c r="C185" s="111">
        <f>[17]С2.5!$AU$11</f>
        <v>0</v>
      </c>
    </row>
    <row r="186" spans="2:3" hidden="1">
      <c r="B186" s="110">
        <f t="shared" si="0"/>
        <v>2063</v>
      </c>
      <c r="C186" s="111">
        <f>[17]С2.5!$AV$11</f>
        <v>0</v>
      </c>
    </row>
    <row r="187" spans="2:3" hidden="1">
      <c r="B187" s="110">
        <f t="shared" si="0"/>
        <v>2064</v>
      </c>
      <c r="C187" s="111">
        <f>[17]С2.5!$AW$11</f>
        <v>0</v>
      </c>
    </row>
    <row r="188" spans="2:3" hidden="1">
      <c r="B188" s="110">
        <f t="shared" si="0"/>
        <v>2065</v>
      </c>
      <c r="C188" s="111">
        <f>[17]С2.5!$AX$11</f>
        <v>0</v>
      </c>
    </row>
    <row r="189" spans="2:3" hidden="1">
      <c r="B189" s="110">
        <f t="shared" si="0"/>
        <v>2066</v>
      </c>
      <c r="C189" s="111">
        <f>[17]С2.5!$AY$11</f>
        <v>0</v>
      </c>
    </row>
    <row r="190" spans="2:3" hidden="1">
      <c r="B190" s="110">
        <f t="shared" si="0"/>
        <v>2067</v>
      </c>
      <c r="C190" s="111">
        <f>[17]С2.5!$AZ$11</f>
        <v>0</v>
      </c>
    </row>
    <row r="191" spans="2:3" hidden="1">
      <c r="B191" s="110">
        <f t="shared" si="0"/>
        <v>2068</v>
      </c>
      <c r="C191" s="111">
        <f>[17]С2.5!$BA$11</f>
        <v>0</v>
      </c>
    </row>
    <row r="192" spans="2:3" hidden="1">
      <c r="B192" s="110">
        <f t="shared" si="0"/>
        <v>2069</v>
      </c>
      <c r="C192" s="111">
        <f>[17]С2.5!$BB$11</f>
        <v>0</v>
      </c>
    </row>
    <row r="193" spans="2:3" hidden="1">
      <c r="B193" s="110">
        <f t="shared" si="0"/>
        <v>2070</v>
      </c>
      <c r="C193" s="111">
        <f>[17]С2.5!$BC$11</f>
        <v>0</v>
      </c>
    </row>
    <row r="194" spans="2:3" hidden="1">
      <c r="B194" s="110">
        <f t="shared" si="0"/>
        <v>2071</v>
      </c>
      <c r="C194" s="111">
        <f>[17]С2.5!$BD$11</f>
        <v>0</v>
      </c>
    </row>
    <row r="195" spans="2:3" hidden="1">
      <c r="B195" s="110">
        <f t="shared" si="0"/>
        <v>2072</v>
      </c>
      <c r="C195" s="111">
        <f>[17]С2.5!$BE$11</f>
        <v>0</v>
      </c>
    </row>
    <row r="196" spans="2:3" hidden="1">
      <c r="B196" s="110">
        <f t="shared" si="0"/>
        <v>2073</v>
      </c>
      <c r="C196" s="111">
        <f>[17]С2.5!$BF$11</f>
        <v>0</v>
      </c>
    </row>
    <row r="197" spans="2:3" hidden="1">
      <c r="B197" s="110">
        <f t="shared" si="0"/>
        <v>2074</v>
      </c>
      <c r="C197" s="111">
        <f>[17]С2.5!$BG$11</f>
        <v>0</v>
      </c>
    </row>
    <row r="198" spans="2:3" hidden="1">
      <c r="B198" s="110">
        <f t="shared" si="0"/>
        <v>2075</v>
      </c>
      <c r="C198" s="111">
        <f>[17]С2.5!$BH$11</f>
        <v>0</v>
      </c>
    </row>
    <row r="199" spans="2:3" hidden="1">
      <c r="B199" s="110">
        <f t="shared" si="0"/>
        <v>2076</v>
      </c>
      <c r="C199" s="111">
        <f>[17]С2.5!$BI$11</f>
        <v>0</v>
      </c>
    </row>
    <row r="200" spans="2:3" hidden="1">
      <c r="B200" s="110">
        <f t="shared" si="0"/>
        <v>2077</v>
      </c>
      <c r="C200" s="111">
        <f>[17]С2.5!$BJ$11</f>
        <v>0</v>
      </c>
    </row>
    <row r="201" spans="2:3" hidden="1">
      <c r="B201" s="110">
        <f t="shared" si="0"/>
        <v>2078</v>
      </c>
      <c r="C201" s="111">
        <f>[17]С2.5!$BK$11</f>
        <v>0</v>
      </c>
    </row>
    <row r="202" spans="2:3" hidden="1">
      <c r="B202" s="110">
        <f t="shared" si="0"/>
        <v>2079</v>
      </c>
      <c r="C202" s="111">
        <f>[17]С2.5!$BL$11</f>
        <v>0</v>
      </c>
    </row>
    <row r="203" spans="2:3" hidden="1">
      <c r="B203" s="110">
        <f t="shared" si="0"/>
        <v>2080</v>
      </c>
      <c r="C203" s="111">
        <f>[17]С2.5!$BM$11</f>
        <v>0</v>
      </c>
    </row>
    <row r="204" spans="2:3" hidden="1">
      <c r="B204" s="110">
        <f t="shared" si="0"/>
        <v>2081</v>
      </c>
      <c r="C204" s="111">
        <f>[17]С2.5!$BN$11</f>
        <v>0</v>
      </c>
    </row>
    <row r="205" spans="2:3" hidden="1">
      <c r="B205" s="110">
        <f t="shared" si="0"/>
        <v>2082</v>
      </c>
      <c r="C205" s="111">
        <f>[17]С2.5!$BO$11</f>
        <v>0</v>
      </c>
    </row>
    <row r="206" spans="2:3" hidden="1">
      <c r="B206" s="110">
        <f t="shared" si="0"/>
        <v>2083</v>
      </c>
      <c r="C206" s="111">
        <f>[17]С2.5!$BP$11</f>
        <v>0</v>
      </c>
    </row>
    <row r="207" spans="2:3" hidden="1">
      <c r="B207" s="110">
        <f t="shared" si="0"/>
        <v>2084</v>
      </c>
      <c r="C207" s="111">
        <f>[17]С2.5!$BQ$11</f>
        <v>0</v>
      </c>
    </row>
    <row r="208" spans="2:3" hidden="1">
      <c r="B208" s="110">
        <f t="shared" si="0"/>
        <v>2085</v>
      </c>
      <c r="C208" s="111">
        <f>[17]С2.5!$BR$11</f>
        <v>0</v>
      </c>
    </row>
    <row r="209" spans="2:3" hidden="1">
      <c r="B209" s="110">
        <f t="shared" ref="B209:B223" si="1">B208+1</f>
        <v>2086</v>
      </c>
      <c r="C209" s="111">
        <f>[17]С2.5!$BS$11</f>
        <v>0</v>
      </c>
    </row>
    <row r="210" spans="2:3" hidden="1">
      <c r="B210" s="110">
        <f t="shared" si="1"/>
        <v>2087</v>
      </c>
      <c r="C210" s="111">
        <f>[17]С2.5!$BT$11</f>
        <v>0</v>
      </c>
    </row>
    <row r="211" spans="2:3" hidden="1">
      <c r="B211" s="110">
        <f t="shared" si="1"/>
        <v>2088</v>
      </c>
      <c r="C211" s="111">
        <f>[17]С2.5!$BU$11</f>
        <v>0</v>
      </c>
    </row>
    <row r="212" spans="2:3" hidden="1">
      <c r="B212" s="110">
        <f t="shared" si="1"/>
        <v>2089</v>
      </c>
      <c r="C212" s="111">
        <f>[17]С2.5!$BV$11</f>
        <v>0</v>
      </c>
    </row>
    <row r="213" spans="2:3" hidden="1">
      <c r="B213" s="110">
        <f t="shared" si="1"/>
        <v>2090</v>
      </c>
      <c r="C213" s="111">
        <f>[17]С2.5!$BW$11</f>
        <v>0</v>
      </c>
    </row>
    <row r="214" spans="2:3" hidden="1">
      <c r="B214" s="110">
        <f t="shared" si="1"/>
        <v>2091</v>
      </c>
      <c r="C214" s="111">
        <f>[17]С2.5!$BX$11</f>
        <v>0</v>
      </c>
    </row>
    <row r="215" spans="2:3" hidden="1">
      <c r="B215" s="110">
        <f t="shared" si="1"/>
        <v>2092</v>
      </c>
      <c r="C215" s="111">
        <f>[17]С2.5!$BY$11</f>
        <v>0</v>
      </c>
    </row>
    <row r="216" spans="2:3" hidden="1">
      <c r="B216" s="110">
        <f t="shared" si="1"/>
        <v>2093</v>
      </c>
      <c r="C216" s="111">
        <f>[17]С2.5!$BZ$11</f>
        <v>0</v>
      </c>
    </row>
    <row r="217" spans="2:3" hidden="1">
      <c r="B217" s="110">
        <f t="shared" si="1"/>
        <v>2094</v>
      </c>
      <c r="C217" s="111">
        <f>[17]С2.5!$CA$11</f>
        <v>0</v>
      </c>
    </row>
    <row r="218" spans="2:3" hidden="1">
      <c r="B218" s="110">
        <f t="shared" si="1"/>
        <v>2095</v>
      </c>
      <c r="C218" s="111">
        <f>[17]С2.5!$CB$11</f>
        <v>0</v>
      </c>
    </row>
    <row r="219" spans="2:3" hidden="1">
      <c r="B219" s="110">
        <f t="shared" si="1"/>
        <v>2096</v>
      </c>
      <c r="C219" s="111">
        <f>[17]С2.5!$CC$11</f>
        <v>0</v>
      </c>
    </row>
    <row r="220" spans="2:3" hidden="1">
      <c r="B220" s="110">
        <f t="shared" si="1"/>
        <v>2097</v>
      </c>
      <c r="C220" s="111">
        <f>[17]С2.5!$CD$11</f>
        <v>0</v>
      </c>
    </row>
    <row r="221" spans="2:3" hidden="1">
      <c r="B221" s="110">
        <f t="shared" si="1"/>
        <v>2098</v>
      </c>
      <c r="C221" s="111">
        <f>[17]С2.5!$CE$11</f>
        <v>0</v>
      </c>
    </row>
    <row r="222" spans="2:3" hidden="1">
      <c r="B222" s="110">
        <f t="shared" si="1"/>
        <v>2099</v>
      </c>
      <c r="C222" s="111">
        <f>[17]С2.5!$CF$11</f>
        <v>0</v>
      </c>
    </row>
    <row r="223" spans="2:3" ht="13.5" hidden="1" thickBot="1">
      <c r="B223" s="112">
        <f t="shared" si="1"/>
        <v>2100</v>
      </c>
      <c r="C223" s="113">
        <f>[17]С2.5!$CG$11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J17" sqref="J17"/>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[18]И1!D13</f>
        <v>Субъект Российской Федерации</v>
      </c>
      <c r="C4" s="10" t="str">
        <f>[18]И1!E13</f>
        <v>Новосибирская область</v>
      </c>
    </row>
    <row r="5" spans="1:3" ht="38.25">
      <c r="A5" s="8"/>
      <c r="B5" s="9" t="str">
        <f>[18]И1!D14</f>
        <v>Тип муниципального образования (выберите из списка)</v>
      </c>
      <c r="C5" s="10" t="str">
        <f>[18]И1!E14</f>
        <v>село Чулым, Здвинский муниципальный район</v>
      </c>
    </row>
    <row r="6" spans="1:3">
      <c r="A6" s="8"/>
      <c r="B6" s="9" t="str">
        <f>IF([18]И1!E15="","",[18]И1!D15)</f>
        <v/>
      </c>
      <c r="C6" s="10" t="str">
        <f>IF([18]И1!E15="","",[18]И1!E15)</f>
        <v/>
      </c>
    </row>
    <row r="7" spans="1:3">
      <c r="A7" s="8"/>
      <c r="B7" s="9" t="str">
        <f>[18]И1!D16</f>
        <v>Код ОКТМО</v>
      </c>
      <c r="C7" s="11" t="str">
        <f>[18]И1!E16</f>
        <v>50613431101</v>
      </c>
    </row>
    <row r="8" spans="1:3">
      <c r="A8" s="8"/>
      <c r="B8" s="12" t="str">
        <f>[18]И1!D17</f>
        <v>Система теплоснабжения</v>
      </c>
      <c r="C8" s="13">
        <f>[18]И1!E17</f>
        <v>0</v>
      </c>
    </row>
    <row r="9" spans="1:3">
      <c r="A9" s="8"/>
      <c r="B9" s="9" t="str">
        <f>[18]И1!D8</f>
        <v>Период регулирования (i)-й</v>
      </c>
      <c r="C9" s="14">
        <f>[18]И1!E8</f>
        <v>2023</v>
      </c>
    </row>
    <row r="10" spans="1:3">
      <c r="A10" s="8"/>
      <c r="B10" s="9" t="str">
        <f>[18]И1!D9</f>
        <v>Период регулирования (i-1)-й</v>
      </c>
      <c r="C10" s="14">
        <f>[18]И1!E9</f>
        <v>2022</v>
      </c>
    </row>
    <row r="11" spans="1:3">
      <c r="A11" s="8"/>
      <c r="B11" s="9" t="str">
        <f>[18]И1!D10</f>
        <v>Период регулирования (i-2)-й</v>
      </c>
      <c r="C11" s="14">
        <f>[18]И1!E10</f>
        <v>2021</v>
      </c>
    </row>
    <row r="12" spans="1:3">
      <c r="A12" s="8"/>
      <c r="B12" s="9" t="str">
        <f>[18]И1!D11</f>
        <v>Базовый год (б)</v>
      </c>
      <c r="C12" s="14">
        <f>[18]И1!E11</f>
        <v>2019</v>
      </c>
    </row>
    <row r="13" spans="1:3" ht="38.25">
      <c r="A13" s="8"/>
      <c r="B13" s="9" t="str">
        <f>[18]И1!D18</f>
        <v>Вид топлива, использование которого преобладает в системе теплоснабжения</v>
      </c>
      <c r="C13" s="15" t="str">
        <f>[18]С1.1!E13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4129.5662547961665</v>
      </c>
    </row>
    <row r="18" spans="1:3" ht="42.75">
      <c r="A18" s="22" t="s">
        <v>8</v>
      </c>
      <c r="B18" s="25" t="s">
        <v>9</v>
      </c>
      <c r="C18" s="26">
        <f>[18]С1!F12</f>
        <v>1025.5007002533982</v>
      </c>
    </row>
    <row r="19" spans="1:3" ht="42.75">
      <c r="A19" s="22" t="s">
        <v>10</v>
      </c>
      <c r="B19" s="25" t="s">
        <v>11</v>
      </c>
      <c r="C19" s="26">
        <f>[18]С2!F12</f>
        <v>2101.7757879094611</v>
      </c>
    </row>
    <row r="20" spans="1:3" ht="30">
      <c r="A20" s="22" t="s">
        <v>12</v>
      </c>
      <c r="B20" s="25" t="s">
        <v>13</v>
      </c>
      <c r="C20" s="26">
        <f>[18]С3!F12</f>
        <v>502.69420058623905</v>
      </c>
    </row>
    <row r="21" spans="1:3" ht="42.75">
      <c r="A21" s="22" t="s">
        <v>14</v>
      </c>
      <c r="B21" s="25" t="s">
        <v>15</v>
      </c>
      <c r="C21" s="26">
        <f>[18]С4!F12</f>
        <v>418.62367869812374</v>
      </c>
    </row>
    <row r="22" spans="1:3" ht="30">
      <c r="A22" s="22" t="s">
        <v>16</v>
      </c>
      <c r="B22" s="25" t="s">
        <v>17</v>
      </c>
      <c r="C22" s="26">
        <f>[18]С5!F12</f>
        <v>80.971887348944435</v>
      </c>
    </row>
    <row r="23" spans="1:3" ht="43.5" thickBot="1">
      <c r="A23" s="27" t="s">
        <v>18</v>
      </c>
      <c r="B23" s="117" t="s">
        <v>19</v>
      </c>
      <c r="C23" s="28" t="str">
        <f>[18]С6!F12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[18]С1.1!E16</f>
        <v>5100</v>
      </c>
    </row>
    <row r="29" spans="1:3" ht="42.75">
      <c r="A29" s="22" t="s">
        <v>10</v>
      </c>
      <c r="B29" s="33" t="s">
        <v>22</v>
      </c>
      <c r="C29" s="34">
        <f>[18]С1.1!E27</f>
        <v>2757.4</v>
      </c>
    </row>
    <row r="30" spans="1:3" ht="17.25">
      <c r="A30" s="22" t="s">
        <v>12</v>
      </c>
      <c r="B30" s="33" t="s">
        <v>23</v>
      </c>
      <c r="C30" s="35">
        <f>[18]С1.1!E19</f>
        <v>0.59499999999999997</v>
      </c>
    </row>
    <row r="31" spans="1:3" ht="17.25">
      <c r="A31" s="22" t="s">
        <v>14</v>
      </c>
      <c r="B31" s="33" t="s">
        <v>24</v>
      </c>
      <c r="C31" s="35">
        <f>[18]С1.1!E20</f>
        <v>-0.113</v>
      </c>
    </row>
    <row r="32" spans="1:3" ht="30">
      <c r="A32" s="22" t="s">
        <v>16</v>
      </c>
      <c r="B32" s="36" t="s">
        <v>25</v>
      </c>
      <c r="C32" s="37">
        <f>[18]С1!F13</f>
        <v>176.4</v>
      </c>
    </row>
    <row r="33" spans="1:3">
      <c r="A33" s="22" t="s">
        <v>18</v>
      </c>
      <c r="B33" s="36" t="s">
        <v>26</v>
      </c>
      <c r="C33" s="38">
        <f>[18]С1!F16</f>
        <v>7000</v>
      </c>
    </row>
    <row r="34" spans="1:3" ht="14.25">
      <c r="A34" s="22" t="s">
        <v>27</v>
      </c>
      <c r="B34" s="39" t="s">
        <v>28</v>
      </c>
      <c r="C34" s="40">
        <f>[18]С1!F17</f>
        <v>0.72857142857142854</v>
      </c>
    </row>
    <row r="35" spans="1:3" ht="15.75">
      <c r="A35" s="41" t="s">
        <v>29</v>
      </c>
      <c r="B35" s="42" t="s">
        <v>30</v>
      </c>
      <c r="C35" s="40">
        <f>[18]С1!F20</f>
        <v>21.588411179999994</v>
      </c>
    </row>
    <row r="36" spans="1:3" ht="15.75">
      <c r="A36" s="41" t="s">
        <v>31</v>
      </c>
      <c r="B36" s="43" t="s">
        <v>32</v>
      </c>
      <c r="C36" s="40">
        <f>[18]С1!F21</f>
        <v>20.818139999999996</v>
      </c>
    </row>
    <row r="37" spans="1:3" ht="14.25">
      <c r="A37" s="41" t="s">
        <v>33</v>
      </c>
      <c r="B37" s="44" t="s">
        <v>34</v>
      </c>
      <c r="C37" s="40">
        <f>[18]С1!F22</f>
        <v>1.0369999999999999</v>
      </c>
    </row>
    <row r="38" spans="1:3" ht="53.25" thickBot="1">
      <c r="A38" s="27" t="s">
        <v>35</v>
      </c>
      <c r="B38" s="45" t="s">
        <v>36</v>
      </c>
      <c r="C38" s="46">
        <f>[18]С1!F23</f>
        <v>1.0469999999999999</v>
      </c>
    </row>
    <row r="39" spans="1:3" ht="13.5" thickBot="1">
      <c r="A39" s="47"/>
      <c r="B39" s="48"/>
      <c r="C39" s="49"/>
    </row>
    <row r="40" spans="1:3" ht="30" customHeight="1">
      <c r="A40" s="50" t="s">
        <v>37</v>
      </c>
      <c r="B40" s="118" t="s">
        <v>38</v>
      </c>
      <c r="C40" s="118"/>
    </row>
    <row r="41" spans="1:3" ht="25.5">
      <c r="A41" s="22" t="s">
        <v>39</v>
      </c>
      <c r="B41" s="36" t="s">
        <v>40</v>
      </c>
      <c r="C41" s="51" t="str">
        <f>[18]С2.1!E12</f>
        <v>V</v>
      </c>
    </row>
    <row r="42" spans="1:3" ht="25.5">
      <c r="A42" s="22" t="s">
        <v>41</v>
      </c>
      <c r="B42" s="33" t="s">
        <v>42</v>
      </c>
      <c r="C42" s="51" t="str">
        <f>[18]С2.1!E13</f>
        <v>6 и менее баллов</v>
      </c>
    </row>
    <row r="43" spans="1:3" ht="25.5">
      <c r="A43" s="22" t="s">
        <v>43</v>
      </c>
      <c r="B43" s="33" t="s">
        <v>44</v>
      </c>
      <c r="C43" s="51" t="str">
        <f>[18]С2.1!E14</f>
        <v>от 200 до 500</v>
      </c>
    </row>
    <row r="44" spans="1:3" ht="25.5">
      <c r="A44" s="22" t="s">
        <v>45</v>
      </c>
      <c r="B44" s="33" t="s">
        <v>46</v>
      </c>
      <c r="C44" s="52" t="str">
        <f>[18]С2.1!E15</f>
        <v>нет</v>
      </c>
    </row>
    <row r="45" spans="1:3" ht="30">
      <c r="A45" s="22" t="s">
        <v>47</v>
      </c>
      <c r="B45" s="33" t="s">
        <v>48</v>
      </c>
      <c r="C45" s="34">
        <f>[18]С2!F18</f>
        <v>32402.627334033532</v>
      </c>
    </row>
    <row r="46" spans="1:3" ht="30">
      <c r="A46" s="22" t="s">
        <v>49</v>
      </c>
      <c r="B46" s="53" t="s">
        <v>50</v>
      </c>
      <c r="C46" s="34">
        <f>IF([18]С2!F19&gt;0,[18]С2!F19,[18]С2!F20)</f>
        <v>23441.524932855718</v>
      </c>
    </row>
    <row r="47" spans="1:3" ht="25.5">
      <c r="A47" s="22" t="s">
        <v>51</v>
      </c>
      <c r="B47" s="54" t="s">
        <v>52</v>
      </c>
      <c r="C47" s="34">
        <f>[18]С2.1!E19</f>
        <v>-38</v>
      </c>
    </row>
    <row r="48" spans="1:3" ht="25.5">
      <c r="A48" s="22" t="s">
        <v>53</v>
      </c>
      <c r="B48" s="54" t="s">
        <v>54</v>
      </c>
      <c r="C48" s="34" t="str">
        <f>[18]С2.1!E22</f>
        <v>нет</v>
      </c>
    </row>
    <row r="49" spans="1:3" ht="38.25">
      <c r="A49" s="22" t="s">
        <v>55</v>
      </c>
      <c r="B49" s="55" t="s">
        <v>56</v>
      </c>
      <c r="C49" s="34">
        <f>[18]С2.2!E10</f>
        <v>1287</v>
      </c>
    </row>
    <row r="50" spans="1:3" ht="25.5">
      <c r="A50" s="22" t="s">
        <v>57</v>
      </c>
      <c r="B50" s="56" t="s">
        <v>58</v>
      </c>
      <c r="C50" s="34">
        <f>[18]С2.2!E12</f>
        <v>5.97</v>
      </c>
    </row>
    <row r="51" spans="1:3" ht="52.5">
      <c r="A51" s="22" t="s">
        <v>59</v>
      </c>
      <c r="B51" s="57" t="s">
        <v>60</v>
      </c>
      <c r="C51" s="34">
        <f>[18]С2.2!E13</f>
        <v>1</v>
      </c>
    </row>
    <row r="52" spans="1:3" ht="27.75">
      <c r="A52" s="22" t="s">
        <v>61</v>
      </c>
      <c r="B52" s="56" t="s">
        <v>62</v>
      </c>
      <c r="C52" s="34">
        <f>[18]С2.2!E14</f>
        <v>12104</v>
      </c>
    </row>
    <row r="53" spans="1:3" ht="25.5">
      <c r="A53" s="22" t="s">
        <v>63</v>
      </c>
      <c r="B53" s="57" t="s">
        <v>64</v>
      </c>
      <c r="C53" s="35">
        <f>[18]С2.2!E15</f>
        <v>4.8000000000000001E-2</v>
      </c>
    </row>
    <row r="54" spans="1:3">
      <c r="A54" s="22" t="s">
        <v>65</v>
      </c>
      <c r="B54" s="57" t="s">
        <v>66</v>
      </c>
      <c r="C54" s="34">
        <f>[18]С2.2!E16</f>
        <v>1</v>
      </c>
    </row>
    <row r="55" spans="1:3" ht="15.75">
      <c r="A55" s="22" t="s">
        <v>67</v>
      </c>
      <c r="B55" s="58" t="s">
        <v>68</v>
      </c>
      <c r="C55" s="34">
        <f>[18]С2!F21</f>
        <v>1</v>
      </c>
    </row>
    <row r="56" spans="1:3" ht="30">
      <c r="A56" s="59" t="s">
        <v>69</v>
      </c>
      <c r="B56" s="33" t="s">
        <v>70</v>
      </c>
      <c r="C56" s="34">
        <f>[18]С2!F13</f>
        <v>169640.22915965237</v>
      </c>
    </row>
    <row r="57" spans="1:3" ht="30">
      <c r="A57" s="59" t="s">
        <v>71</v>
      </c>
      <c r="B57" s="58" t="s">
        <v>72</v>
      </c>
      <c r="C57" s="34">
        <f>[18]С2!F14</f>
        <v>113455</v>
      </c>
    </row>
    <row r="58" spans="1:3" ht="15.75">
      <c r="A58" s="59" t="s">
        <v>73</v>
      </c>
      <c r="B58" s="60" t="s">
        <v>74</v>
      </c>
      <c r="C58" s="40">
        <f>[18]С2!F15</f>
        <v>1.071</v>
      </c>
    </row>
    <row r="59" spans="1:3" ht="15.75">
      <c r="A59" s="59" t="s">
        <v>75</v>
      </c>
      <c r="B59" s="60" t="s">
        <v>76</v>
      </c>
      <c r="C59" s="40">
        <f>[18]С2!F16</f>
        <v>1</v>
      </c>
    </row>
    <row r="60" spans="1:3" ht="17.25">
      <c r="A60" s="59" t="s">
        <v>77</v>
      </c>
      <c r="B60" s="58" t="s">
        <v>78</v>
      </c>
      <c r="C60" s="34">
        <f>[18]С2!F17</f>
        <v>1.01</v>
      </c>
    </row>
    <row r="61" spans="1:3" s="63" customFormat="1" ht="14.25">
      <c r="A61" s="59" t="s">
        <v>79</v>
      </c>
      <c r="B61" s="61" t="s">
        <v>80</v>
      </c>
      <c r="C61" s="62">
        <f>[18]С2!F33</f>
        <v>10</v>
      </c>
    </row>
    <row r="62" spans="1:3" ht="30">
      <c r="A62" s="59" t="s">
        <v>81</v>
      </c>
      <c r="B62" s="64" t="s">
        <v>82</v>
      </c>
      <c r="C62" s="34">
        <f>[18]С2!F26</f>
        <v>637.93498622918537</v>
      </c>
    </row>
    <row r="63" spans="1:3" ht="17.25">
      <c r="A63" s="59" t="s">
        <v>83</v>
      </c>
      <c r="B63" s="53" t="s">
        <v>84</v>
      </c>
      <c r="C63" s="34">
        <f>[18]С2!F27</f>
        <v>0.10988357099999999</v>
      </c>
    </row>
    <row r="64" spans="1:3" ht="17.25">
      <c r="A64" s="59" t="s">
        <v>85</v>
      </c>
      <c r="B64" s="58" t="s">
        <v>86</v>
      </c>
      <c r="C64" s="62">
        <f>[18]С2!F28</f>
        <v>4200</v>
      </c>
    </row>
    <row r="65" spans="1:3" ht="42.75">
      <c r="A65" s="59" t="s">
        <v>87</v>
      </c>
      <c r="B65" s="33" t="s">
        <v>88</v>
      </c>
      <c r="C65" s="34">
        <f>[18]С2!F22</f>
        <v>35717.748653137714</v>
      </c>
    </row>
    <row r="66" spans="1:3" ht="30">
      <c r="A66" s="59" t="s">
        <v>89</v>
      </c>
      <c r="B66" s="60" t="s">
        <v>90</v>
      </c>
      <c r="C66" s="34">
        <f>[18]С2!F23</f>
        <v>1990</v>
      </c>
    </row>
    <row r="67" spans="1:3" ht="30">
      <c r="A67" s="59" t="s">
        <v>91</v>
      </c>
      <c r="B67" s="53" t="s">
        <v>92</v>
      </c>
      <c r="C67" s="34">
        <f>[18]С2.1!E27</f>
        <v>14307.876789999998</v>
      </c>
    </row>
    <row r="68" spans="1:3" ht="38.25">
      <c r="A68" s="59" t="s">
        <v>93</v>
      </c>
      <c r="B68" s="65" t="s">
        <v>94</v>
      </c>
      <c r="C68" s="52">
        <f>[18]С2.3!E21</f>
        <v>0</v>
      </c>
    </row>
    <row r="69" spans="1:3" ht="25.5">
      <c r="A69" s="59" t="s">
        <v>95</v>
      </c>
      <c r="B69" s="66" t="s">
        <v>96</v>
      </c>
      <c r="C69" s="67">
        <f>[18]С2.3!E11</f>
        <v>9.89</v>
      </c>
    </row>
    <row r="70" spans="1:3" ht="25.5">
      <c r="A70" s="59" t="s">
        <v>97</v>
      </c>
      <c r="B70" s="66" t="s">
        <v>98</v>
      </c>
      <c r="C70" s="62">
        <f>[18]С2.3!E13</f>
        <v>300</v>
      </c>
    </row>
    <row r="71" spans="1:3" ht="25.5">
      <c r="A71" s="59" t="s">
        <v>99</v>
      </c>
      <c r="B71" s="65" t="s">
        <v>100</v>
      </c>
      <c r="C71" s="68">
        <f>IF([18]С2.3!E22&gt;0,[18]С2.3!E22,[18]С2.3!E14)</f>
        <v>61211</v>
      </c>
    </row>
    <row r="72" spans="1:3" ht="38.25">
      <c r="A72" s="59" t="s">
        <v>101</v>
      </c>
      <c r="B72" s="65" t="s">
        <v>102</v>
      </c>
      <c r="C72" s="68">
        <f>IF([18]С2.3!E23&gt;0,[18]С2.3!E23,[18]С2.3!E15)</f>
        <v>45675</v>
      </c>
    </row>
    <row r="73" spans="1:3" ht="30">
      <c r="A73" s="59" t="s">
        <v>103</v>
      </c>
      <c r="B73" s="53" t="s">
        <v>104</v>
      </c>
      <c r="C73" s="34">
        <f>[18]С2.1!E28</f>
        <v>9541.9567200000001</v>
      </c>
    </row>
    <row r="74" spans="1:3" ht="38.25">
      <c r="A74" s="59" t="s">
        <v>105</v>
      </c>
      <c r="B74" s="65" t="s">
        <v>106</v>
      </c>
      <c r="C74" s="52">
        <f>[18]С2.3!E25</f>
        <v>0</v>
      </c>
    </row>
    <row r="75" spans="1:3" ht="25.5">
      <c r="A75" s="59" t="s">
        <v>107</v>
      </c>
      <c r="B75" s="66" t="s">
        <v>108</v>
      </c>
      <c r="C75" s="67">
        <f>[18]С2.3!E12</f>
        <v>0.56000000000000005</v>
      </c>
    </row>
    <row r="76" spans="1:3" ht="25.5">
      <c r="A76" s="59" t="s">
        <v>109</v>
      </c>
      <c r="B76" s="66" t="s">
        <v>98</v>
      </c>
      <c r="C76" s="62">
        <f>[18]С2.3!E13</f>
        <v>300</v>
      </c>
    </row>
    <row r="77" spans="1:3" ht="25.5">
      <c r="A77" s="59" t="s">
        <v>110</v>
      </c>
      <c r="B77" s="69" t="s">
        <v>111</v>
      </c>
      <c r="C77" s="68">
        <f>IF([18]С2.3!E26&gt;0,[18]С2.3!E26,[18]С2.3!E16)</f>
        <v>65637</v>
      </c>
    </row>
    <row r="78" spans="1:3" ht="38.25">
      <c r="A78" s="59" t="s">
        <v>112</v>
      </c>
      <c r="B78" s="69" t="s">
        <v>113</v>
      </c>
      <c r="C78" s="68">
        <f>IF([18]С2.3!E27&gt;0,[18]С2.3!E27,[18]С2.3!E17)</f>
        <v>31684</v>
      </c>
    </row>
    <row r="79" spans="1:3" ht="17.25">
      <c r="A79" s="59" t="s">
        <v>114</v>
      </c>
      <c r="B79" s="33" t="s">
        <v>115</v>
      </c>
      <c r="C79" s="35">
        <f>[18]С2!F29</f>
        <v>0.128978033685065</v>
      </c>
    </row>
    <row r="80" spans="1:3" ht="30">
      <c r="A80" s="59" t="s">
        <v>116</v>
      </c>
      <c r="B80" s="53" t="s">
        <v>117</v>
      </c>
      <c r="C80" s="70">
        <f>[18]С2!F30</f>
        <v>0.11668498168498169</v>
      </c>
    </row>
    <row r="81" spans="1:3" ht="17.25">
      <c r="A81" s="59" t="s">
        <v>118</v>
      </c>
      <c r="B81" s="71" t="s">
        <v>119</v>
      </c>
      <c r="C81" s="35">
        <f>[18]С2!F31</f>
        <v>0.13880000000000001</v>
      </c>
    </row>
    <row r="82" spans="1:3" s="63" customFormat="1" ht="18" thickBot="1">
      <c r="A82" s="72" t="s">
        <v>120</v>
      </c>
      <c r="B82" s="73" t="s">
        <v>121</v>
      </c>
      <c r="C82" s="74">
        <f>[18]С2!F32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[18]С3!F14</f>
        <v>6976.0888978803041</v>
      </c>
    </row>
    <row r="86" spans="1:3" s="63" customFormat="1" ht="42.75">
      <c r="A86" s="77" t="s">
        <v>126</v>
      </c>
      <c r="B86" s="53" t="s">
        <v>127</v>
      </c>
      <c r="C86" s="78">
        <f>[18]С3!F15</f>
        <v>0.2</v>
      </c>
    </row>
    <row r="87" spans="1:3" s="63" customFormat="1" ht="14.25">
      <c r="A87" s="77" t="s">
        <v>128</v>
      </c>
      <c r="B87" s="79" t="s">
        <v>129</v>
      </c>
      <c r="C87" s="62">
        <f>[18]С3!F18</f>
        <v>15</v>
      </c>
    </row>
    <row r="88" spans="1:3" s="63" customFormat="1" ht="17.25">
      <c r="A88" s="77" t="s">
        <v>130</v>
      </c>
      <c r="B88" s="33" t="s">
        <v>131</v>
      </c>
      <c r="C88" s="34">
        <f>[18]С3!F19</f>
        <v>3487.1555421534131</v>
      </c>
    </row>
    <row r="89" spans="1:3" s="63" customFormat="1" ht="55.5">
      <c r="A89" s="77" t="s">
        <v>132</v>
      </c>
      <c r="B89" s="53" t="s">
        <v>133</v>
      </c>
      <c r="C89" s="80">
        <f>[18]С3!F20</f>
        <v>2.1999999999999999E-2</v>
      </c>
    </row>
    <row r="90" spans="1:3" s="63" customFormat="1" ht="14.25">
      <c r="A90" s="77" t="s">
        <v>134</v>
      </c>
      <c r="B90" s="58" t="s">
        <v>80</v>
      </c>
      <c r="C90" s="62">
        <f>[18]С3!F21</f>
        <v>10</v>
      </c>
    </row>
    <row r="91" spans="1:3" s="63" customFormat="1" ht="17.25">
      <c r="A91" s="77" t="s">
        <v>135</v>
      </c>
      <c r="B91" s="33" t="s">
        <v>136</v>
      </c>
      <c r="C91" s="34">
        <f>[18]С3!F22</f>
        <v>1.9138049586875561</v>
      </c>
    </row>
    <row r="92" spans="1:3" s="63" customFormat="1" ht="55.5">
      <c r="A92" s="77" t="s">
        <v>137</v>
      </c>
      <c r="B92" s="53" t="s">
        <v>138</v>
      </c>
      <c r="C92" s="80">
        <f>[18]С3!F23</f>
        <v>3.0000000000000001E-3</v>
      </c>
    </row>
    <row r="93" spans="1:3" s="63" customFormat="1" ht="27.75" thickBot="1">
      <c r="A93" s="81" t="s">
        <v>139</v>
      </c>
      <c r="B93" s="82" t="s">
        <v>140</v>
      </c>
      <c r="C93" s="83">
        <f>[18]С3!F24</f>
        <v>637.93498622918537</v>
      </c>
    </row>
    <row r="94" spans="1:3" ht="13.5" thickBot="1">
      <c r="A94" s="47"/>
      <c r="B94" s="75"/>
      <c r="C94" s="15"/>
    </row>
    <row r="95" spans="1:3" ht="30" customHeight="1">
      <c r="A95" s="84" t="s">
        <v>141</v>
      </c>
      <c r="B95" s="118" t="s">
        <v>142</v>
      </c>
      <c r="C95" s="118"/>
    </row>
    <row r="96" spans="1:3" ht="30">
      <c r="A96" s="59" t="s">
        <v>143</v>
      </c>
      <c r="B96" s="33" t="s">
        <v>144</v>
      </c>
      <c r="C96" s="34">
        <f>[18]С4!F16</f>
        <v>1652.5</v>
      </c>
    </row>
    <row r="97" spans="1:3" ht="30">
      <c r="A97" s="59" t="s">
        <v>145</v>
      </c>
      <c r="B97" s="58" t="s">
        <v>146</v>
      </c>
      <c r="C97" s="34">
        <f>[18]С4!F17</f>
        <v>73547</v>
      </c>
    </row>
    <row r="98" spans="1:3" ht="17.25">
      <c r="A98" s="59" t="s">
        <v>147</v>
      </c>
      <c r="B98" s="58" t="s">
        <v>148</v>
      </c>
      <c r="C98" s="40">
        <f>[18]С4!F18</f>
        <v>0.02</v>
      </c>
    </row>
    <row r="99" spans="1:3" ht="30">
      <c r="A99" s="59" t="s">
        <v>149</v>
      </c>
      <c r="B99" s="58" t="s">
        <v>150</v>
      </c>
      <c r="C99" s="34">
        <f>[18]С4!F19</f>
        <v>12104</v>
      </c>
    </row>
    <row r="100" spans="1:3" ht="31.5">
      <c r="A100" s="59" t="s">
        <v>151</v>
      </c>
      <c r="B100" s="58" t="s">
        <v>152</v>
      </c>
      <c r="C100" s="40">
        <f>[18]С4!F20</f>
        <v>1.4999999999999999E-2</v>
      </c>
    </row>
    <row r="101" spans="1:3" ht="30">
      <c r="A101" s="59" t="s">
        <v>153</v>
      </c>
      <c r="B101" s="33" t="s">
        <v>154</v>
      </c>
      <c r="C101" s="34">
        <f>[18]С4!F21</f>
        <v>1933.1949342509995</v>
      </c>
    </row>
    <row r="102" spans="1:3" ht="24" customHeight="1">
      <c r="A102" s="59" t="s">
        <v>155</v>
      </c>
      <c r="B102" s="53" t="s">
        <v>156</v>
      </c>
      <c r="C102" s="85">
        <f>IF([18]С4.2!F8="да",[18]С4.2!D21,[18]С4.2!D15)</f>
        <v>0</v>
      </c>
    </row>
    <row r="103" spans="1:3" ht="68.25">
      <c r="A103" s="59" t="s">
        <v>157</v>
      </c>
      <c r="B103" s="53" t="s">
        <v>158</v>
      </c>
      <c r="C103" s="34">
        <f>[18]С4!F22</f>
        <v>3.6112641666666665</v>
      </c>
    </row>
    <row r="104" spans="1:3" ht="30">
      <c r="A104" s="59" t="s">
        <v>159</v>
      </c>
      <c r="B104" s="58" t="s">
        <v>160</v>
      </c>
      <c r="C104" s="34">
        <f>[18]С4!F23</f>
        <v>180</v>
      </c>
    </row>
    <row r="105" spans="1:3" ht="14.25">
      <c r="A105" s="59" t="s">
        <v>161</v>
      </c>
      <c r="B105" s="53" t="s">
        <v>162</v>
      </c>
      <c r="C105" s="34">
        <f>[18]С4!F24</f>
        <v>8497.1999999999989</v>
      </c>
    </row>
    <row r="106" spans="1:3" ht="14.25">
      <c r="A106" s="59" t="s">
        <v>163</v>
      </c>
      <c r="B106" s="58" t="s">
        <v>164</v>
      </c>
      <c r="C106" s="40">
        <f>[18]С4!F25</f>
        <v>0.35</v>
      </c>
    </row>
    <row r="107" spans="1:3" ht="17.25">
      <c r="A107" s="59" t="s">
        <v>165</v>
      </c>
      <c r="B107" s="33" t="s">
        <v>166</v>
      </c>
      <c r="C107" s="34">
        <f>[18]С4!F26</f>
        <v>70.448999999999998</v>
      </c>
    </row>
    <row r="108" spans="1:3" ht="25.5">
      <c r="A108" s="59" t="s">
        <v>167</v>
      </c>
      <c r="B108" s="53" t="s">
        <v>94</v>
      </c>
      <c r="C108" s="85">
        <f>[18]С4.3!E16</f>
        <v>0</v>
      </c>
    </row>
    <row r="109" spans="1:3" ht="25.5">
      <c r="A109" s="59" t="s">
        <v>168</v>
      </c>
      <c r="B109" s="53" t="s">
        <v>169</v>
      </c>
      <c r="C109" s="34">
        <f>[18]С4.3!E17</f>
        <v>18.559999999999999</v>
      </c>
    </row>
    <row r="110" spans="1:3" ht="38.25">
      <c r="A110" s="59" t="s">
        <v>170</v>
      </c>
      <c r="B110" s="53" t="s">
        <v>106</v>
      </c>
      <c r="C110" s="85">
        <f>[18]С4.3!E18</f>
        <v>0</v>
      </c>
    </row>
    <row r="111" spans="1:3">
      <c r="A111" s="59" t="s">
        <v>171</v>
      </c>
      <c r="B111" s="53" t="s">
        <v>172</v>
      </c>
      <c r="C111" s="34">
        <f>[18]С4.3!E19</f>
        <v>26.27</v>
      </c>
    </row>
    <row r="112" spans="1:3">
      <c r="A112" s="59" t="s">
        <v>173</v>
      </c>
      <c r="B112" s="58" t="s">
        <v>174</v>
      </c>
      <c r="C112" s="34">
        <f>[18]С4.3!E11</f>
        <v>1871</v>
      </c>
    </row>
    <row r="113" spans="1:3">
      <c r="A113" s="59" t="s">
        <v>175</v>
      </c>
      <c r="B113" s="58" t="s">
        <v>176</v>
      </c>
      <c r="C113" s="52">
        <f>[18]С4.3!E12</f>
        <v>1636</v>
      </c>
    </row>
    <row r="114" spans="1:3">
      <c r="A114" s="59" t="s">
        <v>177</v>
      </c>
      <c r="B114" s="58" t="s">
        <v>178</v>
      </c>
      <c r="C114" s="52">
        <f>[18]С4.3!E13</f>
        <v>204</v>
      </c>
    </row>
    <row r="115" spans="1:3" ht="30">
      <c r="A115" s="59" t="s">
        <v>179</v>
      </c>
      <c r="B115" s="33" t="s">
        <v>180</v>
      </c>
      <c r="C115" s="34">
        <f>[18]С4!F27</f>
        <v>1038.565361974559</v>
      </c>
    </row>
    <row r="116" spans="1:3" ht="25.5">
      <c r="A116" s="59" t="s">
        <v>181</v>
      </c>
      <c r="B116" s="53" t="s">
        <v>182</v>
      </c>
      <c r="C116" s="34">
        <f>[18]С4!F28</f>
        <v>797.66924882838634</v>
      </c>
    </row>
    <row r="117" spans="1:3" ht="42.75">
      <c r="A117" s="59" t="s">
        <v>183</v>
      </c>
      <c r="B117" s="53" t="s">
        <v>184</v>
      </c>
      <c r="C117" s="34">
        <f>[18]С4!F29</f>
        <v>240.89611314617269</v>
      </c>
    </row>
    <row r="118" spans="1:3" ht="30">
      <c r="A118" s="59" t="s">
        <v>185</v>
      </c>
      <c r="B118" s="39" t="s">
        <v>186</v>
      </c>
      <c r="C118" s="34">
        <f>[18]С4!F30</f>
        <v>2225.5883683057364</v>
      </c>
    </row>
    <row r="119" spans="1:3" ht="42.75">
      <c r="A119" s="59" t="s">
        <v>187</v>
      </c>
      <c r="B119" s="86" t="s">
        <v>188</v>
      </c>
      <c r="C119" s="34">
        <f>[18]С4!F33</f>
        <v>1511.4718813581296</v>
      </c>
    </row>
    <row r="120" spans="1:3" ht="30">
      <c r="A120" s="59" t="s">
        <v>189</v>
      </c>
      <c r="B120" s="87" t="s">
        <v>190</v>
      </c>
      <c r="C120" s="34">
        <f>[18]С4!F35</f>
        <v>17.040680999999999</v>
      </c>
    </row>
    <row r="121" spans="1:3" ht="14.25">
      <c r="A121" s="59" t="s">
        <v>191</v>
      </c>
      <c r="B121" s="56" t="s">
        <v>192</v>
      </c>
      <c r="C121" s="34">
        <f>[18]С4!F36</f>
        <v>14319.9</v>
      </c>
    </row>
    <row r="122" spans="1:3" ht="28.5" thickBot="1">
      <c r="A122" s="72" t="s">
        <v>193</v>
      </c>
      <c r="B122" s="88" t="s">
        <v>194</v>
      </c>
      <c r="C122" s="83">
        <f>[18]С4!F37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[18]С5!F17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[18]С2!F37</f>
        <v>20.818139999999996</v>
      </c>
    </row>
    <row r="136" spans="1:4" ht="14.25">
      <c r="A136" s="59" t="s">
        <v>216</v>
      </c>
      <c r="B136" s="101" t="s">
        <v>217</v>
      </c>
      <c r="C136" s="34">
        <f>[18]С2!F38</f>
        <v>7</v>
      </c>
    </row>
    <row r="137" spans="1:4" ht="17.25">
      <c r="A137" s="59" t="s">
        <v>218</v>
      </c>
      <c r="B137" s="101" t="s">
        <v>219</v>
      </c>
      <c r="C137" s="34">
        <f>[18]С2!F40</f>
        <v>0.97</v>
      </c>
    </row>
    <row r="138" spans="1:4" ht="15" thickBot="1">
      <c r="A138" s="72" t="s">
        <v>220</v>
      </c>
      <c r="B138" s="102" t="s">
        <v>221</v>
      </c>
      <c r="C138" s="46">
        <f>[18]С2!F42</f>
        <v>0.35</v>
      </c>
    </row>
    <row r="139" spans="1:4" s="89" customFormat="1" ht="13.5" thickBot="1">
      <c r="A139" s="47"/>
      <c r="B139" s="75"/>
      <c r="C139" s="15"/>
    </row>
    <row r="140" spans="1:4" ht="30">
      <c r="A140" s="84" t="s">
        <v>222</v>
      </c>
      <c r="B140" s="103" t="s">
        <v>223</v>
      </c>
      <c r="C140" s="104">
        <f>[18]С2!F35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[18]С2.5!$E$11</f>
        <v>-2.9000000000000026E-2</v>
      </c>
      <c r="D143" s="89"/>
    </row>
    <row r="144" spans="1:4">
      <c r="A144" s="105"/>
      <c r="B144" s="110">
        <f>B143+1</f>
        <v>2021</v>
      </c>
      <c r="C144" s="111">
        <f>[18]С2.5!$F$11</f>
        <v>0.245</v>
      </c>
      <c r="D144" s="89"/>
    </row>
    <row r="145" spans="1:4">
      <c r="A145" s="105"/>
      <c r="B145" s="110">
        <f t="shared" ref="B145:B208" si="0">B144+1</f>
        <v>2022</v>
      </c>
      <c r="C145" s="111">
        <f>[18]С2.5!$G$11</f>
        <v>0.121</v>
      </c>
      <c r="D145" s="89"/>
    </row>
    <row r="146" spans="1:4" ht="13.5" thickBot="1">
      <c r="A146" s="105"/>
      <c r="B146" s="112">
        <f t="shared" si="0"/>
        <v>2023</v>
      </c>
      <c r="C146" s="113">
        <f>[18]С2.5!$H$11</f>
        <v>0.02</v>
      </c>
      <c r="D146" s="89"/>
    </row>
    <row r="147" spans="1:4" hidden="1">
      <c r="A147" s="105"/>
      <c r="B147" s="114">
        <f t="shared" si="0"/>
        <v>2024</v>
      </c>
      <c r="C147" s="115">
        <f>[18]С2.5!$I$11</f>
        <v>-2.93E-2</v>
      </c>
      <c r="D147" s="89"/>
    </row>
    <row r="148" spans="1:4" hidden="1">
      <c r="A148" s="105"/>
      <c r="B148" s="110">
        <f t="shared" si="0"/>
        <v>2025</v>
      </c>
      <c r="C148" s="111">
        <f>[18]С2.5!$J$11</f>
        <v>0.21215960863291</v>
      </c>
      <c r="D148" s="89"/>
    </row>
    <row r="149" spans="1:4" hidden="1">
      <c r="A149" s="105"/>
      <c r="B149" s="110">
        <f t="shared" si="0"/>
        <v>2026</v>
      </c>
      <c r="C149" s="111">
        <f>[18]С2.5!$K$11</f>
        <v>3.5813361771260002E-2</v>
      </c>
      <c r="D149" s="89"/>
    </row>
    <row r="150" spans="1:4" hidden="1">
      <c r="A150" s="105"/>
      <c r="B150" s="110">
        <f t="shared" si="0"/>
        <v>2027</v>
      </c>
      <c r="C150" s="111">
        <f>[18]С2.5!$L$11</f>
        <v>3.2682303599220003E-2</v>
      </c>
      <c r="D150" s="89"/>
    </row>
    <row r="151" spans="1:4" hidden="1">
      <c r="A151" s="105"/>
      <c r="B151" s="110">
        <f t="shared" si="0"/>
        <v>2028</v>
      </c>
      <c r="C151" s="111">
        <f>[18]С2.5!$M$11</f>
        <v>0</v>
      </c>
      <c r="D151" s="89"/>
    </row>
    <row r="152" spans="1:4" hidden="1">
      <c r="A152" s="105"/>
      <c r="B152" s="110">
        <f t="shared" si="0"/>
        <v>2029</v>
      </c>
      <c r="C152" s="111">
        <f>[18]С2.5!$N$11</f>
        <v>0</v>
      </c>
      <c r="D152" s="89"/>
    </row>
    <row r="153" spans="1:4" hidden="1">
      <c r="A153" s="105"/>
      <c r="B153" s="110">
        <f t="shared" si="0"/>
        <v>2030</v>
      </c>
      <c r="C153" s="111">
        <f>[18]С2.5!$O$11</f>
        <v>0</v>
      </c>
      <c r="D153" s="89"/>
    </row>
    <row r="154" spans="1:4" hidden="1">
      <c r="A154" s="105"/>
      <c r="B154" s="110">
        <f t="shared" si="0"/>
        <v>2031</v>
      </c>
      <c r="C154" s="111">
        <f>[18]С2.5!$P$11</f>
        <v>0</v>
      </c>
      <c r="D154" s="89"/>
    </row>
    <row r="155" spans="1:4" hidden="1">
      <c r="A155" s="89"/>
      <c r="B155" s="110">
        <f t="shared" si="0"/>
        <v>2032</v>
      </c>
      <c r="C155" s="111">
        <f>[18]С2.5!$Q$11</f>
        <v>0</v>
      </c>
      <c r="D155" s="89"/>
    </row>
    <row r="156" spans="1:4" hidden="1">
      <c r="A156" s="89"/>
      <c r="B156" s="110">
        <f t="shared" si="0"/>
        <v>2033</v>
      </c>
      <c r="C156" s="111">
        <f>[18]С2.5!$R$11</f>
        <v>0</v>
      </c>
      <c r="D156" s="89"/>
    </row>
    <row r="157" spans="1:4" hidden="1">
      <c r="B157" s="110">
        <f t="shared" si="0"/>
        <v>2034</v>
      </c>
      <c r="C157" s="111">
        <f>[18]С2.5!$S$11</f>
        <v>0</v>
      </c>
    </row>
    <row r="158" spans="1:4" hidden="1">
      <c r="B158" s="110">
        <f t="shared" si="0"/>
        <v>2035</v>
      </c>
      <c r="C158" s="111">
        <f>[18]С2.5!$T$11</f>
        <v>0</v>
      </c>
    </row>
    <row r="159" spans="1:4" hidden="1">
      <c r="B159" s="110">
        <f t="shared" si="0"/>
        <v>2036</v>
      </c>
      <c r="C159" s="111">
        <f>[18]С2.5!$U$11</f>
        <v>0</v>
      </c>
    </row>
    <row r="160" spans="1:4" hidden="1">
      <c r="B160" s="110">
        <f t="shared" si="0"/>
        <v>2037</v>
      </c>
      <c r="C160" s="111">
        <f>[18]С2.5!$V$11</f>
        <v>0</v>
      </c>
    </row>
    <row r="161" spans="2:3" hidden="1">
      <c r="B161" s="110">
        <f t="shared" si="0"/>
        <v>2038</v>
      </c>
      <c r="C161" s="111">
        <f>[18]С2.5!$W$11</f>
        <v>0</v>
      </c>
    </row>
    <row r="162" spans="2:3" hidden="1">
      <c r="B162" s="110">
        <f t="shared" si="0"/>
        <v>2039</v>
      </c>
      <c r="C162" s="111">
        <f>[18]С2.5!$X$11</f>
        <v>0</v>
      </c>
    </row>
    <row r="163" spans="2:3" hidden="1">
      <c r="B163" s="110">
        <f t="shared" si="0"/>
        <v>2040</v>
      </c>
      <c r="C163" s="111">
        <f>[18]С2.5!$Y$11</f>
        <v>0</v>
      </c>
    </row>
    <row r="164" spans="2:3" hidden="1">
      <c r="B164" s="110">
        <f t="shared" si="0"/>
        <v>2041</v>
      </c>
      <c r="C164" s="111">
        <f>[18]С2.5!$Z$11</f>
        <v>0</v>
      </c>
    </row>
    <row r="165" spans="2:3" hidden="1">
      <c r="B165" s="110">
        <f t="shared" si="0"/>
        <v>2042</v>
      </c>
      <c r="C165" s="111">
        <f>[18]С2.5!$AA$11</f>
        <v>0</v>
      </c>
    </row>
    <row r="166" spans="2:3" hidden="1">
      <c r="B166" s="110">
        <f t="shared" si="0"/>
        <v>2043</v>
      </c>
      <c r="C166" s="111">
        <f>[18]С2.5!$AB$11</f>
        <v>0</v>
      </c>
    </row>
    <row r="167" spans="2:3" hidden="1">
      <c r="B167" s="110">
        <f t="shared" si="0"/>
        <v>2044</v>
      </c>
      <c r="C167" s="111">
        <f>[18]С2.5!$AC$11</f>
        <v>0</v>
      </c>
    </row>
    <row r="168" spans="2:3" hidden="1">
      <c r="B168" s="110">
        <f t="shared" si="0"/>
        <v>2045</v>
      </c>
      <c r="C168" s="111">
        <f>[18]С2.5!$AD$11</f>
        <v>0</v>
      </c>
    </row>
    <row r="169" spans="2:3" hidden="1">
      <c r="B169" s="110">
        <f t="shared" si="0"/>
        <v>2046</v>
      </c>
      <c r="C169" s="111">
        <f>[18]С2.5!$AE$11</f>
        <v>0</v>
      </c>
    </row>
    <row r="170" spans="2:3" hidden="1">
      <c r="B170" s="110">
        <f t="shared" si="0"/>
        <v>2047</v>
      </c>
      <c r="C170" s="111">
        <f>[18]С2.5!$AF$11</f>
        <v>0</v>
      </c>
    </row>
    <row r="171" spans="2:3" hidden="1">
      <c r="B171" s="110">
        <f t="shared" si="0"/>
        <v>2048</v>
      </c>
      <c r="C171" s="111">
        <f>[18]С2.5!$AG$11</f>
        <v>0</v>
      </c>
    </row>
    <row r="172" spans="2:3" hidden="1">
      <c r="B172" s="110">
        <f t="shared" si="0"/>
        <v>2049</v>
      </c>
      <c r="C172" s="111">
        <f>[18]С2.5!$AH$11</f>
        <v>0</v>
      </c>
    </row>
    <row r="173" spans="2:3" hidden="1">
      <c r="B173" s="110">
        <f t="shared" si="0"/>
        <v>2050</v>
      </c>
      <c r="C173" s="111">
        <f>[18]С2.5!$AI$11</f>
        <v>0</v>
      </c>
    </row>
    <row r="174" spans="2:3" hidden="1">
      <c r="B174" s="110">
        <f t="shared" si="0"/>
        <v>2051</v>
      </c>
      <c r="C174" s="111">
        <f>[18]С2.5!$AJ$11</f>
        <v>0</v>
      </c>
    </row>
    <row r="175" spans="2:3" hidden="1">
      <c r="B175" s="110">
        <f t="shared" si="0"/>
        <v>2052</v>
      </c>
      <c r="C175" s="111">
        <f>[18]С2.5!$AK$11</f>
        <v>0</v>
      </c>
    </row>
    <row r="176" spans="2:3" hidden="1">
      <c r="B176" s="110">
        <f t="shared" si="0"/>
        <v>2053</v>
      </c>
      <c r="C176" s="111">
        <f>[18]С2.5!$AL$11</f>
        <v>0</v>
      </c>
    </row>
    <row r="177" spans="2:3" hidden="1">
      <c r="B177" s="110">
        <f t="shared" si="0"/>
        <v>2054</v>
      </c>
      <c r="C177" s="111">
        <f>[18]С2.5!$AM$11</f>
        <v>0</v>
      </c>
    </row>
    <row r="178" spans="2:3" hidden="1">
      <c r="B178" s="110">
        <f t="shared" si="0"/>
        <v>2055</v>
      </c>
      <c r="C178" s="111">
        <f>[18]С2.5!$AN$11</f>
        <v>0</v>
      </c>
    </row>
    <row r="179" spans="2:3" hidden="1">
      <c r="B179" s="110">
        <f t="shared" si="0"/>
        <v>2056</v>
      </c>
      <c r="C179" s="111">
        <f>[18]С2.5!$AO$11</f>
        <v>0</v>
      </c>
    </row>
    <row r="180" spans="2:3" hidden="1">
      <c r="B180" s="110">
        <f t="shared" si="0"/>
        <v>2057</v>
      </c>
      <c r="C180" s="111">
        <f>[18]С2.5!$AP$11</f>
        <v>0</v>
      </c>
    </row>
    <row r="181" spans="2:3" hidden="1">
      <c r="B181" s="110">
        <f t="shared" si="0"/>
        <v>2058</v>
      </c>
      <c r="C181" s="111">
        <f>[18]С2.5!$AQ$11</f>
        <v>0</v>
      </c>
    </row>
    <row r="182" spans="2:3" hidden="1">
      <c r="B182" s="110">
        <f t="shared" si="0"/>
        <v>2059</v>
      </c>
      <c r="C182" s="111">
        <f>[18]С2.5!$AR$11</f>
        <v>0</v>
      </c>
    </row>
    <row r="183" spans="2:3" hidden="1">
      <c r="B183" s="110">
        <f t="shared" si="0"/>
        <v>2060</v>
      </c>
      <c r="C183" s="111">
        <f>[18]С2.5!$AS$11</f>
        <v>0</v>
      </c>
    </row>
    <row r="184" spans="2:3" hidden="1">
      <c r="B184" s="110">
        <f t="shared" si="0"/>
        <v>2061</v>
      </c>
      <c r="C184" s="111">
        <f>[18]С2.5!$AT$11</f>
        <v>0</v>
      </c>
    </row>
    <row r="185" spans="2:3" hidden="1">
      <c r="B185" s="110">
        <f t="shared" si="0"/>
        <v>2062</v>
      </c>
      <c r="C185" s="111">
        <f>[18]С2.5!$AU$11</f>
        <v>0</v>
      </c>
    </row>
    <row r="186" spans="2:3" hidden="1">
      <c r="B186" s="110">
        <f t="shared" si="0"/>
        <v>2063</v>
      </c>
      <c r="C186" s="111">
        <f>[18]С2.5!$AV$11</f>
        <v>0</v>
      </c>
    </row>
    <row r="187" spans="2:3" hidden="1">
      <c r="B187" s="110">
        <f t="shared" si="0"/>
        <v>2064</v>
      </c>
      <c r="C187" s="111">
        <f>[18]С2.5!$AW$11</f>
        <v>0</v>
      </c>
    </row>
    <row r="188" spans="2:3" hidden="1">
      <c r="B188" s="110">
        <f t="shared" si="0"/>
        <v>2065</v>
      </c>
      <c r="C188" s="111">
        <f>[18]С2.5!$AX$11</f>
        <v>0</v>
      </c>
    </row>
    <row r="189" spans="2:3" hidden="1">
      <c r="B189" s="110">
        <f t="shared" si="0"/>
        <v>2066</v>
      </c>
      <c r="C189" s="111">
        <f>[18]С2.5!$AY$11</f>
        <v>0</v>
      </c>
    </row>
    <row r="190" spans="2:3" hidden="1">
      <c r="B190" s="110">
        <f t="shared" si="0"/>
        <v>2067</v>
      </c>
      <c r="C190" s="111">
        <f>[18]С2.5!$AZ$11</f>
        <v>0</v>
      </c>
    </row>
    <row r="191" spans="2:3" hidden="1">
      <c r="B191" s="110">
        <f t="shared" si="0"/>
        <v>2068</v>
      </c>
      <c r="C191" s="111">
        <f>[18]С2.5!$BA$11</f>
        <v>0</v>
      </c>
    </row>
    <row r="192" spans="2:3" hidden="1">
      <c r="B192" s="110">
        <f t="shared" si="0"/>
        <v>2069</v>
      </c>
      <c r="C192" s="111">
        <f>[18]С2.5!$BB$11</f>
        <v>0</v>
      </c>
    </row>
    <row r="193" spans="2:3" hidden="1">
      <c r="B193" s="110">
        <f t="shared" si="0"/>
        <v>2070</v>
      </c>
      <c r="C193" s="111">
        <f>[18]С2.5!$BC$11</f>
        <v>0</v>
      </c>
    </row>
    <row r="194" spans="2:3" hidden="1">
      <c r="B194" s="110">
        <f t="shared" si="0"/>
        <v>2071</v>
      </c>
      <c r="C194" s="111">
        <f>[18]С2.5!$BD$11</f>
        <v>0</v>
      </c>
    </row>
    <row r="195" spans="2:3" hidden="1">
      <c r="B195" s="110">
        <f t="shared" si="0"/>
        <v>2072</v>
      </c>
      <c r="C195" s="111">
        <f>[18]С2.5!$BE$11</f>
        <v>0</v>
      </c>
    </row>
    <row r="196" spans="2:3" hidden="1">
      <c r="B196" s="110">
        <f t="shared" si="0"/>
        <v>2073</v>
      </c>
      <c r="C196" s="111">
        <f>[18]С2.5!$BF$11</f>
        <v>0</v>
      </c>
    </row>
    <row r="197" spans="2:3" hidden="1">
      <c r="B197" s="110">
        <f t="shared" si="0"/>
        <v>2074</v>
      </c>
      <c r="C197" s="111">
        <f>[18]С2.5!$BG$11</f>
        <v>0</v>
      </c>
    </row>
    <row r="198" spans="2:3" hidden="1">
      <c r="B198" s="110">
        <f t="shared" si="0"/>
        <v>2075</v>
      </c>
      <c r="C198" s="111">
        <f>[18]С2.5!$BH$11</f>
        <v>0</v>
      </c>
    </row>
    <row r="199" spans="2:3" hidden="1">
      <c r="B199" s="110">
        <f t="shared" si="0"/>
        <v>2076</v>
      </c>
      <c r="C199" s="111">
        <f>[18]С2.5!$BI$11</f>
        <v>0</v>
      </c>
    </row>
    <row r="200" spans="2:3" hidden="1">
      <c r="B200" s="110">
        <f t="shared" si="0"/>
        <v>2077</v>
      </c>
      <c r="C200" s="111">
        <f>[18]С2.5!$BJ$11</f>
        <v>0</v>
      </c>
    </row>
    <row r="201" spans="2:3" hidden="1">
      <c r="B201" s="110">
        <f t="shared" si="0"/>
        <v>2078</v>
      </c>
      <c r="C201" s="111">
        <f>[18]С2.5!$BK$11</f>
        <v>0</v>
      </c>
    </row>
    <row r="202" spans="2:3" hidden="1">
      <c r="B202" s="110">
        <f t="shared" si="0"/>
        <v>2079</v>
      </c>
      <c r="C202" s="111">
        <f>[18]С2.5!$BL$11</f>
        <v>0</v>
      </c>
    </row>
    <row r="203" spans="2:3" hidden="1">
      <c r="B203" s="110">
        <f t="shared" si="0"/>
        <v>2080</v>
      </c>
      <c r="C203" s="111">
        <f>[18]С2.5!$BM$11</f>
        <v>0</v>
      </c>
    </row>
    <row r="204" spans="2:3" hidden="1">
      <c r="B204" s="110">
        <f t="shared" si="0"/>
        <v>2081</v>
      </c>
      <c r="C204" s="111">
        <f>[18]С2.5!$BN$11</f>
        <v>0</v>
      </c>
    </row>
    <row r="205" spans="2:3" hidden="1">
      <c r="B205" s="110">
        <f t="shared" si="0"/>
        <v>2082</v>
      </c>
      <c r="C205" s="111">
        <f>[18]С2.5!$BO$11</f>
        <v>0</v>
      </c>
    </row>
    <row r="206" spans="2:3" hidden="1">
      <c r="B206" s="110">
        <f t="shared" si="0"/>
        <v>2083</v>
      </c>
      <c r="C206" s="111">
        <f>[18]С2.5!$BP$11</f>
        <v>0</v>
      </c>
    </row>
    <row r="207" spans="2:3" hidden="1">
      <c r="B207" s="110">
        <f t="shared" si="0"/>
        <v>2084</v>
      </c>
      <c r="C207" s="111">
        <f>[18]С2.5!$BQ$11</f>
        <v>0</v>
      </c>
    </row>
    <row r="208" spans="2:3" hidden="1">
      <c r="B208" s="110">
        <f t="shared" si="0"/>
        <v>2085</v>
      </c>
      <c r="C208" s="111">
        <f>[18]С2.5!$BR$11</f>
        <v>0</v>
      </c>
    </row>
    <row r="209" spans="2:3" hidden="1">
      <c r="B209" s="110">
        <f t="shared" ref="B209:B223" si="1">B208+1</f>
        <v>2086</v>
      </c>
      <c r="C209" s="111">
        <f>[18]С2.5!$BS$11</f>
        <v>0</v>
      </c>
    </row>
    <row r="210" spans="2:3" hidden="1">
      <c r="B210" s="110">
        <f t="shared" si="1"/>
        <v>2087</v>
      </c>
      <c r="C210" s="111">
        <f>[18]С2.5!$BT$11</f>
        <v>0</v>
      </c>
    </row>
    <row r="211" spans="2:3" hidden="1">
      <c r="B211" s="110">
        <f t="shared" si="1"/>
        <v>2088</v>
      </c>
      <c r="C211" s="111">
        <f>[18]С2.5!$BU$11</f>
        <v>0</v>
      </c>
    </row>
    <row r="212" spans="2:3" hidden="1">
      <c r="B212" s="110">
        <f t="shared" si="1"/>
        <v>2089</v>
      </c>
      <c r="C212" s="111">
        <f>[18]С2.5!$BV$11</f>
        <v>0</v>
      </c>
    </row>
    <row r="213" spans="2:3" hidden="1">
      <c r="B213" s="110">
        <f t="shared" si="1"/>
        <v>2090</v>
      </c>
      <c r="C213" s="111">
        <f>[18]С2.5!$BW$11</f>
        <v>0</v>
      </c>
    </row>
    <row r="214" spans="2:3" hidden="1">
      <c r="B214" s="110">
        <f t="shared" si="1"/>
        <v>2091</v>
      </c>
      <c r="C214" s="111">
        <f>[18]С2.5!$BX$11</f>
        <v>0</v>
      </c>
    </row>
    <row r="215" spans="2:3" hidden="1">
      <c r="B215" s="110">
        <f t="shared" si="1"/>
        <v>2092</v>
      </c>
      <c r="C215" s="111">
        <f>[18]С2.5!$BY$11</f>
        <v>0</v>
      </c>
    </row>
    <row r="216" spans="2:3" hidden="1">
      <c r="B216" s="110">
        <f t="shared" si="1"/>
        <v>2093</v>
      </c>
      <c r="C216" s="111">
        <f>[18]С2.5!$BZ$11</f>
        <v>0</v>
      </c>
    </row>
    <row r="217" spans="2:3" hidden="1">
      <c r="B217" s="110">
        <f t="shared" si="1"/>
        <v>2094</v>
      </c>
      <c r="C217" s="111">
        <f>[18]С2.5!$CA$11</f>
        <v>0</v>
      </c>
    </row>
    <row r="218" spans="2:3" hidden="1">
      <c r="B218" s="110">
        <f t="shared" si="1"/>
        <v>2095</v>
      </c>
      <c r="C218" s="111">
        <f>[18]С2.5!$CB$11</f>
        <v>0</v>
      </c>
    </row>
    <row r="219" spans="2:3" hidden="1">
      <c r="B219" s="110">
        <f t="shared" si="1"/>
        <v>2096</v>
      </c>
      <c r="C219" s="111">
        <f>[18]С2.5!$CC$11</f>
        <v>0</v>
      </c>
    </row>
    <row r="220" spans="2:3" hidden="1">
      <c r="B220" s="110">
        <f t="shared" si="1"/>
        <v>2097</v>
      </c>
      <c r="C220" s="111">
        <f>[18]С2.5!$CD$11</f>
        <v>0</v>
      </c>
    </row>
    <row r="221" spans="2:3" hidden="1">
      <c r="B221" s="110">
        <f t="shared" si="1"/>
        <v>2098</v>
      </c>
      <c r="C221" s="111">
        <f>[18]С2.5!$CE$11</f>
        <v>0</v>
      </c>
    </row>
    <row r="222" spans="2:3" hidden="1">
      <c r="B222" s="110">
        <f t="shared" si="1"/>
        <v>2099</v>
      </c>
      <c r="C222" s="111">
        <f>[18]С2.5!$CF$11</f>
        <v>0</v>
      </c>
    </row>
    <row r="223" spans="2:3" ht="13.5" hidden="1" thickBot="1">
      <c r="B223" s="112">
        <f t="shared" si="1"/>
        <v>2100</v>
      </c>
      <c r="C223" s="113">
        <f>[18]С2.5!$CG$11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69" r:id="rId3" name="Button 1">
              <controlPr defaultSize="0" print="0" autoFill="0" autoPict="0" macro="[1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Алексеевское</vt:lpstr>
      <vt:lpstr>Верх-Каргатское</vt:lpstr>
      <vt:lpstr>Верх-Урюмское</vt:lpstr>
      <vt:lpstr>Горносталевское</vt:lpstr>
      <vt:lpstr>Здвинское</vt:lpstr>
      <vt:lpstr>Лянинское</vt:lpstr>
      <vt:lpstr>Нижнеурюмское</vt:lpstr>
      <vt:lpstr>Нижнечулымское</vt:lpstr>
      <vt:lpstr>Новороссийское</vt:lpstr>
      <vt:lpstr>Петраковское</vt:lpstr>
      <vt:lpstr>Рощинское</vt:lpstr>
      <vt:lpstr>Сарыбалыкское</vt:lpstr>
      <vt:lpstr>Цветниковское</vt:lpstr>
      <vt:lpstr>Чулымское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Баянова</dc:creator>
  <cp:lastModifiedBy>Баянова</cp:lastModifiedBy>
  <dcterms:created xsi:type="dcterms:W3CDTF">2023-01-18T03:37:57Z</dcterms:created>
  <dcterms:modified xsi:type="dcterms:W3CDTF">2023-01-18T05:29:41Z</dcterms:modified>
</cp:coreProperties>
</file>